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slicers/slicer2.xml" ContentType="application/vnd.ms-excel.slicer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ueva carpeta\"/>
    </mc:Choice>
  </mc:AlternateContent>
  <xr:revisionPtr revIDLastSave="0" documentId="13_ncr:1_{7C905203-7CD1-4236-9A34-2DB707812307}" xr6:coauthVersionLast="47" xr6:coauthVersionMax="47" xr10:uidLastSave="{00000000-0000-0000-0000-000000000000}"/>
  <bookViews>
    <workbookView xWindow="-108" yWindow="-108" windowWidth="23256" windowHeight="12576" tabRatio="927" firstSheet="4" activeTab="9" xr2:uid="{CA5289D7-668D-487A-B9EC-E5D5AD1C6494}"/>
  </bookViews>
  <sheets>
    <sheet name="EDT vieja" sheetId="1" r:id="rId1"/>
    <sheet name="EDT Nueva" sheetId="4" r:id="rId2"/>
    <sheet name="Plan OG" sheetId="14" r:id="rId3"/>
    <sheet name="Avance 100" sheetId="2" r:id="rId4"/>
    <sheet name="Plan 100" sheetId="11" r:id="rId5"/>
    <sheet name="Avance 39" sheetId="6" r:id="rId6"/>
    <sheet name="Plan 39" sheetId="3" r:id="rId7"/>
    <sheet name="Control de Avance" sheetId="8" r:id="rId8"/>
    <sheet name="Dashboard Completo" sheetId="12" r:id="rId9"/>
    <sheet name="Python" sheetId="17" r:id="rId10"/>
    <sheet name="Dashboard General" sheetId="9" r:id="rId11"/>
    <sheet name="Análisis de Desviación" sheetId="16" r:id="rId12"/>
    <sheet name="Dashboard Caldera" sheetId="10" r:id="rId13"/>
    <sheet name="Dashboard Turbina" sheetId="13" r:id="rId14"/>
  </sheets>
  <definedNames>
    <definedName name="Dash_Comp_Men">'Dashboard Completo'!$B$36:$K$65</definedName>
    <definedName name="Dash_Gral_Men">'Dashboard General'!$B$31:$M$55</definedName>
    <definedName name="SegmentaciónDeDatos_Calendario">#N/A</definedName>
    <definedName name="SegmentaciónDeDatos_Calendario1">#N/A</definedName>
    <definedName name="SegmentaciónDeDatos_Calendario2">#N/A</definedName>
  </definedNames>
  <calcPr calcId="191029"/>
  <pivotCaches>
    <pivotCache cacheId="0" r:id="rId15"/>
    <pivotCache cacheId="1" r:id="rId16"/>
    <pivotCache cacheId="2" r:id="rId17"/>
    <pivotCache cacheId="3" r:id="rId18"/>
  </pivotCaches>
  <extLst>
    <ext xmlns:x14="http://schemas.microsoft.com/office/spreadsheetml/2009/9/main" uri="{876F7934-8845-4945-9796-88D515C7AA90}">
      <x14:pivotCaches>
        <pivotCache cacheId="4" r:id="rId19"/>
        <pivotCache cacheId="5" r:id="rId20"/>
        <pivotCache cacheId="6" r:id="rId21"/>
      </x14:pivotCaches>
    </ext>
    <ext xmlns:x14="http://schemas.microsoft.com/office/spreadsheetml/2009/9/main" uri="{BBE1A952-AA13-448e-AADC-164F8A28A991}">
      <x14:slicerCaches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DTV_PQ_04e2a95d-7bfe-40ac-bde0-a88ee828c5a2" name="EDTV_PQ" connection="Consulta - EDTV_PQ"/>
          <x15:modelTable id="EDTN_PQ_e425326d-a1b4-41fe-9539-7314817f1d46" name="EDTN_PQ" connection="Consulta - EDTN_PQ"/>
          <x15:modelTable id="RA100_PQ_4ca35a15-0e7f-487a-811e-e5b16046cfbe" name="RA100_PQ" connection="Consulta - RA100_PQ"/>
          <x15:modelTable id="PB39_PQ_3451cbd7-5915-4be7-bbe0-89a6b4ad3952" name="PB39_PQ" connection="Consulta - PB39_PQ"/>
          <x15:modelTable id="AR39_PQ_2dd48a33-89a4-4af8-aaa5-94b226115e36" name="AR39_PQ" connection="Consulta - AR39_PQ"/>
          <x15:modelTable id="PB100_PQ_720958bd-6458-44e1-9b73-74bb4dedf861" name="PB100_PQ" connection="Consulta - PB100_PQ"/>
          <x15:modelTable id="Calendario 1_b54ebaed-d4ee-44dc-9714-9b663ea3bf24" name="Calendario 1" connection="Consulta - Calendario"/>
        </x15:modelTables>
        <x15:modelRelationships>
          <x15:modelRelationship fromTable="RA100_PQ" fromColumn="N1.N2.N3.N4" toTable="EDTV_PQ" toColumn="N1.N2.N3.N4"/>
          <x15:modelRelationship fromTable="RA100_PQ" fromColumn="Fecha" toTable="Calendario 1" toColumn="Calendario"/>
          <x15:modelRelationship fromTable="AR39_PQ" fromColumn="N1.N2.N3.N4" toTable="EDTN_PQ" toColumn="N1.N2.N3.N4"/>
          <x15:modelRelationship fromTable="AR39_PQ" fromColumn="Fecha" toTable="Calendario 1" toColumn="Calendario"/>
          <x15:modelRelationship fromTable="PB39_PQ" fromColumn="N1.N2.N3.N4" toTable="EDTN_PQ" toColumn="N1.N2.N3.N4"/>
          <x15:modelRelationship fromTable="PB39_PQ" fromColumn="Fecha" toTable="Calendario 1" toColumn="Calendario"/>
          <x15:modelRelationship fromTable="PB100_PQ" fromColumn="N1.N2.N3.N4" toTable="EDTV_PQ" toColumn="N1.N2.N3.N4"/>
          <x15:modelRelationship fromTable="PB100_PQ" fromColumn="Atributo" toTable="Calendario 1" toColumn="Calendari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M118" i="6" l="1"/>
  <c r="BN118" i="6"/>
  <c r="BO118" i="6"/>
  <c r="BQ118" i="6"/>
  <c r="BR118" i="6"/>
  <c r="BS118" i="6"/>
  <c r="BU118" i="6"/>
  <c r="BV118" i="6"/>
  <c r="BW118" i="6"/>
  <c r="BY118" i="6"/>
  <c r="BZ118" i="6"/>
  <c r="CA118" i="6"/>
  <c r="CC118" i="6"/>
  <c r="CD118" i="6"/>
  <c r="CE118" i="6"/>
  <c r="CG118" i="6"/>
  <c r="CH118" i="6"/>
  <c r="CI118" i="6"/>
  <c r="CK118" i="6"/>
  <c r="CL118" i="6"/>
  <c r="CM118" i="6"/>
  <c r="CO118" i="6"/>
  <c r="CP118" i="6"/>
  <c r="CJ124" i="2"/>
  <c r="DI15" i="2"/>
  <c r="DI21" i="2"/>
  <c r="DI22" i="2"/>
  <c r="DI23" i="2"/>
  <c r="DI24" i="2"/>
  <c r="DI26" i="2"/>
  <c r="DI25" i="2" s="1"/>
  <c r="DI31" i="2"/>
  <c r="DI32" i="2"/>
  <c r="DI36" i="2"/>
  <c r="DI37" i="2"/>
  <c r="DI38" i="2"/>
  <c r="DI39" i="2"/>
  <c r="DI40" i="2"/>
  <c r="DI41" i="2"/>
  <c r="DI43" i="2"/>
  <c r="DI42" i="2" s="1"/>
  <c r="DI46" i="2"/>
  <c r="DI47" i="2"/>
  <c r="DI48" i="2"/>
  <c r="DI49" i="2"/>
  <c r="DI60" i="2"/>
  <c r="DI61" i="2"/>
  <c r="DI62" i="2"/>
  <c r="DI63" i="2"/>
  <c r="DI64" i="2"/>
  <c r="DI67" i="2"/>
  <c r="DI68" i="2"/>
  <c r="DI69" i="2"/>
  <c r="DI70" i="2"/>
  <c r="DI71" i="2"/>
  <c r="DI74" i="2"/>
  <c r="DI73" i="2" s="1"/>
  <c r="DI83" i="2"/>
  <c r="DI80" i="2" s="1"/>
  <c r="DI87" i="2"/>
  <c r="DI90" i="2"/>
  <c r="DI93" i="2"/>
  <c r="DI94" i="2"/>
  <c r="DI96" i="2"/>
  <c r="DI97" i="2"/>
  <c r="DI102" i="2"/>
  <c r="DI103" i="2"/>
  <c r="DI99" i="2" s="1"/>
  <c r="DI105" i="2"/>
  <c r="DI104" i="2" s="1"/>
  <c r="DI107" i="2"/>
  <c r="DI106" i="2" s="1"/>
  <c r="DI108" i="2"/>
  <c r="DI110" i="2"/>
  <c r="DI111" i="2"/>
  <c r="DI113" i="2"/>
  <c r="DI114" i="2"/>
  <c r="DI116" i="2"/>
  <c r="DI117" i="2"/>
  <c r="DI115" i="2" s="1"/>
  <c r="DI118" i="2"/>
  <c r="DI120" i="2"/>
  <c r="DI121" i="2"/>
  <c r="DI122" i="2"/>
  <c r="DI124" i="2"/>
  <c r="DI125" i="2"/>
  <c r="DI126" i="2"/>
  <c r="DI127" i="2"/>
  <c r="DI128" i="2"/>
  <c r="DI129" i="2"/>
  <c r="DI131" i="2"/>
  <c r="DI132" i="2"/>
  <c r="DI133" i="2"/>
  <c r="DI135" i="2"/>
  <c r="DI136" i="2"/>
  <c r="DI137" i="2"/>
  <c r="DI138" i="2"/>
  <c r="DH149" i="2"/>
  <c r="DJ149" i="2"/>
  <c r="DH150" i="2"/>
  <c r="DJ150" i="2"/>
  <c r="DH151" i="2"/>
  <c r="DJ151" i="2"/>
  <c r="DH152" i="2"/>
  <c r="DJ152" i="2"/>
  <c r="DH145" i="2"/>
  <c r="DJ145" i="2"/>
  <c r="DH146" i="2"/>
  <c r="DJ146" i="2"/>
  <c r="O4" i="12"/>
  <c r="E30" i="12"/>
  <c r="E31" i="12"/>
  <c r="DI44" i="2" l="1"/>
  <c r="DI109" i="2"/>
  <c r="DI27" i="2"/>
  <c r="DI35" i="2"/>
  <c r="DI130" i="2"/>
  <c r="DI89" i="2"/>
  <c r="DI123" i="2"/>
  <c r="DI119" i="2"/>
  <c r="DI134" i="2"/>
  <c r="DI112" i="2"/>
  <c r="DI59" i="2"/>
  <c r="DI18" i="2"/>
  <c r="BN47" i="6"/>
  <c r="BN49" i="6"/>
  <c r="BN55" i="6"/>
  <c r="BN58" i="6"/>
  <c r="BN60" i="6"/>
  <c r="BN63" i="6"/>
  <c r="BN66" i="6"/>
  <c r="BN69" i="6"/>
  <c r="BN73" i="6"/>
  <c r="BN77" i="6"/>
  <c r="BN84" i="6"/>
  <c r="BN88" i="6"/>
  <c r="BN92" i="6"/>
  <c r="BN8" i="6"/>
  <c r="BN13" i="6"/>
  <c r="BN15" i="6"/>
  <c r="BN18" i="6"/>
  <c r="BN22" i="6"/>
  <c r="BN25" i="6"/>
  <c r="BN27" i="6"/>
  <c r="BN31" i="6"/>
  <c r="BN42" i="6"/>
  <c r="BN44" i="6"/>
  <c r="DF145" i="2"/>
  <c r="DF146" i="2"/>
  <c r="DG146" i="2"/>
  <c r="DF149" i="2"/>
  <c r="DF150" i="2"/>
  <c r="DG150" i="2"/>
  <c r="DF151" i="2"/>
  <c r="DF152" i="2"/>
  <c r="DG152" i="2"/>
  <c r="BM47" i="6"/>
  <c r="BM49" i="6"/>
  <c r="BM55" i="6"/>
  <c r="BM58" i="6"/>
  <c r="BM60" i="6"/>
  <c r="BM63" i="6"/>
  <c r="BM66" i="6"/>
  <c r="BM69" i="6"/>
  <c r="BM73" i="6"/>
  <c r="BM77" i="6"/>
  <c r="BM84" i="6"/>
  <c r="BM88" i="6"/>
  <c r="BM92" i="6"/>
  <c r="BM8" i="6"/>
  <c r="BM13" i="6"/>
  <c r="BM15" i="6"/>
  <c r="BM18" i="6"/>
  <c r="BM22" i="6"/>
  <c r="BM25" i="6"/>
  <c r="BM27" i="6"/>
  <c r="BM31" i="6"/>
  <c r="BM42" i="6"/>
  <c r="BM44" i="6"/>
  <c r="DF74" i="2"/>
  <c r="DF73" i="2" s="1"/>
  <c r="DF71" i="2"/>
  <c r="DF70" i="2"/>
  <c r="DF69" i="2"/>
  <c r="DF68" i="2"/>
  <c r="DF67" i="2"/>
  <c r="DF64" i="2"/>
  <c r="DF63" i="2"/>
  <c r="DF62" i="2"/>
  <c r="DF61" i="2"/>
  <c r="DF60" i="2"/>
  <c r="DF49" i="2"/>
  <c r="DF48" i="2"/>
  <c r="DF47" i="2"/>
  <c r="DF46" i="2"/>
  <c r="DF43" i="2"/>
  <c r="DF42" i="2" s="1"/>
  <c r="DF41" i="2"/>
  <c r="DF40" i="2"/>
  <c r="DF38" i="2"/>
  <c r="DF37" i="2"/>
  <c r="DF36" i="2"/>
  <c r="DF32" i="2"/>
  <c r="DF31" i="2"/>
  <c r="DF26" i="2"/>
  <c r="DF25" i="2" s="1"/>
  <c r="DF24" i="2"/>
  <c r="DF23" i="2"/>
  <c r="DF22" i="2"/>
  <c r="DF21" i="2"/>
  <c r="DF15" i="2"/>
  <c r="M118" i="6"/>
  <c r="N118" i="6"/>
  <c r="O118" i="6"/>
  <c r="Q118" i="6"/>
  <c r="R118" i="6"/>
  <c r="S118" i="6"/>
  <c r="U118" i="6"/>
  <c r="V118" i="6"/>
  <c r="W118" i="6"/>
  <c r="Y118" i="6"/>
  <c r="Z118" i="6"/>
  <c r="AA118" i="6"/>
  <c r="AC118" i="6"/>
  <c r="AD118" i="6"/>
  <c r="AE118" i="6"/>
  <c r="AG118" i="6"/>
  <c r="AH118" i="6"/>
  <c r="AI118" i="6"/>
  <c r="AK118" i="6"/>
  <c r="AL118" i="6"/>
  <c r="AM118" i="6"/>
  <c r="AO118" i="6"/>
  <c r="AP118" i="6"/>
  <c r="AQ118" i="6"/>
  <c r="AS118" i="6"/>
  <c r="AT118" i="6"/>
  <c r="AU118" i="6"/>
  <c r="AW118" i="6"/>
  <c r="AX118" i="6"/>
  <c r="AY118" i="6"/>
  <c r="BA118" i="6"/>
  <c r="BB118" i="6"/>
  <c r="BC118" i="6"/>
  <c r="BE118" i="6"/>
  <c r="BF118" i="6"/>
  <c r="BG118" i="6"/>
  <c r="BI118" i="6"/>
  <c r="BJ118" i="6"/>
  <c r="BK118" i="6"/>
  <c r="I118" i="6"/>
  <c r="J118" i="6"/>
  <c r="K118" i="6"/>
  <c r="DF44" i="2" l="1"/>
  <c r="DF39" i="2"/>
  <c r="DF18" i="2"/>
  <c r="DF27" i="2"/>
  <c r="DF59" i="2"/>
  <c r="DF35" i="2"/>
  <c r="CP106" i="6"/>
  <c r="I106" i="6"/>
  <c r="J106" i="6"/>
  <c r="K106" i="6"/>
  <c r="M106" i="6"/>
  <c r="N106" i="6"/>
  <c r="O106" i="6"/>
  <c r="Q106" i="6"/>
  <c r="R106" i="6"/>
  <c r="S106" i="6"/>
  <c r="U106" i="6"/>
  <c r="V106" i="6"/>
  <c r="W106" i="6"/>
  <c r="Y106" i="6"/>
  <c r="Z106" i="6"/>
  <c r="AA106" i="6"/>
  <c r="AC106" i="6"/>
  <c r="AD106" i="6"/>
  <c r="AE106" i="6"/>
  <c r="AG106" i="6"/>
  <c r="AH106" i="6"/>
  <c r="AI106" i="6"/>
  <c r="AK106" i="6"/>
  <c r="AL106" i="6"/>
  <c r="AM106" i="6"/>
  <c r="AO106" i="6"/>
  <c r="AP106" i="6"/>
  <c r="AQ106" i="6"/>
  <c r="AS106" i="6"/>
  <c r="AT106" i="6"/>
  <c r="AU106" i="6"/>
  <c r="AW106" i="6"/>
  <c r="AX106" i="6"/>
  <c r="AY106" i="6"/>
  <c r="BA106" i="6"/>
  <c r="BB106" i="6"/>
  <c r="BC106" i="6"/>
  <c r="BE106" i="6"/>
  <c r="BF106" i="6"/>
  <c r="BG106" i="6"/>
  <c r="BI106" i="6"/>
  <c r="BJ106" i="6"/>
  <c r="BK106" i="6"/>
  <c r="BM106" i="6"/>
  <c r="BN106" i="6"/>
  <c r="BO106" i="6"/>
  <c r="BQ106" i="6"/>
  <c r="BR106" i="6"/>
  <c r="BS106" i="6"/>
  <c r="BU106" i="6"/>
  <c r="BV106" i="6"/>
  <c r="BW106" i="6"/>
  <c r="BY106" i="6"/>
  <c r="BZ106" i="6"/>
  <c r="CA106" i="6"/>
  <c r="CC106" i="6"/>
  <c r="CD106" i="6"/>
  <c r="CE106" i="6"/>
  <c r="CG106" i="6"/>
  <c r="CH106" i="6"/>
  <c r="CI106" i="6"/>
  <c r="CK106" i="6"/>
  <c r="CL106" i="6"/>
  <c r="CM106" i="6"/>
  <c r="CO106" i="6"/>
  <c r="DD145" i="2"/>
  <c r="DD146" i="2"/>
  <c r="BL47" i="6" l="1"/>
  <c r="BL49" i="6"/>
  <c r="BL55" i="6"/>
  <c r="BL58" i="6"/>
  <c r="BL60" i="6"/>
  <c r="BL63" i="6"/>
  <c r="BL66" i="6"/>
  <c r="BL69" i="6"/>
  <c r="BL73" i="6"/>
  <c r="BL77" i="6"/>
  <c r="BL84" i="6"/>
  <c r="BL88" i="6"/>
  <c r="BL92" i="6"/>
  <c r="EL139" i="2" l="1"/>
  <c r="EI138" i="2"/>
  <c r="EH138" i="2"/>
  <c r="EG138" i="2"/>
  <c r="EF138" i="2"/>
  <c r="EE138" i="2"/>
  <c r="ED138" i="2"/>
  <c r="EC138" i="2"/>
  <c r="EB138" i="2"/>
  <c r="EA138" i="2"/>
  <c r="DZ138" i="2"/>
  <c r="DY138" i="2"/>
  <c r="DX138" i="2"/>
  <c r="DW138" i="2"/>
  <c r="DV138" i="2"/>
  <c r="DU138" i="2"/>
  <c r="DT138" i="2"/>
  <c r="DS138" i="2"/>
  <c r="DR138" i="2"/>
  <c r="DQ138" i="2"/>
  <c r="DP138" i="2"/>
  <c r="DO138" i="2"/>
  <c r="DN138" i="2"/>
  <c r="DM138" i="2"/>
  <c r="DL138" i="2"/>
  <c r="DK138" i="2"/>
  <c r="DJ138" i="2"/>
  <c r="DH138" i="2"/>
  <c r="DG138" i="2"/>
  <c r="DF138" i="2"/>
  <c r="EI137" i="2"/>
  <c r="EH137" i="2"/>
  <c r="EG137" i="2"/>
  <c r="EF137" i="2"/>
  <c r="EE137" i="2"/>
  <c r="ED137" i="2"/>
  <c r="EC137" i="2"/>
  <c r="EB137" i="2"/>
  <c r="EA137" i="2"/>
  <c r="DZ137" i="2"/>
  <c r="DY137" i="2"/>
  <c r="DX137" i="2"/>
  <c r="DW137" i="2"/>
  <c r="DV137" i="2"/>
  <c r="DU137" i="2"/>
  <c r="DT137" i="2"/>
  <c r="DS137" i="2"/>
  <c r="DR137" i="2"/>
  <c r="DQ137" i="2"/>
  <c r="DP137" i="2"/>
  <c r="DO137" i="2"/>
  <c r="DN137" i="2"/>
  <c r="DM137" i="2"/>
  <c r="DL137" i="2"/>
  <c r="DK137" i="2"/>
  <c r="DJ137" i="2"/>
  <c r="DH137" i="2"/>
  <c r="DG137" i="2"/>
  <c r="DF137" i="2"/>
  <c r="EI136" i="2"/>
  <c r="EH136" i="2"/>
  <c r="EG136" i="2"/>
  <c r="EF136" i="2"/>
  <c r="EE136" i="2"/>
  <c r="ED136" i="2"/>
  <c r="EC136" i="2"/>
  <c r="EB136" i="2"/>
  <c r="EA136" i="2"/>
  <c r="DZ136" i="2"/>
  <c r="DY136" i="2"/>
  <c r="DX136" i="2"/>
  <c r="DW136" i="2"/>
  <c r="DV136" i="2"/>
  <c r="DU136" i="2"/>
  <c r="DT136" i="2"/>
  <c r="DS136" i="2"/>
  <c r="DR136" i="2"/>
  <c r="DQ136" i="2"/>
  <c r="DP136" i="2"/>
  <c r="DO136" i="2"/>
  <c r="DN136" i="2"/>
  <c r="DM136" i="2"/>
  <c r="DL136" i="2"/>
  <c r="DK136" i="2"/>
  <c r="DJ136" i="2"/>
  <c r="DH136" i="2"/>
  <c r="DG136" i="2"/>
  <c r="DF136" i="2"/>
  <c r="EI135" i="2"/>
  <c r="EH135" i="2"/>
  <c r="EG135" i="2"/>
  <c r="EF135" i="2"/>
  <c r="EE135" i="2"/>
  <c r="ED135" i="2"/>
  <c r="EC135" i="2"/>
  <c r="EB135" i="2"/>
  <c r="EA135" i="2"/>
  <c r="DZ135" i="2"/>
  <c r="DY135" i="2"/>
  <c r="DX135" i="2"/>
  <c r="DW135" i="2"/>
  <c r="DV135" i="2"/>
  <c r="DU135" i="2"/>
  <c r="DT135" i="2"/>
  <c r="DS135" i="2"/>
  <c r="DR135" i="2"/>
  <c r="DQ135" i="2"/>
  <c r="DP135" i="2"/>
  <c r="DO135" i="2"/>
  <c r="DN135" i="2"/>
  <c r="DM135" i="2"/>
  <c r="DL135" i="2"/>
  <c r="DK135" i="2"/>
  <c r="DJ135" i="2"/>
  <c r="DH135" i="2"/>
  <c r="DG135" i="2"/>
  <c r="DF135" i="2"/>
  <c r="EI133" i="2"/>
  <c r="EH133" i="2"/>
  <c r="EG133" i="2"/>
  <c r="EF133" i="2"/>
  <c r="EE133" i="2"/>
  <c r="ED133" i="2"/>
  <c r="EC133" i="2"/>
  <c r="EB133" i="2"/>
  <c r="EA133" i="2"/>
  <c r="DZ133" i="2"/>
  <c r="DY133" i="2"/>
  <c r="DX133" i="2"/>
  <c r="DW133" i="2"/>
  <c r="DV133" i="2"/>
  <c r="DU133" i="2"/>
  <c r="DT133" i="2"/>
  <c r="DS133" i="2"/>
  <c r="DR133" i="2"/>
  <c r="DQ133" i="2"/>
  <c r="DP133" i="2"/>
  <c r="DO133" i="2"/>
  <c r="DN133" i="2"/>
  <c r="DM133" i="2"/>
  <c r="DL133" i="2"/>
  <c r="DK133" i="2"/>
  <c r="DJ133" i="2"/>
  <c r="DH133" i="2"/>
  <c r="DG133" i="2"/>
  <c r="DF133" i="2"/>
  <c r="EI132" i="2"/>
  <c r="EH132" i="2"/>
  <c r="EG132" i="2"/>
  <c r="EF132" i="2"/>
  <c r="EE132" i="2"/>
  <c r="ED132" i="2"/>
  <c r="EC132" i="2"/>
  <c r="EB132" i="2"/>
  <c r="EA132" i="2"/>
  <c r="DZ132" i="2"/>
  <c r="DY132" i="2"/>
  <c r="DX132" i="2"/>
  <c r="DW132" i="2"/>
  <c r="DV132" i="2"/>
  <c r="DU132" i="2"/>
  <c r="DT132" i="2"/>
  <c r="DS132" i="2"/>
  <c r="DR132" i="2"/>
  <c r="DQ132" i="2"/>
  <c r="DP132" i="2"/>
  <c r="DO132" i="2"/>
  <c r="DN132" i="2"/>
  <c r="DM132" i="2"/>
  <c r="DL132" i="2"/>
  <c r="DK132" i="2"/>
  <c r="DJ132" i="2"/>
  <c r="DH132" i="2"/>
  <c r="DG132" i="2"/>
  <c r="DF132" i="2"/>
  <c r="EI131" i="2"/>
  <c r="EH131" i="2"/>
  <c r="EG131" i="2"/>
  <c r="EF131" i="2"/>
  <c r="EE131" i="2"/>
  <c r="ED131" i="2"/>
  <c r="EC131" i="2"/>
  <c r="EB131" i="2"/>
  <c r="EA131" i="2"/>
  <c r="DZ131" i="2"/>
  <c r="DY131" i="2"/>
  <c r="DX131" i="2"/>
  <c r="DW131" i="2"/>
  <c r="DV131" i="2"/>
  <c r="DU131" i="2"/>
  <c r="DT131" i="2"/>
  <c r="DS131" i="2"/>
  <c r="DR131" i="2"/>
  <c r="DQ131" i="2"/>
  <c r="DP131" i="2"/>
  <c r="DO131" i="2"/>
  <c r="DN131" i="2"/>
  <c r="DM131" i="2"/>
  <c r="DL131" i="2"/>
  <c r="DK131" i="2"/>
  <c r="DJ131" i="2"/>
  <c r="DH131" i="2"/>
  <c r="DG131" i="2"/>
  <c r="DF131" i="2"/>
  <c r="EI129" i="2"/>
  <c r="EH129" i="2"/>
  <c r="EG129" i="2"/>
  <c r="EF129" i="2"/>
  <c r="EE129" i="2"/>
  <c r="ED129" i="2"/>
  <c r="EC129" i="2"/>
  <c r="EB129" i="2"/>
  <c r="EA129" i="2"/>
  <c r="DZ129" i="2"/>
  <c r="DY129" i="2"/>
  <c r="DX129" i="2"/>
  <c r="DW129" i="2"/>
  <c r="DV129" i="2"/>
  <c r="DU129" i="2"/>
  <c r="DT129" i="2"/>
  <c r="DS129" i="2"/>
  <c r="DR129" i="2"/>
  <c r="DQ129" i="2"/>
  <c r="DP129" i="2"/>
  <c r="DO129" i="2"/>
  <c r="DN129" i="2"/>
  <c r="DM129" i="2"/>
  <c r="DL129" i="2"/>
  <c r="DK129" i="2"/>
  <c r="DJ129" i="2"/>
  <c r="DH129" i="2"/>
  <c r="DG129" i="2"/>
  <c r="DF129" i="2"/>
  <c r="EI128" i="2"/>
  <c r="EH128" i="2"/>
  <c r="EG128" i="2"/>
  <c r="EF128" i="2"/>
  <c r="EE128" i="2"/>
  <c r="ED128" i="2"/>
  <c r="EC128" i="2"/>
  <c r="EB128" i="2"/>
  <c r="EA128" i="2"/>
  <c r="DZ128" i="2"/>
  <c r="DY128" i="2"/>
  <c r="DX128" i="2"/>
  <c r="DW128" i="2"/>
  <c r="DV128" i="2"/>
  <c r="DU128" i="2"/>
  <c r="DT128" i="2"/>
  <c r="DS128" i="2"/>
  <c r="DR128" i="2"/>
  <c r="DQ128" i="2"/>
  <c r="DP128" i="2"/>
  <c r="DO128" i="2"/>
  <c r="DN128" i="2"/>
  <c r="DM128" i="2"/>
  <c r="DL128" i="2"/>
  <c r="DK128" i="2"/>
  <c r="DJ128" i="2"/>
  <c r="DH128" i="2"/>
  <c r="DG128" i="2"/>
  <c r="DF128" i="2"/>
  <c r="EI127" i="2"/>
  <c r="EH127" i="2"/>
  <c r="EG127" i="2"/>
  <c r="EF127" i="2"/>
  <c r="EE127" i="2"/>
  <c r="ED127" i="2"/>
  <c r="EC127" i="2"/>
  <c r="EB127" i="2"/>
  <c r="EA127" i="2"/>
  <c r="DZ127" i="2"/>
  <c r="DY127" i="2"/>
  <c r="DX127" i="2"/>
  <c r="DW127" i="2"/>
  <c r="DV127" i="2"/>
  <c r="DU127" i="2"/>
  <c r="DT127" i="2"/>
  <c r="DS127" i="2"/>
  <c r="DR127" i="2"/>
  <c r="DQ127" i="2"/>
  <c r="DP127" i="2"/>
  <c r="DO127" i="2"/>
  <c r="DN127" i="2"/>
  <c r="DM127" i="2"/>
  <c r="DL127" i="2"/>
  <c r="DK127" i="2"/>
  <c r="DJ127" i="2"/>
  <c r="DH127" i="2"/>
  <c r="DG127" i="2"/>
  <c r="DF127" i="2"/>
  <c r="EI126" i="2"/>
  <c r="EH126" i="2"/>
  <c r="EG126" i="2"/>
  <c r="EF126" i="2"/>
  <c r="EE126" i="2"/>
  <c r="ED126" i="2"/>
  <c r="EC126" i="2"/>
  <c r="EB126" i="2"/>
  <c r="EA126" i="2"/>
  <c r="DZ126" i="2"/>
  <c r="DY126" i="2"/>
  <c r="DX126" i="2"/>
  <c r="DW126" i="2"/>
  <c r="DV126" i="2"/>
  <c r="DU126" i="2"/>
  <c r="DT126" i="2"/>
  <c r="DS126" i="2"/>
  <c r="DR126" i="2"/>
  <c r="DQ126" i="2"/>
  <c r="DP126" i="2"/>
  <c r="DO126" i="2"/>
  <c r="DN126" i="2"/>
  <c r="DM126" i="2"/>
  <c r="DL126" i="2"/>
  <c r="DK126" i="2"/>
  <c r="DJ126" i="2"/>
  <c r="DH126" i="2"/>
  <c r="DG126" i="2"/>
  <c r="DF126" i="2"/>
  <c r="EI125" i="2"/>
  <c r="EH125" i="2"/>
  <c r="EG125" i="2"/>
  <c r="EF125" i="2"/>
  <c r="EE125" i="2"/>
  <c r="ED125" i="2"/>
  <c r="EC125" i="2"/>
  <c r="EB125" i="2"/>
  <c r="EA125" i="2"/>
  <c r="DZ125" i="2"/>
  <c r="DY125" i="2"/>
  <c r="DX125" i="2"/>
  <c r="DW125" i="2"/>
  <c r="DV125" i="2"/>
  <c r="DU125" i="2"/>
  <c r="DT125" i="2"/>
  <c r="DS125" i="2"/>
  <c r="DR125" i="2"/>
  <c r="DQ125" i="2"/>
  <c r="DP125" i="2"/>
  <c r="DO125" i="2"/>
  <c r="DN125" i="2"/>
  <c r="DM125" i="2"/>
  <c r="DL125" i="2"/>
  <c r="DK125" i="2"/>
  <c r="DJ125" i="2"/>
  <c r="DH125" i="2"/>
  <c r="DG125" i="2"/>
  <c r="DF125" i="2"/>
  <c r="EI124" i="2"/>
  <c r="EH124" i="2"/>
  <c r="EG124" i="2"/>
  <c r="EF124" i="2"/>
  <c r="EE124" i="2"/>
  <c r="ED124" i="2"/>
  <c r="EC124" i="2"/>
  <c r="EB124" i="2"/>
  <c r="EA124" i="2"/>
  <c r="DZ124" i="2"/>
  <c r="DY124" i="2"/>
  <c r="DX124" i="2"/>
  <c r="DW124" i="2"/>
  <c r="DV124" i="2"/>
  <c r="DU124" i="2"/>
  <c r="DT124" i="2"/>
  <c r="DS124" i="2"/>
  <c r="DR124" i="2"/>
  <c r="DQ124" i="2"/>
  <c r="DP124" i="2"/>
  <c r="DO124" i="2"/>
  <c r="DN124" i="2"/>
  <c r="DM124" i="2"/>
  <c r="DL124" i="2"/>
  <c r="DK124" i="2"/>
  <c r="DJ124" i="2"/>
  <c r="DH124" i="2"/>
  <c r="DG124" i="2"/>
  <c r="DF124" i="2"/>
  <c r="EI122" i="2"/>
  <c r="EH122" i="2"/>
  <c r="EG122" i="2"/>
  <c r="EF122" i="2"/>
  <c r="EE122" i="2"/>
  <c r="ED122" i="2"/>
  <c r="EC122" i="2"/>
  <c r="EB122" i="2"/>
  <c r="EA122" i="2"/>
  <c r="DZ122" i="2"/>
  <c r="DY122" i="2"/>
  <c r="DX122" i="2"/>
  <c r="DW122" i="2"/>
  <c r="DV122" i="2"/>
  <c r="DU122" i="2"/>
  <c r="DT122" i="2"/>
  <c r="DS122" i="2"/>
  <c r="DR122" i="2"/>
  <c r="DQ122" i="2"/>
  <c r="DP122" i="2"/>
  <c r="DO122" i="2"/>
  <c r="DN122" i="2"/>
  <c r="DM122" i="2"/>
  <c r="DL122" i="2"/>
  <c r="DK122" i="2"/>
  <c r="DJ122" i="2"/>
  <c r="DH122" i="2"/>
  <c r="DG122" i="2"/>
  <c r="DF122" i="2"/>
  <c r="EI121" i="2"/>
  <c r="EH121" i="2"/>
  <c r="EG121" i="2"/>
  <c r="EF121" i="2"/>
  <c r="EE121" i="2"/>
  <c r="ED121" i="2"/>
  <c r="EC121" i="2"/>
  <c r="EB121" i="2"/>
  <c r="EA121" i="2"/>
  <c r="DZ121" i="2"/>
  <c r="DY121" i="2"/>
  <c r="DX121" i="2"/>
  <c r="DW121" i="2"/>
  <c r="DV121" i="2"/>
  <c r="DU121" i="2"/>
  <c r="DT121" i="2"/>
  <c r="DS121" i="2"/>
  <c r="DR121" i="2"/>
  <c r="DQ121" i="2"/>
  <c r="DP121" i="2"/>
  <c r="DO121" i="2"/>
  <c r="DN121" i="2"/>
  <c r="DM121" i="2"/>
  <c r="DL121" i="2"/>
  <c r="DK121" i="2"/>
  <c r="DJ121" i="2"/>
  <c r="DH121" i="2"/>
  <c r="DG121" i="2"/>
  <c r="DF121" i="2"/>
  <c r="EI120" i="2"/>
  <c r="EH120" i="2"/>
  <c r="EG120" i="2"/>
  <c r="EF120" i="2"/>
  <c r="EE120" i="2"/>
  <c r="ED120" i="2"/>
  <c r="EC120" i="2"/>
  <c r="EB120" i="2"/>
  <c r="EA120" i="2"/>
  <c r="DZ120" i="2"/>
  <c r="DY120" i="2"/>
  <c r="DX120" i="2"/>
  <c r="DW120" i="2"/>
  <c r="DV120" i="2"/>
  <c r="DU120" i="2"/>
  <c r="DT120" i="2"/>
  <c r="DS120" i="2"/>
  <c r="DR120" i="2"/>
  <c r="DQ120" i="2"/>
  <c r="DP120" i="2"/>
  <c r="DO120" i="2"/>
  <c r="DN120" i="2"/>
  <c r="DM120" i="2"/>
  <c r="DL120" i="2"/>
  <c r="DK120" i="2"/>
  <c r="DJ120" i="2"/>
  <c r="DH120" i="2"/>
  <c r="DG120" i="2"/>
  <c r="DF120" i="2"/>
  <c r="EI118" i="2"/>
  <c r="EH118" i="2"/>
  <c r="EG118" i="2"/>
  <c r="EF118" i="2"/>
  <c r="EE118" i="2"/>
  <c r="ED118" i="2"/>
  <c r="EC118" i="2"/>
  <c r="EB118" i="2"/>
  <c r="EA118" i="2"/>
  <c r="DZ118" i="2"/>
  <c r="DY118" i="2"/>
  <c r="DX118" i="2"/>
  <c r="DW118" i="2"/>
  <c r="DV118" i="2"/>
  <c r="DU118" i="2"/>
  <c r="DT118" i="2"/>
  <c r="DS118" i="2"/>
  <c r="DR118" i="2"/>
  <c r="DQ118" i="2"/>
  <c r="DP118" i="2"/>
  <c r="DO118" i="2"/>
  <c r="DN118" i="2"/>
  <c r="DM118" i="2"/>
  <c r="DL118" i="2"/>
  <c r="DK118" i="2"/>
  <c r="DJ118" i="2"/>
  <c r="DH118" i="2"/>
  <c r="DG118" i="2"/>
  <c r="DF118" i="2"/>
  <c r="EI117" i="2"/>
  <c r="EH117" i="2"/>
  <c r="EG117" i="2"/>
  <c r="EF117" i="2"/>
  <c r="EE117" i="2"/>
  <c r="ED117" i="2"/>
  <c r="EC117" i="2"/>
  <c r="EB117" i="2"/>
  <c r="EA117" i="2"/>
  <c r="DZ117" i="2"/>
  <c r="DY117" i="2"/>
  <c r="DX117" i="2"/>
  <c r="DW117" i="2"/>
  <c r="DV117" i="2"/>
  <c r="DU117" i="2"/>
  <c r="DT117" i="2"/>
  <c r="DS117" i="2"/>
  <c r="DR117" i="2"/>
  <c r="DQ117" i="2"/>
  <c r="DP117" i="2"/>
  <c r="DO117" i="2"/>
  <c r="DN117" i="2"/>
  <c r="DM117" i="2"/>
  <c r="DL117" i="2"/>
  <c r="DK117" i="2"/>
  <c r="DJ117" i="2"/>
  <c r="DH117" i="2"/>
  <c r="DG117" i="2"/>
  <c r="DF117" i="2"/>
  <c r="EI116" i="2"/>
  <c r="EH116" i="2"/>
  <c r="EG116" i="2"/>
  <c r="EF116" i="2"/>
  <c r="EE116" i="2"/>
  <c r="ED116" i="2"/>
  <c r="EC116" i="2"/>
  <c r="EB116" i="2"/>
  <c r="EA116" i="2"/>
  <c r="DZ116" i="2"/>
  <c r="DY116" i="2"/>
  <c r="DY115" i="2" s="1"/>
  <c r="DX116" i="2"/>
  <c r="DW116" i="2"/>
  <c r="DV116" i="2"/>
  <c r="DU116" i="2"/>
  <c r="DT116" i="2"/>
  <c r="DS116" i="2"/>
  <c r="DR116" i="2"/>
  <c r="DQ116" i="2"/>
  <c r="DP116" i="2"/>
  <c r="DO116" i="2"/>
  <c r="DN116" i="2"/>
  <c r="DM116" i="2"/>
  <c r="DL116" i="2"/>
  <c r="DK116" i="2"/>
  <c r="DJ116" i="2"/>
  <c r="DH116" i="2"/>
  <c r="DG116" i="2"/>
  <c r="DF116" i="2"/>
  <c r="EG115" i="2"/>
  <c r="DQ115" i="2"/>
  <c r="EI114" i="2"/>
  <c r="EH114" i="2"/>
  <c r="EG114" i="2"/>
  <c r="EF114" i="2"/>
  <c r="EE114" i="2"/>
  <c r="ED114" i="2"/>
  <c r="EC114" i="2"/>
  <c r="EB114" i="2"/>
  <c r="EA114" i="2"/>
  <c r="DZ114" i="2"/>
  <c r="DY114" i="2"/>
  <c r="DX114" i="2"/>
  <c r="DW114" i="2"/>
  <c r="DV114" i="2"/>
  <c r="DU114" i="2"/>
  <c r="DT114" i="2"/>
  <c r="DS114" i="2"/>
  <c r="DR114" i="2"/>
  <c r="DQ114" i="2"/>
  <c r="DP114" i="2"/>
  <c r="DO114" i="2"/>
  <c r="DN114" i="2"/>
  <c r="DM114" i="2"/>
  <c r="DL114" i="2"/>
  <c r="DK114" i="2"/>
  <c r="DJ114" i="2"/>
  <c r="DH114" i="2"/>
  <c r="DG114" i="2"/>
  <c r="DF114" i="2"/>
  <c r="EI113" i="2"/>
  <c r="EH113" i="2"/>
  <c r="EG113" i="2"/>
  <c r="EF113" i="2"/>
  <c r="EE113" i="2"/>
  <c r="ED113" i="2"/>
  <c r="EC113" i="2"/>
  <c r="EB113" i="2"/>
  <c r="EA113" i="2"/>
  <c r="DZ113" i="2"/>
  <c r="DY113" i="2"/>
  <c r="DX113" i="2"/>
  <c r="DW113" i="2"/>
  <c r="DV113" i="2"/>
  <c r="DU113" i="2"/>
  <c r="DT113" i="2"/>
  <c r="DS113" i="2"/>
  <c r="DR113" i="2"/>
  <c r="DQ113" i="2"/>
  <c r="DP113" i="2"/>
  <c r="DO113" i="2"/>
  <c r="DN113" i="2"/>
  <c r="DM113" i="2"/>
  <c r="DL113" i="2"/>
  <c r="DK113" i="2"/>
  <c r="DJ113" i="2"/>
  <c r="DH113" i="2"/>
  <c r="DG113" i="2"/>
  <c r="DF113" i="2"/>
  <c r="EI111" i="2"/>
  <c r="EH111" i="2"/>
  <c r="EG111" i="2"/>
  <c r="EF111" i="2"/>
  <c r="EE111" i="2"/>
  <c r="ED111" i="2"/>
  <c r="EC111" i="2"/>
  <c r="EB111" i="2"/>
  <c r="EA111" i="2"/>
  <c r="DZ111" i="2"/>
  <c r="DY111" i="2"/>
  <c r="DX111" i="2"/>
  <c r="DW111" i="2"/>
  <c r="DW109" i="2" s="1"/>
  <c r="DV111" i="2"/>
  <c r="DU111" i="2"/>
  <c r="DT111" i="2"/>
  <c r="DS111" i="2"/>
  <c r="DR111" i="2"/>
  <c r="DQ111" i="2"/>
  <c r="DP111" i="2"/>
  <c r="DO111" i="2"/>
  <c r="DO109" i="2" s="1"/>
  <c r="DN111" i="2"/>
  <c r="DM111" i="2"/>
  <c r="DL111" i="2"/>
  <c r="DK111" i="2"/>
  <c r="DJ111" i="2"/>
  <c r="DH111" i="2"/>
  <c r="DG111" i="2"/>
  <c r="DG109" i="2" s="1"/>
  <c r="DF111" i="2"/>
  <c r="EI110" i="2"/>
  <c r="EI109" i="2" s="1"/>
  <c r="EH110" i="2"/>
  <c r="EH109" i="2" s="1"/>
  <c r="EG110" i="2"/>
  <c r="EG109" i="2" s="1"/>
  <c r="EF110" i="2"/>
  <c r="EE110" i="2"/>
  <c r="ED110" i="2"/>
  <c r="EC110" i="2"/>
  <c r="EC109" i="2" s="1"/>
  <c r="EB110" i="2"/>
  <c r="EA110" i="2"/>
  <c r="DZ110" i="2"/>
  <c r="DY110" i="2"/>
  <c r="DY109" i="2" s="1"/>
  <c r="DX110" i="2"/>
  <c r="DW110" i="2"/>
  <c r="DV110" i="2"/>
  <c r="DU110" i="2"/>
  <c r="DU109" i="2" s="1"/>
  <c r="DT110" i="2"/>
  <c r="DS110" i="2"/>
  <c r="DR110" i="2"/>
  <c r="DQ110" i="2"/>
  <c r="DQ109" i="2" s="1"/>
  <c r="DP110" i="2"/>
  <c r="DO110" i="2"/>
  <c r="DN110" i="2"/>
  <c r="DM110" i="2"/>
  <c r="DL110" i="2"/>
  <c r="DK110" i="2"/>
  <c r="DJ110" i="2"/>
  <c r="DH110" i="2"/>
  <c r="DG110" i="2"/>
  <c r="DF110" i="2"/>
  <c r="DM109" i="2"/>
  <c r="EI108" i="2"/>
  <c r="EH108" i="2"/>
  <c r="EG108" i="2"/>
  <c r="EF108" i="2"/>
  <c r="EE108" i="2"/>
  <c r="ED108" i="2"/>
  <c r="EC108" i="2"/>
  <c r="EB108" i="2"/>
  <c r="EA108" i="2"/>
  <c r="DZ108" i="2"/>
  <c r="DY108" i="2"/>
  <c r="DX108" i="2"/>
  <c r="DW108" i="2"/>
  <c r="DV108" i="2"/>
  <c r="DU108" i="2"/>
  <c r="DT108" i="2"/>
  <c r="DS108" i="2"/>
  <c r="DR108" i="2"/>
  <c r="DQ108" i="2"/>
  <c r="DP108" i="2"/>
  <c r="DO108" i="2"/>
  <c r="DN108" i="2"/>
  <c r="DM108" i="2"/>
  <c r="DL108" i="2"/>
  <c r="DK108" i="2"/>
  <c r="DJ108" i="2"/>
  <c r="DH108" i="2"/>
  <c r="DG108" i="2"/>
  <c r="DF108" i="2"/>
  <c r="EI107" i="2"/>
  <c r="EI106" i="2" s="1"/>
  <c r="EH107" i="2"/>
  <c r="EG107" i="2"/>
  <c r="EF107" i="2"/>
  <c r="EE107" i="2"/>
  <c r="ED107" i="2"/>
  <c r="EC107" i="2"/>
  <c r="EB107" i="2"/>
  <c r="EA107" i="2"/>
  <c r="DZ107" i="2"/>
  <c r="DY107" i="2"/>
  <c r="DX107" i="2"/>
  <c r="DW107" i="2"/>
  <c r="DV107" i="2"/>
  <c r="DU107" i="2"/>
  <c r="DT107" i="2"/>
  <c r="DS107" i="2"/>
  <c r="DS106" i="2" s="1"/>
  <c r="DR107" i="2"/>
  <c r="DQ107" i="2"/>
  <c r="DP107" i="2"/>
  <c r="DO107" i="2"/>
  <c r="DN107" i="2"/>
  <c r="DM107" i="2"/>
  <c r="DL107" i="2"/>
  <c r="DK107" i="2"/>
  <c r="DK106" i="2" s="1"/>
  <c r="DJ107" i="2"/>
  <c r="DH107" i="2"/>
  <c r="DG107" i="2"/>
  <c r="DF107" i="2"/>
  <c r="EA106" i="2"/>
  <c r="EI105" i="2"/>
  <c r="EI104" i="2" s="1"/>
  <c r="EH105" i="2"/>
  <c r="EH104" i="2" s="1"/>
  <c r="EG105" i="2"/>
  <c r="EG104" i="2" s="1"/>
  <c r="EF105" i="2"/>
  <c r="EF104" i="2" s="1"/>
  <c r="EE105" i="2"/>
  <c r="EE104" i="2" s="1"/>
  <c r="ED105" i="2"/>
  <c r="ED104" i="2" s="1"/>
  <c r="EC105" i="2"/>
  <c r="EC104" i="2" s="1"/>
  <c r="EB105" i="2"/>
  <c r="EB104" i="2" s="1"/>
  <c r="EA105" i="2"/>
  <c r="EA104" i="2" s="1"/>
  <c r="DZ105" i="2"/>
  <c r="DZ104" i="2" s="1"/>
  <c r="DY105" i="2"/>
  <c r="DY104" i="2" s="1"/>
  <c r="DX105" i="2"/>
  <c r="DX104" i="2" s="1"/>
  <c r="DW105" i="2"/>
  <c r="DW104" i="2" s="1"/>
  <c r="DV105" i="2"/>
  <c r="DV104" i="2" s="1"/>
  <c r="DU105" i="2"/>
  <c r="DU104" i="2" s="1"/>
  <c r="DT105" i="2"/>
  <c r="DS105" i="2"/>
  <c r="DS104" i="2" s="1"/>
  <c r="DR105" i="2"/>
  <c r="DR104" i="2" s="1"/>
  <c r="DQ105" i="2"/>
  <c r="DQ104" i="2" s="1"/>
  <c r="DP105" i="2"/>
  <c r="DP104" i="2" s="1"/>
  <c r="DO105" i="2"/>
  <c r="DO104" i="2" s="1"/>
  <c r="DN105" i="2"/>
  <c r="DN104" i="2" s="1"/>
  <c r="DM105" i="2"/>
  <c r="DM104" i="2" s="1"/>
  <c r="DL105" i="2"/>
  <c r="DL104" i="2" s="1"/>
  <c r="DK105" i="2"/>
  <c r="DK104" i="2" s="1"/>
  <c r="DJ105" i="2"/>
  <c r="DJ104" i="2" s="1"/>
  <c r="DH105" i="2"/>
  <c r="DH104" i="2" s="1"/>
  <c r="DG105" i="2"/>
  <c r="DG104" i="2" s="1"/>
  <c r="DF105" i="2"/>
  <c r="DF104" i="2" s="1"/>
  <c r="DT104" i="2"/>
  <c r="EI103" i="2"/>
  <c r="EH103" i="2"/>
  <c r="EG103" i="2"/>
  <c r="EF103" i="2"/>
  <c r="EE103" i="2"/>
  <c r="ED103" i="2"/>
  <c r="EC103" i="2"/>
  <c r="EB103" i="2"/>
  <c r="EA103" i="2"/>
  <c r="DZ103" i="2"/>
  <c r="DY103" i="2"/>
  <c r="DX103" i="2"/>
  <c r="DW103" i="2"/>
  <c r="DV103" i="2"/>
  <c r="DU103" i="2"/>
  <c r="DT103" i="2"/>
  <c r="DS103" i="2"/>
  <c r="DR103" i="2"/>
  <c r="DQ103" i="2"/>
  <c r="DP103" i="2"/>
  <c r="DO103" i="2"/>
  <c r="DN103" i="2"/>
  <c r="DM103" i="2"/>
  <c r="DL103" i="2"/>
  <c r="DK103" i="2"/>
  <c r="DJ103" i="2"/>
  <c r="DH103" i="2"/>
  <c r="DG103" i="2"/>
  <c r="DF103" i="2"/>
  <c r="EI102" i="2"/>
  <c r="EH102" i="2"/>
  <c r="EG102" i="2"/>
  <c r="EG99" i="2" s="1"/>
  <c r="EF102" i="2"/>
  <c r="EE102" i="2"/>
  <c r="ED102" i="2"/>
  <c r="EC102" i="2"/>
  <c r="EB102" i="2"/>
  <c r="EA102" i="2"/>
  <c r="DZ102" i="2"/>
  <c r="DY102" i="2"/>
  <c r="DX102" i="2"/>
  <c r="DW102" i="2"/>
  <c r="DV102" i="2"/>
  <c r="DU102" i="2"/>
  <c r="DU99" i="2" s="1"/>
  <c r="DT102" i="2"/>
  <c r="DS102" i="2"/>
  <c r="DR102" i="2"/>
  <c r="DQ102" i="2"/>
  <c r="DP102" i="2"/>
  <c r="DO102" i="2"/>
  <c r="DN102" i="2"/>
  <c r="DM102" i="2"/>
  <c r="DM99" i="2" s="1"/>
  <c r="DL102" i="2"/>
  <c r="DK102" i="2"/>
  <c r="DJ102" i="2"/>
  <c r="DH102" i="2"/>
  <c r="DG102" i="2"/>
  <c r="DF102" i="2"/>
  <c r="EC99" i="2"/>
  <c r="DZ99" i="2"/>
  <c r="EI97" i="2"/>
  <c r="EH97" i="2"/>
  <c r="EG97" i="2"/>
  <c r="EF97" i="2"/>
  <c r="EE97" i="2"/>
  <c r="ED97" i="2"/>
  <c r="EC97" i="2"/>
  <c r="EB97" i="2"/>
  <c r="EA97" i="2"/>
  <c r="DZ97" i="2"/>
  <c r="DY97" i="2"/>
  <c r="DX97" i="2"/>
  <c r="DW97" i="2"/>
  <c r="DV97" i="2"/>
  <c r="DU97" i="2"/>
  <c r="DT97" i="2"/>
  <c r="DS97" i="2"/>
  <c r="DR97" i="2"/>
  <c r="DQ97" i="2"/>
  <c r="DP97" i="2"/>
  <c r="DO97" i="2"/>
  <c r="DN97" i="2"/>
  <c r="DM97" i="2"/>
  <c r="DL97" i="2"/>
  <c r="DK97" i="2"/>
  <c r="DJ97" i="2"/>
  <c r="DH97" i="2"/>
  <c r="DG97" i="2"/>
  <c r="DF97" i="2"/>
  <c r="EI96" i="2"/>
  <c r="EH96" i="2"/>
  <c r="EG96" i="2"/>
  <c r="EF96" i="2"/>
  <c r="EE96" i="2"/>
  <c r="ED96" i="2"/>
  <c r="EC96" i="2"/>
  <c r="EB96" i="2"/>
  <c r="EA96" i="2"/>
  <c r="DZ96" i="2"/>
  <c r="DY96" i="2"/>
  <c r="DX96" i="2"/>
  <c r="DW96" i="2"/>
  <c r="DV96" i="2"/>
  <c r="DU96" i="2"/>
  <c r="DT96" i="2"/>
  <c r="DS96" i="2"/>
  <c r="DR96" i="2"/>
  <c r="DQ96" i="2"/>
  <c r="DP96" i="2"/>
  <c r="DO96" i="2"/>
  <c r="DN96" i="2"/>
  <c r="DM96" i="2"/>
  <c r="DL96" i="2"/>
  <c r="DK96" i="2"/>
  <c r="DJ96" i="2"/>
  <c r="DH96" i="2"/>
  <c r="DG96" i="2"/>
  <c r="DF96" i="2"/>
  <c r="EI94" i="2"/>
  <c r="EH94" i="2"/>
  <c r="EG94" i="2"/>
  <c r="EF94" i="2"/>
  <c r="EE94" i="2"/>
  <c r="ED94" i="2"/>
  <c r="EC94" i="2"/>
  <c r="EB94" i="2"/>
  <c r="EA94" i="2"/>
  <c r="DZ94" i="2"/>
  <c r="DY94" i="2"/>
  <c r="DX94" i="2"/>
  <c r="DW94" i="2"/>
  <c r="DV94" i="2"/>
  <c r="DU94" i="2"/>
  <c r="DT94" i="2"/>
  <c r="DS94" i="2"/>
  <c r="DR94" i="2"/>
  <c r="DQ94" i="2"/>
  <c r="DP94" i="2"/>
  <c r="DO94" i="2"/>
  <c r="DN94" i="2"/>
  <c r="DM94" i="2"/>
  <c r="DL94" i="2"/>
  <c r="DK94" i="2"/>
  <c r="DJ94" i="2"/>
  <c r="DH94" i="2"/>
  <c r="DG94" i="2"/>
  <c r="DF94" i="2"/>
  <c r="EI93" i="2"/>
  <c r="EH93" i="2"/>
  <c r="EG93" i="2"/>
  <c r="EF93" i="2"/>
  <c r="EE93" i="2"/>
  <c r="ED93" i="2"/>
  <c r="EC93" i="2"/>
  <c r="EB93" i="2"/>
  <c r="EA93" i="2"/>
  <c r="DZ93" i="2"/>
  <c r="DY93" i="2"/>
  <c r="DX93" i="2"/>
  <c r="DW93" i="2"/>
  <c r="DV93" i="2"/>
  <c r="DU93" i="2"/>
  <c r="DT93" i="2"/>
  <c r="DS93" i="2"/>
  <c r="DR93" i="2"/>
  <c r="DQ93" i="2"/>
  <c r="DP93" i="2"/>
  <c r="DO93" i="2"/>
  <c r="DN93" i="2"/>
  <c r="DM93" i="2"/>
  <c r="DL93" i="2"/>
  <c r="DK93" i="2"/>
  <c r="DJ93" i="2"/>
  <c r="DH93" i="2"/>
  <c r="DG93" i="2"/>
  <c r="DF93" i="2"/>
  <c r="EI90" i="2"/>
  <c r="EH90" i="2"/>
  <c r="EG90" i="2"/>
  <c r="EF90" i="2"/>
  <c r="EE90" i="2"/>
  <c r="ED90" i="2"/>
  <c r="EC90" i="2"/>
  <c r="EB90" i="2"/>
  <c r="EA90" i="2"/>
  <c r="DZ90" i="2"/>
  <c r="DY90" i="2"/>
  <c r="DX90" i="2"/>
  <c r="DW90" i="2"/>
  <c r="DV90" i="2"/>
  <c r="DU90" i="2"/>
  <c r="DT90" i="2"/>
  <c r="DS90" i="2"/>
  <c r="DR90" i="2"/>
  <c r="DQ90" i="2"/>
  <c r="DP90" i="2"/>
  <c r="DO90" i="2"/>
  <c r="DN90" i="2"/>
  <c r="DM90" i="2"/>
  <c r="DL90" i="2"/>
  <c r="DK90" i="2"/>
  <c r="DJ90" i="2"/>
  <c r="DH90" i="2"/>
  <c r="DG90" i="2"/>
  <c r="DF90" i="2"/>
  <c r="EI87" i="2"/>
  <c r="EH87" i="2"/>
  <c r="EG87" i="2"/>
  <c r="EF87" i="2"/>
  <c r="EE87" i="2"/>
  <c r="ED87" i="2"/>
  <c r="EC87" i="2"/>
  <c r="EB87" i="2"/>
  <c r="EA87" i="2"/>
  <c r="DZ87" i="2"/>
  <c r="DY87" i="2"/>
  <c r="DX87" i="2"/>
  <c r="DW87" i="2"/>
  <c r="DV87" i="2"/>
  <c r="DU87" i="2"/>
  <c r="DT87" i="2"/>
  <c r="DS87" i="2"/>
  <c r="DR87" i="2"/>
  <c r="DQ87" i="2"/>
  <c r="DP87" i="2"/>
  <c r="DO87" i="2"/>
  <c r="DN87" i="2"/>
  <c r="DM87" i="2"/>
  <c r="DL87" i="2"/>
  <c r="DK87" i="2"/>
  <c r="DJ87" i="2"/>
  <c r="DH87" i="2"/>
  <c r="DG87" i="2"/>
  <c r="DF87" i="2"/>
  <c r="EI83" i="2"/>
  <c r="EI80" i="2" s="1"/>
  <c r="EH83" i="2"/>
  <c r="EH80" i="2" s="1"/>
  <c r="EG83" i="2"/>
  <c r="EG80" i="2" s="1"/>
  <c r="EF83" i="2"/>
  <c r="EE83" i="2"/>
  <c r="EE80" i="2" s="1"/>
  <c r="ED83" i="2"/>
  <c r="ED80" i="2" s="1"/>
  <c r="EC83" i="2"/>
  <c r="EC80" i="2" s="1"/>
  <c r="EB83" i="2"/>
  <c r="EA83" i="2"/>
  <c r="EA80" i="2" s="1"/>
  <c r="DZ83" i="2"/>
  <c r="DZ80" i="2" s="1"/>
  <c r="DY83" i="2"/>
  <c r="DY80" i="2" s="1"/>
  <c r="DX83" i="2"/>
  <c r="DW83" i="2"/>
  <c r="DW80" i="2" s="1"/>
  <c r="DV83" i="2"/>
  <c r="DV80" i="2" s="1"/>
  <c r="DU83" i="2"/>
  <c r="DU80" i="2" s="1"/>
  <c r="DT83" i="2"/>
  <c r="DS83" i="2"/>
  <c r="DS80" i="2" s="1"/>
  <c r="DR83" i="2"/>
  <c r="DR80" i="2" s="1"/>
  <c r="DQ83" i="2"/>
  <c r="DQ80" i="2" s="1"/>
  <c r="DP83" i="2"/>
  <c r="DO83" i="2"/>
  <c r="DN83" i="2"/>
  <c r="DN80" i="2" s="1"/>
  <c r="DM83" i="2"/>
  <c r="DL83" i="2"/>
  <c r="DK83" i="2"/>
  <c r="DK80" i="2" s="1"/>
  <c r="DJ83" i="2"/>
  <c r="DJ80" i="2" s="1"/>
  <c r="DH83" i="2"/>
  <c r="DH80" i="2" s="1"/>
  <c r="DG83" i="2"/>
  <c r="DG80" i="2" s="1"/>
  <c r="DF83" i="2"/>
  <c r="DF80" i="2" s="1"/>
  <c r="EF80" i="2"/>
  <c r="EB80" i="2"/>
  <c r="DX80" i="2"/>
  <c r="DT80" i="2"/>
  <c r="DP80" i="2"/>
  <c r="DO80" i="2"/>
  <c r="DM80" i="2"/>
  <c r="DL80" i="2"/>
  <c r="EI78" i="2"/>
  <c r="EH78" i="2"/>
  <c r="EG78" i="2"/>
  <c r="EF78" i="2"/>
  <c r="EE78" i="2"/>
  <c r="ED78" i="2"/>
  <c r="EC78" i="2"/>
  <c r="EB78" i="2"/>
  <c r="EA78" i="2"/>
  <c r="DZ78" i="2"/>
  <c r="DY78" i="2"/>
  <c r="DX78" i="2"/>
  <c r="DW78" i="2"/>
  <c r="DV78" i="2"/>
  <c r="DU78" i="2"/>
  <c r="DT78" i="2"/>
  <c r="DS78" i="2"/>
  <c r="DR78" i="2"/>
  <c r="DQ78" i="2"/>
  <c r="DP78" i="2"/>
  <c r="DO78" i="2"/>
  <c r="DN78" i="2"/>
  <c r="DM78" i="2"/>
  <c r="DL78" i="2"/>
  <c r="DK78" i="2"/>
  <c r="DJ78" i="2"/>
  <c r="DI78" i="2"/>
  <c r="DH78" i="2"/>
  <c r="DG78" i="2"/>
  <c r="DF78" i="2"/>
  <c r="EI77" i="2"/>
  <c r="EH77" i="2"/>
  <c r="EG77" i="2"/>
  <c r="EF77" i="2"/>
  <c r="EE77" i="2"/>
  <c r="ED77" i="2"/>
  <c r="EC77" i="2"/>
  <c r="EC75" i="2" s="1"/>
  <c r="EB77" i="2"/>
  <c r="EA77" i="2"/>
  <c r="DZ77" i="2"/>
  <c r="DY77" i="2"/>
  <c r="DX77" i="2"/>
  <c r="DW77" i="2"/>
  <c r="DV77" i="2"/>
  <c r="DU77" i="2"/>
  <c r="DT77" i="2"/>
  <c r="DS77" i="2"/>
  <c r="DR77" i="2"/>
  <c r="DQ77" i="2"/>
  <c r="DP77" i="2"/>
  <c r="DO77" i="2"/>
  <c r="DN77" i="2"/>
  <c r="DM77" i="2"/>
  <c r="DL77" i="2"/>
  <c r="DK77" i="2"/>
  <c r="DJ77" i="2"/>
  <c r="DI77" i="2"/>
  <c r="DH77" i="2"/>
  <c r="DG77" i="2"/>
  <c r="DF77" i="2"/>
  <c r="EI76" i="2"/>
  <c r="EH76" i="2"/>
  <c r="EG76" i="2"/>
  <c r="EF76" i="2"/>
  <c r="EE76" i="2"/>
  <c r="ED76" i="2"/>
  <c r="EC76" i="2"/>
  <c r="EB76" i="2"/>
  <c r="EA76" i="2"/>
  <c r="DZ76" i="2"/>
  <c r="DY76" i="2"/>
  <c r="DX76" i="2"/>
  <c r="DW76" i="2"/>
  <c r="DV76" i="2"/>
  <c r="DU76" i="2"/>
  <c r="DT76" i="2"/>
  <c r="DS76" i="2"/>
  <c r="DR76" i="2"/>
  <c r="DQ76" i="2"/>
  <c r="DP76" i="2"/>
  <c r="DO76" i="2"/>
  <c r="DN76" i="2"/>
  <c r="DM76" i="2"/>
  <c r="DL76" i="2"/>
  <c r="DK76" i="2"/>
  <c r="DJ76" i="2"/>
  <c r="DI76" i="2"/>
  <c r="DH76" i="2"/>
  <c r="DG76" i="2"/>
  <c r="DF76" i="2"/>
  <c r="EI74" i="2"/>
  <c r="EI73" i="2" s="1"/>
  <c r="EH74" i="2"/>
  <c r="EH73" i="2" s="1"/>
  <c r="EG74" i="2"/>
  <c r="EG73" i="2" s="1"/>
  <c r="EF74" i="2"/>
  <c r="EF73" i="2" s="1"/>
  <c r="EE74" i="2"/>
  <c r="EE73" i="2" s="1"/>
  <c r="ED74" i="2"/>
  <c r="ED73" i="2" s="1"/>
  <c r="EC74" i="2"/>
  <c r="EC73" i="2" s="1"/>
  <c r="EB74" i="2"/>
  <c r="EB73" i="2" s="1"/>
  <c r="EA74" i="2"/>
  <c r="EA73" i="2" s="1"/>
  <c r="DZ74" i="2"/>
  <c r="DZ73" i="2" s="1"/>
  <c r="DY74" i="2"/>
  <c r="DY73" i="2" s="1"/>
  <c r="DX74" i="2"/>
  <c r="DX73" i="2" s="1"/>
  <c r="DW74" i="2"/>
  <c r="DW73" i="2" s="1"/>
  <c r="DV74" i="2"/>
  <c r="DV73" i="2" s="1"/>
  <c r="DU74" i="2"/>
  <c r="DU73" i="2" s="1"/>
  <c r="DT74" i="2"/>
  <c r="DT73" i="2" s="1"/>
  <c r="DS74" i="2"/>
  <c r="DS73" i="2" s="1"/>
  <c r="DR74" i="2"/>
  <c r="DR73" i="2" s="1"/>
  <c r="DQ74" i="2"/>
  <c r="DQ73" i="2" s="1"/>
  <c r="DP74" i="2"/>
  <c r="DP73" i="2" s="1"/>
  <c r="DO74" i="2"/>
  <c r="DO73" i="2" s="1"/>
  <c r="DN74" i="2"/>
  <c r="DN73" i="2" s="1"/>
  <c r="DM74" i="2"/>
  <c r="DM73" i="2" s="1"/>
  <c r="DL74" i="2"/>
  <c r="DL73" i="2" s="1"/>
  <c r="DK74" i="2"/>
  <c r="DK73" i="2" s="1"/>
  <c r="DJ74" i="2"/>
  <c r="DJ73" i="2" s="1"/>
  <c r="DH74" i="2"/>
  <c r="DH73" i="2" s="1"/>
  <c r="DG74" i="2"/>
  <c r="DG73" i="2" s="1"/>
  <c r="EI71" i="2"/>
  <c r="EH71" i="2"/>
  <c r="EG71" i="2"/>
  <c r="EF71" i="2"/>
  <c r="EE71" i="2"/>
  <c r="ED71" i="2"/>
  <c r="EC71" i="2"/>
  <c r="EB71" i="2"/>
  <c r="EA71" i="2"/>
  <c r="DZ71" i="2"/>
  <c r="DY71" i="2"/>
  <c r="DX71" i="2"/>
  <c r="DW71" i="2"/>
  <c r="DV71" i="2"/>
  <c r="DU71" i="2"/>
  <c r="DT71" i="2"/>
  <c r="DS71" i="2"/>
  <c r="DR71" i="2"/>
  <c r="DQ71" i="2"/>
  <c r="DP71" i="2"/>
  <c r="DO71" i="2"/>
  <c r="DN71" i="2"/>
  <c r="DM71" i="2"/>
  <c r="DL71" i="2"/>
  <c r="DK71" i="2"/>
  <c r="DJ71" i="2"/>
  <c r="DH71" i="2"/>
  <c r="DG71" i="2"/>
  <c r="EI70" i="2"/>
  <c r="EH70" i="2"/>
  <c r="EG70" i="2"/>
  <c r="EF70" i="2"/>
  <c r="EE70" i="2"/>
  <c r="ED70" i="2"/>
  <c r="EC70" i="2"/>
  <c r="EB70" i="2"/>
  <c r="EA70" i="2"/>
  <c r="DZ70" i="2"/>
  <c r="DY70" i="2"/>
  <c r="DX70" i="2"/>
  <c r="DW70" i="2"/>
  <c r="DV70" i="2"/>
  <c r="DU70" i="2"/>
  <c r="DT70" i="2"/>
  <c r="DS70" i="2"/>
  <c r="DR70" i="2"/>
  <c r="DQ70" i="2"/>
  <c r="DP70" i="2"/>
  <c r="DO70" i="2"/>
  <c r="DN70" i="2"/>
  <c r="DM70" i="2"/>
  <c r="DL70" i="2"/>
  <c r="DK70" i="2"/>
  <c r="DJ70" i="2"/>
  <c r="DH70" i="2"/>
  <c r="DG70" i="2"/>
  <c r="EI69" i="2"/>
  <c r="EH69" i="2"/>
  <c r="EG69" i="2"/>
  <c r="EF69" i="2"/>
  <c r="EE69" i="2"/>
  <c r="ED69" i="2"/>
  <c r="EC69" i="2"/>
  <c r="EB69" i="2"/>
  <c r="EA69" i="2"/>
  <c r="DZ69" i="2"/>
  <c r="DY69" i="2"/>
  <c r="DX69" i="2"/>
  <c r="DW69" i="2"/>
  <c r="DV69" i="2"/>
  <c r="DU69" i="2"/>
  <c r="DT69" i="2"/>
  <c r="DS69" i="2"/>
  <c r="DR69" i="2"/>
  <c r="DQ69" i="2"/>
  <c r="DP69" i="2"/>
  <c r="DO69" i="2"/>
  <c r="DN69" i="2"/>
  <c r="DM69" i="2"/>
  <c r="DL69" i="2"/>
  <c r="DK69" i="2"/>
  <c r="DJ69" i="2"/>
  <c r="DH69" i="2"/>
  <c r="DG69" i="2"/>
  <c r="EI68" i="2"/>
  <c r="EH68" i="2"/>
  <c r="EG68" i="2"/>
  <c r="EF68" i="2"/>
  <c r="EE68" i="2"/>
  <c r="ED68" i="2"/>
  <c r="EC68" i="2"/>
  <c r="EB68" i="2"/>
  <c r="EA68" i="2"/>
  <c r="DZ68" i="2"/>
  <c r="DY68" i="2"/>
  <c r="DX68" i="2"/>
  <c r="DW68" i="2"/>
  <c r="DV68" i="2"/>
  <c r="DU68" i="2"/>
  <c r="DT68" i="2"/>
  <c r="DS68" i="2"/>
  <c r="DR68" i="2"/>
  <c r="DQ68" i="2"/>
  <c r="DP68" i="2"/>
  <c r="DO68" i="2"/>
  <c r="DN68" i="2"/>
  <c r="DM68" i="2"/>
  <c r="DL68" i="2"/>
  <c r="DK68" i="2"/>
  <c r="DJ68" i="2"/>
  <c r="DH68" i="2"/>
  <c r="DG68" i="2"/>
  <c r="EI67" i="2"/>
  <c r="EH67" i="2"/>
  <c r="EG67" i="2"/>
  <c r="EF67" i="2"/>
  <c r="EE67" i="2"/>
  <c r="ED67" i="2"/>
  <c r="EC67" i="2"/>
  <c r="EB67" i="2"/>
  <c r="EA67" i="2"/>
  <c r="DZ67" i="2"/>
  <c r="DY67" i="2"/>
  <c r="DX67" i="2"/>
  <c r="DW67" i="2"/>
  <c r="DV67" i="2"/>
  <c r="DU67" i="2"/>
  <c r="DT67" i="2"/>
  <c r="DS67" i="2"/>
  <c r="DR67" i="2"/>
  <c r="DQ67" i="2"/>
  <c r="DP67" i="2"/>
  <c r="DO67" i="2"/>
  <c r="DN67" i="2"/>
  <c r="DM67" i="2"/>
  <c r="DL67" i="2"/>
  <c r="DK67" i="2"/>
  <c r="DJ67" i="2"/>
  <c r="DH67" i="2"/>
  <c r="DG67" i="2"/>
  <c r="EI64" i="2"/>
  <c r="EH64" i="2"/>
  <c r="EG64" i="2"/>
  <c r="EF64" i="2"/>
  <c r="EE64" i="2"/>
  <c r="ED64" i="2"/>
  <c r="EC64" i="2"/>
  <c r="EB64" i="2"/>
  <c r="EA64" i="2"/>
  <c r="DZ64" i="2"/>
  <c r="DY64" i="2"/>
  <c r="DX64" i="2"/>
  <c r="DW64" i="2"/>
  <c r="DV64" i="2"/>
  <c r="DU64" i="2"/>
  <c r="DT64" i="2"/>
  <c r="DS64" i="2"/>
  <c r="DR64" i="2"/>
  <c r="DQ64" i="2"/>
  <c r="DP64" i="2"/>
  <c r="DO64" i="2"/>
  <c r="DN64" i="2"/>
  <c r="DM64" i="2"/>
  <c r="DL64" i="2"/>
  <c r="DK64" i="2"/>
  <c r="DJ64" i="2"/>
  <c r="DH64" i="2"/>
  <c r="DG64" i="2"/>
  <c r="EI63" i="2"/>
  <c r="EH63" i="2"/>
  <c r="EG63" i="2"/>
  <c r="EF63" i="2"/>
  <c r="EE63" i="2"/>
  <c r="ED63" i="2"/>
  <c r="EC63" i="2"/>
  <c r="EB63" i="2"/>
  <c r="EA63" i="2"/>
  <c r="DZ63" i="2"/>
  <c r="DY63" i="2"/>
  <c r="DX63" i="2"/>
  <c r="DW63" i="2"/>
  <c r="DV63" i="2"/>
  <c r="DU63" i="2"/>
  <c r="DT63" i="2"/>
  <c r="DS63" i="2"/>
  <c r="DR63" i="2"/>
  <c r="DQ63" i="2"/>
  <c r="DP63" i="2"/>
  <c r="DO63" i="2"/>
  <c r="DN63" i="2"/>
  <c r="DM63" i="2"/>
  <c r="DL63" i="2"/>
  <c r="DK63" i="2"/>
  <c r="DJ63" i="2"/>
  <c r="DH63" i="2"/>
  <c r="DG63" i="2"/>
  <c r="EI62" i="2"/>
  <c r="EH62" i="2"/>
  <c r="EG62" i="2"/>
  <c r="EF62" i="2"/>
  <c r="EE62" i="2"/>
  <c r="ED62" i="2"/>
  <c r="EC62" i="2"/>
  <c r="EB62" i="2"/>
  <c r="EA62" i="2"/>
  <c r="DZ62" i="2"/>
  <c r="DY62" i="2"/>
  <c r="DX62" i="2"/>
  <c r="DW62" i="2"/>
  <c r="DV62" i="2"/>
  <c r="DU62" i="2"/>
  <c r="DT62" i="2"/>
  <c r="DS62" i="2"/>
  <c r="DR62" i="2"/>
  <c r="DQ62" i="2"/>
  <c r="DP62" i="2"/>
  <c r="DO62" i="2"/>
  <c r="DN62" i="2"/>
  <c r="DM62" i="2"/>
  <c r="DL62" i="2"/>
  <c r="DK62" i="2"/>
  <c r="DJ62" i="2"/>
  <c r="DH62" i="2"/>
  <c r="DG62" i="2"/>
  <c r="EI61" i="2"/>
  <c r="EH61" i="2"/>
  <c r="EG61" i="2"/>
  <c r="EF61" i="2"/>
  <c r="EE61" i="2"/>
  <c r="ED61" i="2"/>
  <c r="EC61" i="2"/>
  <c r="EB61" i="2"/>
  <c r="EA6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N61" i="2"/>
  <c r="DM61" i="2"/>
  <c r="DL61" i="2"/>
  <c r="DK61" i="2"/>
  <c r="DJ61" i="2"/>
  <c r="DH61" i="2"/>
  <c r="DG61" i="2"/>
  <c r="EI60" i="2"/>
  <c r="EH60" i="2"/>
  <c r="EG60" i="2"/>
  <c r="EF60" i="2"/>
  <c r="EE60" i="2"/>
  <c r="ED60" i="2"/>
  <c r="EC60" i="2"/>
  <c r="EB60" i="2"/>
  <c r="EA60" i="2"/>
  <c r="DZ60" i="2"/>
  <c r="DY60" i="2"/>
  <c r="DX60" i="2"/>
  <c r="DW60" i="2"/>
  <c r="DV60" i="2"/>
  <c r="DU60" i="2"/>
  <c r="DT60" i="2"/>
  <c r="DS60" i="2"/>
  <c r="DR60" i="2"/>
  <c r="DQ60" i="2"/>
  <c r="DP60" i="2"/>
  <c r="DO60" i="2"/>
  <c r="DN60" i="2"/>
  <c r="DM60" i="2"/>
  <c r="DL60" i="2"/>
  <c r="DK60" i="2"/>
  <c r="DJ60" i="2"/>
  <c r="DH60" i="2"/>
  <c r="DG60" i="2"/>
  <c r="EI49" i="2"/>
  <c r="EH49" i="2"/>
  <c r="EG49" i="2"/>
  <c r="EF49" i="2"/>
  <c r="EE49" i="2"/>
  <c r="ED49" i="2"/>
  <c r="EC49" i="2"/>
  <c r="EB49" i="2"/>
  <c r="EA49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H49" i="2"/>
  <c r="DG49" i="2"/>
  <c r="EI48" i="2"/>
  <c r="EH48" i="2"/>
  <c r="EG48" i="2"/>
  <c r="EF48" i="2"/>
  <c r="EE48" i="2"/>
  <c r="ED48" i="2"/>
  <c r="EC48" i="2"/>
  <c r="EB48" i="2"/>
  <c r="EA48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N48" i="2"/>
  <c r="DM48" i="2"/>
  <c r="DL48" i="2"/>
  <c r="DK48" i="2"/>
  <c r="DJ48" i="2"/>
  <c r="DH48" i="2"/>
  <c r="DG48" i="2"/>
  <c r="EI47" i="2"/>
  <c r="EH47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H47" i="2"/>
  <c r="DG47" i="2"/>
  <c r="EI46" i="2"/>
  <c r="EH46" i="2"/>
  <c r="EG46" i="2"/>
  <c r="EF46" i="2"/>
  <c r="EE46" i="2"/>
  <c r="ED46" i="2"/>
  <c r="EC46" i="2"/>
  <c r="EB46" i="2"/>
  <c r="EA46" i="2"/>
  <c r="DZ46" i="2"/>
  <c r="DY46" i="2"/>
  <c r="DX46" i="2"/>
  <c r="DW46" i="2"/>
  <c r="DV46" i="2"/>
  <c r="DU46" i="2"/>
  <c r="DU44" i="2" s="1"/>
  <c r="DT46" i="2"/>
  <c r="DS46" i="2"/>
  <c r="DR46" i="2"/>
  <c r="DQ46" i="2"/>
  <c r="DP46" i="2"/>
  <c r="DO46" i="2"/>
  <c r="DN46" i="2"/>
  <c r="DM46" i="2"/>
  <c r="DL46" i="2"/>
  <c r="DK46" i="2"/>
  <c r="DJ46" i="2"/>
  <c r="DH46" i="2"/>
  <c r="DG46" i="2"/>
  <c r="EI43" i="2"/>
  <c r="EI42" i="2" s="1"/>
  <c r="EH43" i="2"/>
  <c r="EH42" i="2" s="1"/>
  <c r="EG43" i="2"/>
  <c r="EG42" i="2" s="1"/>
  <c r="EF43" i="2"/>
  <c r="EF42" i="2" s="1"/>
  <c r="EE43" i="2"/>
  <c r="EE42" i="2" s="1"/>
  <c r="ED43" i="2"/>
  <c r="ED42" i="2" s="1"/>
  <c r="EC43" i="2"/>
  <c r="EC42" i="2" s="1"/>
  <c r="EB43" i="2"/>
  <c r="EB42" i="2" s="1"/>
  <c r="EA43" i="2"/>
  <c r="EA42" i="2" s="1"/>
  <c r="DZ43" i="2"/>
  <c r="DZ42" i="2" s="1"/>
  <c r="DY43" i="2"/>
  <c r="DY42" i="2" s="1"/>
  <c r="DX43" i="2"/>
  <c r="DX42" i="2" s="1"/>
  <c r="DW43" i="2"/>
  <c r="DW42" i="2" s="1"/>
  <c r="DV43" i="2"/>
  <c r="DV42" i="2" s="1"/>
  <c r="DU43" i="2"/>
  <c r="DU42" i="2" s="1"/>
  <c r="DT43" i="2"/>
  <c r="DT42" i="2" s="1"/>
  <c r="DS43" i="2"/>
  <c r="DS42" i="2" s="1"/>
  <c r="DR43" i="2"/>
  <c r="DR42" i="2" s="1"/>
  <c r="DQ43" i="2"/>
  <c r="DQ42" i="2" s="1"/>
  <c r="DP43" i="2"/>
  <c r="DP42" i="2" s="1"/>
  <c r="DO43" i="2"/>
  <c r="DO42" i="2" s="1"/>
  <c r="DN43" i="2"/>
  <c r="DN42" i="2" s="1"/>
  <c r="DM43" i="2"/>
  <c r="DM42" i="2" s="1"/>
  <c r="DL43" i="2"/>
  <c r="DL42" i="2" s="1"/>
  <c r="DK43" i="2"/>
  <c r="DK42" i="2" s="1"/>
  <c r="DJ43" i="2"/>
  <c r="DJ42" i="2" s="1"/>
  <c r="DH43" i="2"/>
  <c r="DH42" i="2" s="1"/>
  <c r="DG43" i="2"/>
  <c r="DG42" i="2" s="1"/>
  <c r="EI41" i="2"/>
  <c r="EH41" i="2"/>
  <c r="EG41" i="2"/>
  <c r="EF41" i="2"/>
  <c r="EE41" i="2"/>
  <c r="ED41" i="2"/>
  <c r="EC41" i="2"/>
  <c r="EB41" i="2"/>
  <c r="EA41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N41" i="2"/>
  <c r="DM41" i="2"/>
  <c r="DL41" i="2"/>
  <c r="DK41" i="2"/>
  <c r="DJ41" i="2"/>
  <c r="DH41" i="2"/>
  <c r="DG41" i="2"/>
  <c r="EI40" i="2"/>
  <c r="EH40" i="2"/>
  <c r="EH39" i="2" s="1"/>
  <c r="EG40" i="2"/>
  <c r="EF40" i="2"/>
  <c r="EE40" i="2"/>
  <c r="ED40" i="2"/>
  <c r="EC40" i="2"/>
  <c r="EB40" i="2"/>
  <c r="EA40" i="2"/>
  <c r="DZ40" i="2"/>
  <c r="DZ39" i="2" s="1"/>
  <c r="DY40" i="2"/>
  <c r="DX40" i="2"/>
  <c r="DW40" i="2"/>
  <c r="DV40" i="2"/>
  <c r="DU40" i="2"/>
  <c r="DT40" i="2"/>
  <c r="DS40" i="2"/>
  <c r="DS39" i="2" s="1"/>
  <c r="DR40" i="2"/>
  <c r="DR39" i="2" s="1"/>
  <c r="DQ40" i="2"/>
  <c r="DP40" i="2"/>
  <c r="DO40" i="2"/>
  <c r="DN40" i="2"/>
  <c r="DM40" i="2"/>
  <c r="DL40" i="2"/>
  <c r="DK40" i="2"/>
  <c r="DJ40" i="2"/>
  <c r="DJ39" i="2" s="1"/>
  <c r="DH40" i="2"/>
  <c r="DG40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H38" i="2"/>
  <c r="DG38" i="2"/>
  <c r="EI37" i="2"/>
  <c r="EH37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H37" i="2"/>
  <c r="DG37" i="2"/>
  <c r="EI36" i="2"/>
  <c r="EH36" i="2"/>
  <c r="EG36" i="2"/>
  <c r="EF36" i="2"/>
  <c r="EE36" i="2"/>
  <c r="ED36" i="2"/>
  <c r="EC36" i="2"/>
  <c r="EB36" i="2"/>
  <c r="EA36" i="2"/>
  <c r="DZ36" i="2"/>
  <c r="DY36" i="2"/>
  <c r="DX36" i="2"/>
  <c r="DW36" i="2"/>
  <c r="DV36" i="2"/>
  <c r="DU36" i="2"/>
  <c r="DT36" i="2"/>
  <c r="DS36" i="2"/>
  <c r="DR36" i="2"/>
  <c r="DQ36" i="2"/>
  <c r="DP36" i="2"/>
  <c r="DO36" i="2"/>
  <c r="DN36" i="2"/>
  <c r="DM36" i="2"/>
  <c r="DL36" i="2"/>
  <c r="DK36" i="2"/>
  <c r="DJ36" i="2"/>
  <c r="DH36" i="2"/>
  <c r="DG36" i="2"/>
  <c r="EI32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H32" i="2"/>
  <c r="DG32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H31" i="2"/>
  <c r="DG31" i="2"/>
  <c r="EI26" i="2"/>
  <c r="EI25" i="2" s="1"/>
  <c r="EH26" i="2"/>
  <c r="EH25" i="2" s="1"/>
  <c r="EG26" i="2"/>
  <c r="EG25" i="2" s="1"/>
  <c r="EF26" i="2"/>
  <c r="EF25" i="2" s="1"/>
  <c r="EE26" i="2"/>
  <c r="EE25" i="2" s="1"/>
  <c r="ED26" i="2"/>
  <c r="ED25" i="2" s="1"/>
  <c r="EC26" i="2"/>
  <c r="EC25" i="2" s="1"/>
  <c r="EB26" i="2"/>
  <c r="EB25" i="2" s="1"/>
  <c r="EA26" i="2"/>
  <c r="EA25" i="2" s="1"/>
  <c r="DZ26" i="2"/>
  <c r="DZ25" i="2" s="1"/>
  <c r="DY26" i="2"/>
  <c r="DY25" i="2" s="1"/>
  <c r="DX26" i="2"/>
  <c r="DX25" i="2" s="1"/>
  <c r="DW26" i="2"/>
  <c r="DW25" i="2" s="1"/>
  <c r="DV26" i="2"/>
  <c r="DV25" i="2" s="1"/>
  <c r="DU26" i="2"/>
  <c r="DU25" i="2" s="1"/>
  <c r="DT26" i="2"/>
  <c r="DT25" i="2" s="1"/>
  <c r="DS26" i="2"/>
  <c r="DS25" i="2" s="1"/>
  <c r="DR26" i="2"/>
  <c r="DR25" i="2" s="1"/>
  <c r="DQ26" i="2"/>
  <c r="DQ25" i="2" s="1"/>
  <c r="DP26" i="2"/>
  <c r="DO26" i="2"/>
  <c r="DO25" i="2" s="1"/>
  <c r="DN26" i="2"/>
  <c r="DN25" i="2" s="1"/>
  <c r="DM26" i="2"/>
  <c r="DM25" i="2" s="1"/>
  <c r="DL26" i="2"/>
  <c r="DL25" i="2" s="1"/>
  <c r="DK26" i="2"/>
  <c r="DK25" i="2" s="1"/>
  <c r="DJ26" i="2"/>
  <c r="DJ25" i="2" s="1"/>
  <c r="DH26" i="2"/>
  <c r="DH25" i="2" s="1"/>
  <c r="DG26" i="2"/>
  <c r="DG25" i="2" s="1"/>
  <c r="DP25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H24" i="2"/>
  <c r="DG24" i="2"/>
  <c r="EI23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H23" i="2"/>
  <c r="DG23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H22" i="2"/>
  <c r="DG22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H21" i="2"/>
  <c r="DG21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H15" i="2"/>
  <c r="DG15" i="2"/>
  <c r="EI8" i="2"/>
  <c r="EI7" i="2" s="1"/>
  <c r="EH8" i="2"/>
  <c r="EG8" i="2"/>
  <c r="EF8" i="2"/>
  <c r="EF7" i="2" s="1"/>
  <c r="EE8" i="2"/>
  <c r="EE7" i="2" s="1"/>
  <c r="ED8" i="2"/>
  <c r="EC8" i="2"/>
  <c r="EB8" i="2"/>
  <c r="EB7" i="2" s="1"/>
  <c r="EA8" i="2"/>
  <c r="DZ8" i="2"/>
  <c r="DY8" i="2"/>
  <c r="DX8" i="2"/>
  <c r="DX7" i="2" s="1"/>
  <c r="DW8" i="2"/>
  <c r="DV8" i="2"/>
  <c r="DU8" i="2"/>
  <c r="DU7" i="2" s="1"/>
  <c r="DT8" i="2"/>
  <c r="DT7" i="2" s="1"/>
  <c r="DS8" i="2"/>
  <c r="DS7" i="2" s="1"/>
  <c r="DR8" i="2"/>
  <c r="DQ8" i="2"/>
  <c r="DP8" i="2"/>
  <c r="DP7" i="2" s="1"/>
  <c r="DO8" i="2"/>
  <c r="DO7" i="2" s="1"/>
  <c r="DN8" i="2"/>
  <c r="DM8" i="2"/>
  <c r="DL8" i="2"/>
  <c r="DL7" i="2" s="1"/>
  <c r="DK8" i="2"/>
  <c r="DJ8" i="2"/>
  <c r="DI8" i="2"/>
  <c r="DI7" i="2" s="1"/>
  <c r="DH8" i="2"/>
  <c r="DH7" i="2" s="1"/>
  <c r="DG8" i="2"/>
  <c r="DF8" i="2"/>
  <c r="EH7" i="2"/>
  <c r="EG7" i="2"/>
  <c r="ED7" i="2"/>
  <c r="EC7" i="2"/>
  <c r="EA7" i="2"/>
  <c r="DZ7" i="2"/>
  <c r="DY7" i="2"/>
  <c r="DW7" i="2"/>
  <c r="DV7" i="2"/>
  <c r="DR7" i="2"/>
  <c r="DQ7" i="2"/>
  <c r="DN7" i="2"/>
  <c r="DM7" i="2"/>
  <c r="DK7" i="2"/>
  <c r="DJ7" i="2"/>
  <c r="DG7" i="2"/>
  <c r="DF7" i="2"/>
  <c r="CP92" i="6"/>
  <c r="CP88" i="6"/>
  <c r="CP84" i="6"/>
  <c r="CP77" i="6"/>
  <c r="CP73" i="6"/>
  <c r="CP69" i="6"/>
  <c r="CP66" i="6"/>
  <c r="CP63" i="6"/>
  <c r="CP60" i="6"/>
  <c r="CP58" i="6"/>
  <c r="CP55" i="6"/>
  <c r="CP49" i="6"/>
  <c r="CP47" i="6"/>
  <c r="CP44" i="6"/>
  <c r="CP42" i="6"/>
  <c r="CP31" i="6"/>
  <c r="CP27" i="6"/>
  <c r="CP25" i="6"/>
  <c r="CP22" i="6"/>
  <c r="CP18" i="6"/>
  <c r="CP15" i="6"/>
  <c r="CP13" i="6"/>
  <c r="CP8" i="6"/>
  <c r="CO92" i="6"/>
  <c r="CN92" i="6"/>
  <c r="CM92" i="6"/>
  <c r="CL92" i="6"/>
  <c r="CK92" i="6"/>
  <c r="CJ92" i="6"/>
  <c r="CI92" i="6"/>
  <c r="CH92" i="6"/>
  <c r="CG92" i="6"/>
  <c r="CF92" i="6"/>
  <c r="CE92" i="6"/>
  <c r="CD92" i="6"/>
  <c r="CC92" i="6"/>
  <c r="CB92" i="6"/>
  <c r="CA92" i="6"/>
  <c r="BZ92" i="6"/>
  <c r="CO88" i="6"/>
  <c r="CN88" i="6"/>
  <c r="CM88" i="6"/>
  <c r="CL88" i="6"/>
  <c r="CK88" i="6"/>
  <c r="CJ88" i="6"/>
  <c r="CI88" i="6"/>
  <c r="CH88" i="6"/>
  <c r="CG88" i="6"/>
  <c r="CF88" i="6"/>
  <c r="CE88" i="6"/>
  <c r="CD88" i="6"/>
  <c r="CC88" i="6"/>
  <c r="CB88" i="6"/>
  <c r="CA88" i="6"/>
  <c r="BZ88" i="6"/>
  <c r="CO84" i="6"/>
  <c r="CN84" i="6"/>
  <c r="CM84" i="6"/>
  <c r="CL84" i="6"/>
  <c r="CK84" i="6"/>
  <c r="CJ84" i="6"/>
  <c r="CI84" i="6"/>
  <c r="CH84" i="6"/>
  <c r="CG84" i="6"/>
  <c r="CF84" i="6"/>
  <c r="CE84" i="6"/>
  <c r="CD84" i="6"/>
  <c r="CC84" i="6"/>
  <c r="CB84" i="6"/>
  <c r="CA84" i="6"/>
  <c r="BZ84" i="6"/>
  <c r="CO77" i="6"/>
  <c r="CN77" i="6"/>
  <c r="CM77" i="6"/>
  <c r="CL77" i="6"/>
  <c r="CK77" i="6"/>
  <c r="CJ77" i="6"/>
  <c r="CI77" i="6"/>
  <c r="CH77" i="6"/>
  <c r="CG77" i="6"/>
  <c r="CF77" i="6"/>
  <c r="CE77" i="6"/>
  <c r="CD77" i="6"/>
  <c r="CC77" i="6"/>
  <c r="CB77" i="6"/>
  <c r="CA77" i="6"/>
  <c r="BZ77" i="6"/>
  <c r="CO73" i="6"/>
  <c r="CN73" i="6"/>
  <c r="CM73" i="6"/>
  <c r="CL73" i="6"/>
  <c r="CK73" i="6"/>
  <c r="CJ73" i="6"/>
  <c r="CI73" i="6"/>
  <c r="CH73" i="6"/>
  <c r="CG73" i="6"/>
  <c r="CF73" i="6"/>
  <c r="CE73" i="6"/>
  <c r="CD73" i="6"/>
  <c r="CC73" i="6"/>
  <c r="CB73" i="6"/>
  <c r="CA73" i="6"/>
  <c r="BZ73" i="6"/>
  <c r="CO69" i="6"/>
  <c r="CN69" i="6"/>
  <c r="CM69" i="6"/>
  <c r="CL69" i="6"/>
  <c r="CK69" i="6"/>
  <c r="CJ69" i="6"/>
  <c r="CI69" i="6"/>
  <c r="CH69" i="6"/>
  <c r="CG69" i="6"/>
  <c r="CF69" i="6"/>
  <c r="CE69" i="6"/>
  <c r="CD69" i="6"/>
  <c r="CC69" i="6"/>
  <c r="CB69" i="6"/>
  <c r="CA69" i="6"/>
  <c r="BZ69" i="6"/>
  <c r="CO66" i="6"/>
  <c r="CN66" i="6"/>
  <c r="CM66" i="6"/>
  <c r="CL66" i="6"/>
  <c r="CK66" i="6"/>
  <c r="CJ66" i="6"/>
  <c r="CI66" i="6"/>
  <c r="CH66" i="6"/>
  <c r="CG66" i="6"/>
  <c r="CF66" i="6"/>
  <c r="CE66" i="6"/>
  <c r="CD66" i="6"/>
  <c r="CC66" i="6"/>
  <c r="CB66" i="6"/>
  <c r="CA66" i="6"/>
  <c r="BZ66" i="6"/>
  <c r="CO63" i="6"/>
  <c r="CN63" i="6"/>
  <c r="CM63" i="6"/>
  <c r="CL63" i="6"/>
  <c r="CK63" i="6"/>
  <c r="CJ63" i="6"/>
  <c r="CI63" i="6"/>
  <c r="CH63" i="6"/>
  <c r="CG63" i="6"/>
  <c r="CF63" i="6"/>
  <c r="CE63" i="6"/>
  <c r="CD63" i="6"/>
  <c r="CC63" i="6"/>
  <c r="CB63" i="6"/>
  <c r="CA63" i="6"/>
  <c r="BZ63" i="6"/>
  <c r="CO60" i="6"/>
  <c r="CN60" i="6"/>
  <c r="CM60" i="6"/>
  <c r="CL60" i="6"/>
  <c r="CK60" i="6"/>
  <c r="CJ60" i="6"/>
  <c r="CI60" i="6"/>
  <c r="CH60" i="6"/>
  <c r="CG60" i="6"/>
  <c r="CF60" i="6"/>
  <c r="CE60" i="6"/>
  <c r="CD60" i="6"/>
  <c r="CC60" i="6"/>
  <c r="CB60" i="6"/>
  <c r="CA60" i="6"/>
  <c r="BZ60" i="6"/>
  <c r="CO58" i="6"/>
  <c r="CN58" i="6"/>
  <c r="CM58" i="6"/>
  <c r="CL58" i="6"/>
  <c r="CK58" i="6"/>
  <c r="CJ58" i="6"/>
  <c r="CI58" i="6"/>
  <c r="CH58" i="6"/>
  <c r="CG58" i="6"/>
  <c r="CF58" i="6"/>
  <c r="CE58" i="6"/>
  <c r="CD58" i="6"/>
  <c r="CC58" i="6"/>
  <c r="CB58" i="6"/>
  <c r="CA58" i="6"/>
  <c r="BZ58" i="6"/>
  <c r="CO55" i="6"/>
  <c r="CN55" i="6"/>
  <c r="CM55" i="6"/>
  <c r="CL55" i="6"/>
  <c r="CK55" i="6"/>
  <c r="CJ55" i="6"/>
  <c r="CI55" i="6"/>
  <c r="CH55" i="6"/>
  <c r="CG55" i="6"/>
  <c r="CF55" i="6"/>
  <c r="CE55" i="6"/>
  <c r="CD55" i="6"/>
  <c r="CC55" i="6"/>
  <c r="CB55" i="6"/>
  <c r="CA55" i="6"/>
  <c r="BZ55" i="6"/>
  <c r="CO49" i="6"/>
  <c r="CN49" i="6"/>
  <c r="CM49" i="6"/>
  <c r="CL49" i="6"/>
  <c r="CK49" i="6"/>
  <c r="CJ49" i="6"/>
  <c r="CI49" i="6"/>
  <c r="CH49" i="6"/>
  <c r="CG49" i="6"/>
  <c r="CF49" i="6"/>
  <c r="CE49" i="6"/>
  <c r="CD49" i="6"/>
  <c r="CC49" i="6"/>
  <c r="CB49" i="6"/>
  <c r="CA49" i="6"/>
  <c r="BZ49" i="6"/>
  <c r="CO47" i="6"/>
  <c r="CO46" i="6" s="1"/>
  <c r="CO98" i="6" s="1"/>
  <c r="CN47" i="6"/>
  <c r="CN46" i="6" s="1"/>
  <c r="CM47" i="6"/>
  <c r="CM46" i="6" s="1"/>
  <c r="CM98" i="6" s="1"/>
  <c r="CL47" i="6"/>
  <c r="CK47" i="6"/>
  <c r="CK46" i="6" s="1"/>
  <c r="CK98" i="6" s="1"/>
  <c r="CJ47" i="6"/>
  <c r="CI47" i="6"/>
  <c r="CH47" i="6"/>
  <c r="CG47" i="6"/>
  <c r="CF47" i="6"/>
  <c r="CE47" i="6"/>
  <c r="CD47" i="6"/>
  <c r="CC47" i="6"/>
  <c r="CB47" i="6"/>
  <c r="CA47" i="6"/>
  <c r="BZ47" i="6"/>
  <c r="CO44" i="6"/>
  <c r="CN44" i="6"/>
  <c r="CM44" i="6"/>
  <c r="CL44" i="6"/>
  <c r="CK44" i="6"/>
  <c r="CJ44" i="6"/>
  <c r="CI44" i="6"/>
  <c r="CH44" i="6"/>
  <c r="CG44" i="6"/>
  <c r="CF44" i="6"/>
  <c r="CE44" i="6"/>
  <c r="CD44" i="6"/>
  <c r="CC44" i="6"/>
  <c r="CB44" i="6"/>
  <c r="CA44" i="6"/>
  <c r="BZ44" i="6"/>
  <c r="CO42" i="6"/>
  <c r="CN42" i="6"/>
  <c r="CM42" i="6"/>
  <c r="CL42" i="6"/>
  <c r="CK42" i="6"/>
  <c r="CJ42" i="6"/>
  <c r="CI42" i="6"/>
  <c r="CH42" i="6"/>
  <c r="CG42" i="6"/>
  <c r="CF42" i="6"/>
  <c r="CE42" i="6"/>
  <c r="CD42" i="6"/>
  <c r="CC42" i="6"/>
  <c r="CB42" i="6"/>
  <c r="CA42" i="6"/>
  <c r="BZ42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CO25" i="6"/>
  <c r="CN25" i="6"/>
  <c r="CM25" i="6"/>
  <c r="CL25" i="6"/>
  <c r="CK25" i="6"/>
  <c r="CJ25" i="6"/>
  <c r="CI25" i="6"/>
  <c r="CH25" i="6"/>
  <c r="CG25" i="6"/>
  <c r="CF25" i="6"/>
  <c r="CE25" i="6"/>
  <c r="CD25" i="6"/>
  <c r="CC25" i="6"/>
  <c r="CB25" i="6"/>
  <c r="CA25" i="6"/>
  <c r="BZ25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CO8" i="6"/>
  <c r="CN8" i="6"/>
  <c r="CM8" i="6"/>
  <c r="CL8" i="6"/>
  <c r="CL7" i="6" s="1"/>
  <c r="CL97" i="6" s="1"/>
  <c r="CK8" i="6"/>
  <c r="CJ8" i="6"/>
  <c r="CI8" i="6"/>
  <c r="CH8" i="6"/>
  <c r="CH7" i="6" s="1"/>
  <c r="CH97" i="6" s="1"/>
  <c r="CG8" i="6"/>
  <c r="CF8" i="6"/>
  <c r="CE8" i="6"/>
  <c r="CD8" i="6"/>
  <c r="CC8" i="6"/>
  <c r="CB8" i="6"/>
  <c r="CA8" i="6"/>
  <c r="BZ8" i="6"/>
  <c r="BZ7" i="6" s="1"/>
  <c r="BZ97" i="6" s="1"/>
  <c r="BY92" i="6"/>
  <c r="BY88" i="6"/>
  <c r="BY84" i="6"/>
  <c r="BY77" i="6"/>
  <c r="BY73" i="6"/>
  <c r="BY69" i="6"/>
  <c r="BY66" i="6"/>
  <c r="BY63" i="6"/>
  <c r="BY60" i="6"/>
  <c r="BY58" i="6"/>
  <c r="BY55" i="6"/>
  <c r="BY49" i="6"/>
  <c r="BY47" i="6"/>
  <c r="BY44" i="6"/>
  <c r="BY42" i="6"/>
  <c r="BY31" i="6"/>
  <c r="BY27" i="6"/>
  <c r="BY25" i="6"/>
  <c r="BY22" i="6"/>
  <c r="BY18" i="6"/>
  <c r="BY15" i="6"/>
  <c r="BY13" i="6"/>
  <c r="BY8" i="6"/>
  <c r="BX92" i="6"/>
  <c r="BX88" i="6"/>
  <c r="BX84" i="6"/>
  <c r="BX77" i="6"/>
  <c r="BX73" i="6"/>
  <c r="BX69" i="6"/>
  <c r="BX66" i="6"/>
  <c r="BX63" i="6"/>
  <c r="BX60" i="6"/>
  <c r="BX58" i="6"/>
  <c r="BX55" i="6"/>
  <c r="BX49" i="6"/>
  <c r="BX47" i="6"/>
  <c r="BX44" i="6"/>
  <c r="BX42" i="6"/>
  <c r="BX31" i="6"/>
  <c r="BX27" i="6"/>
  <c r="BX25" i="6"/>
  <c r="BX22" i="6"/>
  <c r="BX18" i="6"/>
  <c r="BX15" i="6"/>
  <c r="BX13" i="6"/>
  <c r="BX8" i="6"/>
  <c r="BW92" i="6"/>
  <c r="BW88" i="6"/>
  <c r="BW84" i="6"/>
  <c r="BW77" i="6"/>
  <c r="BW73" i="6"/>
  <c r="BW69" i="6"/>
  <c r="BW66" i="6"/>
  <c r="BW63" i="6"/>
  <c r="BW60" i="6"/>
  <c r="BW58" i="6"/>
  <c r="BW55" i="6"/>
  <c r="BW49" i="6"/>
  <c r="BW47" i="6"/>
  <c r="BW44" i="6"/>
  <c r="BW42" i="6"/>
  <c r="BW31" i="6"/>
  <c r="BW27" i="6"/>
  <c r="BW25" i="6"/>
  <c r="BW22" i="6"/>
  <c r="BW18" i="6"/>
  <c r="BW15" i="6"/>
  <c r="BW13" i="6"/>
  <c r="BW8" i="6"/>
  <c r="BV92" i="6"/>
  <c r="BV88" i="6"/>
  <c r="BV84" i="6"/>
  <c r="BV77" i="6"/>
  <c r="BV73" i="6"/>
  <c r="BV69" i="6"/>
  <c r="BV66" i="6"/>
  <c r="BV63" i="6"/>
  <c r="BV60" i="6"/>
  <c r="BV58" i="6"/>
  <c r="BV55" i="6"/>
  <c r="BV49" i="6"/>
  <c r="BV47" i="6"/>
  <c r="BV44" i="6"/>
  <c r="BV42" i="6"/>
  <c r="BV31" i="6"/>
  <c r="BV27" i="6"/>
  <c r="BV25" i="6"/>
  <c r="BV22" i="6"/>
  <c r="BV18" i="6"/>
  <c r="BV15" i="6"/>
  <c r="BV13" i="6"/>
  <c r="BV8" i="6"/>
  <c r="BU8" i="6"/>
  <c r="BU13" i="6"/>
  <c r="BU15" i="6"/>
  <c r="BU18" i="6"/>
  <c r="BU22" i="6"/>
  <c r="BU25" i="6"/>
  <c r="BU27" i="6"/>
  <c r="BU31" i="6"/>
  <c r="BU42" i="6"/>
  <c r="BU44" i="6"/>
  <c r="BU47" i="6"/>
  <c r="BU49" i="6"/>
  <c r="BU55" i="6"/>
  <c r="BU58" i="6"/>
  <c r="BU60" i="6"/>
  <c r="BU63" i="6"/>
  <c r="BU66" i="6"/>
  <c r="BU69" i="6"/>
  <c r="BU73" i="6"/>
  <c r="BU77" i="6"/>
  <c r="BU84" i="6"/>
  <c r="BU88" i="6"/>
  <c r="BU92" i="6"/>
  <c r="BT92" i="6"/>
  <c r="BT88" i="6"/>
  <c r="BT84" i="6"/>
  <c r="BT77" i="6"/>
  <c r="BT73" i="6"/>
  <c r="BT69" i="6"/>
  <c r="BT66" i="6"/>
  <c r="BT63" i="6"/>
  <c r="BT60" i="6"/>
  <c r="BT58" i="6"/>
  <c r="BT55" i="6"/>
  <c r="BT49" i="6"/>
  <c r="BT47" i="6"/>
  <c r="BT44" i="6"/>
  <c r="BT42" i="6"/>
  <c r="BT31" i="6"/>
  <c r="BT27" i="6"/>
  <c r="BT25" i="6"/>
  <c r="BT22" i="6"/>
  <c r="BT18" i="6"/>
  <c r="BT15" i="6"/>
  <c r="BT13" i="6"/>
  <c r="BT8" i="6"/>
  <c r="BS8" i="6"/>
  <c r="BS13" i="6"/>
  <c r="BS15" i="6"/>
  <c r="BS18" i="6"/>
  <c r="BS22" i="6"/>
  <c r="BS25" i="6"/>
  <c r="BS27" i="6"/>
  <c r="BS31" i="6"/>
  <c r="BS42" i="6"/>
  <c r="BS44" i="6"/>
  <c r="BS47" i="6"/>
  <c r="BS49" i="6"/>
  <c r="BS55" i="6"/>
  <c r="BS58" i="6"/>
  <c r="BS60" i="6"/>
  <c r="BS63" i="6"/>
  <c r="BS66" i="6"/>
  <c r="BS69" i="6"/>
  <c r="BS73" i="6"/>
  <c r="BS77" i="6"/>
  <c r="BS84" i="6"/>
  <c r="BS88" i="6"/>
  <c r="BS92" i="6"/>
  <c r="BR8" i="6"/>
  <c r="BR13" i="6"/>
  <c r="BR15" i="6"/>
  <c r="BR18" i="6"/>
  <c r="BR22" i="6"/>
  <c r="BR25" i="6"/>
  <c r="BR27" i="6"/>
  <c r="BR31" i="6"/>
  <c r="BR42" i="6"/>
  <c r="BR44" i="6"/>
  <c r="BR47" i="6"/>
  <c r="BR49" i="6"/>
  <c r="BR55" i="6"/>
  <c r="BR58" i="6"/>
  <c r="BR60" i="6"/>
  <c r="BR63" i="6"/>
  <c r="BR66" i="6"/>
  <c r="BR69" i="6"/>
  <c r="BR73" i="6"/>
  <c r="BR77" i="6"/>
  <c r="BR84" i="6"/>
  <c r="BR88" i="6"/>
  <c r="BR92" i="6"/>
  <c r="BQ8" i="6"/>
  <c r="BQ13" i="6"/>
  <c r="BQ15" i="6"/>
  <c r="BQ18" i="6"/>
  <c r="BQ22" i="6"/>
  <c r="BQ25" i="6"/>
  <c r="BQ27" i="6"/>
  <c r="BQ31" i="6"/>
  <c r="BQ42" i="6"/>
  <c r="BQ44" i="6"/>
  <c r="BQ47" i="6"/>
  <c r="BQ49" i="6"/>
  <c r="BQ55" i="6"/>
  <c r="BQ58" i="6"/>
  <c r="BQ60" i="6"/>
  <c r="BQ63" i="6"/>
  <c r="BQ66" i="6"/>
  <c r="BQ69" i="6"/>
  <c r="BQ73" i="6"/>
  <c r="BQ77" i="6"/>
  <c r="BQ84" i="6"/>
  <c r="BQ88" i="6"/>
  <c r="BQ92" i="6"/>
  <c r="BP8" i="6"/>
  <c r="BP13" i="6"/>
  <c r="BP15" i="6"/>
  <c r="BP18" i="6"/>
  <c r="BP22" i="6"/>
  <c r="BP25" i="6"/>
  <c r="BP27" i="6"/>
  <c r="BP31" i="6"/>
  <c r="BP42" i="6"/>
  <c r="BP44" i="6"/>
  <c r="BP47" i="6"/>
  <c r="BP49" i="6"/>
  <c r="BP55" i="6"/>
  <c r="BP58" i="6"/>
  <c r="BP60" i="6"/>
  <c r="BP63" i="6"/>
  <c r="BP66" i="6"/>
  <c r="BP69" i="6"/>
  <c r="BP73" i="6"/>
  <c r="BP77" i="6"/>
  <c r="BP84" i="6"/>
  <c r="BP88" i="6"/>
  <c r="BP92" i="6"/>
  <c r="BO8" i="6"/>
  <c r="BO13" i="6"/>
  <c r="BO15" i="6"/>
  <c r="BO18" i="6"/>
  <c r="BO22" i="6"/>
  <c r="BO25" i="6"/>
  <c r="BO27" i="6"/>
  <c r="BO31" i="6"/>
  <c r="BO42" i="6"/>
  <c r="BO44" i="6"/>
  <c r="BO47" i="6"/>
  <c r="BO49" i="6"/>
  <c r="BO55" i="6"/>
  <c r="BO58" i="6"/>
  <c r="BO60" i="6"/>
  <c r="BO63" i="6"/>
  <c r="BO66" i="6"/>
  <c r="BO69" i="6"/>
  <c r="BO73" i="6"/>
  <c r="BO77" i="6"/>
  <c r="BO84" i="6"/>
  <c r="BO88" i="6"/>
  <c r="BO92" i="6"/>
  <c r="DB145" i="2"/>
  <c r="DB146" i="2"/>
  <c r="DC146" i="2"/>
  <c r="DT75" i="2" l="1"/>
  <c r="DG39" i="2"/>
  <c r="DF75" i="2"/>
  <c r="DM106" i="2"/>
  <c r="DU106" i="2"/>
  <c r="EC106" i="2"/>
  <c r="DL130" i="2"/>
  <c r="DT130" i="2"/>
  <c r="EB130" i="2"/>
  <c r="DG99" i="2"/>
  <c r="DF109" i="2"/>
  <c r="DK109" i="2"/>
  <c r="DS109" i="2"/>
  <c r="EA109" i="2"/>
  <c r="DK39" i="2"/>
  <c r="DI75" i="2"/>
  <c r="DR99" i="2"/>
  <c r="DF130" i="2"/>
  <c r="DS99" i="2"/>
  <c r="DO115" i="2"/>
  <c r="DM115" i="2"/>
  <c r="DU115" i="2"/>
  <c r="EC115" i="2"/>
  <c r="CA46" i="6"/>
  <c r="CA98" i="6" s="1"/>
  <c r="EE109" i="2"/>
  <c r="CF7" i="6"/>
  <c r="CF97" i="6" s="1"/>
  <c r="DK119" i="2"/>
  <c r="DO119" i="2"/>
  <c r="DS119" i="2"/>
  <c r="DW119" i="2"/>
  <c r="EA119" i="2"/>
  <c r="EE119" i="2"/>
  <c r="DQ89" i="2"/>
  <c r="CN98" i="6"/>
  <c r="CN116" i="6" s="1"/>
  <c r="CN118" i="6"/>
  <c r="DK134" i="2"/>
  <c r="DO134" i="2"/>
  <c r="DS134" i="2"/>
  <c r="DW134" i="2"/>
  <c r="EA134" i="2"/>
  <c r="EE134" i="2"/>
  <c r="EI134" i="2"/>
  <c r="EA130" i="2"/>
  <c r="CI46" i="6"/>
  <c r="CI98" i="6" s="1"/>
  <c r="EG89" i="2"/>
  <c r="CE46" i="6"/>
  <c r="CE98" i="6" s="1"/>
  <c r="DG119" i="2"/>
  <c r="EG123" i="2"/>
  <c r="DX123" i="2"/>
  <c r="EB123" i="2"/>
  <c r="EF123" i="2"/>
  <c r="DM123" i="2"/>
  <c r="DQ123" i="2"/>
  <c r="DU123" i="2"/>
  <c r="DY123" i="2"/>
  <c r="EC123" i="2"/>
  <c r="DG123" i="2"/>
  <c r="DO39" i="2"/>
  <c r="EI39" i="2"/>
  <c r="DK130" i="2"/>
  <c r="DM44" i="2"/>
  <c r="EC44" i="2"/>
  <c r="DT44" i="2"/>
  <c r="DH75" i="2"/>
  <c r="DL75" i="2"/>
  <c r="DP75" i="2"/>
  <c r="DX75" i="2"/>
  <c r="EB75" i="2"/>
  <c r="EF75" i="2"/>
  <c r="DM39" i="2"/>
  <c r="DQ39" i="2"/>
  <c r="DU39" i="2"/>
  <c r="DY39" i="2"/>
  <c r="EC39" i="2"/>
  <c r="EG39" i="2"/>
  <c r="DG75" i="2"/>
  <c r="DK75" i="2"/>
  <c r="DO75" i="2"/>
  <c r="DS75" i="2"/>
  <c r="DW75" i="2"/>
  <c r="EA75" i="2"/>
  <c r="EE75" i="2"/>
  <c r="EI75" i="2"/>
  <c r="DM75" i="2"/>
  <c r="DQ75" i="2"/>
  <c r="DU75" i="2"/>
  <c r="DY75" i="2"/>
  <c r="EG75" i="2"/>
  <c r="DH44" i="2"/>
  <c r="DL44" i="2"/>
  <c r="DP44" i="2"/>
  <c r="DX44" i="2"/>
  <c r="EB44" i="2"/>
  <c r="EF44" i="2"/>
  <c r="DT27" i="2"/>
  <c r="DF89" i="2"/>
  <c r="DJ89" i="2"/>
  <c r="DN89" i="2"/>
  <c r="DR89" i="2"/>
  <c r="DV89" i="2"/>
  <c r="DZ89" i="2"/>
  <c r="ED89" i="2"/>
  <c r="EH89" i="2"/>
  <c r="DJ99" i="2"/>
  <c r="DN99" i="2"/>
  <c r="EH99" i="2"/>
  <c r="DQ106" i="2"/>
  <c r="DY106" i="2"/>
  <c r="EG106" i="2"/>
  <c r="DO106" i="2"/>
  <c r="DW106" i="2"/>
  <c r="EE106" i="2"/>
  <c r="DK115" i="2"/>
  <c r="DS115" i="2"/>
  <c r="DW115" i="2"/>
  <c r="EA115" i="2"/>
  <c r="EE115" i="2"/>
  <c r="EI115" i="2"/>
  <c r="DS130" i="2"/>
  <c r="EI130" i="2"/>
  <c r="DK89" i="2"/>
  <c r="DO89" i="2"/>
  <c r="DS89" i="2"/>
  <c r="DW89" i="2"/>
  <c r="EA89" i="2"/>
  <c r="EE89" i="2"/>
  <c r="EI89" i="2"/>
  <c r="DM89" i="2"/>
  <c r="DU89" i="2"/>
  <c r="DY89" i="2"/>
  <c r="DK99" i="2"/>
  <c r="DO99" i="2"/>
  <c r="DW99" i="2"/>
  <c r="EA99" i="2"/>
  <c r="EE99" i="2"/>
  <c r="EI99" i="2"/>
  <c r="DQ99" i="2"/>
  <c r="DY99" i="2"/>
  <c r="DF106" i="2"/>
  <c r="DJ106" i="2"/>
  <c r="DN106" i="2"/>
  <c r="DR106" i="2"/>
  <c r="DV106" i="2"/>
  <c r="DZ106" i="2"/>
  <c r="ED106" i="2"/>
  <c r="EH106" i="2"/>
  <c r="DH106" i="2"/>
  <c r="DL106" i="2"/>
  <c r="DP106" i="2"/>
  <c r="DT106" i="2"/>
  <c r="DX106" i="2"/>
  <c r="EB106" i="2"/>
  <c r="EF106" i="2"/>
  <c r="DH109" i="2"/>
  <c r="DL109" i="2"/>
  <c r="DP109" i="2"/>
  <c r="DT109" i="2"/>
  <c r="DX109" i="2"/>
  <c r="EB109" i="2"/>
  <c r="EF109" i="2"/>
  <c r="DJ109" i="2"/>
  <c r="DN109" i="2"/>
  <c r="DR109" i="2"/>
  <c r="DV109" i="2"/>
  <c r="DZ109" i="2"/>
  <c r="ED109" i="2"/>
  <c r="DH112" i="2"/>
  <c r="DH115" i="2"/>
  <c r="DL115" i="2"/>
  <c r="DP115" i="2"/>
  <c r="DT115" i="2"/>
  <c r="DX115" i="2"/>
  <c r="EB115" i="2"/>
  <c r="EF115" i="2"/>
  <c r="DF115" i="2"/>
  <c r="DV115" i="2"/>
  <c r="DH123" i="2"/>
  <c r="DL123" i="2"/>
  <c r="DP123" i="2"/>
  <c r="DT123" i="2"/>
  <c r="DF123" i="2"/>
  <c r="DJ123" i="2"/>
  <c r="DN123" i="2"/>
  <c r="DR123" i="2"/>
  <c r="DV123" i="2"/>
  <c r="DZ123" i="2"/>
  <c r="ED123" i="2"/>
  <c r="EH123" i="2"/>
  <c r="DW39" i="2"/>
  <c r="EA39" i="2"/>
  <c r="EE39" i="2"/>
  <c r="DW59" i="2"/>
  <c r="DJ59" i="2"/>
  <c r="DN59" i="2"/>
  <c r="DR59" i="2"/>
  <c r="DM130" i="2"/>
  <c r="DQ130" i="2"/>
  <c r="DU130" i="2"/>
  <c r="DY130" i="2"/>
  <c r="EC130" i="2"/>
  <c r="EG130" i="2"/>
  <c r="DG130" i="2"/>
  <c r="DO130" i="2"/>
  <c r="DW130" i="2"/>
  <c r="EE130" i="2"/>
  <c r="DJ130" i="2"/>
  <c r="DN130" i="2"/>
  <c r="DR130" i="2"/>
  <c r="DV130" i="2"/>
  <c r="DZ130" i="2"/>
  <c r="ED130" i="2"/>
  <c r="EH130" i="2"/>
  <c r="DH130" i="2"/>
  <c r="DP130" i="2"/>
  <c r="DX130" i="2"/>
  <c r="EF130" i="2"/>
  <c r="EH59" i="2"/>
  <c r="DH59" i="2"/>
  <c r="DP59" i="2"/>
  <c r="DT59" i="2"/>
  <c r="DX59" i="2"/>
  <c r="EB59" i="2"/>
  <c r="EF59" i="2"/>
  <c r="DL59" i="2"/>
  <c r="DG89" i="2"/>
  <c r="DG106" i="2"/>
  <c r="DG115" i="2"/>
  <c r="DG134" i="2"/>
  <c r="DJ112" i="2"/>
  <c r="DN112" i="2"/>
  <c r="DR112" i="2"/>
  <c r="DV112" i="2"/>
  <c r="DZ112" i="2"/>
  <c r="ED112" i="2"/>
  <c r="EH112" i="2"/>
  <c r="EE112" i="2"/>
  <c r="DF112" i="2"/>
  <c r="EI119" i="2"/>
  <c r="DM119" i="2"/>
  <c r="DQ119" i="2"/>
  <c r="DU119" i="2"/>
  <c r="DY119" i="2"/>
  <c r="DJ115" i="2"/>
  <c r="ED115" i="2"/>
  <c r="DR115" i="2"/>
  <c r="DN115" i="2"/>
  <c r="DZ115" i="2"/>
  <c r="EH115" i="2"/>
  <c r="DF134" i="2"/>
  <c r="DJ134" i="2"/>
  <c r="DN134" i="2"/>
  <c r="DR134" i="2"/>
  <c r="DV134" i="2"/>
  <c r="DZ134" i="2"/>
  <c r="ED134" i="2"/>
  <c r="EH134" i="2"/>
  <c r="DY112" i="2"/>
  <c r="EG112" i="2"/>
  <c r="DK112" i="2"/>
  <c r="DS112" i="2"/>
  <c r="EC119" i="2"/>
  <c r="DG59" i="2"/>
  <c r="EI59" i="2"/>
  <c r="DJ35" i="2"/>
  <c r="DN35" i="2"/>
  <c r="DR35" i="2"/>
  <c r="DV35" i="2"/>
  <c r="ED35" i="2"/>
  <c r="EH35" i="2"/>
  <c r="DG35" i="2"/>
  <c r="DK35" i="2"/>
  <c r="DO35" i="2"/>
  <c r="DS35" i="2"/>
  <c r="DW35" i="2"/>
  <c r="EA35" i="2"/>
  <c r="EI35" i="2"/>
  <c r="DM59" i="2"/>
  <c r="DQ59" i="2"/>
  <c r="DZ35" i="2"/>
  <c r="DU59" i="2"/>
  <c r="DV59" i="2"/>
  <c r="DZ59" i="2"/>
  <c r="EE59" i="2"/>
  <c r="DK59" i="2"/>
  <c r="DS59" i="2"/>
  <c r="ED59" i="2"/>
  <c r="DO59" i="2"/>
  <c r="EA59" i="2"/>
  <c r="EC27" i="2"/>
  <c r="CB7" i="6"/>
  <c r="CB97" i="6" s="1"/>
  <c r="CB110" i="6" s="1"/>
  <c r="DH27" i="2"/>
  <c r="DL27" i="2"/>
  <c r="DP27" i="2"/>
  <c r="DX27" i="2"/>
  <c r="EB27" i="2"/>
  <c r="EF27" i="2"/>
  <c r="DM27" i="2"/>
  <c r="DU27" i="2"/>
  <c r="EI18" i="2"/>
  <c r="DL112" i="2"/>
  <c r="DP112" i="2"/>
  <c r="DT112" i="2"/>
  <c r="DX112" i="2"/>
  <c r="EB112" i="2"/>
  <c r="DG112" i="2"/>
  <c r="DO112" i="2"/>
  <c r="DW112" i="2"/>
  <c r="EA112" i="2"/>
  <c r="EI112" i="2"/>
  <c r="DM112" i="2"/>
  <c r="DQ112" i="2"/>
  <c r="DU112" i="2"/>
  <c r="EC112" i="2"/>
  <c r="EG119" i="2"/>
  <c r="DH35" i="2"/>
  <c r="DL35" i="2"/>
  <c r="DP35" i="2"/>
  <c r="DT35" i="2"/>
  <c r="DX35" i="2"/>
  <c r="EB35" i="2"/>
  <c r="EF35" i="2"/>
  <c r="DM35" i="2"/>
  <c r="DQ35" i="2"/>
  <c r="DU35" i="2"/>
  <c r="DY35" i="2"/>
  <c r="EC35" i="2"/>
  <c r="EG35" i="2"/>
  <c r="EE35" i="2"/>
  <c r="DN18" i="2"/>
  <c r="EH18" i="2"/>
  <c r="DM18" i="2"/>
  <c r="DQ18" i="2"/>
  <c r="DU18" i="2"/>
  <c r="DY18" i="2"/>
  <c r="EC18" i="2"/>
  <c r="EG18" i="2"/>
  <c r="DG18" i="2"/>
  <c r="DK18" i="2"/>
  <c r="DO18" i="2"/>
  <c r="DS18" i="2"/>
  <c r="DW18" i="2"/>
  <c r="EA18" i="2"/>
  <c r="DG27" i="2"/>
  <c r="DK27" i="2"/>
  <c r="DO27" i="2"/>
  <c r="DS27" i="2"/>
  <c r="DW27" i="2"/>
  <c r="EA27" i="2"/>
  <c r="EE27" i="2"/>
  <c r="EI27" i="2"/>
  <c r="DQ27" i="2"/>
  <c r="DY27" i="2"/>
  <c r="EE18" i="2"/>
  <c r="DH18" i="2"/>
  <c r="DL18" i="2"/>
  <c r="DP18" i="2"/>
  <c r="DT18" i="2"/>
  <c r="DX18" i="2"/>
  <c r="EB18" i="2"/>
  <c r="EF18" i="2"/>
  <c r="DJ18" i="2"/>
  <c r="DR18" i="2"/>
  <c r="DV18" i="2"/>
  <c r="DZ18" i="2"/>
  <c r="ED18" i="2"/>
  <c r="DH119" i="2"/>
  <c r="DL119" i="2"/>
  <c r="DP119" i="2"/>
  <c r="DT119" i="2"/>
  <c r="DX119" i="2"/>
  <c r="EB119" i="2"/>
  <c r="EF119" i="2"/>
  <c r="DF119" i="2"/>
  <c r="DJ119" i="2"/>
  <c r="DN119" i="2"/>
  <c r="DR119" i="2"/>
  <c r="DV119" i="2"/>
  <c r="DZ119" i="2"/>
  <c r="ED119" i="2"/>
  <c r="EH119" i="2"/>
  <c r="CG46" i="6"/>
  <c r="CG98" i="6" s="1"/>
  <c r="EC89" i="2"/>
  <c r="CB46" i="6"/>
  <c r="DH89" i="2"/>
  <c r="DL89" i="2"/>
  <c r="DP89" i="2"/>
  <c r="DT89" i="2"/>
  <c r="DX89" i="2"/>
  <c r="EB89" i="2"/>
  <c r="CF46" i="6"/>
  <c r="CC7" i="6"/>
  <c r="CC97" i="6" s="1"/>
  <c r="CG7" i="6"/>
  <c r="CG97" i="6" s="1"/>
  <c r="CO7" i="6"/>
  <c r="CO97" i="6" s="1"/>
  <c r="CK7" i="6"/>
  <c r="CK97" i="6" s="1"/>
  <c r="CA7" i="6"/>
  <c r="CA97" i="6" s="1"/>
  <c r="CI7" i="6"/>
  <c r="CI97" i="6" s="1"/>
  <c r="CM7" i="6"/>
  <c r="CM97" i="6" s="1"/>
  <c r="CE7" i="6"/>
  <c r="CE97" i="6" s="1"/>
  <c r="DJ27" i="2"/>
  <c r="DN27" i="2"/>
  <c r="DR27" i="2"/>
  <c r="DV27" i="2"/>
  <c r="DZ27" i="2"/>
  <c r="ED27" i="2"/>
  <c r="EH27" i="2"/>
  <c r="EG27" i="2"/>
  <c r="DJ75" i="2"/>
  <c r="DN75" i="2"/>
  <c r="DR75" i="2"/>
  <c r="DV75" i="2"/>
  <c r="DZ75" i="2"/>
  <c r="ED75" i="2"/>
  <c r="EH75" i="2"/>
  <c r="DY59" i="2"/>
  <c r="EC59" i="2"/>
  <c r="EG59" i="2"/>
  <c r="CP7" i="6"/>
  <c r="DJ44" i="2"/>
  <c r="DN44" i="2"/>
  <c r="DR44" i="2"/>
  <c r="DV44" i="2"/>
  <c r="DZ44" i="2"/>
  <c r="ED44" i="2"/>
  <c r="EH44" i="2"/>
  <c r="DG44" i="2"/>
  <c r="DK44" i="2"/>
  <c r="DO44" i="2"/>
  <c r="DS44" i="2"/>
  <c r="DW44" i="2"/>
  <c r="EA44" i="2"/>
  <c r="EE44" i="2"/>
  <c r="EI44" i="2"/>
  <c r="DQ44" i="2"/>
  <c r="DY44" i="2"/>
  <c r="EG44" i="2"/>
  <c r="BW7" i="6"/>
  <c r="BW97" i="6" s="1"/>
  <c r="CD7" i="6"/>
  <c r="CD97" i="6" s="1"/>
  <c r="CD109" i="6" s="1"/>
  <c r="BV7" i="6"/>
  <c r="BV97" i="6" s="1"/>
  <c r="BV109" i="6" s="1"/>
  <c r="BN7" i="6"/>
  <c r="BR7" i="6"/>
  <c r="BM7" i="6"/>
  <c r="BM97" i="6" s="1"/>
  <c r="BQ7" i="6"/>
  <c r="BQ97" i="6" s="1"/>
  <c r="BU7" i="6"/>
  <c r="BU97" i="6" s="1"/>
  <c r="DH39" i="2"/>
  <c r="DL39" i="2"/>
  <c r="DP39" i="2"/>
  <c r="DT39" i="2"/>
  <c r="DX39" i="2"/>
  <c r="EB39" i="2"/>
  <c r="EF39" i="2"/>
  <c r="DN39" i="2"/>
  <c r="DV39" i="2"/>
  <c r="ED39" i="2"/>
  <c r="BP7" i="6"/>
  <c r="BO7" i="6"/>
  <c r="BO97" i="6" s="1"/>
  <c r="BS7" i="6"/>
  <c r="BY7" i="6"/>
  <c r="BY97" i="6" s="1"/>
  <c r="BT7" i="6"/>
  <c r="BX7" i="6"/>
  <c r="BX97" i="6" s="1"/>
  <c r="BX110" i="6" s="1"/>
  <c r="CJ7" i="6"/>
  <c r="CN7" i="6"/>
  <c r="DH134" i="2"/>
  <c r="DL134" i="2"/>
  <c r="DP134" i="2"/>
  <c r="DT134" i="2"/>
  <c r="DX134" i="2"/>
  <c r="EB134" i="2"/>
  <c r="DM134" i="2"/>
  <c r="DQ134" i="2"/>
  <c r="DU134" i="2"/>
  <c r="DY134" i="2"/>
  <c r="EC134" i="2"/>
  <c r="EG134" i="2"/>
  <c r="EF134" i="2"/>
  <c r="EF89" i="2"/>
  <c r="CJ46" i="6"/>
  <c r="DK123" i="2"/>
  <c r="DO123" i="2"/>
  <c r="DS123" i="2"/>
  <c r="DW123" i="2"/>
  <c r="EA123" i="2"/>
  <c r="EE123" i="2"/>
  <c r="EI123" i="2"/>
  <c r="EF112" i="2"/>
  <c r="CC46" i="6"/>
  <c r="BV46" i="6"/>
  <c r="BV98" i="6" s="1"/>
  <c r="BV115" i="6" s="1"/>
  <c r="BY46" i="6"/>
  <c r="BY98" i="6" s="1"/>
  <c r="BP46" i="6"/>
  <c r="BP118" i="6" s="1"/>
  <c r="BS46" i="6"/>
  <c r="BS98" i="6" s="1"/>
  <c r="BO46" i="6"/>
  <c r="DH99" i="2"/>
  <c r="DL99" i="2"/>
  <c r="DP99" i="2"/>
  <c r="DT99" i="2"/>
  <c r="DX99" i="2"/>
  <c r="EB99" i="2"/>
  <c r="EF99" i="2"/>
  <c r="DF99" i="2"/>
  <c r="DV99" i="2"/>
  <c r="ED99" i="2"/>
  <c r="BN46" i="6"/>
  <c r="BN98" i="6" s="1"/>
  <c r="BN115" i="6" s="1"/>
  <c r="BR46" i="6"/>
  <c r="BR98" i="6" s="1"/>
  <c r="BR115" i="6" s="1"/>
  <c r="BT46" i="6"/>
  <c r="BM46" i="6"/>
  <c r="BM98" i="6" s="1"/>
  <c r="BQ46" i="6"/>
  <c r="BU46" i="6"/>
  <c r="BU98" i="6" s="1"/>
  <c r="BX46" i="6"/>
  <c r="BX118" i="6" s="1"/>
  <c r="CP46" i="6"/>
  <c r="BW46" i="6"/>
  <c r="BW98" i="6" s="1"/>
  <c r="BZ46" i="6"/>
  <c r="CD46" i="6"/>
  <c r="CH46" i="6"/>
  <c r="CL46" i="6"/>
  <c r="CL113" i="6" s="1"/>
  <c r="EE6" i="14"/>
  <c r="DI7" i="14"/>
  <c r="DI6" i="14" s="1"/>
  <c r="DJ7" i="14"/>
  <c r="DJ6" i="14" s="1"/>
  <c r="DK7" i="14"/>
  <c r="DK6" i="14" s="1"/>
  <c r="DL7" i="14"/>
  <c r="DL6" i="14" s="1"/>
  <c r="DM7" i="14"/>
  <c r="DM6" i="14" s="1"/>
  <c r="DN7" i="14"/>
  <c r="DN6" i="14" s="1"/>
  <c r="DO7" i="14"/>
  <c r="DO6" i="14" s="1"/>
  <c r="DP7" i="14"/>
  <c r="DP6" i="14" s="1"/>
  <c r="DQ7" i="14"/>
  <c r="DQ6" i="14" s="1"/>
  <c r="DR7" i="14"/>
  <c r="DR6" i="14" s="1"/>
  <c r="DS7" i="14"/>
  <c r="DS6" i="14" s="1"/>
  <c r="DT7" i="14"/>
  <c r="DT6" i="14" s="1"/>
  <c r="DU7" i="14"/>
  <c r="DU6" i="14" s="1"/>
  <c r="DV7" i="14"/>
  <c r="DV6" i="14" s="1"/>
  <c r="DW7" i="14"/>
  <c r="DW6" i="14" s="1"/>
  <c r="DX7" i="14"/>
  <c r="DX6" i="14" s="1"/>
  <c r="DY7" i="14"/>
  <c r="DY6" i="14" s="1"/>
  <c r="DZ7" i="14"/>
  <c r="DZ6" i="14" s="1"/>
  <c r="EA7" i="14"/>
  <c r="EA6" i="14" s="1"/>
  <c r="EB7" i="14"/>
  <c r="EB6" i="14" s="1"/>
  <c r="EC7" i="14"/>
  <c r="EC6" i="14" s="1"/>
  <c r="ED7" i="14"/>
  <c r="ED6" i="14" s="1"/>
  <c r="EE7" i="14"/>
  <c r="EF7" i="14"/>
  <c r="EF6" i="14" s="1"/>
  <c r="EG7" i="14"/>
  <c r="EG6" i="14" s="1"/>
  <c r="EH7" i="14"/>
  <c r="EH6" i="14" s="1"/>
  <c r="EI7" i="14"/>
  <c r="EI6" i="14" s="1"/>
  <c r="EJ7" i="14"/>
  <c r="EJ6" i="14" s="1"/>
  <c r="EK7" i="14"/>
  <c r="EK6" i="14" s="1"/>
  <c r="EL7" i="14"/>
  <c r="EL6" i="14" s="1"/>
  <c r="DI14" i="14"/>
  <c r="DJ14" i="14"/>
  <c r="DK14" i="14"/>
  <c r="DL14" i="14"/>
  <c r="DM14" i="14"/>
  <c r="DN14" i="14"/>
  <c r="DO14" i="14"/>
  <c r="DP14" i="14"/>
  <c r="DQ14" i="14"/>
  <c r="DR14" i="14"/>
  <c r="DS14" i="14"/>
  <c r="DT14" i="14"/>
  <c r="DU14" i="14"/>
  <c r="DV14" i="14"/>
  <c r="DW14" i="14"/>
  <c r="DX14" i="14"/>
  <c r="DY14" i="14"/>
  <c r="DZ14" i="14"/>
  <c r="EA14" i="14"/>
  <c r="EB14" i="14"/>
  <c r="EC14" i="14"/>
  <c r="ED14" i="14"/>
  <c r="EE14" i="14"/>
  <c r="EF14" i="14"/>
  <c r="EG14" i="14"/>
  <c r="EH14" i="14"/>
  <c r="EI14" i="14"/>
  <c r="EJ14" i="14"/>
  <c r="EK14" i="14"/>
  <c r="EL14" i="14"/>
  <c r="DI17" i="14"/>
  <c r="DJ17" i="14"/>
  <c r="DK17" i="14"/>
  <c r="DL17" i="14"/>
  <c r="DM17" i="14"/>
  <c r="DN17" i="14"/>
  <c r="DO17" i="14"/>
  <c r="DP17" i="14"/>
  <c r="DQ17" i="14"/>
  <c r="DR17" i="14"/>
  <c r="DS17" i="14"/>
  <c r="DT17" i="14"/>
  <c r="DU17" i="14"/>
  <c r="DV17" i="14"/>
  <c r="DW17" i="14"/>
  <c r="DX17" i="14"/>
  <c r="DY17" i="14"/>
  <c r="DZ17" i="14"/>
  <c r="EA17" i="14"/>
  <c r="EB17" i="14"/>
  <c r="EC17" i="14"/>
  <c r="ED17" i="14"/>
  <c r="EE17" i="14"/>
  <c r="EF17" i="14"/>
  <c r="EG17" i="14"/>
  <c r="EH17" i="14"/>
  <c r="EI17" i="14"/>
  <c r="EJ17" i="14"/>
  <c r="EK17" i="14"/>
  <c r="EL17" i="14"/>
  <c r="DI24" i="14"/>
  <c r="DJ24" i="14"/>
  <c r="DK24" i="14"/>
  <c r="DL24" i="14"/>
  <c r="DM24" i="14"/>
  <c r="DN24" i="14"/>
  <c r="DO24" i="14"/>
  <c r="DP24" i="14"/>
  <c r="DQ24" i="14"/>
  <c r="DR24" i="14"/>
  <c r="DS24" i="14"/>
  <c r="DT24" i="14"/>
  <c r="DU24" i="14"/>
  <c r="DV24" i="14"/>
  <c r="DW24" i="14"/>
  <c r="DX24" i="14"/>
  <c r="DY24" i="14"/>
  <c r="DZ24" i="14"/>
  <c r="EA24" i="14"/>
  <c r="EB24" i="14"/>
  <c r="EC24" i="14"/>
  <c r="ED24" i="14"/>
  <c r="EE24" i="14"/>
  <c r="EF24" i="14"/>
  <c r="EG24" i="14"/>
  <c r="EH24" i="14"/>
  <c r="EI24" i="14"/>
  <c r="EJ24" i="14"/>
  <c r="EK24" i="14"/>
  <c r="EL24" i="14"/>
  <c r="DI26" i="14"/>
  <c r="DJ26" i="14"/>
  <c r="DK26" i="14"/>
  <c r="DL26" i="14"/>
  <c r="DM26" i="14"/>
  <c r="DN26" i="14"/>
  <c r="DO26" i="14"/>
  <c r="DP26" i="14"/>
  <c r="DQ26" i="14"/>
  <c r="DR26" i="14"/>
  <c r="DS26" i="14"/>
  <c r="DT26" i="14"/>
  <c r="DU26" i="14"/>
  <c r="DV26" i="14"/>
  <c r="DW26" i="14"/>
  <c r="DX26" i="14"/>
  <c r="DY26" i="14"/>
  <c r="DZ26" i="14"/>
  <c r="EA26" i="14"/>
  <c r="EB26" i="14"/>
  <c r="EC26" i="14"/>
  <c r="ED26" i="14"/>
  <c r="EE26" i="14"/>
  <c r="EF26" i="14"/>
  <c r="EG26" i="14"/>
  <c r="EH26" i="14"/>
  <c r="EI26" i="14"/>
  <c r="EJ26" i="14"/>
  <c r="EK26" i="14"/>
  <c r="EL26" i="14"/>
  <c r="DI34" i="14"/>
  <c r="DJ34" i="14"/>
  <c r="DK34" i="14"/>
  <c r="DL34" i="14"/>
  <c r="DM34" i="14"/>
  <c r="DN34" i="14"/>
  <c r="DO34" i="14"/>
  <c r="DP34" i="14"/>
  <c r="DQ34" i="14"/>
  <c r="DR34" i="14"/>
  <c r="DS34" i="14"/>
  <c r="DT34" i="14"/>
  <c r="DU34" i="14"/>
  <c r="DV34" i="14"/>
  <c r="DW34" i="14"/>
  <c r="DX34" i="14"/>
  <c r="DY34" i="14"/>
  <c r="DZ34" i="14"/>
  <c r="EA34" i="14"/>
  <c r="EB34" i="14"/>
  <c r="EC34" i="14"/>
  <c r="ED34" i="14"/>
  <c r="EE34" i="14"/>
  <c r="EF34" i="14"/>
  <c r="EG34" i="14"/>
  <c r="EH34" i="14"/>
  <c r="EI34" i="14"/>
  <c r="EJ34" i="14"/>
  <c r="EK34" i="14"/>
  <c r="EL34" i="14"/>
  <c r="DI38" i="14"/>
  <c r="DJ38" i="14"/>
  <c r="DK38" i="14"/>
  <c r="DL38" i="14"/>
  <c r="DM38" i="14"/>
  <c r="DN38" i="14"/>
  <c r="DO38" i="14"/>
  <c r="DP38" i="14"/>
  <c r="DQ38" i="14"/>
  <c r="DR38" i="14"/>
  <c r="DS38" i="14"/>
  <c r="DT38" i="14"/>
  <c r="DU38" i="14"/>
  <c r="DV38" i="14"/>
  <c r="DW38" i="14"/>
  <c r="DX38" i="14"/>
  <c r="DY38" i="14"/>
  <c r="DZ38" i="14"/>
  <c r="EA38" i="14"/>
  <c r="EB38" i="14"/>
  <c r="EC38" i="14"/>
  <c r="ED38" i="14"/>
  <c r="EE38" i="14"/>
  <c r="EF38" i="14"/>
  <c r="EG38" i="14"/>
  <c r="EH38" i="14"/>
  <c r="EI38" i="14"/>
  <c r="EJ38" i="14"/>
  <c r="EK38" i="14"/>
  <c r="EL38" i="14"/>
  <c r="DI41" i="14"/>
  <c r="DJ41" i="14"/>
  <c r="DK41" i="14"/>
  <c r="DL41" i="14"/>
  <c r="DM41" i="14"/>
  <c r="DN41" i="14"/>
  <c r="DO41" i="14"/>
  <c r="DP41" i="14"/>
  <c r="DQ41" i="14"/>
  <c r="DR41" i="14"/>
  <c r="DS41" i="14"/>
  <c r="DT41" i="14"/>
  <c r="DU41" i="14"/>
  <c r="DV41" i="14"/>
  <c r="DW41" i="14"/>
  <c r="DX41" i="14"/>
  <c r="DY41" i="14"/>
  <c r="DZ41" i="14"/>
  <c r="EA41" i="14"/>
  <c r="EB41" i="14"/>
  <c r="EC41" i="14"/>
  <c r="ED41" i="14"/>
  <c r="EE41" i="14"/>
  <c r="EF41" i="14"/>
  <c r="EG41" i="14"/>
  <c r="EH41" i="14"/>
  <c r="EI41" i="14"/>
  <c r="EJ41" i="14"/>
  <c r="EK41" i="14"/>
  <c r="EL41" i="14"/>
  <c r="DI43" i="14"/>
  <c r="DJ43" i="14"/>
  <c r="DK43" i="14"/>
  <c r="DL43" i="14"/>
  <c r="DM43" i="14"/>
  <c r="DN43" i="14"/>
  <c r="DO43" i="14"/>
  <c r="DP43" i="14"/>
  <c r="DQ43" i="14"/>
  <c r="DR43" i="14"/>
  <c r="DS43" i="14"/>
  <c r="DT43" i="14"/>
  <c r="DU43" i="14"/>
  <c r="DV43" i="14"/>
  <c r="DW43" i="14"/>
  <c r="DX43" i="14"/>
  <c r="DY43" i="14"/>
  <c r="DZ43" i="14"/>
  <c r="EA43" i="14"/>
  <c r="EB43" i="14"/>
  <c r="EC43" i="14"/>
  <c r="ED43" i="14"/>
  <c r="EE43" i="14"/>
  <c r="EF43" i="14"/>
  <c r="EG43" i="14"/>
  <c r="EH43" i="14"/>
  <c r="EI43" i="14"/>
  <c r="EJ43" i="14"/>
  <c r="EK43" i="14"/>
  <c r="EL43" i="14"/>
  <c r="DI48" i="14"/>
  <c r="DJ48" i="14"/>
  <c r="DK48" i="14"/>
  <c r="DL48" i="14"/>
  <c r="DM48" i="14"/>
  <c r="DN48" i="14"/>
  <c r="DO48" i="14"/>
  <c r="DP48" i="14"/>
  <c r="DQ48" i="14"/>
  <c r="DR48" i="14"/>
  <c r="DS48" i="14"/>
  <c r="DT48" i="14"/>
  <c r="DU48" i="14"/>
  <c r="DV48" i="14"/>
  <c r="DW48" i="14"/>
  <c r="DX48" i="14"/>
  <c r="DY48" i="14"/>
  <c r="DZ48" i="14"/>
  <c r="EA48" i="14"/>
  <c r="EB48" i="14"/>
  <c r="EC48" i="14"/>
  <c r="ED48" i="14"/>
  <c r="EE48" i="14"/>
  <c r="EF48" i="14"/>
  <c r="EG48" i="14"/>
  <c r="EH48" i="14"/>
  <c r="EI48" i="14"/>
  <c r="EJ48" i="14"/>
  <c r="EK48" i="14"/>
  <c r="EL48" i="14"/>
  <c r="DI58" i="14"/>
  <c r="DJ58" i="14"/>
  <c r="DK58" i="14"/>
  <c r="DL58" i="14"/>
  <c r="DM58" i="14"/>
  <c r="DN58" i="14"/>
  <c r="DO58" i="14"/>
  <c r="DP58" i="14"/>
  <c r="DQ58" i="14"/>
  <c r="DR58" i="14"/>
  <c r="DS58" i="14"/>
  <c r="DT58" i="14"/>
  <c r="DU58" i="14"/>
  <c r="DV58" i="14"/>
  <c r="DW58" i="14"/>
  <c r="DX58" i="14"/>
  <c r="DY58" i="14"/>
  <c r="DZ58" i="14"/>
  <c r="EA58" i="14"/>
  <c r="EB58" i="14"/>
  <c r="EC58" i="14"/>
  <c r="ED58" i="14"/>
  <c r="EE58" i="14"/>
  <c r="EF58" i="14"/>
  <c r="EG58" i="14"/>
  <c r="EH58" i="14"/>
  <c r="EI58" i="14"/>
  <c r="EJ58" i="14"/>
  <c r="EK58" i="14"/>
  <c r="EL58" i="14"/>
  <c r="DI72" i="14"/>
  <c r="DJ72" i="14"/>
  <c r="DK72" i="14"/>
  <c r="DL72" i="14"/>
  <c r="DM72" i="14"/>
  <c r="DN72" i="14"/>
  <c r="DO72" i="14"/>
  <c r="DP72" i="14"/>
  <c r="DQ72" i="14"/>
  <c r="DR72" i="14"/>
  <c r="DS72" i="14"/>
  <c r="DT72" i="14"/>
  <c r="DU72" i="14"/>
  <c r="DV72" i="14"/>
  <c r="DW72" i="14"/>
  <c r="DX72" i="14"/>
  <c r="DY72" i="14"/>
  <c r="DZ72" i="14"/>
  <c r="EA72" i="14"/>
  <c r="EB72" i="14"/>
  <c r="EC72" i="14"/>
  <c r="ED72" i="14"/>
  <c r="EE72" i="14"/>
  <c r="EF72" i="14"/>
  <c r="EG72" i="14"/>
  <c r="EH72" i="14"/>
  <c r="EI72" i="14"/>
  <c r="EJ72" i="14"/>
  <c r="EK72" i="14"/>
  <c r="EL72" i="14"/>
  <c r="DI74" i="14"/>
  <c r="DJ74" i="14"/>
  <c r="DK74" i="14"/>
  <c r="DL74" i="14"/>
  <c r="DM74" i="14"/>
  <c r="DN74" i="14"/>
  <c r="DO74" i="14"/>
  <c r="DP74" i="14"/>
  <c r="DQ74" i="14"/>
  <c r="DR74" i="14"/>
  <c r="DS74" i="14"/>
  <c r="DT74" i="14"/>
  <c r="DU74" i="14"/>
  <c r="DV74" i="14"/>
  <c r="DW74" i="14"/>
  <c r="DX74" i="14"/>
  <c r="DY74" i="14"/>
  <c r="DZ74" i="14"/>
  <c r="EA74" i="14"/>
  <c r="EB74" i="14"/>
  <c r="EC74" i="14"/>
  <c r="ED74" i="14"/>
  <c r="EE74" i="14"/>
  <c r="EF74" i="14"/>
  <c r="EG74" i="14"/>
  <c r="EH74" i="14"/>
  <c r="EI74" i="14"/>
  <c r="EJ74" i="14"/>
  <c r="EK74" i="14"/>
  <c r="EL74" i="14"/>
  <c r="DI79" i="14"/>
  <c r="DJ79" i="14"/>
  <c r="DK79" i="14"/>
  <c r="DL79" i="14"/>
  <c r="DM79" i="14"/>
  <c r="DN79" i="14"/>
  <c r="DO79" i="14"/>
  <c r="DP79" i="14"/>
  <c r="DQ79" i="14"/>
  <c r="DR79" i="14"/>
  <c r="DS79" i="14"/>
  <c r="DT79" i="14"/>
  <c r="DU79" i="14"/>
  <c r="DV79" i="14"/>
  <c r="DW79" i="14"/>
  <c r="DX79" i="14"/>
  <c r="DY79" i="14"/>
  <c r="DZ79" i="14"/>
  <c r="EA79" i="14"/>
  <c r="EB79" i="14"/>
  <c r="EC79" i="14"/>
  <c r="ED79" i="14"/>
  <c r="EE79" i="14"/>
  <c r="EF79" i="14"/>
  <c r="EG79" i="14"/>
  <c r="EH79" i="14"/>
  <c r="EI79" i="14"/>
  <c r="EJ79" i="14"/>
  <c r="EK79" i="14"/>
  <c r="EL79" i="14"/>
  <c r="DI86" i="14"/>
  <c r="DJ86" i="14"/>
  <c r="DK86" i="14"/>
  <c r="DL86" i="14"/>
  <c r="DM86" i="14"/>
  <c r="DN86" i="14"/>
  <c r="DO86" i="14"/>
  <c r="DP86" i="14"/>
  <c r="DQ86" i="14"/>
  <c r="DR86" i="14"/>
  <c r="DS86" i="14"/>
  <c r="DT86" i="14"/>
  <c r="DU86" i="14"/>
  <c r="DV86" i="14"/>
  <c r="DW86" i="14"/>
  <c r="DX86" i="14"/>
  <c r="DY86" i="14"/>
  <c r="DZ86" i="14"/>
  <c r="EA86" i="14"/>
  <c r="EB86" i="14"/>
  <c r="EC86" i="14"/>
  <c r="ED86" i="14"/>
  <c r="EE86" i="14"/>
  <c r="EF86" i="14"/>
  <c r="EG86" i="14"/>
  <c r="EH86" i="14"/>
  <c r="EI86" i="14"/>
  <c r="EJ86" i="14"/>
  <c r="EK86" i="14"/>
  <c r="EL86" i="14"/>
  <c r="DI88" i="14"/>
  <c r="DJ88" i="14"/>
  <c r="DK88" i="14"/>
  <c r="DL88" i="14"/>
  <c r="DM88" i="14"/>
  <c r="DN88" i="14"/>
  <c r="DO88" i="14"/>
  <c r="DP88" i="14"/>
  <c r="DQ88" i="14"/>
  <c r="DR88" i="14"/>
  <c r="DS88" i="14"/>
  <c r="DT88" i="14"/>
  <c r="DU88" i="14"/>
  <c r="DV88" i="14"/>
  <c r="DW88" i="14"/>
  <c r="DX88" i="14"/>
  <c r="DY88" i="14"/>
  <c r="DZ88" i="14"/>
  <c r="EA88" i="14"/>
  <c r="EB88" i="14"/>
  <c r="EC88" i="14"/>
  <c r="ED88" i="14"/>
  <c r="EE88" i="14"/>
  <c r="EF88" i="14"/>
  <c r="EG88" i="14"/>
  <c r="EH88" i="14"/>
  <c r="EI88" i="14"/>
  <c r="EJ88" i="14"/>
  <c r="EK88" i="14"/>
  <c r="EL88" i="14"/>
  <c r="DI98" i="14"/>
  <c r="DJ98" i="14"/>
  <c r="DK98" i="14"/>
  <c r="DL98" i="14"/>
  <c r="DM98" i="14"/>
  <c r="DN98" i="14"/>
  <c r="DO98" i="14"/>
  <c r="DP98" i="14"/>
  <c r="DQ98" i="14"/>
  <c r="DR98" i="14"/>
  <c r="DS98" i="14"/>
  <c r="DT98" i="14"/>
  <c r="DU98" i="14"/>
  <c r="DV98" i="14"/>
  <c r="DW98" i="14"/>
  <c r="DX98" i="14"/>
  <c r="DY98" i="14"/>
  <c r="DZ98" i="14"/>
  <c r="EA98" i="14"/>
  <c r="EB98" i="14"/>
  <c r="EC98" i="14"/>
  <c r="ED98" i="14"/>
  <c r="EE98" i="14"/>
  <c r="EF98" i="14"/>
  <c r="EG98" i="14"/>
  <c r="EH98" i="14"/>
  <c r="EI98" i="14"/>
  <c r="EJ98" i="14"/>
  <c r="EK98" i="14"/>
  <c r="EL98" i="14"/>
  <c r="DI103" i="14"/>
  <c r="DJ103" i="14"/>
  <c r="DK103" i="14"/>
  <c r="DL103" i="14"/>
  <c r="DM103" i="14"/>
  <c r="DN103" i="14"/>
  <c r="DO103" i="14"/>
  <c r="DP103" i="14"/>
  <c r="DQ103" i="14"/>
  <c r="DR103" i="14"/>
  <c r="DS103" i="14"/>
  <c r="DT103" i="14"/>
  <c r="DU103" i="14"/>
  <c r="DV103" i="14"/>
  <c r="DW103" i="14"/>
  <c r="DX103" i="14"/>
  <c r="DY103" i="14"/>
  <c r="DZ103" i="14"/>
  <c r="EA103" i="14"/>
  <c r="EB103" i="14"/>
  <c r="EC103" i="14"/>
  <c r="ED103" i="14"/>
  <c r="EE103" i="14"/>
  <c r="EF103" i="14"/>
  <c r="EG103" i="14"/>
  <c r="EH103" i="14"/>
  <c r="EI103" i="14"/>
  <c r="EJ103" i="14"/>
  <c r="EK103" i="14"/>
  <c r="EL103" i="14"/>
  <c r="DI105" i="14"/>
  <c r="DJ105" i="14"/>
  <c r="DK105" i="14"/>
  <c r="DL105" i="14"/>
  <c r="DM105" i="14"/>
  <c r="DN105" i="14"/>
  <c r="DO105" i="14"/>
  <c r="DP105" i="14"/>
  <c r="DQ105" i="14"/>
  <c r="DR105" i="14"/>
  <c r="DS105" i="14"/>
  <c r="DT105" i="14"/>
  <c r="DU105" i="14"/>
  <c r="DV105" i="14"/>
  <c r="DW105" i="14"/>
  <c r="DX105" i="14"/>
  <c r="DY105" i="14"/>
  <c r="DZ105" i="14"/>
  <c r="EA105" i="14"/>
  <c r="EB105" i="14"/>
  <c r="EC105" i="14"/>
  <c r="ED105" i="14"/>
  <c r="EE105" i="14"/>
  <c r="EF105" i="14"/>
  <c r="EG105" i="14"/>
  <c r="EH105" i="14"/>
  <c r="EI105" i="14"/>
  <c r="EJ105" i="14"/>
  <c r="EK105" i="14"/>
  <c r="EL105" i="14"/>
  <c r="DI108" i="14"/>
  <c r="DJ108" i="14"/>
  <c r="DK108" i="14"/>
  <c r="DL108" i="14"/>
  <c r="DM108" i="14"/>
  <c r="DN108" i="14"/>
  <c r="DO108" i="14"/>
  <c r="DP108" i="14"/>
  <c r="DQ108" i="14"/>
  <c r="DR108" i="14"/>
  <c r="DS108" i="14"/>
  <c r="DT108" i="14"/>
  <c r="DU108" i="14"/>
  <c r="DV108" i="14"/>
  <c r="DW108" i="14"/>
  <c r="DX108" i="14"/>
  <c r="DY108" i="14"/>
  <c r="DZ108" i="14"/>
  <c r="EA108" i="14"/>
  <c r="EB108" i="14"/>
  <c r="EC108" i="14"/>
  <c r="ED108" i="14"/>
  <c r="EE108" i="14"/>
  <c r="EF108" i="14"/>
  <c r="EG108" i="14"/>
  <c r="EH108" i="14"/>
  <c r="EI108" i="14"/>
  <c r="EJ108" i="14"/>
  <c r="EK108" i="14"/>
  <c r="EL108" i="14"/>
  <c r="DI111" i="14"/>
  <c r="DJ111" i="14"/>
  <c r="DK111" i="14"/>
  <c r="DL111" i="14"/>
  <c r="DM111" i="14"/>
  <c r="DN111" i="14"/>
  <c r="DO111" i="14"/>
  <c r="DP111" i="14"/>
  <c r="DQ111" i="14"/>
  <c r="DR111" i="14"/>
  <c r="DS111" i="14"/>
  <c r="DT111" i="14"/>
  <c r="DU111" i="14"/>
  <c r="DV111" i="14"/>
  <c r="DW111" i="14"/>
  <c r="DX111" i="14"/>
  <c r="DY111" i="14"/>
  <c r="DZ111" i="14"/>
  <c r="EA111" i="14"/>
  <c r="EB111" i="14"/>
  <c r="EC111" i="14"/>
  <c r="ED111" i="14"/>
  <c r="EE111" i="14"/>
  <c r="EF111" i="14"/>
  <c r="EG111" i="14"/>
  <c r="EH111" i="14"/>
  <c r="EI111" i="14"/>
  <c r="EJ111" i="14"/>
  <c r="EK111" i="14"/>
  <c r="EL111" i="14"/>
  <c r="DI114" i="14"/>
  <c r="DJ114" i="14"/>
  <c r="DK114" i="14"/>
  <c r="DL114" i="14"/>
  <c r="DM114" i="14"/>
  <c r="DN114" i="14"/>
  <c r="DO114" i="14"/>
  <c r="DP114" i="14"/>
  <c r="DQ114" i="14"/>
  <c r="DR114" i="14"/>
  <c r="DS114" i="14"/>
  <c r="DT114" i="14"/>
  <c r="DU114" i="14"/>
  <c r="DV114" i="14"/>
  <c r="DW114" i="14"/>
  <c r="DX114" i="14"/>
  <c r="DY114" i="14"/>
  <c r="DZ114" i="14"/>
  <c r="EA114" i="14"/>
  <c r="EB114" i="14"/>
  <c r="EC114" i="14"/>
  <c r="ED114" i="14"/>
  <c r="EE114" i="14"/>
  <c r="EF114" i="14"/>
  <c r="EG114" i="14"/>
  <c r="EH114" i="14"/>
  <c r="EI114" i="14"/>
  <c r="EJ114" i="14"/>
  <c r="EK114" i="14"/>
  <c r="EL114" i="14"/>
  <c r="DI118" i="14"/>
  <c r="DJ118" i="14"/>
  <c r="DK118" i="14"/>
  <c r="DL118" i="14"/>
  <c r="DM118" i="14"/>
  <c r="DN118" i="14"/>
  <c r="DO118" i="14"/>
  <c r="DP118" i="14"/>
  <c r="DQ118" i="14"/>
  <c r="DR118" i="14"/>
  <c r="DS118" i="14"/>
  <c r="DT118" i="14"/>
  <c r="DU118" i="14"/>
  <c r="DV118" i="14"/>
  <c r="DW118" i="14"/>
  <c r="DX118" i="14"/>
  <c r="DY118" i="14"/>
  <c r="DZ118" i="14"/>
  <c r="EA118" i="14"/>
  <c r="EB118" i="14"/>
  <c r="EC118" i="14"/>
  <c r="ED118" i="14"/>
  <c r="EE118" i="14"/>
  <c r="EF118" i="14"/>
  <c r="EG118" i="14"/>
  <c r="EH118" i="14"/>
  <c r="EI118" i="14"/>
  <c r="EJ118" i="14"/>
  <c r="EK118" i="14"/>
  <c r="EL118" i="14"/>
  <c r="DI122" i="14"/>
  <c r="DJ122" i="14"/>
  <c r="DK122" i="14"/>
  <c r="DL122" i="14"/>
  <c r="DM122" i="14"/>
  <c r="DN122" i="14"/>
  <c r="DO122" i="14"/>
  <c r="DP122" i="14"/>
  <c r="DQ122" i="14"/>
  <c r="DR122" i="14"/>
  <c r="DS122" i="14"/>
  <c r="DT122" i="14"/>
  <c r="DU122" i="14"/>
  <c r="DV122" i="14"/>
  <c r="DW122" i="14"/>
  <c r="DX122" i="14"/>
  <c r="DY122" i="14"/>
  <c r="DZ122" i="14"/>
  <c r="EA122" i="14"/>
  <c r="EB122" i="14"/>
  <c r="EC122" i="14"/>
  <c r="ED122" i="14"/>
  <c r="EE122" i="14"/>
  <c r="EF122" i="14"/>
  <c r="EG122" i="14"/>
  <c r="EH122" i="14"/>
  <c r="EI122" i="14"/>
  <c r="EJ122" i="14"/>
  <c r="EK122" i="14"/>
  <c r="EL122" i="14"/>
  <c r="DI129" i="14"/>
  <c r="DJ129" i="14"/>
  <c r="DK129" i="14"/>
  <c r="DL129" i="14"/>
  <c r="DM129" i="14"/>
  <c r="DN129" i="14"/>
  <c r="DO129" i="14"/>
  <c r="DP129" i="14"/>
  <c r="DQ129" i="14"/>
  <c r="DR129" i="14"/>
  <c r="DS129" i="14"/>
  <c r="DT129" i="14"/>
  <c r="DU129" i="14"/>
  <c r="DV129" i="14"/>
  <c r="DW129" i="14"/>
  <c r="DX129" i="14"/>
  <c r="DY129" i="14"/>
  <c r="DZ129" i="14"/>
  <c r="EA129" i="14"/>
  <c r="EB129" i="14"/>
  <c r="EC129" i="14"/>
  <c r="ED129" i="14"/>
  <c r="EE129" i="14"/>
  <c r="EF129" i="14"/>
  <c r="EG129" i="14"/>
  <c r="EH129" i="14"/>
  <c r="EI129" i="14"/>
  <c r="EJ129" i="14"/>
  <c r="EK129" i="14"/>
  <c r="EL129" i="14"/>
  <c r="DI133" i="14"/>
  <c r="DJ133" i="14"/>
  <c r="DK133" i="14"/>
  <c r="DL133" i="14"/>
  <c r="DM133" i="14"/>
  <c r="DN133" i="14"/>
  <c r="DO133" i="14"/>
  <c r="DP133" i="14"/>
  <c r="DQ133" i="14"/>
  <c r="DR133" i="14"/>
  <c r="DS133" i="14"/>
  <c r="DT133" i="14"/>
  <c r="DU133" i="14"/>
  <c r="DV133" i="14"/>
  <c r="DW133" i="14"/>
  <c r="DX133" i="14"/>
  <c r="DY133" i="14"/>
  <c r="DZ133" i="14"/>
  <c r="EA133" i="14"/>
  <c r="EB133" i="14"/>
  <c r="EC133" i="14"/>
  <c r="ED133" i="14"/>
  <c r="EE133" i="14"/>
  <c r="EF133" i="14"/>
  <c r="EG133" i="14"/>
  <c r="EH133" i="14"/>
  <c r="EI133" i="14"/>
  <c r="EJ133" i="14"/>
  <c r="EK133" i="14"/>
  <c r="EL133" i="14"/>
  <c r="DI137" i="14"/>
  <c r="DJ137" i="14"/>
  <c r="DK137" i="14"/>
  <c r="DL137" i="14"/>
  <c r="DM137" i="14"/>
  <c r="DN137" i="14"/>
  <c r="DO137" i="14"/>
  <c r="DP137" i="14"/>
  <c r="DQ137" i="14"/>
  <c r="DR137" i="14"/>
  <c r="DS137" i="14"/>
  <c r="DT137" i="14"/>
  <c r="DU137" i="14"/>
  <c r="DV137" i="14"/>
  <c r="DW137" i="14"/>
  <c r="DX137" i="14"/>
  <c r="DY137" i="14"/>
  <c r="DZ137" i="14"/>
  <c r="EA137" i="14"/>
  <c r="EB137" i="14"/>
  <c r="EC137" i="14"/>
  <c r="ED137" i="14"/>
  <c r="EE137" i="14"/>
  <c r="EF137" i="14"/>
  <c r="EG137" i="14"/>
  <c r="EH137" i="14"/>
  <c r="EI137" i="14"/>
  <c r="EJ137" i="14"/>
  <c r="EK137" i="14"/>
  <c r="EL137" i="14"/>
  <c r="I117" i="6"/>
  <c r="K117" i="6"/>
  <c r="M117" i="6"/>
  <c r="O117" i="6"/>
  <c r="Q117" i="6"/>
  <c r="S117" i="6"/>
  <c r="U117" i="6"/>
  <c r="W117" i="6"/>
  <c r="Y117" i="6"/>
  <c r="AA117" i="6"/>
  <c r="AC117" i="6"/>
  <c r="AE117" i="6"/>
  <c r="AG117" i="6"/>
  <c r="AI117" i="6"/>
  <c r="AK117" i="6"/>
  <c r="AM117" i="6"/>
  <c r="AO117" i="6"/>
  <c r="AQ117" i="6"/>
  <c r="AS117" i="6"/>
  <c r="AU117" i="6"/>
  <c r="AW117" i="6"/>
  <c r="AY117" i="6"/>
  <c r="BA117" i="6"/>
  <c r="BC117" i="6"/>
  <c r="BE117" i="6"/>
  <c r="BG117" i="6"/>
  <c r="BI117" i="6"/>
  <c r="BK117" i="6"/>
  <c r="BM117" i="6"/>
  <c r="BO117" i="6"/>
  <c r="BQ117" i="6"/>
  <c r="BS117" i="6"/>
  <c r="BU117" i="6"/>
  <c r="BW117" i="6"/>
  <c r="BY117" i="6"/>
  <c r="CA117" i="6"/>
  <c r="CC117" i="6"/>
  <c r="CE117" i="6"/>
  <c r="CG117" i="6"/>
  <c r="CI117" i="6"/>
  <c r="CK117" i="6"/>
  <c r="CM117" i="6"/>
  <c r="CN117" i="6"/>
  <c r="CO117" i="6"/>
  <c r="I100" i="3"/>
  <c r="J100" i="3"/>
  <c r="K100" i="3"/>
  <c r="M100" i="3"/>
  <c r="N100" i="3"/>
  <c r="O100" i="3"/>
  <c r="Q100" i="3"/>
  <c r="R100" i="3"/>
  <c r="S100" i="3"/>
  <c r="U100" i="3"/>
  <c r="V100" i="3"/>
  <c r="W100" i="3"/>
  <c r="Y100" i="3"/>
  <c r="Z100" i="3"/>
  <c r="AA100" i="3"/>
  <c r="AC100" i="3"/>
  <c r="AD100" i="3"/>
  <c r="AE100" i="3"/>
  <c r="AG100" i="3"/>
  <c r="AH100" i="3"/>
  <c r="AI100" i="3"/>
  <c r="AK100" i="3"/>
  <c r="AL100" i="3"/>
  <c r="AM100" i="3"/>
  <c r="AO100" i="3"/>
  <c r="AP100" i="3"/>
  <c r="AQ100" i="3"/>
  <c r="AS100" i="3"/>
  <c r="AT100" i="3"/>
  <c r="AU100" i="3"/>
  <c r="AW100" i="3"/>
  <c r="AX100" i="3"/>
  <c r="AY100" i="3"/>
  <c r="BA100" i="3"/>
  <c r="BB100" i="3"/>
  <c r="BC100" i="3"/>
  <c r="BE100" i="3"/>
  <c r="BF100" i="3"/>
  <c r="BG100" i="3"/>
  <c r="BI100" i="3"/>
  <c r="BJ100" i="3"/>
  <c r="BK100" i="3"/>
  <c r="BM100" i="3"/>
  <c r="BN100" i="3"/>
  <c r="BO100" i="3"/>
  <c r="BQ100" i="3"/>
  <c r="BR100" i="3"/>
  <c r="BS100" i="3"/>
  <c r="BU100" i="3"/>
  <c r="BV100" i="3"/>
  <c r="BW100" i="3"/>
  <c r="BY100" i="3"/>
  <c r="BZ100" i="3"/>
  <c r="CA100" i="3"/>
  <c r="CC100" i="3"/>
  <c r="CD100" i="3"/>
  <c r="CE100" i="3"/>
  <c r="CG100" i="3"/>
  <c r="CH100" i="3"/>
  <c r="CI100" i="3"/>
  <c r="CK100" i="3"/>
  <c r="CL100" i="3"/>
  <c r="CM100" i="3"/>
  <c r="CO100" i="3"/>
  <c r="CP100" i="3"/>
  <c r="I99" i="3"/>
  <c r="K99" i="3"/>
  <c r="M99" i="3"/>
  <c r="O99" i="3"/>
  <c r="Q99" i="3"/>
  <c r="S99" i="3"/>
  <c r="U99" i="3"/>
  <c r="W99" i="3"/>
  <c r="Y99" i="3"/>
  <c r="AA99" i="3"/>
  <c r="AC99" i="3"/>
  <c r="AE99" i="3"/>
  <c r="AG99" i="3"/>
  <c r="AI99" i="3"/>
  <c r="AK99" i="3"/>
  <c r="AM99" i="3"/>
  <c r="AO99" i="3"/>
  <c r="AQ99" i="3"/>
  <c r="AS99" i="3"/>
  <c r="AU99" i="3"/>
  <c r="AW99" i="3"/>
  <c r="AY99" i="3"/>
  <c r="BA99" i="3"/>
  <c r="BC99" i="3"/>
  <c r="BE99" i="3"/>
  <c r="BG99" i="3"/>
  <c r="BI99" i="3"/>
  <c r="BK99" i="3"/>
  <c r="BM99" i="3"/>
  <c r="BO99" i="3"/>
  <c r="BQ99" i="3"/>
  <c r="BS99" i="3"/>
  <c r="BU99" i="3"/>
  <c r="BW99" i="3"/>
  <c r="BY99" i="3"/>
  <c r="CA99" i="3"/>
  <c r="CC99" i="3"/>
  <c r="CE99" i="3"/>
  <c r="CG99" i="3"/>
  <c r="CI99" i="3"/>
  <c r="CK99" i="3"/>
  <c r="CM99" i="3"/>
  <c r="CO99" i="3"/>
  <c r="I98" i="3"/>
  <c r="J98" i="3"/>
  <c r="K98" i="3"/>
  <c r="M98" i="3"/>
  <c r="N98" i="3"/>
  <c r="O98" i="3"/>
  <c r="Q98" i="3"/>
  <c r="R98" i="3"/>
  <c r="S98" i="3"/>
  <c r="U98" i="3"/>
  <c r="V98" i="3"/>
  <c r="W98" i="3"/>
  <c r="Y98" i="3"/>
  <c r="Z98" i="3"/>
  <c r="AA98" i="3"/>
  <c r="AC98" i="3"/>
  <c r="AD98" i="3"/>
  <c r="AE98" i="3"/>
  <c r="AG98" i="3"/>
  <c r="AH98" i="3"/>
  <c r="AI98" i="3"/>
  <c r="AK98" i="3"/>
  <c r="AL98" i="3"/>
  <c r="AM98" i="3"/>
  <c r="AO98" i="3"/>
  <c r="AP98" i="3"/>
  <c r="AQ98" i="3"/>
  <c r="AS98" i="3"/>
  <c r="AT98" i="3"/>
  <c r="AU98" i="3"/>
  <c r="AW98" i="3"/>
  <c r="AX98" i="3"/>
  <c r="AY98" i="3"/>
  <c r="BA98" i="3"/>
  <c r="BB98" i="3"/>
  <c r="BC98" i="3"/>
  <c r="BE98" i="3"/>
  <c r="BF98" i="3"/>
  <c r="BG98" i="3"/>
  <c r="BI98" i="3"/>
  <c r="BJ98" i="3"/>
  <c r="BK98" i="3"/>
  <c r="BM98" i="3"/>
  <c r="BN98" i="3"/>
  <c r="BO98" i="3"/>
  <c r="BQ98" i="3"/>
  <c r="BR98" i="3"/>
  <c r="BS98" i="3"/>
  <c r="BU98" i="3"/>
  <c r="BV98" i="3"/>
  <c r="BW98" i="3"/>
  <c r="BY98" i="3"/>
  <c r="BZ98" i="3"/>
  <c r="CA98" i="3"/>
  <c r="CC98" i="3"/>
  <c r="CD98" i="3"/>
  <c r="CE98" i="3"/>
  <c r="CG98" i="3"/>
  <c r="CH98" i="3"/>
  <c r="CI98" i="3"/>
  <c r="CK98" i="3"/>
  <c r="CL98" i="3"/>
  <c r="CM98" i="3"/>
  <c r="CO98" i="3"/>
  <c r="CP98" i="3"/>
  <c r="I116" i="6"/>
  <c r="J116" i="6"/>
  <c r="K116" i="6"/>
  <c r="M116" i="6"/>
  <c r="N116" i="6"/>
  <c r="O116" i="6"/>
  <c r="Q116" i="6"/>
  <c r="R116" i="6"/>
  <c r="S116" i="6"/>
  <c r="U116" i="6"/>
  <c r="V116" i="6"/>
  <c r="W116" i="6"/>
  <c r="Y116" i="6"/>
  <c r="Z116" i="6"/>
  <c r="AA116" i="6"/>
  <c r="AC116" i="6"/>
  <c r="AD116" i="6"/>
  <c r="AE116" i="6"/>
  <c r="AG116" i="6"/>
  <c r="AH116" i="6"/>
  <c r="AI116" i="6"/>
  <c r="AK116" i="6"/>
  <c r="AL116" i="6"/>
  <c r="AM116" i="6"/>
  <c r="AO116" i="6"/>
  <c r="AP116" i="6"/>
  <c r="AQ116" i="6"/>
  <c r="AS116" i="6"/>
  <c r="AT116" i="6"/>
  <c r="AU116" i="6"/>
  <c r="AW116" i="6"/>
  <c r="AX116" i="6"/>
  <c r="AY116" i="6"/>
  <c r="BA116" i="6"/>
  <c r="BB116" i="6"/>
  <c r="BC116" i="6"/>
  <c r="BE116" i="6"/>
  <c r="BF116" i="6"/>
  <c r="BG116" i="6"/>
  <c r="BI116" i="6"/>
  <c r="BJ116" i="6"/>
  <c r="BK116" i="6"/>
  <c r="BM116" i="6"/>
  <c r="BN116" i="6"/>
  <c r="BO116" i="6"/>
  <c r="BQ116" i="6"/>
  <c r="BR116" i="6"/>
  <c r="BS116" i="6"/>
  <c r="BU116" i="6"/>
  <c r="BV116" i="6"/>
  <c r="BW116" i="6"/>
  <c r="BY116" i="6"/>
  <c r="BZ116" i="6"/>
  <c r="CA116" i="6"/>
  <c r="CC116" i="6"/>
  <c r="CD116" i="6"/>
  <c r="CE116" i="6"/>
  <c r="CG116" i="6"/>
  <c r="CH116" i="6"/>
  <c r="CI116" i="6"/>
  <c r="CK116" i="6"/>
  <c r="CL116" i="6"/>
  <c r="CM116" i="6"/>
  <c r="CO116" i="6"/>
  <c r="CP116" i="6"/>
  <c r="I115" i="6"/>
  <c r="K115" i="6"/>
  <c r="M115" i="6"/>
  <c r="O115" i="6"/>
  <c r="Q115" i="6"/>
  <c r="S115" i="6"/>
  <c r="U115" i="6"/>
  <c r="W115" i="6"/>
  <c r="Y115" i="6"/>
  <c r="AA115" i="6"/>
  <c r="AC115" i="6"/>
  <c r="AE115" i="6"/>
  <c r="AG115" i="6"/>
  <c r="AI115" i="6"/>
  <c r="AK115" i="6"/>
  <c r="AM115" i="6"/>
  <c r="AO115" i="6"/>
  <c r="AQ115" i="6"/>
  <c r="AS115" i="6"/>
  <c r="AU115" i="6"/>
  <c r="AW115" i="6"/>
  <c r="AY115" i="6"/>
  <c r="BA115" i="6"/>
  <c r="BC115" i="6"/>
  <c r="BE115" i="6"/>
  <c r="BG115" i="6"/>
  <c r="BI115" i="6"/>
  <c r="BK115" i="6"/>
  <c r="BM115" i="6"/>
  <c r="BO115" i="6"/>
  <c r="BQ115" i="6"/>
  <c r="BS115" i="6"/>
  <c r="BU115" i="6"/>
  <c r="BW115" i="6"/>
  <c r="BY115" i="6"/>
  <c r="CA115" i="6"/>
  <c r="CC115" i="6"/>
  <c r="CE115" i="6"/>
  <c r="CG115" i="6"/>
  <c r="CI115" i="6"/>
  <c r="CK115" i="6"/>
  <c r="CM115" i="6"/>
  <c r="CN115" i="6"/>
  <c r="CO115" i="6"/>
  <c r="I114" i="6"/>
  <c r="J114" i="6"/>
  <c r="K114" i="6"/>
  <c r="M114" i="6"/>
  <c r="N114" i="6"/>
  <c r="O114" i="6"/>
  <c r="Q114" i="6"/>
  <c r="R114" i="6"/>
  <c r="S114" i="6"/>
  <c r="U114" i="6"/>
  <c r="V114" i="6"/>
  <c r="W114" i="6"/>
  <c r="Y114" i="6"/>
  <c r="Z114" i="6"/>
  <c r="AA114" i="6"/>
  <c r="AC114" i="6"/>
  <c r="AD114" i="6"/>
  <c r="AE114" i="6"/>
  <c r="AG114" i="6"/>
  <c r="AH114" i="6"/>
  <c r="AI114" i="6"/>
  <c r="AK114" i="6"/>
  <c r="AL114" i="6"/>
  <c r="AM114" i="6"/>
  <c r="AO114" i="6"/>
  <c r="AP114" i="6"/>
  <c r="AQ114" i="6"/>
  <c r="AS114" i="6"/>
  <c r="AT114" i="6"/>
  <c r="AU114" i="6"/>
  <c r="AW114" i="6"/>
  <c r="AX114" i="6"/>
  <c r="AY114" i="6"/>
  <c r="BA114" i="6"/>
  <c r="BB114" i="6"/>
  <c r="BC114" i="6"/>
  <c r="BE114" i="6"/>
  <c r="BF114" i="6"/>
  <c r="BG114" i="6"/>
  <c r="BI114" i="6"/>
  <c r="BJ114" i="6"/>
  <c r="BK114" i="6"/>
  <c r="BM114" i="6"/>
  <c r="BN114" i="6"/>
  <c r="BO114" i="6"/>
  <c r="BQ114" i="6"/>
  <c r="BR114" i="6"/>
  <c r="BS114" i="6"/>
  <c r="BU114" i="6"/>
  <c r="BV114" i="6"/>
  <c r="BW114" i="6"/>
  <c r="BY114" i="6"/>
  <c r="BZ114" i="6"/>
  <c r="CA114" i="6"/>
  <c r="CC114" i="6"/>
  <c r="CD114" i="6"/>
  <c r="CE114" i="6"/>
  <c r="CG114" i="6"/>
  <c r="CH114" i="6"/>
  <c r="CI114" i="6"/>
  <c r="CK114" i="6"/>
  <c r="CL114" i="6"/>
  <c r="CM114" i="6"/>
  <c r="CN114" i="6"/>
  <c r="CO114" i="6"/>
  <c r="CP114" i="6"/>
  <c r="I113" i="6"/>
  <c r="K113" i="6"/>
  <c r="M113" i="6"/>
  <c r="O113" i="6"/>
  <c r="Q113" i="6"/>
  <c r="S113" i="6"/>
  <c r="U113" i="6"/>
  <c r="W113" i="6"/>
  <c r="Y113" i="6"/>
  <c r="AA113" i="6"/>
  <c r="AC113" i="6"/>
  <c r="AE113" i="6"/>
  <c r="AG113" i="6"/>
  <c r="AI113" i="6"/>
  <c r="AK113" i="6"/>
  <c r="AM113" i="6"/>
  <c r="AO113" i="6"/>
  <c r="AQ113" i="6"/>
  <c r="AS113" i="6"/>
  <c r="AU113" i="6"/>
  <c r="AW113" i="6"/>
  <c r="AY113" i="6"/>
  <c r="BA113" i="6"/>
  <c r="BC113" i="6"/>
  <c r="BE113" i="6"/>
  <c r="BG113" i="6"/>
  <c r="BI113" i="6"/>
  <c r="BK113" i="6"/>
  <c r="BM113" i="6"/>
  <c r="BO113" i="6"/>
  <c r="BQ113" i="6"/>
  <c r="BS113" i="6"/>
  <c r="BU113" i="6"/>
  <c r="BW113" i="6"/>
  <c r="BY113" i="6"/>
  <c r="CA113" i="6"/>
  <c r="CC113" i="6"/>
  <c r="CE113" i="6"/>
  <c r="CG113" i="6"/>
  <c r="CI113" i="6"/>
  <c r="CK113" i="6"/>
  <c r="CM113" i="6"/>
  <c r="CN113" i="6"/>
  <c r="CO113" i="6"/>
  <c r="I110" i="6"/>
  <c r="J110" i="6"/>
  <c r="K110" i="6"/>
  <c r="M110" i="6"/>
  <c r="N110" i="6"/>
  <c r="O110" i="6"/>
  <c r="Q110" i="6"/>
  <c r="R110" i="6"/>
  <c r="S110" i="6"/>
  <c r="U110" i="6"/>
  <c r="V110" i="6"/>
  <c r="W110" i="6"/>
  <c r="Y110" i="6"/>
  <c r="Z110" i="6"/>
  <c r="AA110" i="6"/>
  <c r="AC110" i="6"/>
  <c r="AD110" i="6"/>
  <c r="AE110" i="6"/>
  <c r="AG110" i="6"/>
  <c r="AH110" i="6"/>
  <c r="AI110" i="6"/>
  <c r="AK110" i="6"/>
  <c r="AL110" i="6"/>
  <c r="AM110" i="6"/>
  <c r="AO110" i="6"/>
  <c r="AP110" i="6"/>
  <c r="AQ110" i="6"/>
  <c r="AS110" i="6"/>
  <c r="AT110" i="6"/>
  <c r="AU110" i="6"/>
  <c r="AW110" i="6"/>
  <c r="AX110" i="6"/>
  <c r="AY110" i="6"/>
  <c r="BA110" i="6"/>
  <c r="BB110" i="6"/>
  <c r="BC110" i="6"/>
  <c r="BE110" i="6"/>
  <c r="BF110" i="6"/>
  <c r="BG110" i="6"/>
  <c r="BI110" i="6"/>
  <c r="BJ110" i="6"/>
  <c r="BK110" i="6"/>
  <c r="BM110" i="6"/>
  <c r="BN110" i="6"/>
  <c r="BO110" i="6"/>
  <c r="BQ110" i="6"/>
  <c r="BR110" i="6"/>
  <c r="BS110" i="6"/>
  <c r="BU110" i="6"/>
  <c r="BV110" i="6"/>
  <c r="BW110" i="6"/>
  <c r="BY110" i="6"/>
  <c r="BZ110" i="6"/>
  <c r="CA110" i="6"/>
  <c r="CC110" i="6"/>
  <c r="CD110" i="6"/>
  <c r="CE110" i="6"/>
  <c r="CF110" i="6"/>
  <c r="CG110" i="6"/>
  <c r="CH110" i="6"/>
  <c r="CI110" i="6"/>
  <c r="CK110" i="6"/>
  <c r="CL110" i="6"/>
  <c r="CM110" i="6"/>
  <c r="CO110" i="6"/>
  <c r="CP110" i="6"/>
  <c r="I109" i="6"/>
  <c r="K109" i="6"/>
  <c r="M109" i="6"/>
  <c r="O109" i="6"/>
  <c r="Q109" i="6"/>
  <c r="S109" i="6"/>
  <c r="U109" i="6"/>
  <c r="W109" i="6"/>
  <c r="Y109" i="6"/>
  <c r="AA109" i="6"/>
  <c r="AC109" i="6"/>
  <c r="AE109" i="6"/>
  <c r="AG109" i="6"/>
  <c r="AI109" i="6"/>
  <c r="AK109" i="6"/>
  <c r="AM109" i="6"/>
  <c r="AO109" i="6"/>
  <c r="AQ109" i="6"/>
  <c r="AS109" i="6"/>
  <c r="AU109" i="6"/>
  <c r="AW109" i="6"/>
  <c r="AY109" i="6"/>
  <c r="BA109" i="6"/>
  <c r="BC109" i="6"/>
  <c r="BE109" i="6"/>
  <c r="BG109" i="6"/>
  <c r="BI109" i="6"/>
  <c r="BK109" i="6"/>
  <c r="BM109" i="6"/>
  <c r="BO109" i="6"/>
  <c r="BQ109" i="6"/>
  <c r="BS109" i="6"/>
  <c r="BU109" i="6"/>
  <c r="BW109" i="6"/>
  <c r="BY109" i="6"/>
  <c r="BZ109" i="6"/>
  <c r="CA109" i="6"/>
  <c r="CC109" i="6"/>
  <c r="CE109" i="6"/>
  <c r="CF109" i="6"/>
  <c r="CG109" i="6"/>
  <c r="CH109" i="6"/>
  <c r="CI109" i="6"/>
  <c r="CK109" i="6"/>
  <c r="CL109" i="6"/>
  <c r="CM109" i="6"/>
  <c r="CO109" i="6"/>
  <c r="I97" i="3"/>
  <c r="K97" i="3"/>
  <c r="M97" i="3"/>
  <c r="O97" i="3"/>
  <c r="Q97" i="3"/>
  <c r="S97" i="3"/>
  <c r="U97" i="3"/>
  <c r="W97" i="3"/>
  <c r="Y97" i="3"/>
  <c r="AA97" i="3"/>
  <c r="AC97" i="3"/>
  <c r="AE97" i="3"/>
  <c r="AG97" i="3"/>
  <c r="AI97" i="3"/>
  <c r="AK97" i="3"/>
  <c r="AM97" i="3"/>
  <c r="AO97" i="3"/>
  <c r="AQ97" i="3"/>
  <c r="AS97" i="3"/>
  <c r="AU97" i="3"/>
  <c r="AW97" i="3"/>
  <c r="AY97" i="3"/>
  <c r="BA97" i="3"/>
  <c r="BC97" i="3"/>
  <c r="BE97" i="3"/>
  <c r="BG97" i="3"/>
  <c r="BI97" i="3"/>
  <c r="BK97" i="3"/>
  <c r="BM97" i="3"/>
  <c r="BO97" i="3"/>
  <c r="BQ97" i="3"/>
  <c r="BS97" i="3"/>
  <c r="BU97" i="3"/>
  <c r="BW97" i="3"/>
  <c r="BY97" i="3"/>
  <c r="CA97" i="3"/>
  <c r="CC97" i="3"/>
  <c r="CE97" i="3"/>
  <c r="CG97" i="3"/>
  <c r="CI97" i="3"/>
  <c r="CK97" i="3"/>
  <c r="CM97" i="3"/>
  <c r="CO97" i="3"/>
  <c r="I112" i="6"/>
  <c r="J112" i="6"/>
  <c r="K112" i="6"/>
  <c r="M112" i="6"/>
  <c r="N112" i="6"/>
  <c r="O112" i="6"/>
  <c r="Q112" i="6"/>
  <c r="R112" i="6"/>
  <c r="S112" i="6"/>
  <c r="U112" i="6"/>
  <c r="V112" i="6"/>
  <c r="W112" i="6"/>
  <c r="Y112" i="6"/>
  <c r="Z112" i="6"/>
  <c r="AA112" i="6"/>
  <c r="AC112" i="6"/>
  <c r="AD112" i="6"/>
  <c r="AE112" i="6"/>
  <c r="AG112" i="6"/>
  <c r="AH112" i="6"/>
  <c r="AI112" i="6"/>
  <c r="AK112" i="6"/>
  <c r="AL112" i="6"/>
  <c r="AM112" i="6"/>
  <c r="AO112" i="6"/>
  <c r="AP112" i="6"/>
  <c r="AQ112" i="6"/>
  <c r="AS112" i="6"/>
  <c r="AT112" i="6"/>
  <c r="AU112" i="6"/>
  <c r="AW112" i="6"/>
  <c r="AX112" i="6"/>
  <c r="AY112" i="6"/>
  <c r="BA112" i="6"/>
  <c r="BB112" i="6"/>
  <c r="BC112" i="6"/>
  <c r="BE112" i="6"/>
  <c r="BF112" i="6"/>
  <c r="BG112" i="6"/>
  <c r="BI112" i="6"/>
  <c r="BJ112" i="6"/>
  <c r="BK112" i="6"/>
  <c r="BM112" i="6"/>
  <c r="BN112" i="6"/>
  <c r="BO112" i="6"/>
  <c r="BQ112" i="6"/>
  <c r="BR112" i="6"/>
  <c r="BS112" i="6"/>
  <c r="BU112" i="6"/>
  <c r="BV112" i="6"/>
  <c r="BW112" i="6"/>
  <c r="BY112" i="6"/>
  <c r="BZ112" i="6"/>
  <c r="CA112" i="6"/>
  <c r="CC112" i="6"/>
  <c r="CD112" i="6"/>
  <c r="CE112" i="6"/>
  <c r="CF112" i="6"/>
  <c r="CG112" i="6"/>
  <c r="CH112" i="6"/>
  <c r="CI112" i="6"/>
  <c r="CK112" i="6"/>
  <c r="CL112" i="6"/>
  <c r="CM112" i="6"/>
  <c r="CO112" i="6"/>
  <c r="CP112" i="6"/>
  <c r="I111" i="6"/>
  <c r="K111" i="6"/>
  <c r="M111" i="6"/>
  <c r="O111" i="6"/>
  <c r="Q111" i="6"/>
  <c r="S111" i="6"/>
  <c r="U111" i="6"/>
  <c r="W111" i="6"/>
  <c r="Y111" i="6"/>
  <c r="AA111" i="6"/>
  <c r="AC111" i="6"/>
  <c r="AE111" i="6"/>
  <c r="AG111" i="6"/>
  <c r="AI111" i="6"/>
  <c r="AK111" i="6"/>
  <c r="AM111" i="6"/>
  <c r="AO111" i="6"/>
  <c r="AQ111" i="6"/>
  <c r="AS111" i="6"/>
  <c r="AU111" i="6"/>
  <c r="AW111" i="6"/>
  <c r="AY111" i="6"/>
  <c r="BA111" i="6"/>
  <c r="BC111" i="6"/>
  <c r="BE111" i="6"/>
  <c r="BG111" i="6"/>
  <c r="BI111" i="6"/>
  <c r="BK111" i="6"/>
  <c r="BM111" i="6"/>
  <c r="BO111" i="6"/>
  <c r="BQ111" i="6"/>
  <c r="BS111" i="6"/>
  <c r="BU111" i="6"/>
  <c r="BW111" i="6"/>
  <c r="BY111" i="6"/>
  <c r="BZ111" i="6"/>
  <c r="CA111" i="6"/>
  <c r="CC111" i="6"/>
  <c r="CE111" i="6"/>
  <c r="CF111" i="6"/>
  <c r="CG111" i="6"/>
  <c r="CH111" i="6"/>
  <c r="CI111" i="6"/>
  <c r="CK111" i="6"/>
  <c r="CL111" i="6"/>
  <c r="CM111" i="6"/>
  <c r="CO111" i="6"/>
  <c r="I108" i="6"/>
  <c r="J108" i="6"/>
  <c r="K108" i="6"/>
  <c r="M108" i="6"/>
  <c r="N108" i="6"/>
  <c r="O108" i="6"/>
  <c r="Q108" i="6"/>
  <c r="R108" i="6"/>
  <c r="S108" i="6"/>
  <c r="U108" i="6"/>
  <c r="V108" i="6"/>
  <c r="W108" i="6"/>
  <c r="Y108" i="6"/>
  <c r="Z108" i="6"/>
  <c r="AA108" i="6"/>
  <c r="AC108" i="6"/>
  <c r="AD108" i="6"/>
  <c r="AE108" i="6"/>
  <c r="AG108" i="6"/>
  <c r="AH108" i="6"/>
  <c r="AI108" i="6"/>
  <c r="AK108" i="6"/>
  <c r="AL108" i="6"/>
  <c r="AM108" i="6"/>
  <c r="AO108" i="6"/>
  <c r="AP108" i="6"/>
  <c r="AQ108" i="6"/>
  <c r="AS108" i="6"/>
  <c r="AT108" i="6"/>
  <c r="AU108" i="6"/>
  <c r="AW108" i="6"/>
  <c r="AX108" i="6"/>
  <c r="AY108" i="6"/>
  <c r="BA108" i="6"/>
  <c r="BB108" i="6"/>
  <c r="BC108" i="6"/>
  <c r="BE108" i="6"/>
  <c r="BF108" i="6"/>
  <c r="BG108" i="6"/>
  <c r="BI108" i="6"/>
  <c r="BJ108" i="6"/>
  <c r="BK108" i="6"/>
  <c r="BM108" i="6"/>
  <c r="BN108" i="6"/>
  <c r="BO108" i="6"/>
  <c r="BQ108" i="6"/>
  <c r="BR108" i="6"/>
  <c r="BS108" i="6"/>
  <c r="BU108" i="6"/>
  <c r="BV108" i="6"/>
  <c r="BW108" i="6"/>
  <c r="BY108" i="6"/>
  <c r="BZ108" i="6"/>
  <c r="CA108" i="6"/>
  <c r="CC108" i="6"/>
  <c r="CD108" i="6"/>
  <c r="CE108" i="6"/>
  <c r="CF108" i="6"/>
  <c r="CG108" i="6"/>
  <c r="CH108" i="6"/>
  <c r="CI108" i="6"/>
  <c r="CK108" i="6"/>
  <c r="CL108" i="6"/>
  <c r="CM108" i="6"/>
  <c r="CO108" i="6"/>
  <c r="CP108" i="6"/>
  <c r="I107" i="6"/>
  <c r="K107" i="6"/>
  <c r="M107" i="6"/>
  <c r="O107" i="6"/>
  <c r="Q107" i="6"/>
  <c r="S107" i="6"/>
  <c r="U107" i="6"/>
  <c r="W107" i="6"/>
  <c r="Y107" i="6"/>
  <c r="AA107" i="6"/>
  <c r="AC107" i="6"/>
  <c r="AE107" i="6"/>
  <c r="AG107" i="6"/>
  <c r="AI107" i="6"/>
  <c r="AK107" i="6"/>
  <c r="AM107" i="6"/>
  <c r="AO107" i="6"/>
  <c r="AQ107" i="6"/>
  <c r="AS107" i="6"/>
  <c r="AU107" i="6"/>
  <c r="AW107" i="6"/>
  <c r="AY107" i="6"/>
  <c r="BA107" i="6"/>
  <c r="BC107" i="6"/>
  <c r="BE107" i="6"/>
  <c r="BG107" i="6"/>
  <c r="BI107" i="6"/>
  <c r="BK107" i="6"/>
  <c r="BM107" i="6"/>
  <c r="BO107" i="6"/>
  <c r="BQ107" i="6"/>
  <c r="BS107" i="6"/>
  <c r="BU107" i="6"/>
  <c r="BW107" i="6"/>
  <c r="BY107" i="6"/>
  <c r="BZ107" i="6"/>
  <c r="CA107" i="6"/>
  <c r="CC107" i="6"/>
  <c r="CE107" i="6"/>
  <c r="CF107" i="6"/>
  <c r="CG107" i="6"/>
  <c r="CH107" i="6"/>
  <c r="CI107" i="6"/>
  <c r="CK107" i="6"/>
  <c r="CL107" i="6"/>
  <c r="CM107" i="6"/>
  <c r="CO107" i="6"/>
  <c r="I105" i="6"/>
  <c r="K105" i="6"/>
  <c r="M105" i="6"/>
  <c r="O105" i="6"/>
  <c r="Q105" i="6"/>
  <c r="S105" i="6"/>
  <c r="U105" i="6"/>
  <c r="W105" i="6"/>
  <c r="Y105" i="6"/>
  <c r="AA105" i="6"/>
  <c r="AC105" i="6"/>
  <c r="AE105" i="6"/>
  <c r="AG105" i="6"/>
  <c r="AI105" i="6"/>
  <c r="AK105" i="6"/>
  <c r="AM105" i="6"/>
  <c r="AO105" i="6"/>
  <c r="AQ105" i="6"/>
  <c r="AS105" i="6"/>
  <c r="AU105" i="6"/>
  <c r="AW105" i="6"/>
  <c r="AY105" i="6"/>
  <c r="BA105" i="6"/>
  <c r="BC105" i="6"/>
  <c r="BE105" i="6"/>
  <c r="BG105" i="6"/>
  <c r="BI105" i="6"/>
  <c r="BK105" i="6"/>
  <c r="BM105" i="6"/>
  <c r="BO105" i="6"/>
  <c r="BQ105" i="6"/>
  <c r="BS105" i="6"/>
  <c r="BU105" i="6"/>
  <c r="BW105" i="6"/>
  <c r="BY105" i="6"/>
  <c r="CA105" i="6"/>
  <c r="CC105" i="6"/>
  <c r="CE105" i="6"/>
  <c r="CG105" i="6"/>
  <c r="CI105" i="6"/>
  <c r="CK105" i="6"/>
  <c r="CM105" i="6"/>
  <c r="CO105" i="6"/>
  <c r="I96" i="3"/>
  <c r="J96" i="3"/>
  <c r="K96" i="3"/>
  <c r="M96" i="3"/>
  <c r="N96" i="3"/>
  <c r="O96" i="3"/>
  <c r="Q96" i="3"/>
  <c r="R96" i="3"/>
  <c r="S96" i="3"/>
  <c r="U96" i="3"/>
  <c r="V96" i="3"/>
  <c r="W96" i="3"/>
  <c r="Y96" i="3"/>
  <c r="Z96" i="3"/>
  <c r="AA96" i="3"/>
  <c r="AC96" i="3"/>
  <c r="AD96" i="3"/>
  <c r="AE96" i="3"/>
  <c r="AG96" i="3"/>
  <c r="AH96" i="3"/>
  <c r="AI96" i="3"/>
  <c r="AK96" i="3"/>
  <c r="AL96" i="3"/>
  <c r="AM96" i="3"/>
  <c r="AO96" i="3"/>
  <c r="AP96" i="3"/>
  <c r="AQ96" i="3"/>
  <c r="AS96" i="3"/>
  <c r="AT96" i="3"/>
  <c r="AU96" i="3"/>
  <c r="AW96" i="3"/>
  <c r="AX96" i="3"/>
  <c r="AY96" i="3"/>
  <c r="BA96" i="3"/>
  <c r="BB96" i="3"/>
  <c r="BC96" i="3"/>
  <c r="BE96" i="3"/>
  <c r="BF96" i="3"/>
  <c r="BG96" i="3"/>
  <c r="BI96" i="3"/>
  <c r="BJ96" i="3"/>
  <c r="BK96" i="3"/>
  <c r="BM96" i="3"/>
  <c r="BN96" i="3"/>
  <c r="BO96" i="3"/>
  <c r="BQ96" i="3"/>
  <c r="BR96" i="3"/>
  <c r="BS96" i="3"/>
  <c r="BU96" i="3"/>
  <c r="BV96" i="3"/>
  <c r="BW96" i="3"/>
  <c r="BY96" i="3"/>
  <c r="BZ96" i="3"/>
  <c r="CA96" i="3"/>
  <c r="CC96" i="3"/>
  <c r="CD96" i="3"/>
  <c r="CE96" i="3"/>
  <c r="CG96" i="3"/>
  <c r="CH96" i="3"/>
  <c r="CI96" i="3"/>
  <c r="CK96" i="3"/>
  <c r="CL96" i="3"/>
  <c r="CM96" i="3"/>
  <c r="CO96" i="3"/>
  <c r="CP96" i="3"/>
  <c r="I95" i="3"/>
  <c r="K95" i="3"/>
  <c r="M95" i="3"/>
  <c r="O95" i="3"/>
  <c r="Q95" i="3"/>
  <c r="S95" i="3"/>
  <c r="U95" i="3"/>
  <c r="W95" i="3"/>
  <c r="Y95" i="3"/>
  <c r="AA95" i="3"/>
  <c r="AC95" i="3"/>
  <c r="AE95" i="3"/>
  <c r="AG95" i="3"/>
  <c r="AI95" i="3"/>
  <c r="AK95" i="3"/>
  <c r="AM95" i="3"/>
  <c r="AO95" i="3"/>
  <c r="AQ95" i="3"/>
  <c r="AS95" i="3"/>
  <c r="AU95" i="3"/>
  <c r="AW95" i="3"/>
  <c r="AY95" i="3"/>
  <c r="BA95" i="3"/>
  <c r="BC95" i="3"/>
  <c r="BE95" i="3"/>
  <c r="BG95" i="3"/>
  <c r="BI95" i="3"/>
  <c r="BK95" i="3"/>
  <c r="BM95" i="3"/>
  <c r="BO95" i="3"/>
  <c r="BQ95" i="3"/>
  <c r="BS95" i="3"/>
  <c r="BU95" i="3"/>
  <c r="BW95" i="3"/>
  <c r="BY95" i="3"/>
  <c r="CA95" i="3"/>
  <c r="CC95" i="3"/>
  <c r="CE95" i="3"/>
  <c r="CG95" i="3"/>
  <c r="CI95" i="3"/>
  <c r="CK95" i="3"/>
  <c r="CM95" i="3"/>
  <c r="CO95" i="3"/>
  <c r="I104" i="6"/>
  <c r="J104" i="6"/>
  <c r="K104" i="6"/>
  <c r="M104" i="6"/>
  <c r="N104" i="6"/>
  <c r="O104" i="6"/>
  <c r="Q104" i="6"/>
  <c r="R104" i="6"/>
  <c r="S104" i="6"/>
  <c r="U104" i="6"/>
  <c r="V104" i="6"/>
  <c r="W104" i="6"/>
  <c r="Y104" i="6"/>
  <c r="Z104" i="6"/>
  <c r="AA104" i="6"/>
  <c r="AC104" i="6"/>
  <c r="AD104" i="6"/>
  <c r="AE104" i="6"/>
  <c r="AG104" i="6"/>
  <c r="AH104" i="6"/>
  <c r="AI104" i="6"/>
  <c r="AK104" i="6"/>
  <c r="AL104" i="6"/>
  <c r="AM104" i="6"/>
  <c r="AO104" i="6"/>
  <c r="AP104" i="6"/>
  <c r="AQ104" i="6"/>
  <c r="AS104" i="6"/>
  <c r="AT104" i="6"/>
  <c r="AU104" i="6"/>
  <c r="AW104" i="6"/>
  <c r="AX104" i="6"/>
  <c r="AY104" i="6"/>
  <c r="BA104" i="6"/>
  <c r="BB104" i="6"/>
  <c r="BC104" i="6"/>
  <c r="BE104" i="6"/>
  <c r="BF104" i="6"/>
  <c r="BG104" i="6"/>
  <c r="BI104" i="6"/>
  <c r="BJ104" i="6"/>
  <c r="BK104" i="6"/>
  <c r="BM104" i="6"/>
  <c r="BN104" i="6"/>
  <c r="BO104" i="6"/>
  <c r="BQ104" i="6"/>
  <c r="BR104" i="6"/>
  <c r="BS104" i="6"/>
  <c r="BU104" i="6"/>
  <c r="BV104" i="6"/>
  <c r="BW104" i="6"/>
  <c r="BY104" i="6"/>
  <c r="BZ104" i="6"/>
  <c r="CA104" i="6"/>
  <c r="CC104" i="6"/>
  <c r="CD104" i="6"/>
  <c r="CE104" i="6"/>
  <c r="CG104" i="6"/>
  <c r="CH104" i="6"/>
  <c r="CI104" i="6"/>
  <c r="CK104" i="6"/>
  <c r="CL104" i="6"/>
  <c r="CM104" i="6"/>
  <c r="CO104" i="6"/>
  <c r="CP104" i="6"/>
  <c r="I103" i="6"/>
  <c r="K103" i="6"/>
  <c r="M103" i="6"/>
  <c r="O103" i="6"/>
  <c r="Q103" i="6"/>
  <c r="S103" i="6"/>
  <c r="U103" i="6"/>
  <c r="W103" i="6"/>
  <c r="Y103" i="6"/>
  <c r="AA103" i="6"/>
  <c r="AC103" i="6"/>
  <c r="AE103" i="6"/>
  <c r="AG103" i="6"/>
  <c r="AI103" i="6"/>
  <c r="AK103" i="6"/>
  <c r="AM103" i="6"/>
  <c r="AO103" i="6"/>
  <c r="AQ103" i="6"/>
  <c r="AS103" i="6"/>
  <c r="AU103" i="6"/>
  <c r="AW103" i="6"/>
  <c r="AY103" i="6"/>
  <c r="BA103" i="6"/>
  <c r="BC103" i="6"/>
  <c r="BE103" i="6"/>
  <c r="BG103" i="6"/>
  <c r="BI103" i="6"/>
  <c r="BK103" i="6"/>
  <c r="BM103" i="6"/>
  <c r="BO103" i="6"/>
  <c r="BQ103" i="6"/>
  <c r="BS103" i="6"/>
  <c r="BU103" i="6"/>
  <c r="BW103" i="6"/>
  <c r="BY103" i="6"/>
  <c r="CA103" i="6"/>
  <c r="CC103" i="6"/>
  <c r="CE103" i="6"/>
  <c r="CG103" i="6"/>
  <c r="CI103" i="6"/>
  <c r="CK103" i="6"/>
  <c r="CM103" i="6"/>
  <c r="CO103" i="6"/>
  <c r="I102" i="6"/>
  <c r="J102" i="6"/>
  <c r="K102" i="6"/>
  <c r="M102" i="6"/>
  <c r="N102" i="6"/>
  <c r="O102" i="6"/>
  <c r="Q102" i="6"/>
  <c r="R102" i="6"/>
  <c r="S102" i="6"/>
  <c r="U102" i="6"/>
  <c r="V102" i="6"/>
  <c r="W102" i="6"/>
  <c r="Y102" i="6"/>
  <c r="Z102" i="6"/>
  <c r="AA102" i="6"/>
  <c r="AC102" i="6"/>
  <c r="AD102" i="6"/>
  <c r="AE102" i="6"/>
  <c r="AG102" i="6"/>
  <c r="AH102" i="6"/>
  <c r="AI102" i="6"/>
  <c r="AK102" i="6"/>
  <c r="AL102" i="6"/>
  <c r="AM102" i="6"/>
  <c r="AO102" i="6"/>
  <c r="AP102" i="6"/>
  <c r="AQ102" i="6"/>
  <c r="AS102" i="6"/>
  <c r="AT102" i="6"/>
  <c r="AU102" i="6"/>
  <c r="AW102" i="6"/>
  <c r="AX102" i="6"/>
  <c r="AY102" i="6"/>
  <c r="BA102" i="6"/>
  <c r="BB102" i="6"/>
  <c r="BC102" i="6"/>
  <c r="BE102" i="6"/>
  <c r="BF102" i="6"/>
  <c r="BG102" i="6"/>
  <c r="BI102" i="6"/>
  <c r="BJ102" i="6"/>
  <c r="BK102" i="6"/>
  <c r="BM102" i="6"/>
  <c r="BN102" i="6"/>
  <c r="BO102" i="6"/>
  <c r="BQ102" i="6"/>
  <c r="BR102" i="6"/>
  <c r="BS102" i="6"/>
  <c r="BU102" i="6"/>
  <c r="BV102" i="6"/>
  <c r="BW102" i="6"/>
  <c r="BY102" i="6"/>
  <c r="BZ102" i="6"/>
  <c r="CA102" i="6"/>
  <c r="CC102" i="6"/>
  <c r="CD102" i="6"/>
  <c r="CE102" i="6"/>
  <c r="CG102" i="6"/>
  <c r="CH102" i="6"/>
  <c r="CI102" i="6"/>
  <c r="CK102" i="6"/>
  <c r="CL102" i="6"/>
  <c r="CM102" i="6"/>
  <c r="CO102" i="6"/>
  <c r="CP102" i="6"/>
  <c r="I101" i="6"/>
  <c r="K101" i="6"/>
  <c r="M101" i="6"/>
  <c r="O101" i="6"/>
  <c r="Q101" i="6"/>
  <c r="S101" i="6"/>
  <c r="U101" i="6"/>
  <c r="W101" i="6"/>
  <c r="Y101" i="6"/>
  <c r="AA101" i="6"/>
  <c r="AC101" i="6"/>
  <c r="AE101" i="6"/>
  <c r="AG101" i="6"/>
  <c r="AI101" i="6"/>
  <c r="AK101" i="6"/>
  <c r="AM101" i="6"/>
  <c r="AO101" i="6"/>
  <c r="AQ101" i="6"/>
  <c r="AS101" i="6"/>
  <c r="AU101" i="6"/>
  <c r="AW101" i="6"/>
  <c r="AY101" i="6"/>
  <c r="BA101" i="6"/>
  <c r="BC101" i="6"/>
  <c r="BE101" i="6"/>
  <c r="BG101" i="6"/>
  <c r="BI101" i="6"/>
  <c r="BK101" i="6"/>
  <c r="BM101" i="6"/>
  <c r="BO101" i="6"/>
  <c r="BQ101" i="6"/>
  <c r="BS101" i="6"/>
  <c r="BU101" i="6"/>
  <c r="BW101" i="6"/>
  <c r="BY101" i="6"/>
  <c r="CA101" i="6"/>
  <c r="CC101" i="6"/>
  <c r="CE101" i="6"/>
  <c r="CG101" i="6"/>
  <c r="CI101" i="6"/>
  <c r="CK101" i="6"/>
  <c r="CM101" i="6"/>
  <c r="CO101" i="6"/>
  <c r="DF143" i="11"/>
  <c r="DH143" i="11"/>
  <c r="DJ143" i="11"/>
  <c r="DL143" i="11"/>
  <c r="DN143" i="11"/>
  <c r="DP143" i="11"/>
  <c r="DR143" i="11"/>
  <c r="DT143" i="11"/>
  <c r="DV143" i="11"/>
  <c r="DX143" i="11"/>
  <c r="DZ143" i="11"/>
  <c r="EB143" i="11"/>
  <c r="ED143" i="11"/>
  <c r="EF143" i="11"/>
  <c r="EH143" i="11"/>
  <c r="DF144" i="11"/>
  <c r="DG144" i="11"/>
  <c r="DH144" i="11"/>
  <c r="DJ144" i="11"/>
  <c r="DK144" i="11"/>
  <c r="DL144" i="11"/>
  <c r="DN144" i="11"/>
  <c r="DO144" i="11"/>
  <c r="DP144" i="11"/>
  <c r="DR144" i="11"/>
  <c r="DS144" i="11"/>
  <c r="DT144" i="11"/>
  <c r="DV144" i="11"/>
  <c r="DW144" i="11"/>
  <c r="DX144" i="11"/>
  <c r="DZ144" i="11"/>
  <c r="EA144" i="11"/>
  <c r="EB144" i="11"/>
  <c r="ED144" i="11"/>
  <c r="EE144" i="11"/>
  <c r="EF144" i="11"/>
  <c r="EH144" i="11"/>
  <c r="EI144" i="11"/>
  <c r="DE140" i="11"/>
  <c r="DF140" i="11"/>
  <c r="DG140" i="11"/>
  <c r="DH140" i="11"/>
  <c r="DI140" i="11"/>
  <c r="DJ140" i="11"/>
  <c r="DK140" i="11"/>
  <c r="DL140" i="11"/>
  <c r="DM140" i="11"/>
  <c r="DN140" i="11"/>
  <c r="DO140" i="11"/>
  <c r="DP140" i="11"/>
  <c r="DQ140" i="11"/>
  <c r="DR140" i="11"/>
  <c r="DS140" i="11"/>
  <c r="DT140" i="11"/>
  <c r="DU140" i="11"/>
  <c r="DV140" i="11"/>
  <c r="DW140" i="11"/>
  <c r="DX140" i="11"/>
  <c r="DY140" i="11"/>
  <c r="DZ140" i="11"/>
  <c r="EA140" i="11"/>
  <c r="EB140" i="11"/>
  <c r="EC140" i="11"/>
  <c r="ED140" i="11"/>
  <c r="EE140" i="11"/>
  <c r="EF140" i="11"/>
  <c r="EG140" i="11"/>
  <c r="EH140" i="11"/>
  <c r="EI140" i="11"/>
  <c r="DE139" i="11"/>
  <c r="DF139" i="11"/>
  <c r="DG139" i="11"/>
  <c r="DH139" i="11"/>
  <c r="DI139" i="11"/>
  <c r="DJ139" i="11"/>
  <c r="DK139" i="11"/>
  <c r="DL139" i="11"/>
  <c r="DM139" i="11"/>
  <c r="DN139" i="11"/>
  <c r="DO139" i="11"/>
  <c r="DP139" i="11"/>
  <c r="DQ139" i="11"/>
  <c r="DR139" i="11"/>
  <c r="DS139" i="11"/>
  <c r="DT139" i="11"/>
  <c r="DU139" i="11"/>
  <c r="DV139" i="11"/>
  <c r="DW139" i="11"/>
  <c r="DX139" i="11"/>
  <c r="DY139" i="11"/>
  <c r="DZ139" i="11"/>
  <c r="EA139" i="11"/>
  <c r="EB139" i="11"/>
  <c r="EC139" i="11"/>
  <c r="ED139" i="11"/>
  <c r="EE139" i="11"/>
  <c r="EF139" i="11"/>
  <c r="EG139" i="11"/>
  <c r="EH139" i="11"/>
  <c r="EI139" i="11"/>
  <c r="DE138" i="11"/>
  <c r="DF138" i="11"/>
  <c r="DG138" i="11"/>
  <c r="DH138" i="11"/>
  <c r="DI138" i="11"/>
  <c r="DJ138" i="11"/>
  <c r="DK138" i="11"/>
  <c r="DL138" i="11"/>
  <c r="DM138" i="11"/>
  <c r="DN138" i="11"/>
  <c r="DO138" i="11"/>
  <c r="DP138" i="11"/>
  <c r="DQ138" i="11"/>
  <c r="DR138" i="11"/>
  <c r="DS138" i="11"/>
  <c r="DT138" i="11"/>
  <c r="DU138" i="11"/>
  <c r="DV138" i="11"/>
  <c r="DW138" i="11"/>
  <c r="DX138" i="11"/>
  <c r="DY138" i="11"/>
  <c r="DZ138" i="11"/>
  <c r="EA138" i="11"/>
  <c r="EB138" i="11"/>
  <c r="EC138" i="11"/>
  <c r="ED138" i="11"/>
  <c r="EE138" i="11"/>
  <c r="EF138" i="11"/>
  <c r="EG138" i="11"/>
  <c r="EH138" i="11"/>
  <c r="EI138" i="11"/>
  <c r="DF90" i="11"/>
  <c r="DG90" i="11"/>
  <c r="DH90" i="11"/>
  <c r="DI90" i="11"/>
  <c r="DJ90" i="11"/>
  <c r="DK90" i="11"/>
  <c r="DL90" i="11"/>
  <c r="DM90" i="11"/>
  <c r="DN90" i="11"/>
  <c r="DO90" i="11"/>
  <c r="DP90" i="11"/>
  <c r="DQ90" i="11"/>
  <c r="DR90" i="11"/>
  <c r="DS90" i="11"/>
  <c r="DT90" i="11"/>
  <c r="DU90" i="11"/>
  <c r="DV90" i="11"/>
  <c r="DW90" i="11"/>
  <c r="DX90" i="11"/>
  <c r="DY90" i="11"/>
  <c r="DZ90" i="11"/>
  <c r="EA90" i="11"/>
  <c r="EB90" i="11"/>
  <c r="EC90" i="11"/>
  <c r="ED90" i="11"/>
  <c r="EE90" i="11"/>
  <c r="EF90" i="11"/>
  <c r="EG90" i="11"/>
  <c r="EH90" i="11"/>
  <c r="EI90" i="11"/>
  <c r="DF91" i="11"/>
  <c r="DG91" i="11"/>
  <c r="DH91" i="11"/>
  <c r="DI91" i="11"/>
  <c r="DJ91" i="11"/>
  <c r="DK91" i="11"/>
  <c r="DL91" i="11"/>
  <c r="DM91" i="11"/>
  <c r="DN91" i="11"/>
  <c r="DO91" i="11"/>
  <c r="DP91" i="11"/>
  <c r="DQ91" i="11"/>
  <c r="DR91" i="11"/>
  <c r="DS91" i="11"/>
  <c r="DT91" i="11"/>
  <c r="DU91" i="11"/>
  <c r="DV91" i="11"/>
  <c r="DW91" i="11"/>
  <c r="DX91" i="11"/>
  <c r="DY91" i="11"/>
  <c r="DZ91" i="11"/>
  <c r="EA91" i="11"/>
  <c r="EB91" i="11"/>
  <c r="EC91" i="11"/>
  <c r="ED91" i="11"/>
  <c r="EE91" i="11"/>
  <c r="EF91" i="11"/>
  <c r="EG91" i="11"/>
  <c r="EH91" i="11"/>
  <c r="EI91" i="11"/>
  <c r="DE59" i="11"/>
  <c r="DF59" i="11"/>
  <c r="DG59" i="11"/>
  <c r="DH59" i="11"/>
  <c r="DI59" i="11"/>
  <c r="DJ59" i="11"/>
  <c r="DK59" i="11"/>
  <c r="DL59" i="11"/>
  <c r="DM59" i="11"/>
  <c r="DN59" i="11"/>
  <c r="DO59" i="11"/>
  <c r="DP59" i="11"/>
  <c r="DQ59" i="11"/>
  <c r="DR59" i="11"/>
  <c r="DS59" i="11"/>
  <c r="DT59" i="11"/>
  <c r="DU59" i="11"/>
  <c r="DV59" i="11"/>
  <c r="DW59" i="11"/>
  <c r="DX59" i="11"/>
  <c r="DY59" i="11"/>
  <c r="DZ59" i="11"/>
  <c r="EA59" i="11"/>
  <c r="EB59" i="11"/>
  <c r="EC59" i="11"/>
  <c r="ED59" i="11"/>
  <c r="EE59" i="11"/>
  <c r="EF59" i="11"/>
  <c r="EG59" i="11"/>
  <c r="EH59" i="11"/>
  <c r="EI59" i="11"/>
  <c r="DE60" i="11"/>
  <c r="DF60" i="11"/>
  <c r="DG60" i="11"/>
  <c r="DH60" i="11"/>
  <c r="DI60" i="11"/>
  <c r="DJ60" i="11"/>
  <c r="DK60" i="11"/>
  <c r="DL60" i="11"/>
  <c r="DM60" i="11"/>
  <c r="DN60" i="11"/>
  <c r="DO60" i="11"/>
  <c r="DP60" i="11"/>
  <c r="DQ60" i="11"/>
  <c r="DR60" i="11"/>
  <c r="DS60" i="11"/>
  <c r="DT60" i="11"/>
  <c r="DU60" i="11"/>
  <c r="DV60" i="11"/>
  <c r="DW60" i="11"/>
  <c r="DX60" i="11"/>
  <c r="DY60" i="11"/>
  <c r="DZ60" i="11"/>
  <c r="EA60" i="11"/>
  <c r="EB60" i="11"/>
  <c r="EC60" i="11"/>
  <c r="ED60" i="11"/>
  <c r="EE60" i="11"/>
  <c r="EF60" i="11"/>
  <c r="EG60" i="11"/>
  <c r="EH60" i="11"/>
  <c r="EI60" i="11"/>
  <c r="DE61" i="11"/>
  <c r="DF61" i="11"/>
  <c r="DG61" i="11"/>
  <c r="DH61" i="11"/>
  <c r="DI61" i="11"/>
  <c r="DJ61" i="11"/>
  <c r="DK61" i="11"/>
  <c r="DL61" i="11"/>
  <c r="DM61" i="11"/>
  <c r="DN61" i="11"/>
  <c r="DO61" i="11"/>
  <c r="DP61" i="11"/>
  <c r="DQ61" i="11"/>
  <c r="DR61" i="11"/>
  <c r="DS61" i="11"/>
  <c r="DT61" i="11"/>
  <c r="DU61" i="11"/>
  <c r="DV61" i="11"/>
  <c r="DW61" i="11"/>
  <c r="DX61" i="11"/>
  <c r="DY61" i="11"/>
  <c r="DZ61" i="11"/>
  <c r="EA61" i="11"/>
  <c r="EB61" i="11"/>
  <c r="EC61" i="11"/>
  <c r="ED61" i="11"/>
  <c r="EE61" i="11"/>
  <c r="EF61" i="11"/>
  <c r="EG61" i="11"/>
  <c r="EH61" i="11"/>
  <c r="EI61" i="11"/>
  <c r="DE62" i="11"/>
  <c r="DF62" i="11"/>
  <c r="DG62" i="11"/>
  <c r="DH62" i="11"/>
  <c r="DI62" i="11"/>
  <c r="DJ62" i="11"/>
  <c r="DK62" i="11"/>
  <c r="DL62" i="11"/>
  <c r="DM62" i="11"/>
  <c r="DN62" i="11"/>
  <c r="DO62" i="11"/>
  <c r="DP62" i="11"/>
  <c r="DQ62" i="11"/>
  <c r="DR62" i="11"/>
  <c r="DS62" i="11"/>
  <c r="DT62" i="11"/>
  <c r="DU62" i="11"/>
  <c r="DV62" i="11"/>
  <c r="DW62" i="11"/>
  <c r="DX62" i="11"/>
  <c r="DY62" i="11"/>
  <c r="DZ62" i="11"/>
  <c r="EA62" i="11"/>
  <c r="EB62" i="11"/>
  <c r="EC62" i="11"/>
  <c r="ED62" i="11"/>
  <c r="EE62" i="11"/>
  <c r="EF62" i="11"/>
  <c r="EG62" i="11"/>
  <c r="EH62" i="11"/>
  <c r="EI62" i="11"/>
  <c r="DE63" i="11"/>
  <c r="DF63" i="11"/>
  <c r="DG63" i="11"/>
  <c r="DH63" i="11"/>
  <c r="DI63" i="11"/>
  <c r="DJ63" i="11"/>
  <c r="DK63" i="11"/>
  <c r="DL63" i="11"/>
  <c r="DM63" i="11"/>
  <c r="DN63" i="11"/>
  <c r="DO63" i="11"/>
  <c r="DP63" i="11"/>
  <c r="DQ63" i="11"/>
  <c r="DR63" i="11"/>
  <c r="DS63" i="11"/>
  <c r="DT63" i="11"/>
  <c r="DU63" i="11"/>
  <c r="DV63" i="11"/>
  <c r="DW63" i="11"/>
  <c r="DX63" i="11"/>
  <c r="DY63" i="11"/>
  <c r="DZ63" i="11"/>
  <c r="EA63" i="11"/>
  <c r="EB63" i="11"/>
  <c r="EC63" i="11"/>
  <c r="ED63" i="11"/>
  <c r="EE63" i="11"/>
  <c r="EF63" i="11"/>
  <c r="EG63" i="11"/>
  <c r="EH63" i="11"/>
  <c r="EI63" i="11"/>
  <c r="DE64" i="11"/>
  <c r="DF64" i="11"/>
  <c r="DG64" i="11"/>
  <c r="DH64" i="11"/>
  <c r="DI64" i="11"/>
  <c r="DJ64" i="11"/>
  <c r="DK64" i="11"/>
  <c r="DL64" i="11"/>
  <c r="DM64" i="11"/>
  <c r="DN64" i="11"/>
  <c r="DO64" i="11"/>
  <c r="DP64" i="11"/>
  <c r="DQ64" i="11"/>
  <c r="DR64" i="11"/>
  <c r="DS64" i="11"/>
  <c r="DT64" i="11"/>
  <c r="DU64" i="11"/>
  <c r="DV64" i="11"/>
  <c r="DW64" i="11"/>
  <c r="DX64" i="11"/>
  <c r="DY64" i="11"/>
  <c r="DZ64" i="11"/>
  <c r="EA64" i="11"/>
  <c r="EB64" i="11"/>
  <c r="EC64" i="11"/>
  <c r="ED64" i="11"/>
  <c r="EE64" i="11"/>
  <c r="EF64" i="11"/>
  <c r="EG64" i="11"/>
  <c r="EH64" i="11"/>
  <c r="EI64" i="11"/>
  <c r="DE65" i="11"/>
  <c r="DF65" i="11"/>
  <c r="DG65" i="11"/>
  <c r="DH65" i="11"/>
  <c r="DI65" i="11"/>
  <c r="DJ65" i="11"/>
  <c r="DK65" i="11"/>
  <c r="DL65" i="11"/>
  <c r="DM65" i="11"/>
  <c r="DN65" i="11"/>
  <c r="DO65" i="11"/>
  <c r="DP65" i="11"/>
  <c r="DQ65" i="11"/>
  <c r="DR65" i="11"/>
  <c r="DS65" i="11"/>
  <c r="DT65" i="11"/>
  <c r="DU65" i="11"/>
  <c r="DV65" i="11"/>
  <c r="DW65" i="11"/>
  <c r="DX65" i="11"/>
  <c r="DY65" i="11"/>
  <c r="DZ65" i="11"/>
  <c r="EA65" i="11"/>
  <c r="EB65" i="11"/>
  <c r="EC65" i="11"/>
  <c r="ED65" i="11"/>
  <c r="EE65" i="11"/>
  <c r="EF65" i="11"/>
  <c r="EG65" i="11"/>
  <c r="EH65" i="11"/>
  <c r="EI65" i="11"/>
  <c r="DE66" i="11"/>
  <c r="DF66" i="11"/>
  <c r="DG66" i="11"/>
  <c r="DH66" i="11"/>
  <c r="DI66" i="11"/>
  <c r="DJ66" i="11"/>
  <c r="DK66" i="11"/>
  <c r="DL66" i="11"/>
  <c r="DM66" i="11"/>
  <c r="DN66" i="11"/>
  <c r="DO66" i="11"/>
  <c r="DP66" i="11"/>
  <c r="DQ66" i="11"/>
  <c r="DR66" i="11"/>
  <c r="DS66" i="11"/>
  <c r="DT66" i="11"/>
  <c r="DU66" i="11"/>
  <c r="DV66" i="11"/>
  <c r="DW66" i="11"/>
  <c r="DX66" i="11"/>
  <c r="DY66" i="11"/>
  <c r="DZ66" i="11"/>
  <c r="EA66" i="11"/>
  <c r="EB66" i="11"/>
  <c r="EC66" i="11"/>
  <c r="ED66" i="11"/>
  <c r="EE66" i="11"/>
  <c r="EF66" i="11"/>
  <c r="EG66" i="11"/>
  <c r="EH66" i="11"/>
  <c r="EI66" i="11"/>
  <c r="DE67" i="11"/>
  <c r="DF67" i="11"/>
  <c r="DG67" i="11"/>
  <c r="DH67" i="11"/>
  <c r="DI67" i="11"/>
  <c r="DJ67" i="11"/>
  <c r="DK67" i="11"/>
  <c r="DL67" i="11"/>
  <c r="DM67" i="11"/>
  <c r="DN67" i="11"/>
  <c r="DO67" i="11"/>
  <c r="DP67" i="11"/>
  <c r="DQ67" i="11"/>
  <c r="DR67" i="11"/>
  <c r="DS67" i="11"/>
  <c r="DT67" i="11"/>
  <c r="DU67" i="11"/>
  <c r="DV67" i="11"/>
  <c r="DW67" i="11"/>
  <c r="DX67" i="11"/>
  <c r="DY67" i="11"/>
  <c r="DZ67" i="11"/>
  <c r="EA67" i="11"/>
  <c r="EB67" i="11"/>
  <c r="EC67" i="11"/>
  <c r="ED67" i="11"/>
  <c r="EE67" i="11"/>
  <c r="EF67" i="11"/>
  <c r="EG67" i="11"/>
  <c r="EH67" i="11"/>
  <c r="EI67" i="11"/>
  <c r="DE68" i="11"/>
  <c r="DF68" i="11"/>
  <c r="DG68" i="11"/>
  <c r="DH68" i="11"/>
  <c r="DI68" i="11"/>
  <c r="DJ68" i="11"/>
  <c r="DK68" i="11"/>
  <c r="DL68" i="11"/>
  <c r="DM68" i="11"/>
  <c r="DN68" i="11"/>
  <c r="DO68" i="11"/>
  <c r="DP68" i="11"/>
  <c r="DQ68" i="11"/>
  <c r="DR68" i="11"/>
  <c r="DS68" i="11"/>
  <c r="DT68" i="11"/>
  <c r="DU68" i="11"/>
  <c r="DV68" i="11"/>
  <c r="DW68" i="11"/>
  <c r="DX68" i="11"/>
  <c r="DY68" i="11"/>
  <c r="DZ68" i="11"/>
  <c r="EA68" i="11"/>
  <c r="EB68" i="11"/>
  <c r="EC68" i="11"/>
  <c r="ED68" i="11"/>
  <c r="EE68" i="11"/>
  <c r="EF68" i="11"/>
  <c r="EG68" i="11"/>
  <c r="EH68" i="11"/>
  <c r="EI68" i="11"/>
  <c r="DE70" i="11"/>
  <c r="DF70" i="11"/>
  <c r="DG70" i="11"/>
  <c r="DH70" i="11"/>
  <c r="DI70" i="11"/>
  <c r="DJ70" i="11"/>
  <c r="DK70" i="11"/>
  <c r="DL70" i="11"/>
  <c r="DM70" i="11"/>
  <c r="DN70" i="11"/>
  <c r="DO70" i="11"/>
  <c r="DP70" i="11"/>
  <c r="DQ70" i="11"/>
  <c r="DR70" i="11"/>
  <c r="DS70" i="11"/>
  <c r="DT70" i="11"/>
  <c r="DU70" i="11"/>
  <c r="DV70" i="11"/>
  <c r="DW70" i="11"/>
  <c r="DX70" i="11"/>
  <c r="DY70" i="11"/>
  <c r="DZ70" i="11"/>
  <c r="EA70" i="11"/>
  <c r="EB70" i="11"/>
  <c r="EC70" i="11"/>
  <c r="ED70" i="11"/>
  <c r="EE70" i="11"/>
  <c r="EF70" i="11"/>
  <c r="EG70" i="11"/>
  <c r="EH70" i="11"/>
  <c r="EI70" i="11"/>
  <c r="DK7" i="11"/>
  <c r="DK6" i="11" s="1"/>
  <c r="DL7" i="11"/>
  <c r="DL6" i="11" s="1"/>
  <c r="DM7" i="11"/>
  <c r="DM6" i="11" s="1"/>
  <c r="DN7" i="11"/>
  <c r="DN6" i="11" s="1"/>
  <c r="DO7" i="11"/>
  <c r="DO6" i="11" s="1"/>
  <c r="DP7" i="11"/>
  <c r="DP6" i="11" s="1"/>
  <c r="DQ7" i="11"/>
  <c r="DQ6" i="11" s="1"/>
  <c r="DR7" i="11"/>
  <c r="DR6" i="11" s="1"/>
  <c r="DS7" i="11"/>
  <c r="DS6" i="11" s="1"/>
  <c r="DT7" i="11"/>
  <c r="DT6" i="11" s="1"/>
  <c r="DU7" i="11"/>
  <c r="DU6" i="11" s="1"/>
  <c r="DV7" i="11"/>
  <c r="DV6" i="11" s="1"/>
  <c r="DW7" i="11"/>
  <c r="DW6" i="11" s="1"/>
  <c r="DX7" i="11"/>
  <c r="DX6" i="11" s="1"/>
  <c r="DY7" i="11"/>
  <c r="DY6" i="11" s="1"/>
  <c r="DZ7" i="11"/>
  <c r="DZ6" i="11" s="1"/>
  <c r="EA7" i="11"/>
  <c r="EA6" i="11" s="1"/>
  <c r="EB7" i="11"/>
  <c r="EB6" i="11" s="1"/>
  <c r="EC7" i="11"/>
  <c r="EC6" i="11" s="1"/>
  <c r="ED7" i="11"/>
  <c r="ED6" i="11" s="1"/>
  <c r="EE7" i="11"/>
  <c r="EE6" i="11" s="1"/>
  <c r="EF7" i="11"/>
  <c r="EF6" i="11" s="1"/>
  <c r="EG7" i="11"/>
  <c r="EG6" i="11" s="1"/>
  <c r="EH7" i="11"/>
  <c r="EH6" i="11" s="1"/>
  <c r="EI7" i="11"/>
  <c r="EI6" i="11" s="1"/>
  <c r="DK14" i="11"/>
  <c r="DL14" i="11"/>
  <c r="DM14" i="11"/>
  <c r="DN14" i="11"/>
  <c r="DO14" i="11"/>
  <c r="DP14" i="11"/>
  <c r="DQ14" i="11"/>
  <c r="DR14" i="11"/>
  <c r="DS14" i="11"/>
  <c r="DT14" i="11"/>
  <c r="DU14" i="11"/>
  <c r="DV14" i="11"/>
  <c r="DW14" i="11"/>
  <c r="DX14" i="11"/>
  <c r="DY14" i="11"/>
  <c r="DZ14" i="11"/>
  <c r="EA14" i="11"/>
  <c r="EB14" i="11"/>
  <c r="EC14" i="11"/>
  <c r="ED14" i="11"/>
  <c r="EE14" i="11"/>
  <c r="EF14" i="11"/>
  <c r="EG14" i="11"/>
  <c r="EH14" i="11"/>
  <c r="EI14" i="11"/>
  <c r="DK17" i="11"/>
  <c r="DL17" i="11"/>
  <c r="DM17" i="11"/>
  <c r="DN17" i="11"/>
  <c r="DO17" i="11"/>
  <c r="DP17" i="11"/>
  <c r="DQ17" i="11"/>
  <c r="DR17" i="11"/>
  <c r="DS17" i="11"/>
  <c r="DT17" i="11"/>
  <c r="DU17" i="11"/>
  <c r="DV17" i="11"/>
  <c r="DW17" i="11"/>
  <c r="DX17" i="11"/>
  <c r="DY17" i="11"/>
  <c r="DZ17" i="11"/>
  <c r="EA17" i="11"/>
  <c r="EB17" i="11"/>
  <c r="EC17" i="11"/>
  <c r="ED17" i="11"/>
  <c r="EE17" i="11"/>
  <c r="EF17" i="11"/>
  <c r="EG17" i="11"/>
  <c r="EH17" i="11"/>
  <c r="EI17" i="11"/>
  <c r="DK48" i="11"/>
  <c r="DL48" i="11"/>
  <c r="DM48" i="11"/>
  <c r="DN48" i="11"/>
  <c r="DO48" i="11"/>
  <c r="DP48" i="11"/>
  <c r="DQ48" i="11"/>
  <c r="DR48" i="11"/>
  <c r="DS48" i="11"/>
  <c r="DT48" i="11"/>
  <c r="DU48" i="11"/>
  <c r="DV48" i="11"/>
  <c r="DW48" i="11"/>
  <c r="DX48" i="11"/>
  <c r="DY48" i="11"/>
  <c r="DZ48" i="11"/>
  <c r="EA48" i="11"/>
  <c r="EB48" i="11"/>
  <c r="EC48" i="11"/>
  <c r="ED48" i="11"/>
  <c r="EE48" i="11"/>
  <c r="EF48" i="11"/>
  <c r="EG48" i="11"/>
  <c r="EH48" i="11"/>
  <c r="EI48" i="11"/>
  <c r="DK86" i="11"/>
  <c r="DL86" i="11"/>
  <c r="DM86" i="11"/>
  <c r="DN86" i="11"/>
  <c r="DO86" i="11"/>
  <c r="DP86" i="11"/>
  <c r="DQ86" i="11"/>
  <c r="DR86" i="11"/>
  <c r="DS86" i="11"/>
  <c r="DT86" i="11"/>
  <c r="DU86" i="11"/>
  <c r="DV86" i="11"/>
  <c r="DW86" i="11"/>
  <c r="DX86" i="11"/>
  <c r="DY86" i="11"/>
  <c r="DZ86" i="11"/>
  <c r="EA86" i="11"/>
  <c r="EB86" i="11"/>
  <c r="EC86" i="11"/>
  <c r="ED86" i="11"/>
  <c r="EE86" i="11"/>
  <c r="EF86" i="11"/>
  <c r="EG86" i="11"/>
  <c r="EH86" i="11"/>
  <c r="EI86" i="11"/>
  <c r="DF14" i="11"/>
  <c r="DF24" i="11"/>
  <c r="DF30" i="11"/>
  <c r="DF31" i="11"/>
  <c r="DF35" i="11"/>
  <c r="DF36" i="11"/>
  <c r="DF37" i="11"/>
  <c r="DF39" i="11"/>
  <c r="DF40" i="11"/>
  <c r="DF42" i="11"/>
  <c r="DF41" i="11" s="1"/>
  <c r="DF48" i="11"/>
  <c r="DF73" i="11"/>
  <c r="DF72" i="11" s="1"/>
  <c r="DF7" i="11"/>
  <c r="DF6" i="11" s="1"/>
  <c r="DG7" i="11"/>
  <c r="DG6" i="11" s="1"/>
  <c r="DH7" i="11"/>
  <c r="DH6" i="11" s="1"/>
  <c r="DI7" i="11"/>
  <c r="DI6" i="11" s="1"/>
  <c r="DJ7" i="11"/>
  <c r="DJ6" i="11" s="1"/>
  <c r="DG14" i="11"/>
  <c r="DH14" i="11"/>
  <c r="DI14" i="11"/>
  <c r="DJ14" i="11"/>
  <c r="DG48" i="11"/>
  <c r="DH48" i="11"/>
  <c r="DI48" i="11"/>
  <c r="DJ48" i="11"/>
  <c r="DF86" i="11"/>
  <c r="DG86" i="11"/>
  <c r="DH86" i="11"/>
  <c r="DI86" i="11"/>
  <c r="DJ86" i="11"/>
  <c r="J145" i="2"/>
  <c r="L145" i="2"/>
  <c r="N145" i="2"/>
  <c r="P145" i="2"/>
  <c r="R145" i="2"/>
  <c r="T145" i="2"/>
  <c r="V145" i="2"/>
  <c r="X145" i="2"/>
  <c r="Z145" i="2"/>
  <c r="AB145" i="2"/>
  <c r="AD145" i="2"/>
  <c r="AF145" i="2"/>
  <c r="AH145" i="2"/>
  <c r="AJ145" i="2"/>
  <c r="AL145" i="2"/>
  <c r="AN145" i="2"/>
  <c r="AP145" i="2"/>
  <c r="AR145" i="2"/>
  <c r="AT145" i="2"/>
  <c r="AV145" i="2"/>
  <c r="AX145" i="2"/>
  <c r="AZ145" i="2"/>
  <c r="BB145" i="2"/>
  <c r="BD145" i="2"/>
  <c r="BF145" i="2"/>
  <c r="BH145" i="2"/>
  <c r="BJ145" i="2"/>
  <c r="BL145" i="2"/>
  <c r="BN145" i="2"/>
  <c r="BP145" i="2"/>
  <c r="BR145" i="2"/>
  <c r="BT145" i="2"/>
  <c r="BV145" i="2"/>
  <c r="BX145" i="2"/>
  <c r="BZ145" i="2"/>
  <c r="CB145" i="2"/>
  <c r="CD145" i="2"/>
  <c r="CF145" i="2"/>
  <c r="CH145" i="2"/>
  <c r="CJ145" i="2"/>
  <c r="CL145" i="2"/>
  <c r="CN145" i="2"/>
  <c r="CP145" i="2"/>
  <c r="CR145" i="2"/>
  <c r="CT145" i="2"/>
  <c r="CV145" i="2"/>
  <c r="CX145" i="2"/>
  <c r="CZ145" i="2"/>
  <c r="J152" i="2"/>
  <c r="K152" i="2"/>
  <c r="L152" i="2"/>
  <c r="N152" i="2"/>
  <c r="O152" i="2"/>
  <c r="P152" i="2"/>
  <c r="R152" i="2"/>
  <c r="S152" i="2"/>
  <c r="T152" i="2"/>
  <c r="V152" i="2"/>
  <c r="W152" i="2"/>
  <c r="X152" i="2"/>
  <c r="Z152" i="2"/>
  <c r="AA152" i="2"/>
  <c r="AB152" i="2"/>
  <c r="AD152" i="2"/>
  <c r="AE152" i="2"/>
  <c r="AF152" i="2"/>
  <c r="AH152" i="2"/>
  <c r="AI152" i="2"/>
  <c r="AJ152" i="2"/>
  <c r="AL152" i="2"/>
  <c r="AM152" i="2"/>
  <c r="AN152" i="2"/>
  <c r="AP152" i="2"/>
  <c r="AQ152" i="2"/>
  <c r="AR152" i="2"/>
  <c r="AT152" i="2"/>
  <c r="AU152" i="2"/>
  <c r="AV152" i="2"/>
  <c r="AX152" i="2"/>
  <c r="AY152" i="2"/>
  <c r="AZ152" i="2"/>
  <c r="BB152" i="2"/>
  <c r="BC152" i="2"/>
  <c r="BD152" i="2"/>
  <c r="BF152" i="2"/>
  <c r="BG152" i="2"/>
  <c r="BH152" i="2"/>
  <c r="BJ152" i="2"/>
  <c r="BK152" i="2"/>
  <c r="BL152" i="2"/>
  <c r="BN152" i="2"/>
  <c r="BO152" i="2"/>
  <c r="BP152" i="2"/>
  <c r="BR152" i="2"/>
  <c r="BS152" i="2"/>
  <c r="BT152" i="2"/>
  <c r="BV152" i="2"/>
  <c r="BW152" i="2"/>
  <c r="BX152" i="2"/>
  <c r="BZ152" i="2"/>
  <c r="CA152" i="2"/>
  <c r="CB152" i="2"/>
  <c r="CD152" i="2"/>
  <c r="CE152" i="2"/>
  <c r="CF152" i="2"/>
  <c r="CH152" i="2"/>
  <c r="CI152" i="2"/>
  <c r="CJ152" i="2"/>
  <c r="CL152" i="2"/>
  <c r="CM152" i="2"/>
  <c r="CN152" i="2"/>
  <c r="CP152" i="2"/>
  <c r="CQ152" i="2"/>
  <c r="CR152" i="2"/>
  <c r="CT152" i="2"/>
  <c r="CU152" i="2"/>
  <c r="CV152" i="2"/>
  <c r="CX152" i="2"/>
  <c r="CY152" i="2"/>
  <c r="CZ152" i="2"/>
  <c r="DB152" i="2"/>
  <c r="DC152" i="2"/>
  <c r="DD152" i="2"/>
  <c r="J151" i="2"/>
  <c r="L151" i="2"/>
  <c r="N151" i="2"/>
  <c r="P151" i="2"/>
  <c r="R151" i="2"/>
  <c r="T151" i="2"/>
  <c r="V151" i="2"/>
  <c r="X151" i="2"/>
  <c r="Z151" i="2"/>
  <c r="AB151" i="2"/>
  <c r="AD151" i="2"/>
  <c r="AF151" i="2"/>
  <c r="AH151" i="2"/>
  <c r="AJ151" i="2"/>
  <c r="AL151" i="2"/>
  <c r="AN151" i="2"/>
  <c r="AP151" i="2"/>
  <c r="AR151" i="2"/>
  <c r="AT151" i="2"/>
  <c r="AV151" i="2"/>
  <c r="AX151" i="2"/>
  <c r="AZ151" i="2"/>
  <c r="BB151" i="2"/>
  <c r="BD151" i="2"/>
  <c r="BF151" i="2"/>
  <c r="BH151" i="2"/>
  <c r="BJ151" i="2"/>
  <c r="BL151" i="2"/>
  <c r="BN151" i="2"/>
  <c r="BP151" i="2"/>
  <c r="BR151" i="2"/>
  <c r="BT151" i="2"/>
  <c r="BV151" i="2"/>
  <c r="BX151" i="2"/>
  <c r="BZ151" i="2"/>
  <c r="CB151" i="2"/>
  <c r="CD151" i="2"/>
  <c r="CF151" i="2"/>
  <c r="CH151" i="2"/>
  <c r="CJ151" i="2"/>
  <c r="CL151" i="2"/>
  <c r="CN151" i="2"/>
  <c r="CP151" i="2"/>
  <c r="CR151" i="2"/>
  <c r="CT151" i="2"/>
  <c r="CV151" i="2"/>
  <c r="CX151" i="2"/>
  <c r="CZ151" i="2"/>
  <c r="DB151" i="2"/>
  <c r="DD151" i="2"/>
  <c r="J144" i="11"/>
  <c r="K144" i="11"/>
  <c r="L144" i="11"/>
  <c r="N144" i="11"/>
  <c r="O144" i="11"/>
  <c r="P144" i="11"/>
  <c r="R144" i="11"/>
  <c r="S144" i="11"/>
  <c r="T144" i="11"/>
  <c r="V144" i="11"/>
  <c r="W144" i="11"/>
  <c r="X144" i="11"/>
  <c r="Z144" i="11"/>
  <c r="AA144" i="11"/>
  <c r="AB144" i="11"/>
  <c r="AD144" i="11"/>
  <c r="AE144" i="11"/>
  <c r="AF144" i="11"/>
  <c r="AH144" i="11"/>
  <c r="AI144" i="11"/>
  <c r="AJ144" i="11"/>
  <c r="AL144" i="11"/>
  <c r="AM144" i="11"/>
  <c r="AN144" i="11"/>
  <c r="AP144" i="11"/>
  <c r="AQ144" i="11"/>
  <c r="AR144" i="11"/>
  <c r="AT144" i="11"/>
  <c r="AU144" i="11"/>
  <c r="AV144" i="11"/>
  <c r="AX144" i="11"/>
  <c r="AY144" i="11"/>
  <c r="AZ144" i="11"/>
  <c r="BB144" i="11"/>
  <c r="BC144" i="11"/>
  <c r="BD144" i="11"/>
  <c r="BF144" i="11"/>
  <c r="BG144" i="11"/>
  <c r="BH144" i="11"/>
  <c r="BJ144" i="11"/>
  <c r="BK144" i="11"/>
  <c r="BL144" i="11"/>
  <c r="BN144" i="11"/>
  <c r="BO144" i="11"/>
  <c r="BP144" i="11"/>
  <c r="BR144" i="11"/>
  <c r="BS144" i="11"/>
  <c r="BT144" i="11"/>
  <c r="BV144" i="11"/>
  <c r="BW144" i="11"/>
  <c r="BX144" i="11"/>
  <c r="BZ144" i="11"/>
  <c r="CA144" i="11"/>
  <c r="CB144" i="11"/>
  <c r="CD144" i="11"/>
  <c r="CE144" i="11"/>
  <c r="CF144" i="11"/>
  <c r="CH144" i="11"/>
  <c r="CI144" i="11"/>
  <c r="CJ144" i="11"/>
  <c r="CL144" i="11"/>
  <c r="CM144" i="11"/>
  <c r="CN144" i="11"/>
  <c r="CP144" i="11"/>
  <c r="CQ144" i="11"/>
  <c r="CR144" i="11"/>
  <c r="CT144" i="11"/>
  <c r="CU144" i="11"/>
  <c r="CV144" i="11"/>
  <c r="CX144" i="11"/>
  <c r="CY144" i="11"/>
  <c r="CZ144" i="11"/>
  <c r="DB144" i="11"/>
  <c r="DC144" i="11"/>
  <c r="DD144" i="11"/>
  <c r="J143" i="11"/>
  <c r="L143" i="11"/>
  <c r="N143" i="11"/>
  <c r="P143" i="11"/>
  <c r="R143" i="11"/>
  <c r="T143" i="11"/>
  <c r="V143" i="11"/>
  <c r="X143" i="11"/>
  <c r="Z143" i="11"/>
  <c r="AB143" i="11"/>
  <c r="AD143" i="11"/>
  <c r="AF143" i="11"/>
  <c r="AH143" i="11"/>
  <c r="AJ143" i="11"/>
  <c r="AL143" i="11"/>
  <c r="AN143" i="11"/>
  <c r="AP143" i="11"/>
  <c r="AR143" i="11"/>
  <c r="AT143" i="11"/>
  <c r="AV143" i="11"/>
  <c r="AX143" i="11"/>
  <c r="AZ143" i="11"/>
  <c r="BB143" i="11"/>
  <c r="BD143" i="11"/>
  <c r="BF143" i="11"/>
  <c r="BH143" i="11"/>
  <c r="BJ143" i="11"/>
  <c r="BL143" i="11"/>
  <c r="BN143" i="11"/>
  <c r="BP143" i="11"/>
  <c r="BR143" i="11"/>
  <c r="BT143" i="11"/>
  <c r="BV143" i="11"/>
  <c r="BX143" i="11"/>
  <c r="BZ143" i="11"/>
  <c r="CB143" i="11"/>
  <c r="CD143" i="11"/>
  <c r="CF143" i="11"/>
  <c r="CH143" i="11"/>
  <c r="CJ143" i="11"/>
  <c r="CL143" i="11"/>
  <c r="CN143" i="11"/>
  <c r="CP143" i="11"/>
  <c r="CR143" i="11"/>
  <c r="CT143" i="11"/>
  <c r="CV143" i="11"/>
  <c r="CX143" i="11"/>
  <c r="CZ143" i="11"/>
  <c r="DB143" i="11"/>
  <c r="DD143" i="11"/>
  <c r="M143" i="14"/>
  <c r="O143" i="14"/>
  <c r="Q143" i="14"/>
  <c r="S143" i="14"/>
  <c r="U143" i="14"/>
  <c r="W143" i="14"/>
  <c r="Y143" i="14"/>
  <c r="AA143" i="14"/>
  <c r="AC143" i="14"/>
  <c r="AE143" i="14"/>
  <c r="AG143" i="14"/>
  <c r="AI143" i="14"/>
  <c r="AK143" i="14"/>
  <c r="AM143" i="14"/>
  <c r="AO143" i="14"/>
  <c r="AQ143" i="14"/>
  <c r="AS143" i="14"/>
  <c r="AU143" i="14"/>
  <c r="AW143" i="14"/>
  <c r="AY143" i="14"/>
  <c r="BA143" i="14"/>
  <c r="BC143" i="14"/>
  <c r="BE143" i="14"/>
  <c r="BG143" i="14"/>
  <c r="BI143" i="14"/>
  <c r="BK143" i="14"/>
  <c r="BM143" i="14"/>
  <c r="BO143" i="14"/>
  <c r="BQ143" i="14"/>
  <c r="BS143" i="14"/>
  <c r="BU143" i="14"/>
  <c r="BW143" i="14"/>
  <c r="BY143" i="14"/>
  <c r="CA143" i="14"/>
  <c r="CC143" i="14"/>
  <c r="CE143" i="14"/>
  <c r="CG143" i="14"/>
  <c r="CI143" i="14"/>
  <c r="CK143" i="14"/>
  <c r="CM143" i="14"/>
  <c r="CO143" i="14"/>
  <c r="CQ143" i="14"/>
  <c r="CS143" i="14"/>
  <c r="CU143" i="14"/>
  <c r="CW143" i="14"/>
  <c r="CY143" i="14"/>
  <c r="DA143" i="14"/>
  <c r="DC143" i="14"/>
  <c r="DE143" i="14"/>
  <c r="DG143" i="14"/>
  <c r="M144" i="14"/>
  <c r="N144" i="14"/>
  <c r="O144" i="14"/>
  <c r="Q144" i="14"/>
  <c r="R144" i="14"/>
  <c r="S144" i="14"/>
  <c r="U144" i="14"/>
  <c r="V144" i="14"/>
  <c r="W144" i="14"/>
  <c r="Y144" i="14"/>
  <c r="Z144" i="14"/>
  <c r="AA144" i="14"/>
  <c r="AC144" i="14"/>
  <c r="AD144" i="14"/>
  <c r="AE144" i="14"/>
  <c r="AG144" i="14"/>
  <c r="AH144" i="14"/>
  <c r="AI144" i="14"/>
  <c r="AK144" i="14"/>
  <c r="AL144" i="14"/>
  <c r="AM144" i="14"/>
  <c r="AO144" i="14"/>
  <c r="AP144" i="14"/>
  <c r="AQ144" i="14"/>
  <c r="AS144" i="14"/>
  <c r="AT144" i="14"/>
  <c r="AU144" i="14"/>
  <c r="AW144" i="14"/>
  <c r="AX144" i="14"/>
  <c r="AY144" i="14"/>
  <c r="BA144" i="14"/>
  <c r="BB144" i="14"/>
  <c r="BC144" i="14"/>
  <c r="BE144" i="14"/>
  <c r="BF144" i="14"/>
  <c r="BG144" i="14"/>
  <c r="BI144" i="14"/>
  <c r="BJ144" i="14"/>
  <c r="BK144" i="14"/>
  <c r="BM144" i="14"/>
  <c r="BN144" i="14"/>
  <c r="BO144" i="14"/>
  <c r="BQ144" i="14"/>
  <c r="BR144" i="14"/>
  <c r="BS144" i="14"/>
  <c r="BU144" i="14"/>
  <c r="BV144" i="14"/>
  <c r="BW144" i="14"/>
  <c r="BY144" i="14"/>
  <c r="BZ144" i="14"/>
  <c r="CA144" i="14"/>
  <c r="CC144" i="14"/>
  <c r="CD144" i="14"/>
  <c r="CE144" i="14"/>
  <c r="CG144" i="14"/>
  <c r="CH144" i="14"/>
  <c r="CI144" i="14"/>
  <c r="CK144" i="14"/>
  <c r="CL144" i="14"/>
  <c r="CM144" i="14"/>
  <c r="CO144" i="14"/>
  <c r="CP144" i="14"/>
  <c r="CQ144" i="14"/>
  <c r="CS144" i="14"/>
  <c r="CT144" i="14"/>
  <c r="CU144" i="14"/>
  <c r="CW144" i="14"/>
  <c r="CX144" i="14"/>
  <c r="CY144" i="14"/>
  <c r="DA144" i="14"/>
  <c r="DB144" i="14"/>
  <c r="DC144" i="14"/>
  <c r="DE144" i="14"/>
  <c r="DF144" i="14"/>
  <c r="DG144" i="14"/>
  <c r="I144" i="14"/>
  <c r="I143" i="14"/>
  <c r="CJ98" i="6" l="1"/>
  <c r="CJ116" i="6" s="1"/>
  <c r="CJ118" i="6"/>
  <c r="BT98" i="6"/>
  <c r="BT116" i="6" s="1"/>
  <c r="BT118" i="6"/>
  <c r="CB98" i="6"/>
  <c r="CB115" i="6" s="1"/>
  <c r="CB118" i="6"/>
  <c r="CF98" i="6"/>
  <c r="CF116" i="6" s="1"/>
  <c r="CF118" i="6"/>
  <c r="CB113" i="6"/>
  <c r="EG79" i="2"/>
  <c r="DK79" i="2"/>
  <c r="DO79" i="2"/>
  <c r="DS79" i="2"/>
  <c r="EE79" i="2"/>
  <c r="EI79" i="2"/>
  <c r="EA79" i="2"/>
  <c r="ED79" i="2"/>
  <c r="DW79" i="2"/>
  <c r="DX14" i="2"/>
  <c r="DH14" i="2"/>
  <c r="DZ79" i="2"/>
  <c r="DJ79" i="2"/>
  <c r="DJ137" i="11"/>
  <c r="CB111" i="6"/>
  <c r="CB107" i="6"/>
  <c r="EA14" i="2"/>
  <c r="CB108" i="6"/>
  <c r="DG79" i="2"/>
  <c r="DR79" i="2"/>
  <c r="DF79" i="2"/>
  <c r="DU79" i="2"/>
  <c r="EH79" i="2"/>
  <c r="DN79" i="2"/>
  <c r="DL79" i="2"/>
  <c r="DY79" i="2"/>
  <c r="DI79" i="2"/>
  <c r="L63" i="12" s="1"/>
  <c r="DP79" i="2"/>
  <c r="CF114" i="6"/>
  <c r="DW14" i="2"/>
  <c r="EC14" i="2"/>
  <c r="CB112" i="6"/>
  <c r="CB109" i="6"/>
  <c r="DN14" i="2"/>
  <c r="DJ14" i="2"/>
  <c r="DM14" i="2"/>
  <c r="EB14" i="2"/>
  <c r="DL14" i="2"/>
  <c r="EF14" i="2"/>
  <c r="DP14" i="2"/>
  <c r="DU14" i="2"/>
  <c r="CF113" i="6"/>
  <c r="EC79" i="2"/>
  <c r="DM79" i="2"/>
  <c r="CB114" i="6"/>
  <c r="CJ117" i="6"/>
  <c r="EF79" i="2"/>
  <c r="CB117" i="6"/>
  <c r="DQ79" i="2"/>
  <c r="DI14" i="2"/>
  <c r="L56" i="12" s="1"/>
  <c r="DT14" i="2"/>
  <c r="DY14" i="2"/>
  <c r="EE14" i="2"/>
  <c r="DO14" i="2"/>
  <c r="DK14" i="2"/>
  <c r="BV111" i="6"/>
  <c r="DV14" i="2"/>
  <c r="DG14" i="2"/>
  <c r="BX108" i="6"/>
  <c r="DQ14" i="2"/>
  <c r="BX107" i="6"/>
  <c r="DZ14" i="2"/>
  <c r="BV107" i="6"/>
  <c r="BX111" i="6"/>
  <c r="EG14" i="2"/>
  <c r="EI14" i="2"/>
  <c r="DS14" i="2"/>
  <c r="CD107" i="6"/>
  <c r="CI6" i="6"/>
  <c r="CI96" i="6" s="1"/>
  <c r="DF14" i="2"/>
  <c r="CD111" i="6"/>
  <c r="CB6" i="6"/>
  <c r="DV79" i="2"/>
  <c r="DT79" i="2"/>
  <c r="CG6" i="6"/>
  <c r="CG96" i="6" s="1"/>
  <c r="DX79" i="2"/>
  <c r="DH79" i="2"/>
  <c r="EB79" i="2"/>
  <c r="CF6" i="6"/>
  <c r="CF115" i="6"/>
  <c r="CF117" i="6"/>
  <c r="BX112" i="6"/>
  <c r="BX6" i="6"/>
  <c r="CM6" i="6"/>
  <c r="CM96" i="6" s="1"/>
  <c r="CO6" i="6"/>
  <c r="CO96" i="6" s="1"/>
  <c r="BX109" i="6"/>
  <c r="CA6" i="6"/>
  <c r="CA96" i="6" s="1"/>
  <c r="CH117" i="6"/>
  <c r="CH98" i="6"/>
  <c r="CH115" i="6" s="1"/>
  <c r="CP117" i="6"/>
  <c r="CP98" i="6"/>
  <c r="CP115" i="6" s="1"/>
  <c r="CD113" i="6"/>
  <c r="CD98" i="6"/>
  <c r="CD115" i="6" s="1"/>
  <c r="BX113" i="6"/>
  <c r="BX98" i="6"/>
  <c r="CC6" i="6"/>
  <c r="CC96" i="6" s="1"/>
  <c r="CC98" i="6"/>
  <c r="BO6" i="6"/>
  <c r="BO96" i="6" s="1"/>
  <c r="BO98" i="6"/>
  <c r="CH6" i="6"/>
  <c r="CH101" i="6" s="1"/>
  <c r="BZ117" i="6"/>
  <c r="BZ98" i="6"/>
  <c r="BZ115" i="6" s="1"/>
  <c r="BP6" i="6"/>
  <c r="BP98" i="6"/>
  <c r="BM6" i="6"/>
  <c r="BM96" i="6" s="1"/>
  <c r="CL6" i="6"/>
  <c r="CL96" i="6" s="1"/>
  <c r="CL103" i="6" s="1"/>
  <c r="CL98" i="6"/>
  <c r="CL115" i="6" s="1"/>
  <c r="BQ6" i="6"/>
  <c r="BQ96" i="6" s="1"/>
  <c r="BQ98" i="6"/>
  <c r="CK6" i="6"/>
  <c r="CK96" i="6" s="1"/>
  <c r="BS6" i="6"/>
  <c r="BS96" i="6" s="1"/>
  <c r="BS97" i="6"/>
  <c r="CE6" i="6"/>
  <c r="CE96" i="6" s="1"/>
  <c r="EH14" i="2"/>
  <c r="DR14" i="2"/>
  <c r="CJ111" i="6"/>
  <c r="CJ97" i="6"/>
  <c r="BN111" i="6"/>
  <c r="BN97" i="6"/>
  <c r="BN109" i="6" s="1"/>
  <c r="BT112" i="6"/>
  <c r="BT97" i="6"/>
  <c r="BP112" i="6"/>
  <c r="BP97" i="6"/>
  <c r="CN6" i="6"/>
  <c r="CN97" i="6"/>
  <c r="BR107" i="6"/>
  <c r="BR97" i="6"/>
  <c r="BR109" i="6" s="1"/>
  <c r="CP111" i="6"/>
  <c r="CP97" i="6"/>
  <c r="CP109" i="6" s="1"/>
  <c r="CJ107" i="6"/>
  <c r="CJ112" i="6"/>
  <c r="CN108" i="6"/>
  <c r="BY6" i="6"/>
  <c r="BY96" i="6" s="1"/>
  <c r="CN107" i="6"/>
  <c r="CN111" i="6"/>
  <c r="BR111" i="6"/>
  <c r="BW6" i="6"/>
  <c r="BW96" i="6" s="1"/>
  <c r="BR6" i="6"/>
  <c r="BR96" i="6" s="1"/>
  <c r="BR103" i="6" s="1"/>
  <c r="CP107" i="6"/>
  <c r="CN112" i="6"/>
  <c r="BN6" i="6"/>
  <c r="BV6" i="6"/>
  <c r="ED14" i="2"/>
  <c r="BN107" i="6"/>
  <c r="BT111" i="6"/>
  <c r="BP111" i="6"/>
  <c r="BT107" i="6"/>
  <c r="BP107" i="6"/>
  <c r="BU6" i="6"/>
  <c r="BT108" i="6"/>
  <c r="BP108" i="6"/>
  <c r="BT6" i="6"/>
  <c r="BT106" i="6" s="1"/>
  <c r="CJ108" i="6"/>
  <c r="CJ6" i="6"/>
  <c r="CJ106" i="6" s="1"/>
  <c r="CJ113" i="6"/>
  <c r="CJ114" i="6"/>
  <c r="BN113" i="6"/>
  <c r="BN117" i="6"/>
  <c r="CP113" i="6"/>
  <c r="CH113" i="6"/>
  <c r="BR113" i="6"/>
  <c r="CP6" i="6"/>
  <c r="CP96" i="6" s="1"/>
  <c r="CP103" i="6" s="1"/>
  <c r="BV113" i="6"/>
  <c r="BV117" i="6"/>
  <c r="BX114" i="6"/>
  <c r="BT114" i="6"/>
  <c r="BP114" i="6"/>
  <c r="CD117" i="6"/>
  <c r="BP117" i="6"/>
  <c r="CD6" i="6"/>
  <c r="BX117" i="6"/>
  <c r="BT117" i="6"/>
  <c r="BT113" i="6"/>
  <c r="BP113" i="6"/>
  <c r="BR117" i="6"/>
  <c r="CL117" i="6"/>
  <c r="BZ113" i="6"/>
  <c r="BZ6" i="6"/>
  <c r="DF137" i="11"/>
  <c r="EF137" i="11"/>
  <c r="EB137" i="11"/>
  <c r="DX137" i="11"/>
  <c r="DT137" i="11"/>
  <c r="DP137" i="11"/>
  <c r="DL137" i="11"/>
  <c r="DH137" i="11"/>
  <c r="EI137" i="11"/>
  <c r="EE137" i="11"/>
  <c r="EA137" i="11"/>
  <c r="DW137" i="11"/>
  <c r="DS137" i="11"/>
  <c r="DO137" i="11"/>
  <c r="DK137" i="11"/>
  <c r="DF38" i="11"/>
  <c r="EH137" i="11"/>
  <c r="ED137" i="11"/>
  <c r="DZ137" i="11"/>
  <c r="DV137" i="11"/>
  <c r="DR137" i="11"/>
  <c r="DN137" i="11"/>
  <c r="DI137" i="11"/>
  <c r="EG137" i="11"/>
  <c r="EC137" i="11"/>
  <c r="DY137" i="11"/>
  <c r="DU137" i="11"/>
  <c r="DQ137" i="11"/>
  <c r="DM137" i="11"/>
  <c r="DG137" i="11"/>
  <c r="DY78" i="14"/>
  <c r="DQ78" i="14"/>
  <c r="EJ78" i="14"/>
  <c r="EF78" i="14"/>
  <c r="EB78" i="14"/>
  <c r="DX78" i="14"/>
  <c r="DT78" i="14"/>
  <c r="DP78" i="14"/>
  <c r="DM78" i="14"/>
  <c r="EC78" i="14"/>
  <c r="DU78" i="14"/>
  <c r="DI78" i="14"/>
  <c r="DL78" i="14"/>
  <c r="EL78" i="14"/>
  <c r="EH78" i="14"/>
  <c r="ED78" i="14"/>
  <c r="DZ78" i="14"/>
  <c r="DV78" i="14"/>
  <c r="DR78" i="14"/>
  <c r="EE78" i="14"/>
  <c r="EA78" i="14"/>
  <c r="DS78" i="14"/>
  <c r="EI78" i="14"/>
  <c r="DW78" i="14"/>
  <c r="DO78" i="14"/>
  <c r="DO5" i="14" s="1"/>
  <c r="DK78" i="14"/>
  <c r="DN78" i="14"/>
  <c r="DJ78" i="14"/>
  <c r="EK78" i="14"/>
  <c r="EG78" i="14"/>
  <c r="EL13" i="14"/>
  <c r="EL5" i="14" s="1"/>
  <c r="EH13" i="14"/>
  <c r="ED13" i="14"/>
  <c r="DZ13" i="14"/>
  <c r="DV13" i="14"/>
  <c r="DV5" i="14" s="1"/>
  <c r="DR13" i="14"/>
  <c r="DN13" i="14"/>
  <c r="DJ13" i="14"/>
  <c r="EI13" i="14"/>
  <c r="EE13" i="14"/>
  <c r="EA13" i="14"/>
  <c r="EA5" i="14" s="1"/>
  <c r="DW13" i="14"/>
  <c r="DS13" i="14"/>
  <c r="DS5" i="14" s="1"/>
  <c r="DO13" i="14"/>
  <c r="DK13" i="14"/>
  <c r="EK13" i="14"/>
  <c r="EG13" i="14"/>
  <c r="EC13" i="14"/>
  <c r="DY13" i="14"/>
  <c r="DY5" i="14" s="1"/>
  <c r="DU13" i="14"/>
  <c r="DQ13" i="14"/>
  <c r="DM13" i="14"/>
  <c r="DI13" i="14"/>
  <c r="EJ13" i="14"/>
  <c r="EF13" i="14"/>
  <c r="EB13" i="14"/>
  <c r="DX13" i="14"/>
  <c r="DX5" i="14" s="1"/>
  <c r="DT13" i="14"/>
  <c r="DP13" i="14"/>
  <c r="DL13" i="14"/>
  <c r="DQ5" i="14"/>
  <c r="DF43" i="11"/>
  <c r="DF26" i="11"/>
  <c r="DF34" i="11"/>
  <c r="DF17" i="11"/>
  <c r="J149" i="2"/>
  <c r="L149" i="2"/>
  <c r="N149" i="2"/>
  <c r="P149" i="2"/>
  <c r="R149" i="2"/>
  <c r="T149" i="2"/>
  <c r="V149" i="2"/>
  <c r="X149" i="2"/>
  <c r="Z149" i="2"/>
  <c r="AB149" i="2"/>
  <c r="AD149" i="2"/>
  <c r="AF149" i="2"/>
  <c r="AH149" i="2"/>
  <c r="AJ149" i="2"/>
  <c r="AL149" i="2"/>
  <c r="AN149" i="2"/>
  <c r="AP149" i="2"/>
  <c r="AR149" i="2"/>
  <c r="AT149" i="2"/>
  <c r="AV149" i="2"/>
  <c r="AX149" i="2"/>
  <c r="AZ149" i="2"/>
  <c r="BB149" i="2"/>
  <c r="BD149" i="2"/>
  <c r="BF149" i="2"/>
  <c r="BH149" i="2"/>
  <c r="BJ149" i="2"/>
  <c r="BL149" i="2"/>
  <c r="BN149" i="2"/>
  <c r="BP149" i="2"/>
  <c r="BR149" i="2"/>
  <c r="BT149" i="2"/>
  <c r="BV149" i="2"/>
  <c r="BX149" i="2"/>
  <c r="BZ149" i="2"/>
  <c r="CB149" i="2"/>
  <c r="CD149" i="2"/>
  <c r="CF149" i="2"/>
  <c r="CH149" i="2"/>
  <c r="CJ149" i="2"/>
  <c r="CL149" i="2"/>
  <c r="CN149" i="2"/>
  <c r="CP149" i="2"/>
  <c r="CR149" i="2"/>
  <c r="CT149" i="2"/>
  <c r="CV149" i="2"/>
  <c r="CX149" i="2"/>
  <c r="CZ149" i="2"/>
  <c r="DB149" i="2"/>
  <c r="DD149" i="2"/>
  <c r="J150" i="2"/>
  <c r="K150" i="2"/>
  <c r="L150" i="2"/>
  <c r="N150" i="2"/>
  <c r="O150" i="2"/>
  <c r="P150" i="2"/>
  <c r="R150" i="2"/>
  <c r="S150" i="2"/>
  <c r="T150" i="2"/>
  <c r="V150" i="2"/>
  <c r="W150" i="2"/>
  <c r="X150" i="2"/>
  <c r="Z150" i="2"/>
  <c r="AA150" i="2"/>
  <c r="AB150" i="2"/>
  <c r="AD150" i="2"/>
  <c r="AE150" i="2"/>
  <c r="AF150" i="2"/>
  <c r="AH150" i="2"/>
  <c r="AI150" i="2"/>
  <c r="AJ150" i="2"/>
  <c r="AL150" i="2"/>
  <c r="AM150" i="2"/>
  <c r="AN150" i="2"/>
  <c r="AP150" i="2"/>
  <c r="AQ150" i="2"/>
  <c r="AR150" i="2"/>
  <c r="AT150" i="2"/>
  <c r="AU150" i="2"/>
  <c r="AV150" i="2"/>
  <c r="AX150" i="2"/>
  <c r="AY150" i="2"/>
  <c r="AZ150" i="2"/>
  <c r="BB150" i="2"/>
  <c r="BC150" i="2"/>
  <c r="BD150" i="2"/>
  <c r="BF150" i="2"/>
  <c r="BG150" i="2"/>
  <c r="BH150" i="2"/>
  <c r="BJ150" i="2"/>
  <c r="BK150" i="2"/>
  <c r="BL150" i="2"/>
  <c r="BN150" i="2"/>
  <c r="BO150" i="2"/>
  <c r="BP150" i="2"/>
  <c r="BR150" i="2"/>
  <c r="BS150" i="2"/>
  <c r="BT150" i="2"/>
  <c r="BV150" i="2"/>
  <c r="BW150" i="2"/>
  <c r="BX150" i="2"/>
  <c r="BZ150" i="2"/>
  <c r="CA150" i="2"/>
  <c r="CB150" i="2"/>
  <c r="CD150" i="2"/>
  <c r="CE150" i="2"/>
  <c r="CF150" i="2"/>
  <c r="CH150" i="2"/>
  <c r="CI150" i="2"/>
  <c r="CJ150" i="2"/>
  <c r="CL150" i="2"/>
  <c r="CM150" i="2"/>
  <c r="CN150" i="2"/>
  <c r="CP150" i="2"/>
  <c r="CQ150" i="2"/>
  <c r="CR150" i="2"/>
  <c r="CT150" i="2"/>
  <c r="CU150" i="2"/>
  <c r="CV150" i="2"/>
  <c r="CX150" i="2"/>
  <c r="CY150" i="2"/>
  <c r="CZ150" i="2"/>
  <c r="DB150" i="2"/>
  <c r="DC150" i="2"/>
  <c r="DD150" i="2"/>
  <c r="J146" i="2"/>
  <c r="K146" i="2"/>
  <c r="L146" i="2"/>
  <c r="N146" i="2"/>
  <c r="O146" i="2"/>
  <c r="P146" i="2"/>
  <c r="R146" i="2"/>
  <c r="S146" i="2"/>
  <c r="T146" i="2"/>
  <c r="V146" i="2"/>
  <c r="W146" i="2"/>
  <c r="X146" i="2"/>
  <c r="Z146" i="2"/>
  <c r="AA146" i="2"/>
  <c r="AB146" i="2"/>
  <c r="AD146" i="2"/>
  <c r="AE146" i="2"/>
  <c r="AF146" i="2"/>
  <c r="AH146" i="2"/>
  <c r="AI146" i="2"/>
  <c r="AJ146" i="2"/>
  <c r="AL146" i="2"/>
  <c r="AM146" i="2"/>
  <c r="AN146" i="2"/>
  <c r="AP146" i="2"/>
  <c r="AQ146" i="2"/>
  <c r="AR146" i="2"/>
  <c r="AT146" i="2"/>
  <c r="AU146" i="2"/>
  <c r="AV146" i="2"/>
  <c r="AX146" i="2"/>
  <c r="AY146" i="2"/>
  <c r="AZ146" i="2"/>
  <c r="BB146" i="2"/>
  <c r="BC146" i="2"/>
  <c r="BD146" i="2"/>
  <c r="BF146" i="2"/>
  <c r="BG146" i="2"/>
  <c r="BH146" i="2"/>
  <c r="BJ146" i="2"/>
  <c r="BK146" i="2"/>
  <c r="BL146" i="2"/>
  <c r="BN146" i="2"/>
  <c r="BO146" i="2"/>
  <c r="BP146" i="2"/>
  <c r="BR146" i="2"/>
  <c r="BS146" i="2"/>
  <c r="BT146" i="2"/>
  <c r="BV146" i="2"/>
  <c r="BW146" i="2"/>
  <c r="BX146" i="2"/>
  <c r="BZ146" i="2"/>
  <c r="CA146" i="2"/>
  <c r="CB146" i="2"/>
  <c r="CD146" i="2"/>
  <c r="CE146" i="2"/>
  <c r="CF146" i="2"/>
  <c r="CH146" i="2"/>
  <c r="CI146" i="2"/>
  <c r="CJ146" i="2"/>
  <c r="CL146" i="2"/>
  <c r="CM146" i="2"/>
  <c r="CN146" i="2"/>
  <c r="CP146" i="2"/>
  <c r="CQ146" i="2"/>
  <c r="CR146" i="2"/>
  <c r="CT146" i="2"/>
  <c r="CU146" i="2"/>
  <c r="CV146" i="2"/>
  <c r="CX146" i="2"/>
  <c r="CY146" i="2"/>
  <c r="CZ146" i="2"/>
  <c r="DU6" i="2" l="1"/>
  <c r="CJ115" i="6"/>
  <c r="CB116" i="6"/>
  <c r="DY6" i="2"/>
  <c r="BT115" i="6"/>
  <c r="DO6" i="2"/>
  <c r="DZ6" i="2"/>
  <c r="DK6" i="2"/>
  <c r="EA6" i="2"/>
  <c r="EG6" i="2"/>
  <c r="ED6" i="2"/>
  <c r="DR6" i="2"/>
  <c r="DS6" i="2"/>
  <c r="DU2" i="2" s="1"/>
  <c r="DJ6" i="2"/>
  <c r="DJ144" i="2" s="1"/>
  <c r="EE6" i="2"/>
  <c r="DH6" i="2"/>
  <c r="DX6" i="2"/>
  <c r="EI6" i="2"/>
  <c r="EC6" i="2"/>
  <c r="DW6" i="2"/>
  <c r="EF6" i="2"/>
  <c r="EF1" i="2" s="1"/>
  <c r="EH6" i="2"/>
  <c r="DG6" i="2"/>
  <c r="DL6" i="2"/>
  <c r="DL3" i="2" s="1"/>
  <c r="DF6" i="2"/>
  <c r="EB6" i="2"/>
  <c r="DN6" i="2"/>
  <c r="DI6" i="2"/>
  <c r="DP6" i="2"/>
  <c r="DU1" i="2" s="1"/>
  <c r="BO3" i="6"/>
  <c r="BP96" i="6"/>
  <c r="BP104" i="6" s="1"/>
  <c r="BP106" i="6"/>
  <c r="BX101" i="6"/>
  <c r="BX106" i="6"/>
  <c r="CF101" i="6"/>
  <c r="CF106" i="6"/>
  <c r="CN96" i="6"/>
  <c r="CN103" i="6" s="1"/>
  <c r="CN106" i="6"/>
  <c r="CB105" i="6"/>
  <c r="CB106" i="6"/>
  <c r="DQ6" i="2"/>
  <c r="DM6" i="2"/>
  <c r="DT6" i="2"/>
  <c r="DV6" i="2"/>
  <c r="CB102" i="6"/>
  <c r="CM2" i="6"/>
  <c r="CB101" i="6"/>
  <c r="CB96" i="6"/>
  <c r="CB104" i="6" s="1"/>
  <c r="CI2" i="6"/>
  <c r="CH3" i="6"/>
  <c r="CJ2" i="6"/>
  <c r="CE2" i="6"/>
  <c r="CB3" i="6"/>
  <c r="CO3" i="6"/>
  <c r="BS3" i="6"/>
  <c r="CF105" i="6"/>
  <c r="CL2" i="6"/>
  <c r="CF96" i="6"/>
  <c r="CF103" i="6" s="1"/>
  <c r="CL105" i="6"/>
  <c r="CF102" i="6"/>
  <c r="CL101" i="6"/>
  <c r="CG3" i="6"/>
  <c r="BX96" i="6"/>
  <c r="BX104" i="6" s="1"/>
  <c r="BQ2" i="6"/>
  <c r="CC3" i="6"/>
  <c r="CI3" i="6"/>
  <c r="BS2" i="6"/>
  <c r="CH2" i="6"/>
  <c r="CF3" i="6"/>
  <c r="BN3" i="6"/>
  <c r="CG2" i="6"/>
  <c r="BY3" i="6"/>
  <c r="CH96" i="6"/>
  <c r="CH103" i="6" s="1"/>
  <c r="CC2" i="6"/>
  <c r="CA2" i="6"/>
  <c r="BX3" i="6"/>
  <c r="BY2" i="6"/>
  <c r="BO2" i="6"/>
  <c r="CH105" i="6"/>
  <c r="BT3" i="6"/>
  <c r="CM3" i="6"/>
  <c r="CN3" i="6"/>
  <c r="CO2" i="6"/>
  <c r="BP2" i="6"/>
  <c r="BN105" i="6"/>
  <c r="BX102" i="6"/>
  <c r="BX105" i="6"/>
  <c r="BP3" i="6"/>
  <c r="BR105" i="6"/>
  <c r="BP102" i="6"/>
  <c r="CN101" i="6"/>
  <c r="BX116" i="6"/>
  <c r="BX115" i="6"/>
  <c r="CK2" i="6"/>
  <c r="BQ3" i="6"/>
  <c r="BR3" i="6"/>
  <c r="CL3" i="6"/>
  <c r="BR101" i="6"/>
  <c r="BP105" i="6"/>
  <c r="CN105" i="6"/>
  <c r="CN102" i="6"/>
  <c r="BR2" i="6"/>
  <c r="CN2" i="6"/>
  <c r="BP101" i="6"/>
  <c r="BP116" i="6"/>
  <c r="BP115" i="6"/>
  <c r="CP2" i="6"/>
  <c r="BV3" i="6"/>
  <c r="BU96" i="6"/>
  <c r="BN101" i="6"/>
  <c r="BN96" i="6"/>
  <c r="BN103" i="6" s="1"/>
  <c r="CA3" i="6"/>
  <c r="BZ96" i="6"/>
  <c r="BZ103" i="6" s="1"/>
  <c r="BT102" i="6"/>
  <c r="BT96" i="6"/>
  <c r="BT109" i="6"/>
  <c r="BT110" i="6"/>
  <c r="BT101" i="6"/>
  <c r="CD101" i="6"/>
  <c r="CD96" i="6"/>
  <c r="CD103" i="6" s="1"/>
  <c r="CK3" i="6"/>
  <c r="CJ96" i="6"/>
  <c r="BV105" i="6"/>
  <c r="BV96" i="6"/>
  <c r="BV103" i="6" s="1"/>
  <c r="CN109" i="6"/>
  <c r="CN110" i="6"/>
  <c r="BP109" i="6"/>
  <c r="BP110" i="6"/>
  <c r="CJ109" i="6"/>
  <c r="CJ110" i="6"/>
  <c r="BU2" i="6"/>
  <c r="BW2" i="6"/>
  <c r="BW3" i="6"/>
  <c r="BU3" i="6"/>
  <c r="CJ3" i="6"/>
  <c r="BX2" i="6"/>
  <c r="CD2" i="6"/>
  <c r="BV101" i="6"/>
  <c r="CJ102" i="6"/>
  <c r="CJ105" i="6"/>
  <c r="BT105" i="6"/>
  <c r="BT2" i="6"/>
  <c r="BV2" i="6"/>
  <c r="CJ101" i="6"/>
  <c r="CD105" i="6"/>
  <c r="CB2" i="6"/>
  <c r="CF2" i="6"/>
  <c r="CE3" i="6"/>
  <c r="CP105" i="6"/>
  <c r="CP101" i="6"/>
  <c r="CP3" i="6"/>
  <c r="CD3" i="6"/>
  <c r="BZ2" i="6"/>
  <c r="BZ3" i="6"/>
  <c r="BZ105" i="6"/>
  <c r="BZ101" i="6"/>
  <c r="EC5" i="14"/>
  <c r="EB5" i="14"/>
  <c r="DN5" i="14"/>
  <c r="DM5" i="14"/>
  <c r="DZ5" i="14"/>
  <c r="EE5" i="14"/>
  <c r="DP5" i="14"/>
  <c r="DT5" i="14"/>
  <c r="EJ5" i="14"/>
  <c r="DU5" i="14"/>
  <c r="EF5" i="14"/>
  <c r="DW5" i="14"/>
  <c r="DI5" i="14"/>
  <c r="ED5" i="14"/>
  <c r="DL5" i="14"/>
  <c r="DJ5" i="14"/>
  <c r="EI5" i="14"/>
  <c r="DR5" i="14"/>
  <c r="EH5" i="14"/>
  <c r="DK5" i="14"/>
  <c r="EG5" i="14"/>
  <c r="EK5" i="14"/>
  <c r="I160" i="2"/>
  <c r="J160" i="2" s="1"/>
  <c r="I161" i="2"/>
  <c r="J161" i="2" s="1"/>
  <c r="I163" i="2"/>
  <c r="J163" i="2" s="1"/>
  <c r="I165" i="2"/>
  <c r="J165" i="2" s="1"/>
  <c r="I171" i="2"/>
  <c r="J171" i="2" s="1"/>
  <c r="I172" i="2"/>
  <c r="J172" i="2" s="1"/>
  <c r="I173" i="2"/>
  <c r="J173" i="2" s="1"/>
  <c r="H180" i="2"/>
  <c r="H184" i="2"/>
  <c r="I184" i="2" s="1"/>
  <c r="J184" i="2" s="1"/>
  <c r="H187" i="2"/>
  <c r="I187" i="2" s="1"/>
  <c r="J187" i="2" s="1"/>
  <c r="H186" i="2"/>
  <c r="I186" i="2" s="1"/>
  <c r="J186" i="2" s="1"/>
  <c r="H185" i="2"/>
  <c r="I185" i="2" s="1"/>
  <c r="J185" i="2" s="1"/>
  <c r="H183" i="2"/>
  <c r="I183" i="2" s="1"/>
  <c r="J183" i="2" s="1"/>
  <c r="H182" i="2"/>
  <c r="I182" i="2" s="1"/>
  <c r="J182" i="2" s="1"/>
  <c r="H178" i="2"/>
  <c r="H169" i="2"/>
  <c r="I169" i="2" s="1"/>
  <c r="J169" i="2" s="1"/>
  <c r="H168" i="2"/>
  <c r="I168" i="2" s="1"/>
  <c r="J168" i="2" s="1"/>
  <c r="H167" i="2"/>
  <c r="I167" i="2" s="1"/>
  <c r="J167" i="2" s="1"/>
  <c r="H164" i="2"/>
  <c r="I164" i="2" s="1"/>
  <c r="J164" i="2" s="1"/>
  <c r="R5" i="16"/>
  <c r="CV22" i="2"/>
  <c r="DZ1" i="2" l="1"/>
  <c r="DY2" i="2"/>
  <c r="O13" i="12"/>
  <c r="O17" i="12"/>
  <c r="E64" i="12" s="1"/>
  <c r="EE3" i="2"/>
  <c r="ED1" i="2"/>
  <c r="DY3" i="2"/>
  <c r="DZ3" i="2"/>
  <c r="DK3" i="2"/>
  <c r="DM2" i="2"/>
  <c r="DH144" i="2"/>
  <c r="DR2" i="2"/>
  <c r="DK1" i="2"/>
  <c r="DS3" i="2"/>
  <c r="DT1" i="2"/>
  <c r="DQ2" i="2"/>
  <c r="EA3" i="2"/>
  <c r="EA2" i="2"/>
  <c r="EA1" i="2"/>
  <c r="EB3" i="2"/>
  <c r="DS1" i="2"/>
  <c r="EH1" i="2"/>
  <c r="EG2" i="2"/>
  <c r="EI1" i="2"/>
  <c r="DJ2" i="2"/>
  <c r="EI2" i="2"/>
  <c r="DO1" i="2"/>
  <c r="ED3" i="2"/>
  <c r="EG3" i="2"/>
  <c r="DZ2" i="2"/>
  <c r="DX1" i="2"/>
  <c r="EC2" i="2"/>
  <c r="EF2" i="2"/>
  <c r="EF3" i="2"/>
  <c r="EE1" i="2"/>
  <c r="DH3" i="2"/>
  <c r="EC1" i="2"/>
  <c r="DJ3" i="2"/>
  <c r="DI149" i="2"/>
  <c r="DI144" i="2"/>
  <c r="DI152" i="2"/>
  <c r="DI150" i="2"/>
  <c r="DI151" i="2"/>
  <c r="EE2" i="2"/>
  <c r="DI3" i="2"/>
  <c r="EB1" i="2"/>
  <c r="DX3" i="2"/>
  <c r="DL2" i="2"/>
  <c r="DW1" i="2"/>
  <c r="EC3" i="2"/>
  <c r="EH2" i="2"/>
  <c r="EB2" i="2"/>
  <c r="EH3" i="2"/>
  <c r="EI3" i="2"/>
  <c r="EG1" i="2"/>
  <c r="ED2" i="2"/>
  <c r="DW2" i="2"/>
  <c r="DL1" i="2"/>
  <c r="DN2" i="2"/>
  <c r="DO3" i="2"/>
  <c r="DP2" i="2"/>
  <c r="DN3" i="2"/>
  <c r="DM3" i="2"/>
  <c r="DG3" i="2"/>
  <c r="DH2" i="2"/>
  <c r="DG149" i="2"/>
  <c r="DG151" i="2"/>
  <c r="DK2" i="2"/>
  <c r="DI2" i="2"/>
  <c r="DN1" i="2"/>
  <c r="DP1" i="2"/>
  <c r="DQ3" i="2"/>
  <c r="DW3" i="2"/>
  <c r="DP3" i="2"/>
  <c r="BP103" i="6"/>
  <c r="DX2" i="2"/>
  <c r="DR3" i="2"/>
  <c r="CN104" i="6"/>
  <c r="DV2" i="2"/>
  <c r="DT2" i="2"/>
  <c r="DT3" i="2"/>
  <c r="DY1" i="2"/>
  <c r="DQ1" i="2"/>
  <c r="DS2" i="2"/>
  <c r="DU3" i="2"/>
  <c r="DO2" i="2"/>
  <c r="DM1" i="2"/>
  <c r="DR1" i="2"/>
  <c r="DV3" i="2"/>
  <c r="DV1" i="2"/>
  <c r="CB103" i="6"/>
  <c r="BX103" i="6"/>
  <c r="CF104" i="6"/>
  <c r="BT103" i="6"/>
  <c r="BT104" i="6"/>
  <c r="CJ103" i="6"/>
  <c r="CJ104" i="6"/>
  <c r="H159" i="2"/>
  <c r="H162" i="2"/>
  <c r="I162" i="2" s="1"/>
  <c r="J162" i="2" s="1"/>
  <c r="H177" i="2"/>
  <c r="H166" i="2"/>
  <c r="I166" i="2" s="1"/>
  <c r="J166" i="2" s="1"/>
  <c r="H157" i="2"/>
  <c r="H181" i="2"/>
  <c r="H179" i="2"/>
  <c r="H170" i="2"/>
  <c r="I170" i="2" s="1"/>
  <c r="J170" i="2" s="1"/>
  <c r="DH7" i="14"/>
  <c r="DH6" i="14" s="1"/>
  <c r="DH14" i="14"/>
  <c r="DH17" i="14"/>
  <c r="DH24" i="14"/>
  <c r="DH26" i="14"/>
  <c r="DH34" i="14"/>
  <c r="DH38" i="14"/>
  <c r="DH41" i="14"/>
  <c r="DH43" i="14"/>
  <c r="DH48" i="14"/>
  <c r="DH58" i="14"/>
  <c r="DH72" i="14"/>
  <c r="DH74" i="14"/>
  <c r="DH79" i="14"/>
  <c r="DH86" i="14"/>
  <c r="DH88" i="14"/>
  <c r="DH98" i="14"/>
  <c r="DH103" i="14"/>
  <c r="DH105" i="14"/>
  <c r="DH108" i="14"/>
  <c r="DH111" i="14"/>
  <c r="DH114" i="14"/>
  <c r="DH118" i="14"/>
  <c r="DH122" i="14"/>
  <c r="DH129" i="14"/>
  <c r="DH133" i="14"/>
  <c r="DH137" i="14"/>
  <c r="DG7" i="14"/>
  <c r="DG6" i="14" s="1"/>
  <c r="DG14" i="14"/>
  <c r="DG17" i="14"/>
  <c r="DG24" i="14"/>
  <c r="DG26" i="14"/>
  <c r="DG34" i="14"/>
  <c r="DG38" i="14"/>
  <c r="DG41" i="14"/>
  <c r="DG43" i="14"/>
  <c r="DG48" i="14"/>
  <c r="DG58" i="14"/>
  <c r="DG72" i="14"/>
  <c r="DG74" i="14"/>
  <c r="DG79" i="14"/>
  <c r="DG86" i="14"/>
  <c r="DG88" i="14"/>
  <c r="DG98" i="14"/>
  <c r="DG103" i="14"/>
  <c r="DG105" i="14"/>
  <c r="DG108" i="14"/>
  <c r="DG111" i="14"/>
  <c r="DG114" i="14"/>
  <c r="DG118" i="14"/>
  <c r="DG122" i="14"/>
  <c r="DG129" i="14"/>
  <c r="DG133" i="14"/>
  <c r="DG137" i="14"/>
  <c r="DF7" i="14"/>
  <c r="DF6" i="14" s="1"/>
  <c r="DF14" i="14"/>
  <c r="DF17" i="14"/>
  <c r="DF24" i="14"/>
  <c r="DF26" i="14"/>
  <c r="DF34" i="14"/>
  <c r="DF38" i="14"/>
  <c r="DF41" i="14"/>
  <c r="DF43" i="14"/>
  <c r="DF48" i="14"/>
  <c r="DF58" i="14"/>
  <c r="DF72" i="14"/>
  <c r="DF74" i="14"/>
  <c r="DF79" i="14"/>
  <c r="DF86" i="14"/>
  <c r="DF88" i="14"/>
  <c r="DF98" i="14"/>
  <c r="DF103" i="14"/>
  <c r="DF105" i="14"/>
  <c r="DF108" i="14"/>
  <c r="DF111" i="14"/>
  <c r="DF114" i="14"/>
  <c r="DF118" i="14"/>
  <c r="DF122" i="14"/>
  <c r="DF129" i="14"/>
  <c r="DF133" i="14"/>
  <c r="DF137" i="14"/>
  <c r="DE7" i="14"/>
  <c r="DE6" i="14" s="1"/>
  <c r="DE14" i="14"/>
  <c r="DE17" i="14"/>
  <c r="DE24" i="14"/>
  <c r="DE26" i="14"/>
  <c r="DE34" i="14"/>
  <c r="DE38" i="14"/>
  <c r="DE41" i="14"/>
  <c r="DE43" i="14"/>
  <c r="DE48" i="14"/>
  <c r="DE58" i="14"/>
  <c r="DE72" i="14"/>
  <c r="DE74" i="14"/>
  <c r="DE79" i="14"/>
  <c r="DE86" i="14"/>
  <c r="DE88" i="14"/>
  <c r="DE98" i="14"/>
  <c r="DE103" i="14"/>
  <c r="DE105" i="14"/>
  <c r="DE108" i="14"/>
  <c r="DE111" i="14"/>
  <c r="DE114" i="14"/>
  <c r="DE118" i="14"/>
  <c r="DE122" i="14"/>
  <c r="DE129" i="14"/>
  <c r="DE133" i="14"/>
  <c r="DE137" i="14"/>
  <c r="DD7" i="14"/>
  <c r="DD6" i="14" s="1"/>
  <c r="DD14" i="14"/>
  <c r="DD17" i="14"/>
  <c r="DD24" i="14"/>
  <c r="DD26" i="14"/>
  <c r="DD34" i="14"/>
  <c r="DD38" i="14"/>
  <c r="DD41" i="14"/>
  <c r="DD43" i="14"/>
  <c r="DD48" i="14"/>
  <c r="DD58" i="14"/>
  <c r="DD72" i="14"/>
  <c r="DD74" i="14"/>
  <c r="DD79" i="14"/>
  <c r="DD86" i="14"/>
  <c r="DD88" i="14"/>
  <c r="DD98" i="14"/>
  <c r="DD103" i="14"/>
  <c r="DD105" i="14"/>
  <c r="DD108" i="14"/>
  <c r="DD111" i="14"/>
  <c r="DD114" i="14"/>
  <c r="DD118" i="14"/>
  <c r="DD122" i="14"/>
  <c r="DD129" i="14"/>
  <c r="DD133" i="14"/>
  <c r="DD137" i="14"/>
  <c r="DC7" i="14"/>
  <c r="DC6" i="14" s="1"/>
  <c r="DC14" i="14"/>
  <c r="DC17" i="14"/>
  <c r="DC24" i="14"/>
  <c r="DC26" i="14"/>
  <c r="DC34" i="14"/>
  <c r="DC38" i="14"/>
  <c r="DC41" i="14"/>
  <c r="DC43" i="14"/>
  <c r="DC48" i="14"/>
  <c r="DC58" i="14"/>
  <c r="DC72" i="14"/>
  <c r="DC74" i="14"/>
  <c r="DC79" i="14"/>
  <c r="DC86" i="14"/>
  <c r="DC88" i="14"/>
  <c r="DC98" i="14"/>
  <c r="DC103" i="14"/>
  <c r="DC105" i="14"/>
  <c r="DC108" i="14"/>
  <c r="DC111" i="14"/>
  <c r="DC114" i="14"/>
  <c r="DC118" i="14"/>
  <c r="DC122" i="14"/>
  <c r="DC129" i="14"/>
  <c r="DC133" i="14"/>
  <c r="DC137" i="14"/>
  <c r="DB7" i="14"/>
  <c r="DB6" i="14" s="1"/>
  <c r="DB14" i="14"/>
  <c r="DB17" i="14"/>
  <c r="DB24" i="14"/>
  <c r="DB26" i="14"/>
  <c r="DB34" i="14"/>
  <c r="DB38" i="14"/>
  <c r="DB41" i="14"/>
  <c r="DB43" i="14"/>
  <c r="DB48" i="14"/>
  <c r="DB58" i="14"/>
  <c r="DB72" i="14"/>
  <c r="DB74" i="14"/>
  <c r="DB79" i="14"/>
  <c r="DB86" i="14"/>
  <c r="DB88" i="14"/>
  <c r="DB98" i="14"/>
  <c r="DB103" i="14"/>
  <c r="DB105" i="14"/>
  <c r="DB108" i="14"/>
  <c r="DB111" i="14"/>
  <c r="DB114" i="14"/>
  <c r="DB118" i="14"/>
  <c r="DB122" i="14"/>
  <c r="DB129" i="14"/>
  <c r="DB133" i="14"/>
  <c r="DB137" i="14"/>
  <c r="DA7" i="14"/>
  <c r="DA6" i="14" s="1"/>
  <c r="DA14" i="14"/>
  <c r="DA17" i="14"/>
  <c r="DA24" i="14"/>
  <c r="DA26" i="14"/>
  <c r="DA34" i="14"/>
  <c r="DA38" i="14"/>
  <c r="DA41" i="14"/>
  <c r="DA43" i="14"/>
  <c r="DA48" i="14"/>
  <c r="DA58" i="14"/>
  <c r="DA72" i="14"/>
  <c r="DA74" i="14"/>
  <c r="DA79" i="14"/>
  <c r="DA86" i="14"/>
  <c r="DA88" i="14"/>
  <c r="DA98" i="14"/>
  <c r="DA103" i="14"/>
  <c r="DA105" i="14"/>
  <c r="DA108" i="14"/>
  <c r="DA111" i="14"/>
  <c r="DA114" i="14"/>
  <c r="DA118" i="14"/>
  <c r="DA122" i="14"/>
  <c r="DA129" i="14"/>
  <c r="DA133" i="14"/>
  <c r="DA137" i="14"/>
  <c r="DE136" i="11"/>
  <c r="DE135" i="11"/>
  <c r="DE134" i="11"/>
  <c r="DE132" i="11"/>
  <c r="DE131" i="11"/>
  <c r="DE130" i="11"/>
  <c r="DE128" i="11"/>
  <c r="DE127" i="11"/>
  <c r="DE126" i="11"/>
  <c r="DE125" i="11"/>
  <c r="DE124" i="11"/>
  <c r="DE123" i="11"/>
  <c r="DE121" i="11"/>
  <c r="DE120" i="11"/>
  <c r="DE119" i="11"/>
  <c r="DE117" i="11"/>
  <c r="DE116" i="11"/>
  <c r="DE115" i="11"/>
  <c r="DE113" i="11"/>
  <c r="DE112" i="11"/>
  <c r="DE110" i="11"/>
  <c r="DE109" i="11"/>
  <c r="DE107" i="11"/>
  <c r="DE106" i="11"/>
  <c r="DE104" i="11"/>
  <c r="DE103" i="11" s="1"/>
  <c r="DE102" i="11"/>
  <c r="DE101" i="11"/>
  <c r="DE96" i="11"/>
  <c r="DE95" i="11"/>
  <c r="DE93" i="11"/>
  <c r="DE92" i="11"/>
  <c r="DE89" i="11"/>
  <c r="DE86" i="11"/>
  <c r="DE82" i="11"/>
  <c r="DE79" i="11" s="1"/>
  <c r="DE77" i="11"/>
  <c r="DE76" i="11"/>
  <c r="DE75" i="11"/>
  <c r="DE73" i="11"/>
  <c r="DE72" i="11" s="1"/>
  <c r="DE48" i="11"/>
  <c r="DE47" i="11"/>
  <c r="DE46" i="11"/>
  <c r="DE45" i="11"/>
  <c r="DE42" i="11"/>
  <c r="DE41" i="11" s="1"/>
  <c r="DE40" i="11"/>
  <c r="DE39" i="11"/>
  <c r="DE37" i="11"/>
  <c r="DE36" i="11"/>
  <c r="DE35" i="11"/>
  <c r="DE31" i="11"/>
  <c r="DE30" i="11"/>
  <c r="DE25" i="11"/>
  <c r="DE24" i="11" s="1"/>
  <c r="DE23" i="11"/>
  <c r="DE22" i="11"/>
  <c r="DE21" i="11"/>
  <c r="DE20" i="11"/>
  <c r="DE14" i="11"/>
  <c r="DE7" i="11"/>
  <c r="DE6" i="11" s="1"/>
  <c r="DD7" i="11"/>
  <c r="DD6" i="11" s="1"/>
  <c r="DD14" i="11"/>
  <c r="DD20" i="11"/>
  <c r="DD21" i="11"/>
  <c r="DD22" i="11"/>
  <c r="DD23" i="11"/>
  <c r="DD25" i="11"/>
  <c r="DD24" i="11" s="1"/>
  <c r="DD30" i="11"/>
  <c r="DD31" i="11"/>
  <c r="DD35" i="11"/>
  <c r="DD36" i="11"/>
  <c r="DD37" i="11"/>
  <c r="DD39" i="11"/>
  <c r="DD40" i="11"/>
  <c r="DD42" i="11"/>
  <c r="DD41" i="11" s="1"/>
  <c r="DD45" i="11"/>
  <c r="DD46" i="11"/>
  <c r="DD47" i="11"/>
  <c r="DD48" i="11"/>
  <c r="DD59" i="11"/>
  <c r="DD60" i="11"/>
  <c r="DD61" i="11"/>
  <c r="DD62" i="11"/>
  <c r="DD63" i="11"/>
  <c r="DD66" i="11"/>
  <c r="DD67" i="11"/>
  <c r="DD68" i="11"/>
  <c r="DD69" i="11"/>
  <c r="DD70" i="11"/>
  <c r="DD73" i="11"/>
  <c r="DD72" i="11" s="1"/>
  <c r="DD75" i="11"/>
  <c r="DD76" i="11"/>
  <c r="DD77" i="11"/>
  <c r="DD82" i="11"/>
  <c r="DD79" i="11" s="1"/>
  <c r="DD86" i="11"/>
  <c r="DD89" i="11"/>
  <c r="DD92" i="11"/>
  <c r="DD93" i="11"/>
  <c r="DD95" i="11"/>
  <c r="DD96" i="11"/>
  <c r="DD101" i="11"/>
  <c r="DD102" i="11"/>
  <c r="DD104" i="11"/>
  <c r="DD103" i="11" s="1"/>
  <c r="DD106" i="11"/>
  <c r="DD107" i="11"/>
  <c r="DD109" i="11"/>
  <c r="DD110" i="11"/>
  <c r="DD112" i="11"/>
  <c r="DD113" i="11"/>
  <c r="DD115" i="11"/>
  <c r="DD116" i="11"/>
  <c r="DD117" i="11"/>
  <c r="DD119" i="11"/>
  <c r="DD120" i="11"/>
  <c r="DD121" i="11"/>
  <c r="DD123" i="11"/>
  <c r="DD124" i="11"/>
  <c r="DD125" i="11"/>
  <c r="DD126" i="11"/>
  <c r="DD127" i="11"/>
  <c r="DD128" i="11"/>
  <c r="DD130" i="11"/>
  <c r="DD131" i="11"/>
  <c r="DD132" i="11"/>
  <c r="DD134" i="11"/>
  <c r="DD135" i="11"/>
  <c r="DD136" i="11"/>
  <c r="DD138" i="11"/>
  <c r="DD139" i="11"/>
  <c r="DD140" i="11"/>
  <c r="DC7" i="11"/>
  <c r="DC6" i="11" s="1"/>
  <c r="DC14" i="11"/>
  <c r="DC20" i="11"/>
  <c r="DC21" i="11"/>
  <c r="DC22" i="11"/>
  <c r="DC23" i="11"/>
  <c r="DC25" i="11"/>
  <c r="DC24" i="11" s="1"/>
  <c r="DC30" i="11"/>
  <c r="DC31" i="11"/>
  <c r="DC35" i="11"/>
  <c r="DC36" i="11"/>
  <c r="DC37" i="11"/>
  <c r="DC39" i="11"/>
  <c r="DC40" i="11"/>
  <c r="DC42" i="11"/>
  <c r="DC41" i="11" s="1"/>
  <c r="DC45" i="11"/>
  <c r="DC46" i="11"/>
  <c r="DC47" i="11"/>
  <c r="DC48" i="11"/>
  <c r="DC59" i="11"/>
  <c r="DC60" i="11"/>
  <c r="DC61" i="11"/>
  <c r="DC62" i="11"/>
  <c r="DC63" i="11"/>
  <c r="DC66" i="11"/>
  <c r="DC67" i="11"/>
  <c r="DC68" i="11"/>
  <c r="DC69" i="11"/>
  <c r="DC70" i="11"/>
  <c r="DC73" i="11"/>
  <c r="DC72" i="11" s="1"/>
  <c r="DC75" i="11"/>
  <c r="DC76" i="11"/>
  <c r="DC77" i="11"/>
  <c r="DC82" i="11"/>
  <c r="DC79" i="11" s="1"/>
  <c r="DC86" i="11"/>
  <c r="DC89" i="11"/>
  <c r="DC92" i="11"/>
  <c r="DC93" i="11"/>
  <c r="DC95" i="11"/>
  <c r="DC96" i="11"/>
  <c r="DC101" i="11"/>
  <c r="DC102" i="11"/>
  <c r="DC104" i="11"/>
  <c r="DC103" i="11" s="1"/>
  <c r="DC106" i="11"/>
  <c r="DC107" i="11"/>
  <c r="DC109" i="11"/>
  <c r="DC110" i="11"/>
  <c r="DC112" i="11"/>
  <c r="DC113" i="11"/>
  <c r="DC115" i="11"/>
  <c r="DC116" i="11"/>
  <c r="DC117" i="11"/>
  <c r="DC119" i="11"/>
  <c r="DC120" i="11"/>
  <c r="DC121" i="11"/>
  <c r="DC123" i="11"/>
  <c r="DC124" i="11"/>
  <c r="DC125" i="11"/>
  <c r="DC126" i="11"/>
  <c r="DC127" i="11"/>
  <c r="DC128" i="11"/>
  <c r="DC130" i="11"/>
  <c r="DC131" i="11"/>
  <c r="DC132" i="11"/>
  <c r="DC134" i="11"/>
  <c r="DC135" i="11"/>
  <c r="DC136" i="11"/>
  <c r="DC138" i="11"/>
  <c r="DC139" i="11"/>
  <c r="DC140" i="11"/>
  <c r="DB7" i="11"/>
  <c r="DB6" i="11" s="1"/>
  <c r="DB14" i="11"/>
  <c r="DB20" i="11"/>
  <c r="DB21" i="11"/>
  <c r="DB22" i="11"/>
  <c r="DB23" i="11"/>
  <c r="DB25" i="11"/>
  <c r="DB24" i="11" s="1"/>
  <c r="DB30" i="11"/>
  <c r="DB31" i="11"/>
  <c r="DB35" i="11"/>
  <c r="DB36" i="11"/>
  <c r="DB37" i="11"/>
  <c r="DB39" i="11"/>
  <c r="DB40" i="11"/>
  <c r="DB42" i="11"/>
  <c r="DB41" i="11" s="1"/>
  <c r="DB45" i="11"/>
  <c r="DB46" i="11"/>
  <c r="DB47" i="11"/>
  <c r="DB48" i="11"/>
  <c r="DB59" i="11"/>
  <c r="DB60" i="11"/>
  <c r="DB61" i="11"/>
  <c r="DB62" i="11"/>
  <c r="DB63" i="11"/>
  <c r="DB66" i="11"/>
  <c r="DB67" i="11"/>
  <c r="DB68" i="11"/>
  <c r="DB69" i="11"/>
  <c r="DB70" i="11"/>
  <c r="DB73" i="11"/>
  <c r="DB72" i="11" s="1"/>
  <c r="DB75" i="11"/>
  <c r="DB76" i="11"/>
  <c r="DB77" i="11"/>
  <c r="DB82" i="11"/>
  <c r="DB79" i="11" s="1"/>
  <c r="DB86" i="11"/>
  <c r="DB89" i="11"/>
  <c r="DB92" i="11"/>
  <c r="DB93" i="11"/>
  <c r="DB95" i="11"/>
  <c r="DB96" i="11"/>
  <c r="DB101" i="11"/>
  <c r="DB102" i="11"/>
  <c r="DB104" i="11"/>
  <c r="DB103" i="11" s="1"/>
  <c r="DB106" i="11"/>
  <c r="DB107" i="11"/>
  <c r="DB109" i="11"/>
  <c r="DB110" i="11"/>
  <c r="DB112" i="11"/>
  <c r="DB113" i="11"/>
  <c r="DB115" i="11"/>
  <c r="DB116" i="11"/>
  <c r="DB117" i="11"/>
  <c r="DB119" i="11"/>
  <c r="DB120" i="11"/>
  <c r="DB121" i="11"/>
  <c r="DB123" i="11"/>
  <c r="DB124" i="11"/>
  <c r="DB125" i="11"/>
  <c r="DB126" i="11"/>
  <c r="DB127" i="11"/>
  <c r="DB128" i="11"/>
  <c r="DB130" i="11"/>
  <c r="DB131" i="11"/>
  <c r="DB132" i="11"/>
  <c r="DB134" i="11"/>
  <c r="DB135" i="11"/>
  <c r="DB136" i="11"/>
  <c r="DB138" i="11"/>
  <c r="DB139" i="11"/>
  <c r="DB140" i="11"/>
  <c r="DA7" i="11"/>
  <c r="DA6" i="11" s="1"/>
  <c r="DA14" i="11"/>
  <c r="DA20" i="11"/>
  <c r="DA21" i="11"/>
  <c r="DA22" i="11"/>
  <c r="DA23" i="11"/>
  <c r="DA25" i="11"/>
  <c r="DA24" i="11" s="1"/>
  <c r="DA30" i="11"/>
  <c r="DA31" i="11"/>
  <c r="DA35" i="11"/>
  <c r="DA36" i="11"/>
  <c r="DA37" i="11"/>
  <c r="DA39" i="11"/>
  <c r="DA40" i="11"/>
  <c r="DA42" i="11"/>
  <c r="DA41" i="11" s="1"/>
  <c r="DA45" i="11"/>
  <c r="DA46" i="11"/>
  <c r="DA47" i="11"/>
  <c r="DA48" i="11"/>
  <c r="DA59" i="11"/>
  <c r="DA60" i="11"/>
  <c r="DA61" i="11"/>
  <c r="DA62" i="11"/>
  <c r="DA63" i="11"/>
  <c r="DA66" i="11"/>
  <c r="DA67" i="11"/>
  <c r="DA68" i="11"/>
  <c r="DA69" i="11"/>
  <c r="DA70" i="11"/>
  <c r="DA73" i="11"/>
  <c r="DA72" i="11" s="1"/>
  <c r="DA75" i="11"/>
  <c r="DA76" i="11"/>
  <c r="DA77" i="11"/>
  <c r="DA82" i="11"/>
  <c r="DA79" i="11" s="1"/>
  <c r="DA86" i="11"/>
  <c r="DA89" i="11"/>
  <c r="DA92" i="11"/>
  <c r="DA93" i="11"/>
  <c r="DA95" i="11"/>
  <c r="DA96" i="11"/>
  <c r="DA101" i="11"/>
  <c r="DA102" i="11"/>
  <c r="DA104" i="11"/>
  <c r="DA103" i="11" s="1"/>
  <c r="DA106" i="11"/>
  <c r="DA107" i="11"/>
  <c r="DA109" i="11"/>
  <c r="DA110" i="11"/>
  <c r="DA112" i="11"/>
  <c r="DA113" i="11"/>
  <c r="DA115" i="11"/>
  <c r="DA116" i="11"/>
  <c r="DA117" i="11"/>
  <c r="DA119" i="11"/>
  <c r="DA120" i="11"/>
  <c r="DA121" i="11"/>
  <c r="DA123" i="11"/>
  <c r="DA124" i="11"/>
  <c r="DA125" i="11"/>
  <c r="DA126" i="11"/>
  <c r="DA127" i="11"/>
  <c r="DA128" i="11"/>
  <c r="DA130" i="11"/>
  <c r="DA131" i="11"/>
  <c r="DA132" i="11"/>
  <c r="DA134" i="11"/>
  <c r="DA135" i="11"/>
  <c r="DA136" i="11"/>
  <c r="DA138" i="11"/>
  <c r="DA139" i="11"/>
  <c r="DA140" i="11"/>
  <c r="CZ7" i="11"/>
  <c r="CZ6" i="11" s="1"/>
  <c r="CZ14" i="11"/>
  <c r="CZ20" i="11"/>
  <c r="CZ21" i="11"/>
  <c r="CZ22" i="11"/>
  <c r="CZ23" i="11"/>
  <c r="CZ25" i="11"/>
  <c r="CZ24" i="11" s="1"/>
  <c r="CZ30" i="11"/>
  <c r="CZ31" i="11"/>
  <c r="CZ35" i="11"/>
  <c r="CZ36" i="11"/>
  <c r="CZ37" i="11"/>
  <c r="CZ39" i="11"/>
  <c r="CZ40" i="11"/>
  <c r="CZ42" i="11"/>
  <c r="CZ41" i="11" s="1"/>
  <c r="CZ45" i="11"/>
  <c r="CZ46" i="11"/>
  <c r="CZ47" i="11"/>
  <c r="CZ48" i="11"/>
  <c r="CZ59" i="11"/>
  <c r="CZ60" i="11"/>
  <c r="CZ61" i="11"/>
  <c r="CZ62" i="11"/>
  <c r="CZ63" i="11"/>
  <c r="CZ66" i="11"/>
  <c r="CZ67" i="11"/>
  <c r="CZ68" i="11"/>
  <c r="CZ69" i="11"/>
  <c r="CZ70" i="11"/>
  <c r="CZ73" i="11"/>
  <c r="CZ72" i="11" s="1"/>
  <c r="CZ75" i="11"/>
  <c r="CZ76" i="11"/>
  <c r="CZ77" i="11"/>
  <c r="CZ82" i="11"/>
  <c r="CZ79" i="11" s="1"/>
  <c r="CZ86" i="11"/>
  <c r="CZ89" i="11"/>
  <c r="CZ92" i="11"/>
  <c r="CZ93" i="11"/>
  <c r="CZ95" i="11"/>
  <c r="CZ96" i="11"/>
  <c r="CZ101" i="11"/>
  <c r="CZ102" i="11"/>
  <c r="CZ104" i="11"/>
  <c r="CZ103" i="11" s="1"/>
  <c r="CZ106" i="11"/>
  <c r="CZ107" i="11"/>
  <c r="CZ109" i="11"/>
  <c r="CZ110" i="11"/>
  <c r="CZ112" i="11"/>
  <c r="CZ113" i="11"/>
  <c r="CZ115" i="11"/>
  <c r="CZ116" i="11"/>
  <c r="CZ117" i="11"/>
  <c r="CZ119" i="11"/>
  <c r="CZ120" i="11"/>
  <c r="CZ121" i="11"/>
  <c r="CZ123" i="11"/>
  <c r="CZ124" i="11"/>
  <c r="CZ125" i="11"/>
  <c r="CZ126" i="11"/>
  <c r="CZ127" i="11"/>
  <c r="CZ128" i="11"/>
  <c r="CZ130" i="11"/>
  <c r="CZ131" i="11"/>
  <c r="CZ132" i="11"/>
  <c r="CZ134" i="11"/>
  <c r="CZ135" i="11"/>
  <c r="CZ136" i="11"/>
  <c r="CZ138" i="11"/>
  <c r="CZ139" i="11"/>
  <c r="CZ140" i="11"/>
  <c r="CY7" i="11"/>
  <c r="CY6" i="11" s="1"/>
  <c r="CY14" i="11"/>
  <c r="CY20" i="11"/>
  <c r="CY21" i="11"/>
  <c r="CY22" i="11"/>
  <c r="CY23" i="11"/>
  <c r="CY25" i="11"/>
  <c r="CY24" i="11" s="1"/>
  <c r="CY30" i="11"/>
  <c r="CY31" i="11"/>
  <c r="CY35" i="11"/>
  <c r="CY36" i="11"/>
  <c r="CY37" i="11"/>
  <c r="CY39" i="11"/>
  <c r="CY40" i="11"/>
  <c r="CY42" i="11"/>
  <c r="CY41" i="11" s="1"/>
  <c r="CY45" i="11"/>
  <c r="CY46" i="11"/>
  <c r="CY47" i="11"/>
  <c r="CY48" i="11"/>
  <c r="CY59" i="11"/>
  <c r="CY60" i="11"/>
  <c r="CY61" i="11"/>
  <c r="CY62" i="11"/>
  <c r="CY63" i="11"/>
  <c r="CY66" i="11"/>
  <c r="CY67" i="11"/>
  <c r="CY68" i="11"/>
  <c r="CY69" i="11"/>
  <c r="CY70" i="11"/>
  <c r="CY73" i="11"/>
  <c r="CY72" i="11" s="1"/>
  <c r="CY75" i="11"/>
  <c r="CY76" i="11"/>
  <c r="CY77" i="11"/>
  <c r="CY82" i="11"/>
  <c r="CY79" i="11" s="1"/>
  <c r="CY86" i="11"/>
  <c r="CY89" i="11"/>
  <c r="CY92" i="11"/>
  <c r="CY93" i="11"/>
  <c r="CY95" i="11"/>
  <c r="CY96" i="11"/>
  <c r="CY101" i="11"/>
  <c r="CY102" i="11"/>
  <c r="CY104" i="11"/>
  <c r="CY103" i="11" s="1"/>
  <c r="CY106" i="11"/>
  <c r="CY107" i="11"/>
  <c r="CY109" i="11"/>
  <c r="CY110" i="11"/>
  <c r="CY112" i="11"/>
  <c r="CY113" i="11"/>
  <c r="CY115" i="11"/>
  <c r="CY116" i="11"/>
  <c r="CY117" i="11"/>
  <c r="CY119" i="11"/>
  <c r="CY120" i="11"/>
  <c r="CY121" i="11"/>
  <c r="CY123" i="11"/>
  <c r="CY124" i="11"/>
  <c r="CY125" i="11"/>
  <c r="CY126" i="11"/>
  <c r="CY127" i="11"/>
  <c r="CY128" i="11"/>
  <c r="CY130" i="11"/>
  <c r="CY131" i="11"/>
  <c r="CY132" i="11"/>
  <c r="CY134" i="11"/>
  <c r="CY135" i="11"/>
  <c r="CY136" i="11"/>
  <c r="CY138" i="11"/>
  <c r="CY139" i="11"/>
  <c r="CY140" i="11"/>
  <c r="CX7" i="11"/>
  <c r="CX6" i="11" s="1"/>
  <c r="CX14" i="11"/>
  <c r="CX20" i="11"/>
  <c r="CX21" i="11"/>
  <c r="CX22" i="11"/>
  <c r="CX23" i="11"/>
  <c r="CX25" i="11"/>
  <c r="CX24" i="11" s="1"/>
  <c r="CX30" i="11"/>
  <c r="CX31" i="11"/>
  <c r="CX35" i="11"/>
  <c r="CX36" i="11"/>
  <c r="CX37" i="11"/>
  <c r="CX39" i="11"/>
  <c r="CX40" i="11"/>
  <c r="CX42" i="11"/>
  <c r="CX41" i="11" s="1"/>
  <c r="CX45" i="11"/>
  <c r="CX46" i="11"/>
  <c r="CX47" i="11"/>
  <c r="CX48" i="11"/>
  <c r="CX59" i="11"/>
  <c r="CX60" i="11"/>
  <c r="CX61" i="11"/>
  <c r="CX62" i="11"/>
  <c r="CX63" i="11"/>
  <c r="CX66" i="11"/>
  <c r="CX67" i="11"/>
  <c r="CX68" i="11"/>
  <c r="CX69" i="11"/>
  <c r="CX70" i="11"/>
  <c r="CX73" i="11"/>
  <c r="CX72" i="11" s="1"/>
  <c r="CX75" i="11"/>
  <c r="CX76" i="11"/>
  <c r="CX77" i="11"/>
  <c r="CX82" i="11"/>
  <c r="CX79" i="11" s="1"/>
  <c r="CX86" i="11"/>
  <c r="CX89" i="11"/>
  <c r="CX92" i="11"/>
  <c r="CX93" i="11"/>
  <c r="CX95" i="11"/>
  <c r="CX96" i="11"/>
  <c r="CX101" i="11"/>
  <c r="CX102" i="11"/>
  <c r="CX104" i="11"/>
  <c r="CX103" i="11" s="1"/>
  <c r="CX106" i="11"/>
  <c r="CX107" i="11"/>
  <c r="CX109" i="11"/>
  <c r="CX110" i="11"/>
  <c r="CX112" i="11"/>
  <c r="CX113" i="11"/>
  <c r="CX115" i="11"/>
  <c r="CX116" i="11"/>
  <c r="CX117" i="11"/>
  <c r="CX119" i="11"/>
  <c r="CX120" i="11"/>
  <c r="CX121" i="11"/>
  <c r="CX123" i="11"/>
  <c r="CX124" i="11"/>
  <c r="CX125" i="11"/>
  <c r="CX126" i="11"/>
  <c r="CX127" i="11"/>
  <c r="CX128" i="11"/>
  <c r="CX130" i="11"/>
  <c r="CX131" i="11"/>
  <c r="CX132" i="11"/>
  <c r="CX134" i="11"/>
  <c r="CX135" i="11"/>
  <c r="CX136" i="11"/>
  <c r="CX138" i="11"/>
  <c r="CX139" i="11"/>
  <c r="CX140" i="11"/>
  <c r="DE8" i="2"/>
  <c r="DE7" i="2" s="1"/>
  <c r="DE15" i="2"/>
  <c r="DE21" i="2"/>
  <c r="DE22" i="2"/>
  <c r="DE23" i="2"/>
  <c r="DE24" i="2"/>
  <c r="DE26" i="2"/>
  <c r="DE25" i="2" s="1"/>
  <c r="DE31" i="2"/>
  <c r="DE32" i="2"/>
  <c r="DE36" i="2"/>
  <c r="DE37" i="2"/>
  <c r="DE38" i="2"/>
  <c r="DE40" i="2"/>
  <c r="DE41" i="2"/>
  <c r="DE43" i="2"/>
  <c r="DE42" i="2" s="1"/>
  <c r="DE46" i="2"/>
  <c r="DE47" i="2"/>
  <c r="DE48" i="2"/>
  <c r="DE49" i="2"/>
  <c r="DE60" i="2"/>
  <c r="DE61" i="2"/>
  <c r="DE62" i="2"/>
  <c r="DE63" i="2"/>
  <c r="DE64" i="2"/>
  <c r="DE67" i="2"/>
  <c r="DE68" i="2"/>
  <c r="DE69" i="2"/>
  <c r="DE70" i="2"/>
  <c r="DE71" i="2"/>
  <c r="DE74" i="2"/>
  <c r="DE73" i="2" s="1"/>
  <c r="DE76" i="2"/>
  <c r="DE77" i="2"/>
  <c r="DE78" i="2"/>
  <c r="DE83" i="2"/>
  <c r="DE80" i="2" s="1"/>
  <c r="DE87" i="2"/>
  <c r="DE90" i="2"/>
  <c r="DE93" i="2"/>
  <c r="DE94" i="2"/>
  <c r="DE96" i="2"/>
  <c r="DE97" i="2"/>
  <c r="DE102" i="2"/>
  <c r="DE103" i="2"/>
  <c r="DE105" i="2"/>
  <c r="DE104" i="2" s="1"/>
  <c r="DE107" i="2"/>
  <c r="DE108" i="2"/>
  <c r="DE110" i="2"/>
  <c r="DE111" i="2"/>
  <c r="DE113" i="2"/>
  <c r="DE114" i="2"/>
  <c r="DE116" i="2"/>
  <c r="DE117" i="2"/>
  <c r="DE118" i="2"/>
  <c r="DE120" i="2"/>
  <c r="DE121" i="2"/>
  <c r="DE122" i="2"/>
  <c r="DE124" i="2"/>
  <c r="DE125" i="2"/>
  <c r="DE126" i="2"/>
  <c r="DE127" i="2"/>
  <c r="DE128" i="2"/>
  <c r="DE129" i="2"/>
  <c r="DE131" i="2"/>
  <c r="DE132" i="2"/>
  <c r="DE133" i="2"/>
  <c r="DE135" i="2"/>
  <c r="DE136" i="2"/>
  <c r="DE137" i="2"/>
  <c r="DE139" i="2"/>
  <c r="DE140" i="2"/>
  <c r="DE141" i="2"/>
  <c r="DD8" i="2"/>
  <c r="DD7" i="2" s="1"/>
  <c r="DD15" i="2"/>
  <c r="DD21" i="2"/>
  <c r="DD22" i="2"/>
  <c r="DD23" i="2"/>
  <c r="DD24" i="2"/>
  <c r="DD26" i="2"/>
  <c r="DD25" i="2" s="1"/>
  <c r="DD31" i="2"/>
  <c r="DD32" i="2"/>
  <c r="DD36" i="2"/>
  <c r="DD37" i="2"/>
  <c r="DD38" i="2"/>
  <c r="DD40" i="2"/>
  <c r="DD41" i="2"/>
  <c r="DD43" i="2"/>
  <c r="DD42" i="2" s="1"/>
  <c r="DD46" i="2"/>
  <c r="DD47" i="2"/>
  <c r="DD48" i="2"/>
  <c r="DD49" i="2"/>
  <c r="DD60" i="2"/>
  <c r="DD61" i="2"/>
  <c r="DD62" i="2"/>
  <c r="DD63" i="2"/>
  <c r="DD64" i="2"/>
  <c r="DD67" i="2"/>
  <c r="DD68" i="2"/>
  <c r="DD69" i="2"/>
  <c r="DD70" i="2"/>
  <c r="DD71" i="2"/>
  <c r="DD74" i="2"/>
  <c r="DD73" i="2" s="1"/>
  <c r="DD76" i="2"/>
  <c r="DD77" i="2"/>
  <c r="DD78" i="2"/>
  <c r="DD83" i="2"/>
  <c r="DD80" i="2" s="1"/>
  <c r="DD87" i="2"/>
  <c r="DD90" i="2"/>
  <c r="DD93" i="2"/>
  <c r="DD94" i="2"/>
  <c r="DD96" i="2"/>
  <c r="DD97" i="2"/>
  <c r="DD102" i="2"/>
  <c r="DD103" i="2"/>
  <c r="DD105" i="2"/>
  <c r="DD104" i="2" s="1"/>
  <c r="DD107" i="2"/>
  <c r="DD108" i="2"/>
  <c r="DD110" i="2"/>
  <c r="DD111" i="2"/>
  <c r="DD113" i="2"/>
  <c r="DD114" i="2"/>
  <c r="DD116" i="2"/>
  <c r="DD117" i="2"/>
  <c r="DD118" i="2"/>
  <c r="DD120" i="2"/>
  <c r="DD121" i="2"/>
  <c r="DD122" i="2"/>
  <c r="DD124" i="2"/>
  <c r="DD125" i="2"/>
  <c r="DD126" i="2"/>
  <c r="DD127" i="2"/>
  <c r="DD128" i="2"/>
  <c r="DD129" i="2"/>
  <c r="DD131" i="2"/>
  <c r="DD132" i="2"/>
  <c r="DD133" i="2"/>
  <c r="DD135" i="2"/>
  <c r="DD136" i="2"/>
  <c r="DD137" i="2"/>
  <c r="DD139" i="2"/>
  <c r="DD140" i="2"/>
  <c r="DD141" i="2"/>
  <c r="DC8" i="2"/>
  <c r="DC7" i="2" s="1"/>
  <c r="DC15" i="2"/>
  <c r="DC21" i="2"/>
  <c r="DC22" i="2"/>
  <c r="DC23" i="2"/>
  <c r="DC24" i="2"/>
  <c r="I158" i="2" s="1"/>
  <c r="J158" i="2" s="1"/>
  <c r="DC26" i="2"/>
  <c r="DC25" i="2" s="1"/>
  <c r="DC31" i="2"/>
  <c r="DC32" i="2"/>
  <c r="DC36" i="2"/>
  <c r="DC37" i="2"/>
  <c r="DC38" i="2"/>
  <c r="DC40" i="2"/>
  <c r="DC41" i="2"/>
  <c r="DC43" i="2"/>
  <c r="DC42" i="2" s="1"/>
  <c r="DC46" i="2"/>
  <c r="DC47" i="2"/>
  <c r="DC48" i="2"/>
  <c r="DC49" i="2"/>
  <c r="DC60" i="2"/>
  <c r="DC61" i="2"/>
  <c r="DC62" i="2"/>
  <c r="DC63" i="2"/>
  <c r="DC64" i="2"/>
  <c r="DC67" i="2"/>
  <c r="DC68" i="2"/>
  <c r="DC69" i="2"/>
  <c r="DC70" i="2"/>
  <c r="DC71" i="2"/>
  <c r="DC74" i="2"/>
  <c r="DC73" i="2" s="1"/>
  <c r="DC76" i="2"/>
  <c r="DC77" i="2"/>
  <c r="DC78" i="2"/>
  <c r="DC83" i="2"/>
  <c r="DC80" i="2" s="1"/>
  <c r="DC87" i="2"/>
  <c r="DC90" i="2"/>
  <c r="I178" i="2" s="1"/>
  <c r="J178" i="2" s="1"/>
  <c r="DC93" i="2"/>
  <c r="DC94" i="2"/>
  <c r="DC96" i="2"/>
  <c r="DC97" i="2"/>
  <c r="DC102" i="2"/>
  <c r="DC103" i="2"/>
  <c r="DC105" i="2"/>
  <c r="DC104" i="2" s="1"/>
  <c r="DC107" i="2"/>
  <c r="DC108" i="2"/>
  <c r="DC110" i="2"/>
  <c r="DC111" i="2"/>
  <c r="DC113" i="2"/>
  <c r="DC114" i="2"/>
  <c r="DC116" i="2"/>
  <c r="DC117" i="2"/>
  <c r="DC118" i="2"/>
  <c r="DC120" i="2"/>
  <c r="DC121" i="2"/>
  <c r="DC122" i="2"/>
  <c r="I180" i="2" s="1"/>
  <c r="J180" i="2" s="1"/>
  <c r="DC124" i="2"/>
  <c r="DC125" i="2"/>
  <c r="DC126" i="2"/>
  <c r="DC127" i="2"/>
  <c r="DC128" i="2"/>
  <c r="DC129" i="2"/>
  <c r="DC131" i="2"/>
  <c r="DC132" i="2"/>
  <c r="DC133" i="2"/>
  <c r="DC135" i="2"/>
  <c r="DC136" i="2"/>
  <c r="DC137" i="2"/>
  <c r="DC139" i="2"/>
  <c r="DC140" i="2"/>
  <c r="DC141" i="2"/>
  <c r="DB8" i="2"/>
  <c r="DB7" i="2" s="1"/>
  <c r="DB15" i="2"/>
  <c r="DB21" i="2"/>
  <c r="DB22" i="2"/>
  <c r="DB23" i="2"/>
  <c r="DB24" i="2"/>
  <c r="DB26" i="2"/>
  <c r="DB25" i="2" s="1"/>
  <c r="DB31" i="2"/>
  <c r="DB32" i="2"/>
  <c r="DB36" i="2"/>
  <c r="DB37" i="2"/>
  <c r="DB38" i="2"/>
  <c r="DB40" i="2"/>
  <c r="DB41" i="2"/>
  <c r="DB43" i="2"/>
  <c r="DB42" i="2" s="1"/>
  <c r="DB46" i="2"/>
  <c r="DB47" i="2"/>
  <c r="DB48" i="2"/>
  <c r="DB49" i="2"/>
  <c r="DB60" i="2"/>
  <c r="DB61" i="2"/>
  <c r="DB62" i="2"/>
  <c r="DB63" i="2"/>
  <c r="DB64" i="2"/>
  <c r="DB67" i="2"/>
  <c r="DB68" i="2"/>
  <c r="DB69" i="2"/>
  <c r="DB70" i="2"/>
  <c r="DB71" i="2"/>
  <c r="DB74" i="2"/>
  <c r="DB73" i="2" s="1"/>
  <c r="DB76" i="2"/>
  <c r="DB77" i="2"/>
  <c r="DB78" i="2"/>
  <c r="DB83" i="2"/>
  <c r="DB80" i="2" s="1"/>
  <c r="DB87" i="2"/>
  <c r="DB90" i="2"/>
  <c r="DB93" i="2"/>
  <c r="DB94" i="2"/>
  <c r="DB96" i="2"/>
  <c r="DB97" i="2"/>
  <c r="DB102" i="2"/>
  <c r="DB103" i="2"/>
  <c r="DB105" i="2"/>
  <c r="DB104" i="2" s="1"/>
  <c r="DB107" i="2"/>
  <c r="DB108" i="2"/>
  <c r="DB110" i="2"/>
  <c r="DB111" i="2"/>
  <c r="DB113" i="2"/>
  <c r="DB114" i="2"/>
  <c r="DB116" i="2"/>
  <c r="DB117" i="2"/>
  <c r="DB118" i="2"/>
  <c r="DB120" i="2"/>
  <c r="DB121" i="2"/>
  <c r="DB122" i="2"/>
  <c r="DB124" i="2"/>
  <c r="DB125" i="2"/>
  <c r="DB126" i="2"/>
  <c r="DB127" i="2"/>
  <c r="DB128" i="2"/>
  <c r="DB129" i="2"/>
  <c r="DB131" i="2"/>
  <c r="DB132" i="2"/>
  <c r="DB133" i="2"/>
  <c r="DB135" i="2"/>
  <c r="DB136" i="2"/>
  <c r="DB137" i="2"/>
  <c r="DB139" i="2"/>
  <c r="DB140" i="2"/>
  <c r="DB141" i="2"/>
  <c r="DA8" i="2"/>
  <c r="DA7" i="2" s="1"/>
  <c r="DA15" i="2"/>
  <c r="DA21" i="2"/>
  <c r="DA22" i="2"/>
  <c r="DA23" i="2"/>
  <c r="DA24" i="2"/>
  <c r="DA26" i="2"/>
  <c r="DA25" i="2" s="1"/>
  <c r="DA31" i="2"/>
  <c r="DA32" i="2"/>
  <c r="DA36" i="2"/>
  <c r="DA37" i="2"/>
  <c r="DA38" i="2"/>
  <c r="DA40" i="2"/>
  <c r="DA41" i="2"/>
  <c r="DA43" i="2"/>
  <c r="DA42" i="2" s="1"/>
  <c r="DA46" i="2"/>
  <c r="DA47" i="2"/>
  <c r="DA48" i="2"/>
  <c r="DA49" i="2"/>
  <c r="DA60" i="2"/>
  <c r="DA61" i="2"/>
  <c r="DA62" i="2"/>
  <c r="DA63" i="2"/>
  <c r="DA64" i="2"/>
  <c r="DA67" i="2"/>
  <c r="DA68" i="2"/>
  <c r="DA69" i="2"/>
  <c r="DA70" i="2"/>
  <c r="DA71" i="2"/>
  <c r="DA74" i="2"/>
  <c r="DA73" i="2" s="1"/>
  <c r="DA76" i="2"/>
  <c r="DA77" i="2"/>
  <c r="DA78" i="2"/>
  <c r="DA83" i="2"/>
  <c r="DA80" i="2" s="1"/>
  <c r="DA87" i="2"/>
  <c r="DA90" i="2"/>
  <c r="DA93" i="2"/>
  <c r="DA94" i="2"/>
  <c r="DA96" i="2"/>
  <c r="DA97" i="2"/>
  <c r="DA102" i="2"/>
  <c r="DA103" i="2"/>
  <c r="DA105" i="2"/>
  <c r="DA104" i="2" s="1"/>
  <c r="DA107" i="2"/>
  <c r="DA108" i="2"/>
  <c r="DA110" i="2"/>
  <c r="DA111" i="2"/>
  <c r="DA113" i="2"/>
  <c r="DA114" i="2"/>
  <c r="DA116" i="2"/>
  <c r="DA117" i="2"/>
  <c r="DA118" i="2"/>
  <c r="DA120" i="2"/>
  <c r="DA121" i="2"/>
  <c r="DA122" i="2"/>
  <c r="DA124" i="2"/>
  <c r="DA125" i="2"/>
  <c r="DA126" i="2"/>
  <c r="DA127" i="2"/>
  <c r="DA128" i="2"/>
  <c r="DA129" i="2"/>
  <c r="DA131" i="2"/>
  <c r="DA132" i="2"/>
  <c r="DA133" i="2"/>
  <c r="DA135" i="2"/>
  <c r="DA136" i="2"/>
  <c r="DA137" i="2"/>
  <c r="DA139" i="2"/>
  <c r="DA140" i="2"/>
  <c r="DA141" i="2"/>
  <c r="CZ8" i="2"/>
  <c r="CZ7" i="2" s="1"/>
  <c r="CZ15" i="2"/>
  <c r="CZ21" i="2"/>
  <c r="CZ22" i="2"/>
  <c r="CZ23" i="2"/>
  <c r="CZ24" i="2"/>
  <c r="CZ26" i="2"/>
  <c r="CZ25" i="2" s="1"/>
  <c r="CZ31" i="2"/>
  <c r="CZ32" i="2"/>
  <c r="CZ36" i="2"/>
  <c r="CZ37" i="2"/>
  <c r="CZ38" i="2"/>
  <c r="CZ40" i="2"/>
  <c r="CZ41" i="2"/>
  <c r="CZ43" i="2"/>
  <c r="CZ42" i="2" s="1"/>
  <c r="CZ46" i="2"/>
  <c r="CZ47" i="2"/>
  <c r="CZ48" i="2"/>
  <c r="CZ49" i="2"/>
  <c r="CZ60" i="2"/>
  <c r="CZ61" i="2"/>
  <c r="CZ62" i="2"/>
  <c r="CZ63" i="2"/>
  <c r="CZ64" i="2"/>
  <c r="CZ67" i="2"/>
  <c r="CZ68" i="2"/>
  <c r="CZ69" i="2"/>
  <c r="CZ70" i="2"/>
  <c r="CZ71" i="2"/>
  <c r="CZ74" i="2"/>
  <c r="CZ73" i="2" s="1"/>
  <c r="CZ76" i="2"/>
  <c r="CZ77" i="2"/>
  <c r="CZ78" i="2"/>
  <c r="CZ83" i="2"/>
  <c r="CZ80" i="2" s="1"/>
  <c r="CZ87" i="2"/>
  <c r="CZ90" i="2"/>
  <c r="CZ93" i="2"/>
  <c r="CZ94" i="2"/>
  <c r="CZ96" i="2"/>
  <c r="CZ97" i="2"/>
  <c r="CZ102" i="2"/>
  <c r="CZ103" i="2"/>
  <c r="CZ105" i="2"/>
  <c r="CZ104" i="2" s="1"/>
  <c r="CZ107" i="2"/>
  <c r="CZ108" i="2"/>
  <c r="CZ110" i="2"/>
  <c r="CZ111" i="2"/>
  <c r="CZ113" i="2"/>
  <c r="CZ114" i="2"/>
  <c r="CZ116" i="2"/>
  <c r="CZ117" i="2"/>
  <c r="CZ118" i="2"/>
  <c r="CZ120" i="2"/>
  <c r="CZ121" i="2"/>
  <c r="CZ122" i="2"/>
  <c r="CZ124" i="2"/>
  <c r="CZ125" i="2"/>
  <c r="CZ126" i="2"/>
  <c r="CZ127" i="2"/>
  <c r="CZ128" i="2"/>
  <c r="CZ129" i="2"/>
  <c r="CZ131" i="2"/>
  <c r="CZ132" i="2"/>
  <c r="CZ133" i="2"/>
  <c r="CZ135" i="2"/>
  <c r="CZ136" i="2"/>
  <c r="CZ137" i="2"/>
  <c r="CZ139" i="2"/>
  <c r="CZ140" i="2"/>
  <c r="CZ141" i="2"/>
  <c r="CY8" i="2"/>
  <c r="CY7" i="2" s="1"/>
  <c r="CY15" i="2"/>
  <c r="CY21" i="2"/>
  <c r="CY22" i="2"/>
  <c r="CY23" i="2"/>
  <c r="CY24" i="2"/>
  <c r="CY26" i="2"/>
  <c r="CY25" i="2" s="1"/>
  <c r="CY31" i="2"/>
  <c r="CY32" i="2"/>
  <c r="CY36" i="2"/>
  <c r="CY37" i="2"/>
  <c r="CY38" i="2"/>
  <c r="CY40" i="2"/>
  <c r="CY41" i="2"/>
  <c r="CY43" i="2"/>
  <c r="CY42" i="2" s="1"/>
  <c r="CY46" i="2"/>
  <c r="CY47" i="2"/>
  <c r="CY48" i="2"/>
  <c r="CY49" i="2"/>
  <c r="CY60" i="2"/>
  <c r="CY61" i="2"/>
  <c r="CY62" i="2"/>
  <c r="CY63" i="2"/>
  <c r="CY64" i="2"/>
  <c r="CY67" i="2"/>
  <c r="CY68" i="2"/>
  <c r="CY69" i="2"/>
  <c r="CY70" i="2"/>
  <c r="CY71" i="2"/>
  <c r="CY74" i="2"/>
  <c r="CY73" i="2" s="1"/>
  <c r="CY76" i="2"/>
  <c r="CY77" i="2"/>
  <c r="CY78" i="2"/>
  <c r="CY83" i="2"/>
  <c r="CY80" i="2" s="1"/>
  <c r="CY87" i="2"/>
  <c r="CY90" i="2"/>
  <c r="CY93" i="2"/>
  <c r="CY94" i="2"/>
  <c r="CY96" i="2"/>
  <c r="CY97" i="2"/>
  <c r="CY102" i="2"/>
  <c r="CY103" i="2"/>
  <c r="CY105" i="2"/>
  <c r="CY104" i="2" s="1"/>
  <c r="CY107" i="2"/>
  <c r="CY108" i="2"/>
  <c r="CY110" i="2"/>
  <c r="CY111" i="2"/>
  <c r="CY113" i="2"/>
  <c r="CY114" i="2"/>
  <c r="CY116" i="2"/>
  <c r="CY117" i="2"/>
  <c r="CY118" i="2"/>
  <c r="CY120" i="2"/>
  <c r="CY121" i="2"/>
  <c r="CY122" i="2"/>
  <c r="CY124" i="2"/>
  <c r="CY125" i="2"/>
  <c r="CY126" i="2"/>
  <c r="CY127" i="2"/>
  <c r="CY128" i="2"/>
  <c r="CY129" i="2"/>
  <c r="CY131" i="2"/>
  <c r="CY132" i="2"/>
  <c r="CY133" i="2"/>
  <c r="CY135" i="2"/>
  <c r="CY136" i="2"/>
  <c r="CY137" i="2"/>
  <c r="CY139" i="2"/>
  <c r="CY140" i="2"/>
  <c r="CY141" i="2"/>
  <c r="CX8" i="2"/>
  <c r="CX7" i="2" s="1"/>
  <c r="CX15" i="2"/>
  <c r="CX21" i="2"/>
  <c r="CX22" i="2"/>
  <c r="CX23" i="2"/>
  <c r="CX24" i="2"/>
  <c r="CX26" i="2"/>
  <c r="CX25" i="2" s="1"/>
  <c r="CX31" i="2"/>
  <c r="CX32" i="2"/>
  <c r="CX36" i="2"/>
  <c r="CX37" i="2"/>
  <c r="CX38" i="2"/>
  <c r="CX40" i="2"/>
  <c r="CX41" i="2"/>
  <c r="CX43" i="2"/>
  <c r="CX42" i="2" s="1"/>
  <c r="CX46" i="2"/>
  <c r="CX47" i="2"/>
  <c r="CX48" i="2"/>
  <c r="CX49" i="2"/>
  <c r="CX60" i="2"/>
  <c r="CX61" i="2"/>
  <c r="CX62" i="2"/>
  <c r="CX63" i="2"/>
  <c r="CX64" i="2"/>
  <c r="CX67" i="2"/>
  <c r="CX68" i="2"/>
  <c r="CX69" i="2"/>
  <c r="CX70" i="2"/>
  <c r="CX71" i="2"/>
  <c r="CX74" i="2"/>
  <c r="CX73" i="2" s="1"/>
  <c r="CX76" i="2"/>
  <c r="CX77" i="2"/>
  <c r="CX78" i="2"/>
  <c r="CX83" i="2"/>
  <c r="CX80" i="2" s="1"/>
  <c r="CX87" i="2"/>
  <c r="CX90" i="2"/>
  <c r="CX93" i="2"/>
  <c r="CX94" i="2"/>
  <c r="CX96" i="2"/>
  <c r="CX97" i="2"/>
  <c r="CX102" i="2"/>
  <c r="CX103" i="2"/>
  <c r="CX105" i="2"/>
  <c r="CX104" i="2" s="1"/>
  <c r="CX107" i="2"/>
  <c r="CX108" i="2"/>
  <c r="CX110" i="2"/>
  <c r="CX111" i="2"/>
  <c r="CX113" i="2"/>
  <c r="CX114" i="2"/>
  <c r="CX116" i="2"/>
  <c r="CX117" i="2"/>
  <c r="CX118" i="2"/>
  <c r="CX120" i="2"/>
  <c r="CX121" i="2"/>
  <c r="CX122" i="2"/>
  <c r="CX124" i="2"/>
  <c r="CX125" i="2"/>
  <c r="CX126" i="2"/>
  <c r="CX127" i="2"/>
  <c r="CX128" i="2"/>
  <c r="CX129" i="2"/>
  <c r="CX131" i="2"/>
  <c r="CX132" i="2"/>
  <c r="CX133" i="2"/>
  <c r="CX135" i="2"/>
  <c r="CX136" i="2"/>
  <c r="CX137" i="2"/>
  <c r="CX139" i="2"/>
  <c r="CX140" i="2"/>
  <c r="CX141" i="2"/>
  <c r="CL7" i="14"/>
  <c r="CL14" i="14"/>
  <c r="CL17" i="14"/>
  <c r="CL24" i="14"/>
  <c r="CL26" i="14"/>
  <c r="CL34" i="14"/>
  <c r="CL38" i="14"/>
  <c r="CL41" i="14"/>
  <c r="CL43" i="14"/>
  <c r="CL48" i="14"/>
  <c r="CL58" i="14"/>
  <c r="CL72" i="14"/>
  <c r="CL74" i="14"/>
  <c r="CL79" i="14"/>
  <c r="CL86" i="14"/>
  <c r="CL88" i="14"/>
  <c r="CL98" i="14"/>
  <c r="CL103" i="14"/>
  <c r="CL105" i="14"/>
  <c r="CL108" i="14"/>
  <c r="CL111" i="14"/>
  <c r="CL114" i="14"/>
  <c r="CL118" i="14"/>
  <c r="CL122" i="14"/>
  <c r="CL129" i="14"/>
  <c r="CL133" i="14"/>
  <c r="CL137" i="14"/>
  <c r="O15" i="12" l="1"/>
  <c r="E62" i="12" s="1"/>
  <c r="DI146" i="2"/>
  <c r="DI145" i="2"/>
  <c r="H156" i="2"/>
  <c r="H176" i="2"/>
  <c r="DB39" i="2"/>
  <c r="DD112" i="2"/>
  <c r="DE44" i="2"/>
  <c r="DB99" i="2"/>
  <c r="CX39" i="2"/>
  <c r="DD115" i="2"/>
  <c r="DD109" i="2"/>
  <c r="DE99" i="2"/>
  <c r="DE35" i="2"/>
  <c r="CZ99" i="2"/>
  <c r="CZ39" i="2"/>
  <c r="DD39" i="2"/>
  <c r="CX35" i="2"/>
  <c r="CY39" i="2"/>
  <c r="DC99" i="2"/>
  <c r="DC39" i="2"/>
  <c r="DE112" i="2"/>
  <c r="DD99" i="2"/>
  <c r="DD35" i="2"/>
  <c r="DC106" i="2"/>
  <c r="DC35" i="2"/>
  <c r="DB35" i="2"/>
  <c r="DB130" i="2"/>
  <c r="DB115" i="2"/>
  <c r="DB109" i="2"/>
  <c r="DA138" i="2"/>
  <c r="DA134" i="2"/>
  <c r="DA119" i="2"/>
  <c r="DA99" i="2"/>
  <c r="DA39" i="2"/>
  <c r="CY75" i="2"/>
  <c r="CX138" i="2"/>
  <c r="CX123" i="2"/>
  <c r="CX112" i="2"/>
  <c r="CX75" i="2"/>
  <c r="DB134" i="2"/>
  <c r="DB119" i="2"/>
  <c r="DB75" i="2"/>
  <c r="DB27" i="2"/>
  <c r="DC44" i="2"/>
  <c r="DD138" i="2"/>
  <c r="DD119" i="2"/>
  <c r="DD75" i="2"/>
  <c r="DD27" i="2"/>
  <c r="DE39" i="2"/>
  <c r="CY109" i="2"/>
  <c r="CZ109" i="2"/>
  <c r="DA112" i="2"/>
  <c r="CY99" i="2"/>
  <c r="CY35" i="2"/>
  <c r="CZ75" i="2"/>
  <c r="CZ35" i="2"/>
  <c r="DB112" i="2"/>
  <c r="DB106" i="2"/>
  <c r="DC130" i="2"/>
  <c r="DC115" i="2"/>
  <c r="DC109" i="2"/>
  <c r="DE134" i="2"/>
  <c r="DE115" i="2"/>
  <c r="DE27" i="2"/>
  <c r="CZ115" i="2"/>
  <c r="CY44" i="2"/>
  <c r="CZ138" i="2"/>
  <c r="CZ119" i="2"/>
  <c r="CZ27" i="2"/>
  <c r="CY138" i="2"/>
  <c r="CY112" i="2"/>
  <c r="CY106" i="2"/>
  <c r="CY27" i="2"/>
  <c r="CZ112" i="2"/>
  <c r="DA130" i="2"/>
  <c r="DA115" i="2"/>
  <c r="DA109" i="2"/>
  <c r="DA75" i="2"/>
  <c r="DA35" i="2"/>
  <c r="DA27" i="2"/>
  <c r="DC134" i="2"/>
  <c r="DC119" i="2"/>
  <c r="I179" i="2" s="1"/>
  <c r="J179" i="2" s="1"/>
  <c r="DC112" i="2"/>
  <c r="DC27" i="2"/>
  <c r="I159" i="2" s="1"/>
  <c r="J159" i="2" s="1"/>
  <c r="DA78" i="14"/>
  <c r="DC78" i="14"/>
  <c r="DC13" i="14"/>
  <c r="DD78" i="14"/>
  <c r="DD13" i="14"/>
  <c r="DH78" i="14"/>
  <c r="DH13" i="14"/>
  <c r="DE78" i="14"/>
  <c r="DE13" i="14"/>
  <c r="DF78" i="14"/>
  <c r="DF13" i="14"/>
  <c r="DA13" i="14"/>
  <c r="DB78" i="14"/>
  <c r="DB13" i="14"/>
  <c r="DG78" i="14"/>
  <c r="DG13" i="14"/>
  <c r="DE129" i="11"/>
  <c r="DD98" i="11"/>
  <c r="DD38" i="11"/>
  <c r="CX105" i="11"/>
  <c r="DE137" i="11"/>
  <c r="DE133" i="11"/>
  <c r="DA38" i="11"/>
  <c r="DC105" i="11"/>
  <c r="DC26" i="11"/>
  <c r="DD111" i="11"/>
  <c r="DD105" i="11"/>
  <c r="DE108" i="11"/>
  <c r="DE122" i="11"/>
  <c r="DA26" i="11"/>
  <c r="CX26" i="11"/>
  <c r="CY133" i="11"/>
  <c r="CY105" i="11"/>
  <c r="DA111" i="11"/>
  <c r="DA105" i="11"/>
  <c r="DA43" i="11"/>
  <c r="DB129" i="11"/>
  <c r="DB74" i="11"/>
  <c r="DB58" i="11"/>
  <c r="DD129" i="11"/>
  <c r="DE26" i="11"/>
  <c r="DE105" i="11"/>
  <c r="CX129" i="11"/>
  <c r="CY98" i="11"/>
  <c r="DA129" i="11"/>
  <c r="DD133" i="11"/>
  <c r="DE17" i="11"/>
  <c r="DA133" i="11"/>
  <c r="DC43" i="11"/>
  <c r="DD137" i="11"/>
  <c r="DE43" i="11"/>
  <c r="CX111" i="11"/>
  <c r="CY129" i="11"/>
  <c r="CY26" i="11"/>
  <c r="CZ74" i="11"/>
  <c r="CZ58" i="11"/>
  <c r="CZ26" i="11"/>
  <c r="DB105" i="11"/>
  <c r="DB43" i="11"/>
  <c r="DB26" i="11"/>
  <c r="DC129" i="11"/>
  <c r="CX133" i="11"/>
  <c r="CY137" i="11"/>
  <c r="CY74" i="11"/>
  <c r="CZ133" i="11"/>
  <c r="DA137" i="11"/>
  <c r="DA98" i="11"/>
  <c r="DB133" i="11"/>
  <c r="DB108" i="11"/>
  <c r="DC133" i="11"/>
  <c r="DC108" i="11"/>
  <c r="DC74" i="11"/>
  <c r="DC34" i="11"/>
  <c r="DD114" i="11"/>
  <c r="DD108" i="11"/>
  <c r="DD74" i="11"/>
  <c r="DD58" i="11"/>
  <c r="DE38" i="11"/>
  <c r="DE74" i="11"/>
  <c r="CX137" i="11"/>
  <c r="CX114" i="11"/>
  <c r="CX34" i="11"/>
  <c r="CX17" i="11"/>
  <c r="CY38" i="11"/>
  <c r="CY17" i="11"/>
  <c r="CZ137" i="11"/>
  <c r="CZ129" i="11"/>
  <c r="CZ88" i="11"/>
  <c r="CZ17" i="11"/>
  <c r="DB137" i="11"/>
  <c r="DC137" i="11"/>
  <c r="DC118" i="11"/>
  <c r="DE98" i="11"/>
  <c r="CX118" i="11"/>
  <c r="CX58" i="11"/>
  <c r="CZ105" i="11"/>
  <c r="DD17" i="11"/>
  <c r="CX88" i="11"/>
  <c r="CY118" i="11"/>
  <c r="CY111" i="11"/>
  <c r="CY43" i="11"/>
  <c r="CZ118" i="11"/>
  <c r="CZ34" i="11"/>
  <c r="DA118" i="11"/>
  <c r="DB122" i="11"/>
  <c r="DB114" i="11"/>
  <c r="DB88" i="11"/>
  <c r="DB38" i="11"/>
  <c r="DC114" i="11"/>
  <c r="DC88" i="11"/>
  <c r="DD122" i="11"/>
  <c r="DD34" i="11"/>
  <c r="DE34" i="11"/>
  <c r="CX98" i="11"/>
  <c r="CX74" i="11"/>
  <c r="CY122" i="11"/>
  <c r="CY58" i="11"/>
  <c r="CY34" i="11"/>
  <c r="CZ122" i="11"/>
  <c r="CZ108" i="11"/>
  <c r="CZ43" i="11"/>
  <c r="CZ38" i="11"/>
  <c r="DA122" i="11"/>
  <c r="DA108" i="11"/>
  <c r="DA17" i="11"/>
  <c r="DB118" i="11"/>
  <c r="DB111" i="11"/>
  <c r="DB17" i="11"/>
  <c r="DC111" i="11"/>
  <c r="DD88" i="11"/>
  <c r="DE118" i="11"/>
  <c r="DC122" i="11"/>
  <c r="DC58" i="11"/>
  <c r="DD43" i="11"/>
  <c r="DD26" i="11"/>
  <c r="DE88" i="11"/>
  <c r="DE114" i="11"/>
  <c r="CX122" i="11"/>
  <c r="CX108" i="11"/>
  <c r="CX43" i="11"/>
  <c r="CX38" i="11"/>
  <c r="CY114" i="11"/>
  <c r="CY108" i="11"/>
  <c r="CY88" i="11"/>
  <c r="CZ114" i="11"/>
  <c r="CZ111" i="11"/>
  <c r="CZ98" i="11"/>
  <c r="DA114" i="11"/>
  <c r="DA88" i="11"/>
  <c r="DA74" i="11"/>
  <c r="DA58" i="11"/>
  <c r="DA34" i="11"/>
  <c r="DB98" i="11"/>
  <c r="DB34" i="11"/>
  <c r="DC98" i="11"/>
  <c r="DC38" i="11"/>
  <c r="DC17" i="11"/>
  <c r="DD118" i="11"/>
  <c r="DE111" i="11"/>
  <c r="CX99" i="2"/>
  <c r="CX27" i="2"/>
  <c r="CX130" i="2"/>
  <c r="CX115" i="2"/>
  <c r="CX89" i="2"/>
  <c r="CX18" i="2"/>
  <c r="CY130" i="2"/>
  <c r="CY115" i="2"/>
  <c r="CZ123" i="2"/>
  <c r="CZ89" i="2"/>
  <c r="CZ44" i="2"/>
  <c r="DA123" i="2"/>
  <c r="DA89" i="2"/>
  <c r="DA44" i="2"/>
  <c r="DB138" i="2"/>
  <c r="DB123" i="2"/>
  <c r="DB89" i="2"/>
  <c r="DB44" i="2"/>
  <c r="DC138" i="2"/>
  <c r="DC123" i="2"/>
  <c r="I181" i="2" s="1"/>
  <c r="J181" i="2" s="1"/>
  <c r="DC75" i="2"/>
  <c r="DD123" i="2"/>
  <c r="DD89" i="2"/>
  <c r="DD44" i="2"/>
  <c r="DE138" i="2"/>
  <c r="DE119" i="2"/>
  <c r="DE109" i="2"/>
  <c r="DE18" i="2"/>
  <c r="CX134" i="2"/>
  <c r="CX119" i="2"/>
  <c r="CX109" i="2"/>
  <c r="CX59" i="2"/>
  <c r="CX44" i="2"/>
  <c r="CY134" i="2"/>
  <c r="CY119" i="2"/>
  <c r="CY89" i="2"/>
  <c r="CZ130" i="2"/>
  <c r="CZ106" i="2"/>
  <c r="CZ59" i="2"/>
  <c r="DA106" i="2"/>
  <c r="DA59" i="2"/>
  <c r="DB59" i="2"/>
  <c r="DD130" i="2"/>
  <c r="DD106" i="2"/>
  <c r="DD59" i="2"/>
  <c r="DD18" i="2"/>
  <c r="DE123" i="2"/>
  <c r="DE106" i="2"/>
  <c r="DE75" i="2"/>
  <c r="CY123" i="2"/>
  <c r="CY18" i="2"/>
  <c r="CZ134" i="2"/>
  <c r="CZ18" i="2"/>
  <c r="DA18" i="2"/>
  <c r="DB18" i="2"/>
  <c r="DC89" i="2"/>
  <c r="I177" i="2" s="1"/>
  <c r="J177" i="2" s="1"/>
  <c r="DC18" i="2"/>
  <c r="I157" i="2" s="1"/>
  <c r="J157" i="2" s="1"/>
  <c r="DD134" i="2"/>
  <c r="DE130" i="2"/>
  <c r="CX106" i="2"/>
  <c r="CY59" i="2"/>
  <c r="DC59" i="2"/>
  <c r="DE89" i="2"/>
  <c r="DE59" i="2"/>
  <c r="CL13" i="14"/>
  <c r="CL78" i="14"/>
  <c r="CZ7" i="14"/>
  <c r="CZ6" i="14" s="1"/>
  <c r="CZ14" i="14"/>
  <c r="CZ17" i="14"/>
  <c r="CZ24" i="14"/>
  <c r="CZ26" i="14"/>
  <c r="CZ34" i="14"/>
  <c r="CZ38" i="14"/>
  <c r="CZ41" i="14"/>
  <c r="CZ43" i="14"/>
  <c r="CZ48" i="14"/>
  <c r="CZ58" i="14"/>
  <c r="CZ72" i="14"/>
  <c r="CZ74" i="14"/>
  <c r="CZ79" i="14"/>
  <c r="CZ86" i="14"/>
  <c r="CZ88" i="14"/>
  <c r="CZ98" i="14"/>
  <c r="CZ103" i="14"/>
  <c r="CZ105" i="14"/>
  <c r="CZ108" i="14"/>
  <c r="CZ111" i="14"/>
  <c r="CZ114" i="14"/>
  <c r="CZ118" i="14"/>
  <c r="CZ122" i="14"/>
  <c r="CZ129" i="14"/>
  <c r="CZ133" i="14"/>
  <c r="CZ137" i="14"/>
  <c r="CW7" i="11"/>
  <c r="CW6" i="11" s="1"/>
  <c r="CW14" i="11"/>
  <c r="CW20" i="11"/>
  <c r="CW21" i="11"/>
  <c r="CW22" i="11"/>
  <c r="CW23" i="11"/>
  <c r="CW25" i="11"/>
  <c r="CW24" i="11" s="1"/>
  <c r="CW30" i="11"/>
  <c r="CW31" i="11"/>
  <c r="CW35" i="11"/>
  <c r="CW36" i="11"/>
  <c r="CW37" i="11"/>
  <c r="CW39" i="11"/>
  <c r="CW40" i="11"/>
  <c r="CW42" i="11"/>
  <c r="CW41" i="11" s="1"/>
  <c r="CW45" i="11"/>
  <c r="CW46" i="11"/>
  <c r="CW47" i="11"/>
  <c r="CW48" i="11"/>
  <c r="CW59" i="11"/>
  <c r="CW60" i="11"/>
  <c r="CW61" i="11"/>
  <c r="CW62" i="11"/>
  <c r="CW63" i="11"/>
  <c r="CW66" i="11"/>
  <c r="CW67" i="11"/>
  <c r="CW68" i="11"/>
  <c r="CW69" i="11"/>
  <c r="CW70" i="11"/>
  <c r="CW73" i="11"/>
  <c r="CW72" i="11" s="1"/>
  <c r="CW75" i="11"/>
  <c r="CW76" i="11"/>
  <c r="CW77" i="11"/>
  <c r="CW82" i="11"/>
  <c r="CW79" i="11" s="1"/>
  <c r="CW86" i="11"/>
  <c r="CW89" i="11"/>
  <c r="CW92" i="11"/>
  <c r="CW93" i="11"/>
  <c r="CW95" i="11"/>
  <c r="CW96" i="11"/>
  <c r="CW101" i="11"/>
  <c r="CW102" i="11"/>
  <c r="CW104" i="11"/>
  <c r="CW103" i="11" s="1"/>
  <c r="CW106" i="11"/>
  <c r="CW107" i="11"/>
  <c r="CW109" i="11"/>
  <c r="CW110" i="11"/>
  <c r="CW112" i="11"/>
  <c r="CW113" i="11"/>
  <c r="CW115" i="11"/>
  <c r="CW116" i="11"/>
  <c r="CW117" i="11"/>
  <c r="CW119" i="11"/>
  <c r="CW120" i="11"/>
  <c r="CW121" i="11"/>
  <c r="CW123" i="11"/>
  <c r="CW124" i="11"/>
  <c r="CW125" i="11"/>
  <c r="CW126" i="11"/>
  <c r="CW127" i="11"/>
  <c r="CW128" i="11"/>
  <c r="CW130" i="11"/>
  <c r="CW131" i="11"/>
  <c r="CW132" i="11"/>
  <c r="CW134" i="11"/>
  <c r="CW135" i="11"/>
  <c r="CW136" i="11"/>
  <c r="CW138" i="11"/>
  <c r="CW139" i="11"/>
  <c r="CW140" i="11"/>
  <c r="CW141" i="2"/>
  <c r="CW140" i="2"/>
  <c r="CW139" i="2"/>
  <c r="CW137" i="2"/>
  <c r="CW136" i="2"/>
  <c r="CW135" i="2"/>
  <c r="CW133" i="2"/>
  <c r="CW132" i="2"/>
  <c r="CW131" i="2"/>
  <c r="CW129" i="2"/>
  <c r="CW128" i="2"/>
  <c r="CW127" i="2"/>
  <c r="CW126" i="2"/>
  <c r="CW125" i="2"/>
  <c r="CW124" i="2"/>
  <c r="CW122" i="2"/>
  <c r="CW121" i="2"/>
  <c r="CW120" i="2"/>
  <c r="CW118" i="2"/>
  <c r="CW117" i="2"/>
  <c r="CW116" i="2"/>
  <c r="CW114" i="2"/>
  <c r="CW113" i="2"/>
  <c r="CW111" i="2"/>
  <c r="CW110" i="2"/>
  <c r="CW108" i="2"/>
  <c r="CW107" i="2"/>
  <c r="CW105" i="2"/>
  <c r="CW104" i="2" s="1"/>
  <c r="CW103" i="2"/>
  <c r="CW102" i="2"/>
  <c r="CW97" i="2"/>
  <c r="CW96" i="2"/>
  <c r="CW94" i="2"/>
  <c r="CW93" i="2"/>
  <c r="CW90" i="2"/>
  <c r="CW87" i="2"/>
  <c r="CW83" i="2"/>
  <c r="CW80" i="2" s="1"/>
  <c r="CW78" i="2"/>
  <c r="CW77" i="2"/>
  <c r="CW76" i="2"/>
  <c r="CW74" i="2"/>
  <c r="CW73" i="2" s="1"/>
  <c r="CW71" i="2"/>
  <c r="CW70" i="2"/>
  <c r="CW69" i="2"/>
  <c r="CW68" i="2"/>
  <c r="CW67" i="2"/>
  <c r="CW64" i="2"/>
  <c r="CW63" i="2"/>
  <c r="CW62" i="2"/>
  <c r="CW61" i="2"/>
  <c r="CW60" i="2"/>
  <c r="CW49" i="2"/>
  <c r="CW48" i="2"/>
  <c r="CW47" i="2"/>
  <c r="CW46" i="2"/>
  <c r="CW43" i="2"/>
  <c r="CW42" i="2" s="1"/>
  <c r="CW41" i="2"/>
  <c r="CW40" i="2"/>
  <c r="CW38" i="2"/>
  <c r="CW37" i="2"/>
  <c r="CW36" i="2"/>
  <c r="CW32" i="2"/>
  <c r="CW31" i="2"/>
  <c r="CW26" i="2"/>
  <c r="CW25" i="2" s="1"/>
  <c r="CW24" i="2"/>
  <c r="CW23" i="2"/>
  <c r="CW22" i="2"/>
  <c r="CW21" i="2"/>
  <c r="CW15" i="2"/>
  <c r="CW8" i="2"/>
  <c r="CW7" i="2" s="1"/>
  <c r="CY137" i="14"/>
  <c r="CX137" i="14"/>
  <c r="CW137" i="14"/>
  <c r="CY133" i="14"/>
  <c r="CX133" i="14"/>
  <c r="CW133" i="14"/>
  <c r="CY129" i="14"/>
  <c r="CX129" i="14"/>
  <c r="CW129" i="14"/>
  <c r="CY122" i="14"/>
  <c r="CX122" i="14"/>
  <c r="CW122" i="14"/>
  <c r="CY118" i="14"/>
  <c r="CX118" i="14"/>
  <c r="CW118" i="14"/>
  <c r="CY114" i="14"/>
  <c r="CX114" i="14"/>
  <c r="CW114" i="14"/>
  <c r="CY111" i="14"/>
  <c r="CX111" i="14"/>
  <c r="CW111" i="14"/>
  <c r="CY108" i="14"/>
  <c r="CX108" i="14"/>
  <c r="CW108" i="14"/>
  <c r="CY105" i="14"/>
  <c r="CX105" i="14"/>
  <c r="CW105" i="14"/>
  <c r="CY103" i="14"/>
  <c r="CX103" i="14"/>
  <c r="CW103" i="14"/>
  <c r="CY98" i="14"/>
  <c r="CX98" i="14"/>
  <c r="CW98" i="14"/>
  <c r="CY88" i="14"/>
  <c r="CX88" i="14"/>
  <c r="CW88" i="14"/>
  <c r="CY86" i="14"/>
  <c r="CX86" i="14"/>
  <c r="CW86" i="14"/>
  <c r="CY79" i="14"/>
  <c r="CX79" i="14"/>
  <c r="CW79" i="14"/>
  <c r="CY74" i="14"/>
  <c r="CX74" i="14"/>
  <c r="CW74" i="14"/>
  <c r="CY72" i="14"/>
  <c r="CX72" i="14"/>
  <c r="CW72" i="14"/>
  <c r="CY58" i="14"/>
  <c r="CX58" i="14"/>
  <c r="CW58" i="14"/>
  <c r="CY48" i="14"/>
  <c r="CX48" i="14"/>
  <c r="CW48" i="14"/>
  <c r="CY43" i="14"/>
  <c r="CX43" i="14"/>
  <c r="CW43" i="14"/>
  <c r="CY41" i="14"/>
  <c r="CX41" i="14"/>
  <c r="CW41" i="14"/>
  <c r="CY38" i="14"/>
  <c r="CX38" i="14"/>
  <c r="CW38" i="14"/>
  <c r="CY34" i="14"/>
  <c r="CX34" i="14"/>
  <c r="CW34" i="14"/>
  <c r="CY26" i="14"/>
  <c r="CX26" i="14"/>
  <c r="CW26" i="14"/>
  <c r="CY24" i="14"/>
  <c r="CX24" i="14"/>
  <c r="CW24" i="14"/>
  <c r="CY17" i="14"/>
  <c r="CX17" i="14"/>
  <c r="CW17" i="14"/>
  <c r="CY14" i="14"/>
  <c r="CX14" i="14"/>
  <c r="CW14" i="14"/>
  <c r="CY7" i="14"/>
  <c r="CY6" i="14" s="1"/>
  <c r="CX7" i="14"/>
  <c r="CX6" i="14" s="1"/>
  <c r="CW7" i="14"/>
  <c r="CW6" i="14" s="1"/>
  <c r="CV137" i="14"/>
  <c r="CU137" i="14"/>
  <c r="CT137" i="14"/>
  <c r="CS137" i="14"/>
  <c r="CR137" i="14"/>
  <c r="CQ137" i="14"/>
  <c r="CP137" i="14"/>
  <c r="CV133" i="14"/>
  <c r="CU133" i="14"/>
  <c r="CT133" i="14"/>
  <c r="CS133" i="14"/>
  <c r="CR133" i="14"/>
  <c r="CQ133" i="14"/>
  <c r="CP133" i="14"/>
  <c r="CV129" i="14"/>
  <c r="CU129" i="14"/>
  <c r="CT129" i="14"/>
  <c r="CS129" i="14"/>
  <c r="CR129" i="14"/>
  <c r="CQ129" i="14"/>
  <c r="CP129" i="14"/>
  <c r="CV122" i="14"/>
  <c r="CU122" i="14"/>
  <c r="CT122" i="14"/>
  <c r="CS122" i="14"/>
  <c r="CR122" i="14"/>
  <c r="CQ122" i="14"/>
  <c r="CP122" i="14"/>
  <c r="CV118" i="14"/>
  <c r="CU118" i="14"/>
  <c r="CT118" i="14"/>
  <c r="CS118" i="14"/>
  <c r="CR118" i="14"/>
  <c r="CQ118" i="14"/>
  <c r="CP118" i="14"/>
  <c r="CV114" i="14"/>
  <c r="CU114" i="14"/>
  <c r="CT114" i="14"/>
  <c r="CS114" i="14"/>
  <c r="CR114" i="14"/>
  <c r="CQ114" i="14"/>
  <c r="CP114" i="14"/>
  <c r="CV111" i="14"/>
  <c r="CU111" i="14"/>
  <c r="CT111" i="14"/>
  <c r="CS111" i="14"/>
  <c r="CR111" i="14"/>
  <c r="CQ111" i="14"/>
  <c r="CP111" i="14"/>
  <c r="CV108" i="14"/>
  <c r="CU108" i="14"/>
  <c r="CT108" i="14"/>
  <c r="CS108" i="14"/>
  <c r="CR108" i="14"/>
  <c r="CQ108" i="14"/>
  <c r="CP108" i="14"/>
  <c r="CV105" i="14"/>
  <c r="CU105" i="14"/>
  <c r="CT105" i="14"/>
  <c r="CS105" i="14"/>
  <c r="CR105" i="14"/>
  <c r="CQ105" i="14"/>
  <c r="CP105" i="14"/>
  <c r="CV103" i="14"/>
  <c r="CU103" i="14"/>
  <c r="CT103" i="14"/>
  <c r="CS103" i="14"/>
  <c r="CR103" i="14"/>
  <c r="CQ103" i="14"/>
  <c r="CP103" i="14"/>
  <c r="CV98" i="14"/>
  <c r="CU98" i="14"/>
  <c r="CT98" i="14"/>
  <c r="CS98" i="14"/>
  <c r="CR98" i="14"/>
  <c r="CQ98" i="14"/>
  <c r="CP98" i="14"/>
  <c r="CV88" i="14"/>
  <c r="CU88" i="14"/>
  <c r="CT88" i="14"/>
  <c r="CS88" i="14"/>
  <c r="CR88" i="14"/>
  <c r="CQ88" i="14"/>
  <c r="CP88" i="14"/>
  <c r="CV86" i="14"/>
  <c r="CU86" i="14"/>
  <c r="CT86" i="14"/>
  <c r="CS86" i="14"/>
  <c r="CR86" i="14"/>
  <c r="CQ86" i="14"/>
  <c r="CP86" i="14"/>
  <c r="CV79" i="14"/>
  <c r="CU79" i="14"/>
  <c r="CT79" i="14"/>
  <c r="CS79" i="14"/>
  <c r="CR79" i="14"/>
  <c r="CQ79" i="14"/>
  <c r="CP79" i="14"/>
  <c r="CV74" i="14"/>
  <c r="CU74" i="14"/>
  <c r="CT74" i="14"/>
  <c r="CS74" i="14"/>
  <c r="CR74" i="14"/>
  <c r="CQ74" i="14"/>
  <c r="CP74" i="14"/>
  <c r="CV72" i="14"/>
  <c r="CU72" i="14"/>
  <c r="CT72" i="14"/>
  <c r="CS72" i="14"/>
  <c r="CR72" i="14"/>
  <c r="CQ72" i="14"/>
  <c r="CP72" i="14"/>
  <c r="CV58" i="14"/>
  <c r="CU58" i="14"/>
  <c r="CT58" i="14"/>
  <c r="CS58" i="14"/>
  <c r="CR58" i="14"/>
  <c r="CQ58" i="14"/>
  <c r="CP58" i="14"/>
  <c r="CV48" i="14"/>
  <c r="CU48" i="14"/>
  <c r="CT48" i="14"/>
  <c r="CS48" i="14"/>
  <c r="CR48" i="14"/>
  <c r="CQ48" i="14"/>
  <c r="CP48" i="14"/>
  <c r="CV43" i="14"/>
  <c r="CU43" i="14"/>
  <c r="CT43" i="14"/>
  <c r="CS43" i="14"/>
  <c r="CR43" i="14"/>
  <c r="CQ43" i="14"/>
  <c r="CP43" i="14"/>
  <c r="CV41" i="14"/>
  <c r="CU41" i="14"/>
  <c r="CT41" i="14"/>
  <c r="CS41" i="14"/>
  <c r="CR41" i="14"/>
  <c r="CQ41" i="14"/>
  <c r="CP41" i="14"/>
  <c r="CV38" i="14"/>
  <c r="CU38" i="14"/>
  <c r="CT38" i="14"/>
  <c r="CS38" i="14"/>
  <c r="CR38" i="14"/>
  <c r="CQ38" i="14"/>
  <c r="CP38" i="14"/>
  <c r="CV34" i="14"/>
  <c r="CU34" i="14"/>
  <c r="CT34" i="14"/>
  <c r="CS34" i="14"/>
  <c r="CR34" i="14"/>
  <c r="CQ34" i="14"/>
  <c r="CP34" i="14"/>
  <c r="CV26" i="14"/>
  <c r="CU26" i="14"/>
  <c r="CT26" i="14"/>
  <c r="CS26" i="14"/>
  <c r="CR26" i="14"/>
  <c r="CQ26" i="14"/>
  <c r="CP26" i="14"/>
  <c r="CV24" i="14"/>
  <c r="CU24" i="14"/>
  <c r="CT24" i="14"/>
  <c r="CS24" i="14"/>
  <c r="CR24" i="14"/>
  <c r="CQ24" i="14"/>
  <c r="CP24" i="14"/>
  <c r="CV17" i="14"/>
  <c r="CU17" i="14"/>
  <c r="CT17" i="14"/>
  <c r="CS17" i="14"/>
  <c r="CR17" i="14"/>
  <c r="CQ17" i="14"/>
  <c r="CP17" i="14"/>
  <c r="CV14" i="14"/>
  <c r="CU14" i="14"/>
  <c r="CT14" i="14"/>
  <c r="CS14" i="14"/>
  <c r="CR14" i="14"/>
  <c r="CQ14" i="14"/>
  <c r="CP14" i="14"/>
  <c r="CV7" i="14"/>
  <c r="CV6" i="14" s="1"/>
  <c r="CU7" i="14"/>
  <c r="CU6" i="14" s="1"/>
  <c r="CT7" i="14"/>
  <c r="CT6" i="14" s="1"/>
  <c r="CS7" i="14"/>
  <c r="CS6" i="14" s="1"/>
  <c r="CR7" i="14"/>
  <c r="CR6" i="14" s="1"/>
  <c r="CQ7" i="14"/>
  <c r="CQ6" i="14" s="1"/>
  <c r="CP7" i="14"/>
  <c r="CP6" i="14" s="1"/>
  <c r="CV140" i="11"/>
  <c r="CU140" i="11"/>
  <c r="CT140" i="11"/>
  <c r="CS140" i="11"/>
  <c r="CR140" i="11"/>
  <c r="CQ140" i="11"/>
  <c r="CP140" i="11"/>
  <c r="CO140" i="11"/>
  <c r="CN140" i="11"/>
  <c r="CM140" i="11"/>
  <c r="CV139" i="11"/>
  <c r="CU139" i="11"/>
  <c r="CT139" i="11"/>
  <c r="CS139" i="11"/>
  <c r="CR139" i="11"/>
  <c r="CQ139" i="11"/>
  <c r="CP139" i="11"/>
  <c r="CO139" i="11"/>
  <c r="CN139" i="11"/>
  <c r="CM139" i="11"/>
  <c r="CV138" i="11"/>
  <c r="CU138" i="11"/>
  <c r="CT138" i="11"/>
  <c r="CS138" i="11"/>
  <c r="CR138" i="11"/>
  <c r="CQ138" i="11"/>
  <c r="CP138" i="11"/>
  <c r="CO138" i="11"/>
  <c r="CN138" i="11"/>
  <c r="CM138" i="11"/>
  <c r="CV136" i="11"/>
  <c r="CU136" i="11"/>
  <c r="CT136" i="11"/>
  <c r="CS136" i="11"/>
  <c r="CR136" i="11"/>
  <c r="CQ136" i="11"/>
  <c r="CP136" i="11"/>
  <c r="CO136" i="11"/>
  <c r="CN136" i="11"/>
  <c r="CM136" i="11"/>
  <c r="CV135" i="11"/>
  <c r="CU135" i="11"/>
  <c r="CT135" i="11"/>
  <c r="CS135" i="11"/>
  <c r="CR135" i="11"/>
  <c r="CQ135" i="11"/>
  <c r="CP135" i="11"/>
  <c r="CO135" i="11"/>
  <c r="CN135" i="11"/>
  <c r="CM135" i="11"/>
  <c r="CV134" i="11"/>
  <c r="CU134" i="11"/>
  <c r="CT134" i="11"/>
  <c r="CS134" i="11"/>
  <c r="CR134" i="11"/>
  <c r="CQ134" i="11"/>
  <c r="CP134" i="11"/>
  <c r="CO134" i="11"/>
  <c r="CN134" i="11"/>
  <c r="CM134" i="11"/>
  <c r="CV132" i="11"/>
  <c r="CU132" i="11"/>
  <c r="CT132" i="11"/>
  <c r="CS132" i="11"/>
  <c r="CR132" i="11"/>
  <c r="CQ132" i="11"/>
  <c r="CP132" i="11"/>
  <c r="CO132" i="11"/>
  <c r="CN132" i="11"/>
  <c r="CM132" i="11"/>
  <c r="CV131" i="11"/>
  <c r="CU131" i="11"/>
  <c r="CT131" i="11"/>
  <c r="CS131" i="11"/>
  <c r="CR131" i="11"/>
  <c r="CQ131" i="11"/>
  <c r="CP131" i="11"/>
  <c r="CO131" i="11"/>
  <c r="CN131" i="11"/>
  <c r="CM131" i="11"/>
  <c r="CV130" i="11"/>
  <c r="CU130" i="11"/>
  <c r="CT130" i="11"/>
  <c r="CS130" i="11"/>
  <c r="CR130" i="11"/>
  <c r="CQ130" i="11"/>
  <c r="CP130" i="11"/>
  <c r="CO130" i="11"/>
  <c r="CN130" i="11"/>
  <c r="CM130" i="11"/>
  <c r="CV128" i="11"/>
  <c r="CU128" i="11"/>
  <c r="CT128" i="11"/>
  <c r="CS128" i="11"/>
  <c r="CR128" i="11"/>
  <c r="CQ128" i="11"/>
  <c r="CP128" i="11"/>
  <c r="CO128" i="11"/>
  <c r="CN128" i="11"/>
  <c r="CM128" i="11"/>
  <c r="CV127" i="11"/>
  <c r="CU127" i="11"/>
  <c r="CT127" i="11"/>
  <c r="CS127" i="11"/>
  <c r="CR127" i="11"/>
  <c r="CQ127" i="11"/>
  <c r="CP127" i="11"/>
  <c r="CO127" i="11"/>
  <c r="CN127" i="11"/>
  <c r="CM127" i="11"/>
  <c r="CV126" i="11"/>
  <c r="CU126" i="11"/>
  <c r="CT126" i="11"/>
  <c r="CS126" i="11"/>
  <c r="CR126" i="11"/>
  <c r="CQ126" i="11"/>
  <c r="CP126" i="11"/>
  <c r="CO126" i="11"/>
  <c r="CN126" i="11"/>
  <c r="CM126" i="11"/>
  <c r="CV125" i="11"/>
  <c r="CU125" i="11"/>
  <c r="CT125" i="11"/>
  <c r="CS125" i="11"/>
  <c r="CR125" i="11"/>
  <c r="CQ125" i="11"/>
  <c r="CP125" i="11"/>
  <c r="CO125" i="11"/>
  <c r="CN125" i="11"/>
  <c r="CM125" i="11"/>
  <c r="CV124" i="11"/>
  <c r="CU124" i="11"/>
  <c r="CT124" i="11"/>
  <c r="CS124" i="11"/>
  <c r="CR124" i="11"/>
  <c r="CQ124" i="11"/>
  <c r="CP124" i="11"/>
  <c r="CO124" i="11"/>
  <c r="CN124" i="11"/>
  <c r="CM124" i="11"/>
  <c r="CV123" i="11"/>
  <c r="CU123" i="11"/>
  <c r="CT123" i="11"/>
  <c r="CS123" i="11"/>
  <c r="CR123" i="11"/>
  <c r="CQ123" i="11"/>
  <c r="CP123" i="11"/>
  <c r="CO123" i="11"/>
  <c r="CN123" i="11"/>
  <c r="CM123" i="11"/>
  <c r="CV121" i="11"/>
  <c r="CU121" i="11"/>
  <c r="CT121" i="11"/>
  <c r="CS121" i="11"/>
  <c r="CR121" i="11"/>
  <c r="CQ121" i="11"/>
  <c r="CP121" i="11"/>
  <c r="CO121" i="11"/>
  <c r="CN121" i="11"/>
  <c r="CM121" i="11"/>
  <c r="CV120" i="11"/>
  <c r="CU120" i="11"/>
  <c r="CT120" i="11"/>
  <c r="CS120" i="11"/>
  <c r="CR120" i="11"/>
  <c r="CQ120" i="11"/>
  <c r="CP120" i="11"/>
  <c r="CO120" i="11"/>
  <c r="CN120" i="11"/>
  <c r="CM120" i="11"/>
  <c r="CV119" i="11"/>
  <c r="CU119" i="11"/>
  <c r="CT119" i="11"/>
  <c r="CS119" i="11"/>
  <c r="CR119" i="11"/>
  <c r="CQ119" i="11"/>
  <c r="CP119" i="11"/>
  <c r="CO119" i="11"/>
  <c r="CN119" i="11"/>
  <c r="CM119" i="11"/>
  <c r="CV117" i="11"/>
  <c r="CU117" i="11"/>
  <c r="CT117" i="11"/>
  <c r="CS117" i="11"/>
  <c r="CR117" i="11"/>
  <c r="CQ117" i="11"/>
  <c r="CP117" i="11"/>
  <c r="CO117" i="11"/>
  <c r="CN117" i="11"/>
  <c r="CM117" i="11"/>
  <c r="CV116" i="11"/>
  <c r="CU116" i="11"/>
  <c r="CT116" i="11"/>
  <c r="CS116" i="11"/>
  <c r="CR116" i="11"/>
  <c r="CQ116" i="11"/>
  <c r="CP116" i="11"/>
  <c r="CO116" i="11"/>
  <c r="CN116" i="11"/>
  <c r="CM116" i="11"/>
  <c r="CV115" i="11"/>
  <c r="CU115" i="11"/>
  <c r="CT115" i="11"/>
  <c r="CS115" i="11"/>
  <c r="CR115" i="11"/>
  <c r="CQ115" i="11"/>
  <c r="CP115" i="11"/>
  <c r="CO115" i="11"/>
  <c r="CN115" i="11"/>
  <c r="CM115" i="11"/>
  <c r="CV113" i="11"/>
  <c r="CU113" i="11"/>
  <c r="CT113" i="11"/>
  <c r="CS113" i="11"/>
  <c r="CR113" i="11"/>
  <c r="CQ113" i="11"/>
  <c r="CP113" i="11"/>
  <c r="CO113" i="11"/>
  <c r="CN113" i="11"/>
  <c r="CM113" i="11"/>
  <c r="CV112" i="11"/>
  <c r="CU112" i="11"/>
  <c r="CT112" i="11"/>
  <c r="CS112" i="11"/>
  <c r="CR112" i="11"/>
  <c r="CQ112" i="11"/>
  <c r="CP112" i="11"/>
  <c r="CO112" i="11"/>
  <c r="CN112" i="11"/>
  <c r="CM112" i="11"/>
  <c r="CV110" i="11"/>
  <c r="CU110" i="11"/>
  <c r="CT110" i="11"/>
  <c r="CS110" i="11"/>
  <c r="CR110" i="11"/>
  <c r="CQ110" i="11"/>
  <c r="CP110" i="11"/>
  <c r="CO110" i="11"/>
  <c r="CN110" i="11"/>
  <c r="CM110" i="11"/>
  <c r="CV109" i="11"/>
  <c r="CU109" i="11"/>
  <c r="CT109" i="11"/>
  <c r="CS109" i="11"/>
  <c r="CR109" i="11"/>
  <c r="CQ109" i="11"/>
  <c r="CP109" i="11"/>
  <c r="CO109" i="11"/>
  <c r="CN109" i="11"/>
  <c r="CM109" i="11"/>
  <c r="CV107" i="11"/>
  <c r="CU107" i="11"/>
  <c r="CT107" i="11"/>
  <c r="CS107" i="11"/>
  <c r="CR107" i="11"/>
  <c r="CQ107" i="11"/>
  <c r="CP107" i="11"/>
  <c r="CO107" i="11"/>
  <c r="CN107" i="11"/>
  <c r="CM107" i="11"/>
  <c r="CV106" i="11"/>
  <c r="CU106" i="11"/>
  <c r="CT106" i="11"/>
  <c r="CS106" i="11"/>
  <c r="CR106" i="11"/>
  <c r="CQ106" i="11"/>
  <c r="CP106" i="11"/>
  <c r="CO106" i="11"/>
  <c r="CN106" i="11"/>
  <c r="CM106" i="11"/>
  <c r="CV104" i="11"/>
  <c r="CV103" i="11" s="1"/>
  <c r="CU104" i="11"/>
  <c r="CU103" i="11" s="1"/>
  <c r="CT104" i="11"/>
  <c r="CT103" i="11" s="1"/>
  <c r="CS104" i="11"/>
  <c r="CS103" i="11" s="1"/>
  <c r="CR104" i="11"/>
  <c r="CR103" i="11" s="1"/>
  <c r="CQ104" i="11"/>
  <c r="CQ103" i="11" s="1"/>
  <c r="CP104" i="11"/>
  <c r="CP103" i="11" s="1"/>
  <c r="CO104" i="11"/>
  <c r="CO103" i="11" s="1"/>
  <c r="CN104" i="11"/>
  <c r="CN103" i="11" s="1"/>
  <c r="CM104" i="11"/>
  <c r="CM103" i="11" s="1"/>
  <c r="CV102" i="11"/>
  <c r="CU102" i="11"/>
  <c r="CT102" i="11"/>
  <c r="CS102" i="11"/>
  <c r="CR102" i="11"/>
  <c r="CQ102" i="11"/>
  <c r="CP102" i="11"/>
  <c r="CO102" i="11"/>
  <c r="CN102" i="11"/>
  <c r="CM102" i="11"/>
  <c r="CV101" i="11"/>
  <c r="CU101" i="11"/>
  <c r="CT101" i="11"/>
  <c r="CS101" i="11"/>
  <c r="CR101" i="11"/>
  <c r="CQ101" i="11"/>
  <c r="CP101" i="11"/>
  <c r="CO101" i="11"/>
  <c r="CN101" i="11"/>
  <c r="CM101" i="11"/>
  <c r="CV96" i="11"/>
  <c r="CU96" i="11"/>
  <c r="CT96" i="11"/>
  <c r="CS96" i="11"/>
  <c r="CR96" i="11"/>
  <c r="CQ96" i="11"/>
  <c r="CP96" i="11"/>
  <c r="CO96" i="11"/>
  <c r="CN96" i="11"/>
  <c r="CM96" i="11"/>
  <c r="CV95" i="11"/>
  <c r="CU95" i="11"/>
  <c r="CT95" i="11"/>
  <c r="CS95" i="11"/>
  <c r="CR95" i="11"/>
  <c r="CQ95" i="11"/>
  <c r="CP95" i="11"/>
  <c r="CO95" i="11"/>
  <c r="CN95" i="11"/>
  <c r="CM95" i="11"/>
  <c r="CV93" i="11"/>
  <c r="CU93" i="11"/>
  <c r="CT93" i="11"/>
  <c r="CS93" i="11"/>
  <c r="CR93" i="11"/>
  <c r="CQ93" i="11"/>
  <c r="CP93" i="11"/>
  <c r="CO93" i="11"/>
  <c r="CN93" i="11"/>
  <c r="CM93" i="11"/>
  <c r="CV92" i="11"/>
  <c r="CU92" i="11"/>
  <c r="CT92" i="11"/>
  <c r="CS92" i="11"/>
  <c r="CR92" i="11"/>
  <c r="CQ92" i="11"/>
  <c r="CP92" i="11"/>
  <c r="CO92" i="11"/>
  <c r="CN92" i="11"/>
  <c r="CM92" i="11"/>
  <c r="CV89" i="11"/>
  <c r="CU89" i="11"/>
  <c r="CT89" i="11"/>
  <c r="CS89" i="11"/>
  <c r="CR89" i="11"/>
  <c r="CQ89" i="11"/>
  <c r="CP89" i="11"/>
  <c r="CO89" i="11"/>
  <c r="CN89" i="11"/>
  <c r="CM89" i="11"/>
  <c r="CV86" i="11"/>
  <c r="CU86" i="11"/>
  <c r="CT86" i="11"/>
  <c r="CS86" i="11"/>
  <c r="CR86" i="11"/>
  <c r="CQ86" i="11"/>
  <c r="CP86" i="11"/>
  <c r="CO86" i="11"/>
  <c r="CN86" i="11"/>
  <c r="CM86" i="11"/>
  <c r="CV82" i="11"/>
  <c r="CV79" i="11" s="1"/>
  <c r="CU82" i="11"/>
  <c r="CU79" i="11" s="1"/>
  <c r="CT82" i="11"/>
  <c r="CT79" i="11" s="1"/>
  <c r="CS82" i="11"/>
  <c r="CS79" i="11" s="1"/>
  <c r="CR82" i="11"/>
  <c r="CR79" i="11" s="1"/>
  <c r="CQ82" i="11"/>
  <c r="CQ79" i="11" s="1"/>
  <c r="CP82" i="11"/>
  <c r="CP79" i="11" s="1"/>
  <c r="CO82" i="11"/>
  <c r="CO79" i="11" s="1"/>
  <c r="CN82" i="11"/>
  <c r="CN79" i="11" s="1"/>
  <c r="CM82" i="11"/>
  <c r="CM79" i="11" s="1"/>
  <c r="CV77" i="11"/>
  <c r="CU77" i="11"/>
  <c r="CT77" i="11"/>
  <c r="CS77" i="11"/>
  <c r="CR77" i="11"/>
  <c r="CQ77" i="11"/>
  <c r="CP77" i="11"/>
  <c r="CO77" i="11"/>
  <c r="CN77" i="11"/>
  <c r="CM77" i="11"/>
  <c r="CV76" i="11"/>
  <c r="CU76" i="11"/>
  <c r="CT76" i="11"/>
  <c r="CS76" i="11"/>
  <c r="CR76" i="11"/>
  <c r="CQ76" i="11"/>
  <c r="CP76" i="11"/>
  <c r="CO76" i="11"/>
  <c r="CN76" i="11"/>
  <c r="CM76" i="11"/>
  <c r="CV75" i="11"/>
  <c r="CU75" i="11"/>
  <c r="CT75" i="11"/>
  <c r="CS75" i="11"/>
  <c r="CR75" i="11"/>
  <c r="CQ75" i="11"/>
  <c r="CP75" i="11"/>
  <c r="CO75" i="11"/>
  <c r="CN75" i="11"/>
  <c r="CM75" i="11"/>
  <c r="CV73" i="11"/>
  <c r="CV72" i="11" s="1"/>
  <c r="CU73" i="11"/>
  <c r="CU72" i="11" s="1"/>
  <c r="CT73" i="11"/>
  <c r="CT72" i="11" s="1"/>
  <c r="CS73" i="11"/>
  <c r="CS72" i="11" s="1"/>
  <c r="CR73" i="11"/>
  <c r="CR72" i="11" s="1"/>
  <c r="CQ73" i="11"/>
  <c r="CQ72" i="11" s="1"/>
  <c r="CP73" i="11"/>
  <c r="CP72" i="11" s="1"/>
  <c r="CO73" i="11"/>
  <c r="CO72" i="11" s="1"/>
  <c r="CN73" i="11"/>
  <c r="CN72" i="11" s="1"/>
  <c r="CM73" i="11"/>
  <c r="CM72" i="11" s="1"/>
  <c r="CV70" i="11"/>
  <c r="CU70" i="11"/>
  <c r="CT70" i="11"/>
  <c r="CS70" i="11"/>
  <c r="CR70" i="11"/>
  <c r="CQ70" i="11"/>
  <c r="CP70" i="11"/>
  <c r="CO70" i="11"/>
  <c r="CN70" i="11"/>
  <c r="CM70" i="11"/>
  <c r="CV69" i="11"/>
  <c r="CU69" i="11"/>
  <c r="CT69" i="11"/>
  <c r="CS69" i="11"/>
  <c r="CR69" i="11"/>
  <c r="CQ69" i="11"/>
  <c r="CP69" i="11"/>
  <c r="CO69" i="11"/>
  <c r="CN69" i="11"/>
  <c r="CM69" i="11"/>
  <c r="CV68" i="11"/>
  <c r="CU68" i="11"/>
  <c r="CT68" i="11"/>
  <c r="CS68" i="11"/>
  <c r="CR68" i="11"/>
  <c r="CQ68" i="11"/>
  <c r="CP68" i="11"/>
  <c r="CO68" i="11"/>
  <c r="CN68" i="11"/>
  <c r="CM68" i="11"/>
  <c r="CV67" i="11"/>
  <c r="CU67" i="11"/>
  <c r="CT67" i="11"/>
  <c r="CS67" i="11"/>
  <c r="CR67" i="11"/>
  <c r="CQ67" i="11"/>
  <c r="CP67" i="11"/>
  <c r="CO67" i="11"/>
  <c r="CN67" i="11"/>
  <c r="CM67" i="11"/>
  <c r="CV66" i="11"/>
  <c r="CU66" i="11"/>
  <c r="CT66" i="11"/>
  <c r="CS66" i="11"/>
  <c r="CR66" i="11"/>
  <c r="CQ66" i="11"/>
  <c r="CP66" i="11"/>
  <c r="CO66" i="11"/>
  <c r="CN66" i="11"/>
  <c r="CM66" i="11"/>
  <c r="CV63" i="11"/>
  <c r="CU63" i="11"/>
  <c r="CT63" i="11"/>
  <c r="CS63" i="11"/>
  <c r="CR63" i="11"/>
  <c r="CQ63" i="11"/>
  <c r="CP63" i="11"/>
  <c r="CO63" i="11"/>
  <c r="CN63" i="11"/>
  <c r="CM63" i="11"/>
  <c r="CV62" i="11"/>
  <c r="CU62" i="11"/>
  <c r="CT62" i="11"/>
  <c r="CS62" i="11"/>
  <c r="CR62" i="11"/>
  <c r="CQ62" i="11"/>
  <c r="CP62" i="11"/>
  <c r="CO62" i="11"/>
  <c r="CN62" i="11"/>
  <c r="CM62" i="11"/>
  <c r="CV61" i="11"/>
  <c r="CU61" i="11"/>
  <c r="CT61" i="11"/>
  <c r="CS61" i="11"/>
  <c r="CR61" i="11"/>
  <c r="CQ61" i="11"/>
  <c r="CP61" i="11"/>
  <c r="CO61" i="11"/>
  <c r="CN61" i="11"/>
  <c r="CM61" i="11"/>
  <c r="CV60" i="11"/>
  <c r="CU60" i="11"/>
  <c r="CT60" i="11"/>
  <c r="CS60" i="11"/>
  <c r="CR60" i="11"/>
  <c r="CQ60" i="11"/>
  <c r="CP60" i="11"/>
  <c r="CO60" i="11"/>
  <c r="CN60" i="11"/>
  <c r="CM60" i="11"/>
  <c r="CV59" i="11"/>
  <c r="CU59" i="11"/>
  <c r="CT59" i="11"/>
  <c r="CS59" i="11"/>
  <c r="CR59" i="11"/>
  <c r="CQ59" i="11"/>
  <c r="CP59" i="11"/>
  <c r="CO59" i="11"/>
  <c r="CN59" i="11"/>
  <c r="CM59" i="11"/>
  <c r="CV48" i="11"/>
  <c r="CU48" i="11"/>
  <c r="CT48" i="11"/>
  <c r="CS48" i="11"/>
  <c r="CR48" i="11"/>
  <c r="CQ48" i="11"/>
  <c r="CP48" i="11"/>
  <c r="CO48" i="11"/>
  <c r="CN48" i="11"/>
  <c r="CM48" i="11"/>
  <c r="CV47" i="11"/>
  <c r="CU47" i="11"/>
  <c r="CT47" i="11"/>
  <c r="CS47" i="11"/>
  <c r="CR47" i="11"/>
  <c r="CQ47" i="11"/>
  <c r="CP47" i="11"/>
  <c r="CO47" i="11"/>
  <c r="CN47" i="11"/>
  <c r="CM47" i="11"/>
  <c r="CV46" i="11"/>
  <c r="CU46" i="11"/>
  <c r="CT46" i="11"/>
  <c r="CS46" i="11"/>
  <c r="CR46" i="11"/>
  <c r="CQ46" i="11"/>
  <c r="CP46" i="11"/>
  <c r="CO46" i="11"/>
  <c r="CN46" i="11"/>
  <c r="CM46" i="11"/>
  <c r="CV45" i="11"/>
  <c r="CU45" i="11"/>
  <c r="CT45" i="11"/>
  <c r="CS45" i="11"/>
  <c r="CR45" i="11"/>
  <c r="CQ45" i="11"/>
  <c r="CP45" i="11"/>
  <c r="CO45" i="11"/>
  <c r="CN45" i="11"/>
  <c r="CM45" i="11"/>
  <c r="CV42" i="11"/>
  <c r="CV41" i="11" s="1"/>
  <c r="CU42" i="11"/>
  <c r="CU41" i="11" s="1"/>
  <c r="CT42" i="11"/>
  <c r="CT41" i="11" s="1"/>
  <c r="CS42" i="11"/>
  <c r="CS41" i="11" s="1"/>
  <c r="CR42" i="11"/>
  <c r="CR41" i="11" s="1"/>
  <c r="CQ42" i="11"/>
  <c r="CQ41" i="11" s="1"/>
  <c r="CP42" i="11"/>
  <c r="CP41" i="11" s="1"/>
  <c r="CO42" i="11"/>
  <c r="CO41" i="11" s="1"/>
  <c r="CN42" i="11"/>
  <c r="CN41" i="11" s="1"/>
  <c r="CM42" i="11"/>
  <c r="CM41" i="11" s="1"/>
  <c r="CV40" i="11"/>
  <c r="CU40" i="11"/>
  <c r="CT40" i="11"/>
  <c r="CS40" i="11"/>
  <c r="CR40" i="11"/>
  <c r="CQ40" i="11"/>
  <c r="CP40" i="11"/>
  <c r="CO40" i="11"/>
  <c r="CN40" i="11"/>
  <c r="CM40" i="11"/>
  <c r="CV39" i="11"/>
  <c r="CU39" i="11"/>
  <c r="CT39" i="11"/>
  <c r="CS39" i="11"/>
  <c r="CR39" i="11"/>
  <c r="CQ39" i="11"/>
  <c r="CP39" i="11"/>
  <c r="CO39" i="11"/>
  <c r="CN39" i="11"/>
  <c r="CM39" i="11"/>
  <c r="CV37" i="11"/>
  <c r="CU37" i="11"/>
  <c r="CT37" i="11"/>
  <c r="CS37" i="11"/>
  <c r="CR37" i="11"/>
  <c r="CQ37" i="11"/>
  <c r="CP37" i="11"/>
  <c r="CO37" i="11"/>
  <c r="CN37" i="11"/>
  <c r="CM37" i="11"/>
  <c r="CV36" i="11"/>
  <c r="CU36" i="11"/>
  <c r="CT36" i="11"/>
  <c r="CS36" i="11"/>
  <c r="CR36" i="11"/>
  <c r="CQ36" i="11"/>
  <c r="CP36" i="11"/>
  <c r="CO36" i="11"/>
  <c r="CN36" i="11"/>
  <c r="CM36" i="11"/>
  <c r="CV35" i="11"/>
  <c r="CU35" i="11"/>
  <c r="CT35" i="11"/>
  <c r="CS35" i="11"/>
  <c r="CR35" i="11"/>
  <c r="CQ35" i="11"/>
  <c r="CP35" i="11"/>
  <c r="CO35" i="11"/>
  <c r="CN35" i="11"/>
  <c r="CM35" i="11"/>
  <c r="CV31" i="11"/>
  <c r="CU31" i="11"/>
  <c r="CT31" i="11"/>
  <c r="CS31" i="11"/>
  <c r="CR31" i="11"/>
  <c r="CQ31" i="11"/>
  <c r="CP31" i="11"/>
  <c r="CO31" i="11"/>
  <c r="CN31" i="11"/>
  <c r="CM31" i="11"/>
  <c r="CV30" i="11"/>
  <c r="CU30" i="11"/>
  <c r="CT30" i="11"/>
  <c r="CS30" i="11"/>
  <c r="CR30" i="11"/>
  <c r="CQ30" i="11"/>
  <c r="CP30" i="11"/>
  <c r="CO30" i="11"/>
  <c r="CN30" i="11"/>
  <c r="CM30" i="11"/>
  <c r="CV25" i="11"/>
  <c r="CV24" i="11" s="1"/>
  <c r="CU25" i="11"/>
  <c r="CU24" i="11" s="1"/>
  <c r="CT25" i="11"/>
  <c r="CT24" i="11" s="1"/>
  <c r="CS25" i="11"/>
  <c r="CS24" i="11" s="1"/>
  <c r="CR25" i="11"/>
  <c r="CR24" i="11" s="1"/>
  <c r="CQ25" i="11"/>
  <c r="CQ24" i="11" s="1"/>
  <c r="CP25" i="11"/>
  <c r="CP24" i="11" s="1"/>
  <c r="CO25" i="11"/>
  <c r="CO24" i="11" s="1"/>
  <c r="CN25" i="11"/>
  <c r="CN24" i="11" s="1"/>
  <c r="CM25" i="11"/>
  <c r="CM24" i="11" s="1"/>
  <c r="CV23" i="11"/>
  <c r="CU23" i="11"/>
  <c r="CT23" i="11"/>
  <c r="CS23" i="11"/>
  <c r="CR23" i="11"/>
  <c r="CQ23" i="11"/>
  <c r="CP23" i="11"/>
  <c r="CO23" i="11"/>
  <c r="CN23" i="11"/>
  <c r="CM23" i="11"/>
  <c r="CV22" i="11"/>
  <c r="CU22" i="11"/>
  <c r="CT22" i="11"/>
  <c r="CS22" i="11"/>
  <c r="CR22" i="11"/>
  <c r="CQ22" i="11"/>
  <c r="CP22" i="11"/>
  <c r="CO22" i="11"/>
  <c r="CN22" i="11"/>
  <c r="CM22" i="11"/>
  <c r="CV21" i="11"/>
  <c r="CU21" i="11"/>
  <c r="CT21" i="11"/>
  <c r="CS21" i="11"/>
  <c r="CR21" i="11"/>
  <c r="CQ21" i="11"/>
  <c r="CP21" i="11"/>
  <c r="CO21" i="11"/>
  <c r="CN21" i="11"/>
  <c r="CM21" i="11"/>
  <c r="CV20" i="11"/>
  <c r="CU20" i="11"/>
  <c r="CT20" i="11"/>
  <c r="CS20" i="11"/>
  <c r="CR20" i="11"/>
  <c r="CQ20" i="11"/>
  <c r="CP20" i="11"/>
  <c r="CO20" i="11"/>
  <c r="CN20" i="11"/>
  <c r="CM20" i="11"/>
  <c r="CV14" i="11"/>
  <c r="CU14" i="11"/>
  <c r="CT14" i="11"/>
  <c r="CS14" i="11"/>
  <c r="CR14" i="11"/>
  <c r="CQ14" i="11"/>
  <c r="CP14" i="11"/>
  <c r="CO14" i="11"/>
  <c r="CN14" i="11"/>
  <c r="CM14" i="11"/>
  <c r="CV7" i="11"/>
  <c r="CV6" i="11" s="1"/>
  <c r="CU7" i="11"/>
  <c r="CU6" i="11" s="1"/>
  <c r="CT7" i="11"/>
  <c r="CT6" i="11" s="1"/>
  <c r="CS7" i="11"/>
  <c r="CS6" i="11" s="1"/>
  <c r="CR7" i="11"/>
  <c r="CR6" i="11" s="1"/>
  <c r="CQ7" i="11"/>
  <c r="CQ6" i="11" s="1"/>
  <c r="CP7" i="11"/>
  <c r="CP6" i="11" s="1"/>
  <c r="CO7" i="11"/>
  <c r="CO6" i="11" s="1"/>
  <c r="CN7" i="11"/>
  <c r="CN6" i="11" s="1"/>
  <c r="CM7" i="11"/>
  <c r="CM6" i="11" s="1"/>
  <c r="CV141" i="2"/>
  <c r="CU141" i="2"/>
  <c r="CT141" i="2"/>
  <c r="CS141" i="2"/>
  <c r="CR141" i="2"/>
  <c r="CQ141" i="2"/>
  <c r="CP141" i="2"/>
  <c r="CO141" i="2"/>
  <c r="CN141" i="2"/>
  <c r="CM141" i="2"/>
  <c r="CV140" i="2"/>
  <c r="CU140" i="2"/>
  <c r="CT140" i="2"/>
  <c r="CS140" i="2"/>
  <c r="CR140" i="2"/>
  <c r="CQ140" i="2"/>
  <c r="CP140" i="2"/>
  <c r="CO140" i="2"/>
  <c r="CN140" i="2"/>
  <c r="CM140" i="2"/>
  <c r="CV139" i="2"/>
  <c r="CU139" i="2"/>
  <c r="CT139" i="2"/>
  <c r="CS139" i="2"/>
  <c r="CR139" i="2"/>
  <c r="CQ139" i="2"/>
  <c r="CP139" i="2"/>
  <c r="CO139" i="2"/>
  <c r="CN139" i="2"/>
  <c r="CM139" i="2"/>
  <c r="CV137" i="2"/>
  <c r="CU137" i="2"/>
  <c r="CT137" i="2"/>
  <c r="CS137" i="2"/>
  <c r="CR137" i="2"/>
  <c r="CQ137" i="2"/>
  <c r="CP137" i="2"/>
  <c r="CO137" i="2"/>
  <c r="CN137" i="2"/>
  <c r="CM137" i="2"/>
  <c r="CV136" i="2"/>
  <c r="CU136" i="2"/>
  <c r="CT136" i="2"/>
  <c r="CS136" i="2"/>
  <c r="CR136" i="2"/>
  <c r="CQ136" i="2"/>
  <c r="CP136" i="2"/>
  <c r="CO136" i="2"/>
  <c r="CN136" i="2"/>
  <c r="CM136" i="2"/>
  <c r="CV135" i="2"/>
  <c r="CU135" i="2"/>
  <c r="CT135" i="2"/>
  <c r="CS135" i="2"/>
  <c r="CR135" i="2"/>
  <c r="CQ135" i="2"/>
  <c r="CP135" i="2"/>
  <c r="CO135" i="2"/>
  <c r="CN135" i="2"/>
  <c r="CM135" i="2"/>
  <c r="CV133" i="2"/>
  <c r="CU133" i="2"/>
  <c r="CT133" i="2"/>
  <c r="CS133" i="2"/>
  <c r="CR133" i="2"/>
  <c r="CQ133" i="2"/>
  <c r="CP133" i="2"/>
  <c r="CO133" i="2"/>
  <c r="CN133" i="2"/>
  <c r="CM133" i="2"/>
  <c r="CV132" i="2"/>
  <c r="CU132" i="2"/>
  <c r="CT132" i="2"/>
  <c r="CS132" i="2"/>
  <c r="CR132" i="2"/>
  <c r="CQ132" i="2"/>
  <c r="CP132" i="2"/>
  <c r="CO132" i="2"/>
  <c r="CN132" i="2"/>
  <c r="CM132" i="2"/>
  <c r="CV131" i="2"/>
  <c r="CU131" i="2"/>
  <c r="CT131" i="2"/>
  <c r="CS131" i="2"/>
  <c r="CR131" i="2"/>
  <c r="CQ131" i="2"/>
  <c r="CP131" i="2"/>
  <c r="CO131" i="2"/>
  <c r="CN131" i="2"/>
  <c r="CM131" i="2"/>
  <c r="CV129" i="2"/>
  <c r="CU129" i="2"/>
  <c r="CT129" i="2"/>
  <c r="CS129" i="2"/>
  <c r="CR129" i="2"/>
  <c r="CQ129" i="2"/>
  <c r="CP129" i="2"/>
  <c r="CO129" i="2"/>
  <c r="CN129" i="2"/>
  <c r="CM129" i="2"/>
  <c r="CV128" i="2"/>
  <c r="CU128" i="2"/>
  <c r="CT128" i="2"/>
  <c r="CS128" i="2"/>
  <c r="CR128" i="2"/>
  <c r="CQ128" i="2"/>
  <c r="CP128" i="2"/>
  <c r="CO128" i="2"/>
  <c r="CN128" i="2"/>
  <c r="CM128" i="2"/>
  <c r="CV127" i="2"/>
  <c r="CU127" i="2"/>
  <c r="CT127" i="2"/>
  <c r="CS127" i="2"/>
  <c r="CR127" i="2"/>
  <c r="CQ127" i="2"/>
  <c r="CP127" i="2"/>
  <c r="CO127" i="2"/>
  <c r="CN127" i="2"/>
  <c r="CM127" i="2"/>
  <c r="CV126" i="2"/>
  <c r="CU126" i="2"/>
  <c r="CT126" i="2"/>
  <c r="CS126" i="2"/>
  <c r="CR126" i="2"/>
  <c r="CQ126" i="2"/>
  <c r="CP126" i="2"/>
  <c r="CO126" i="2"/>
  <c r="CN126" i="2"/>
  <c r="CM126" i="2"/>
  <c r="CV125" i="2"/>
  <c r="CU125" i="2"/>
  <c r="CT125" i="2"/>
  <c r="CS125" i="2"/>
  <c r="CR125" i="2"/>
  <c r="CQ125" i="2"/>
  <c r="CP125" i="2"/>
  <c r="CO125" i="2"/>
  <c r="CN125" i="2"/>
  <c r="CM125" i="2"/>
  <c r="CV124" i="2"/>
  <c r="CU124" i="2"/>
  <c r="CT124" i="2"/>
  <c r="CS124" i="2"/>
  <c r="CR124" i="2"/>
  <c r="CQ124" i="2"/>
  <c r="CP124" i="2"/>
  <c r="CO124" i="2"/>
  <c r="CN124" i="2"/>
  <c r="CM124" i="2"/>
  <c r="CV122" i="2"/>
  <c r="CU122" i="2"/>
  <c r="CT122" i="2"/>
  <c r="CS122" i="2"/>
  <c r="CR122" i="2"/>
  <c r="CQ122" i="2"/>
  <c r="CP122" i="2"/>
  <c r="CO122" i="2"/>
  <c r="CN122" i="2"/>
  <c r="CM122" i="2"/>
  <c r="CV121" i="2"/>
  <c r="CU121" i="2"/>
  <c r="CT121" i="2"/>
  <c r="CS121" i="2"/>
  <c r="CR121" i="2"/>
  <c r="CQ121" i="2"/>
  <c r="CP121" i="2"/>
  <c r="CO121" i="2"/>
  <c r="CN121" i="2"/>
  <c r="CM121" i="2"/>
  <c r="CV120" i="2"/>
  <c r="CU120" i="2"/>
  <c r="CT120" i="2"/>
  <c r="CS120" i="2"/>
  <c r="CR120" i="2"/>
  <c r="CQ120" i="2"/>
  <c r="CP120" i="2"/>
  <c r="CO120" i="2"/>
  <c r="CN120" i="2"/>
  <c r="CM120" i="2"/>
  <c r="CV118" i="2"/>
  <c r="CU118" i="2"/>
  <c r="CT118" i="2"/>
  <c r="CS118" i="2"/>
  <c r="CR118" i="2"/>
  <c r="CQ118" i="2"/>
  <c r="CP118" i="2"/>
  <c r="CO118" i="2"/>
  <c r="CN118" i="2"/>
  <c r="CM118" i="2"/>
  <c r="CV117" i="2"/>
  <c r="CU117" i="2"/>
  <c r="CT117" i="2"/>
  <c r="CS117" i="2"/>
  <c r="CR117" i="2"/>
  <c r="CQ117" i="2"/>
  <c r="CP117" i="2"/>
  <c r="CO117" i="2"/>
  <c r="CN117" i="2"/>
  <c r="CM117" i="2"/>
  <c r="CV116" i="2"/>
  <c r="CU116" i="2"/>
  <c r="CT116" i="2"/>
  <c r="CS116" i="2"/>
  <c r="CR116" i="2"/>
  <c r="CQ116" i="2"/>
  <c r="CP116" i="2"/>
  <c r="CO116" i="2"/>
  <c r="CN116" i="2"/>
  <c r="CM116" i="2"/>
  <c r="CV114" i="2"/>
  <c r="CU114" i="2"/>
  <c r="CT114" i="2"/>
  <c r="CS114" i="2"/>
  <c r="CR114" i="2"/>
  <c r="CQ114" i="2"/>
  <c r="CP114" i="2"/>
  <c r="CO114" i="2"/>
  <c r="CN114" i="2"/>
  <c r="CM114" i="2"/>
  <c r="CV113" i="2"/>
  <c r="CU113" i="2"/>
  <c r="CT113" i="2"/>
  <c r="CS113" i="2"/>
  <c r="CR113" i="2"/>
  <c r="CQ113" i="2"/>
  <c r="CP113" i="2"/>
  <c r="CO113" i="2"/>
  <c r="CN113" i="2"/>
  <c r="CM113" i="2"/>
  <c r="CV111" i="2"/>
  <c r="CU111" i="2"/>
  <c r="CT111" i="2"/>
  <c r="CS111" i="2"/>
  <c r="CR111" i="2"/>
  <c r="CQ111" i="2"/>
  <c r="CP111" i="2"/>
  <c r="CO111" i="2"/>
  <c r="CN111" i="2"/>
  <c r="CM111" i="2"/>
  <c r="CV110" i="2"/>
  <c r="CU110" i="2"/>
  <c r="CT110" i="2"/>
  <c r="CS110" i="2"/>
  <c r="CR110" i="2"/>
  <c r="CQ110" i="2"/>
  <c r="CP110" i="2"/>
  <c r="CO110" i="2"/>
  <c r="CN110" i="2"/>
  <c r="CM110" i="2"/>
  <c r="CV108" i="2"/>
  <c r="CU108" i="2"/>
  <c r="CT108" i="2"/>
  <c r="CS108" i="2"/>
  <c r="CR108" i="2"/>
  <c r="CQ108" i="2"/>
  <c r="CP108" i="2"/>
  <c r="CO108" i="2"/>
  <c r="CN108" i="2"/>
  <c r="CM108" i="2"/>
  <c r="CV107" i="2"/>
  <c r="CU107" i="2"/>
  <c r="CT107" i="2"/>
  <c r="CS107" i="2"/>
  <c r="CR107" i="2"/>
  <c r="CQ107" i="2"/>
  <c r="CP107" i="2"/>
  <c r="CO107" i="2"/>
  <c r="CN107" i="2"/>
  <c r="CM107" i="2"/>
  <c r="CV105" i="2"/>
  <c r="CV104" i="2" s="1"/>
  <c r="CU105" i="2"/>
  <c r="CU104" i="2" s="1"/>
  <c r="CT105" i="2"/>
  <c r="CT104" i="2" s="1"/>
  <c r="CS105" i="2"/>
  <c r="CS104" i="2" s="1"/>
  <c r="CR105" i="2"/>
  <c r="CR104" i="2" s="1"/>
  <c r="CQ105" i="2"/>
  <c r="CQ104" i="2" s="1"/>
  <c r="CP105" i="2"/>
  <c r="CP104" i="2" s="1"/>
  <c r="CO105" i="2"/>
  <c r="CO104" i="2" s="1"/>
  <c r="CN105" i="2"/>
  <c r="CN104" i="2" s="1"/>
  <c r="CM105" i="2"/>
  <c r="CM104" i="2" s="1"/>
  <c r="CV103" i="2"/>
  <c r="CU103" i="2"/>
  <c r="CT103" i="2"/>
  <c r="CS103" i="2"/>
  <c r="CR103" i="2"/>
  <c r="CQ103" i="2"/>
  <c r="CP103" i="2"/>
  <c r="CO103" i="2"/>
  <c r="CN103" i="2"/>
  <c r="CM103" i="2"/>
  <c r="CV102" i="2"/>
  <c r="CU102" i="2"/>
  <c r="CT102" i="2"/>
  <c r="CS102" i="2"/>
  <c r="CR102" i="2"/>
  <c r="CQ102" i="2"/>
  <c r="CP102" i="2"/>
  <c r="CO102" i="2"/>
  <c r="CN102" i="2"/>
  <c r="CM102" i="2"/>
  <c r="CV97" i="2"/>
  <c r="CU97" i="2"/>
  <c r="CT97" i="2"/>
  <c r="CS97" i="2"/>
  <c r="CR97" i="2"/>
  <c r="CQ97" i="2"/>
  <c r="CP97" i="2"/>
  <c r="CO97" i="2"/>
  <c r="CN97" i="2"/>
  <c r="CM97" i="2"/>
  <c r="CV96" i="2"/>
  <c r="CU96" i="2"/>
  <c r="CT96" i="2"/>
  <c r="CS96" i="2"/>
  <c r="CR96" i="2"/>
  <c r="CQ96" i="2"/>
  <c r="CP96" i="2"/>
  <c r="CO96" i="2"/>
  <c r="CN96" i="2"/>
  <c r="CM96" i="2"/>
  <c r="CV94" i="2"/>
  <c r="CU94" i="2"/>
  <c r="CT94" i="2"/>
  <c r="CS94" i="2"/>
  <c r="CR94" i="2"/>
  <c r="CQ94" i="2"/>
  <c r="CP94" i="2"/>
  <c r="CO94" i="2"/>
  <c r="CN94" i="2"/>
  <c r="CM94" i="2"/>
  <c r="CV93" i="2"/>
  <c r="CU93" i="2"/>
  <c r="CT93" i="2"/>
  <c r="CS93" i="2"/>
  <c r="CR93" i="2"/>
  <c r="CQ93" i="2"/>
  <c r="CP93" i="2"/>
  <c r="CO93" i="2"/>
  <c r="CN93" i="2"/>
  <c r="CM93" i="2"/>
  <c r="CV90" i="2"/>
  <c r="CU90" i="2"/>
  <c r="CT90" i="2"/>
  <c r="CS90" i="2"/>
  <c r="CR90" i="2"/>
  <c r="CQ90" i="2"/>
  <c r="CP90" i="2"/>
  <c r="CO90" i="2"/>
  <c r="CN90" i="2"/>
  <c r="CM90" i="2"/>
  <c r="CV87" i="2"/>
  <c r="CU87" i="2"/>
  <c r="CT87" i="2"/>
  <c r="CS87" i="2"/>
  <c r="CR87" i="2"/>
  <c r="CQ87" i="2"/>
  <c r="CP87" i="2"/>
  <c r="CO87" i="2"/>
  <c r="CN87" i="2"/>
  <c r="CM87" i="2"/>
  <c r="CV83" i="2"/>
  <c r="CV80" i="2" s="1"/>
  <c r="CU83" i="2"/>
  <c r="CU80" i="2" s="1"/>
  <c r="CT83" i="2"/>
  <c r="CS83" i="2"/>
  <c r="CR83" i="2"/>
  <c r="CR80" i="2" s="1"/>
  <c r="CQ83" i="2"/>
  <c r="CQ80" i="2" s="1"/>
  <c r="CP83" i="2"/>
  <c r="CP80" i="2" s="1"/>
  <c r="CO83" i="2"/>
  <c r="CO80" i="2" s="1"/>
  <c r="CN83" i="2"/>
  <c r="CN80" i="2" s="1"/>
  <c r="CM83" i="2"/>
  <c r="CM80" i="2" s="1"/>
  <c r="CT80" i="2"/>
  <c r="CS80" i="2"/>
  <c r="CV78" i="2"/>
  <c r="CU78" i="2"/>
  <c r="CT78" i="2"/>
  <c r="CS78" i="2"/>
  <c r="CR78" i="2"/>
  <c r="CQ78" i="2"/>
  <c r="CP78" i="2"/>
  <c r="CO78" i="2"/>
  <c r="CN78" i="2"/>
  <c r="CM78" i="2"/>
  <c r="CV77" i="2"/>
  <c r="CU77" i="2"/>
  <c r="CT77" i="2"/>
  <c r="CS77" i="2"/>
  <c r="CR77" i="2"/>
  <c r="CQ77" i="2"/>
  <c r="CP77" i="2"/>
  <c r="CO77" i="2"/>
  <c r="CN77" i="2"/>
  <c r="CM77" i="2"/>
  <c r="CV76" i="2"/>
  <c r="CU76" i="2"/>
  <c r="CT76" i="2"/>
  <c r="CS76" i="2"/>
  <c r="CR76" i="2"/>
  <c r="CQ76" i="2"/>
  <c r="CP76" i="2"/>
  <c r="CO76" i="2"/>
  <c r="CN76" i="2"/>
  <c r="CM76" i="2"/>
  <c r="CV74" i="2"/>
  <c r="CV73" i="2" s="1"/>
  <c r="CU74" i="2"/>
  <c r="CU73" i="2" s="1"/>
  <c r="CT74" i="2"/>
  <c r="CT73" i="2" s="1"/>
  <c r="CS74" i="2"/>
  <c r="CS73" i="2" s="1"/>
  <c r="CR74" i="2"/>
  <c r="CR73" i="2" s="1"/>
  <c r="CQ74" i="2"/>
  <c r="CQ73" i="2" s="1"/>
  <c r="CP74" i="2"/>
  <c r="CP73" i="2" s="1"/>
  <c r="CO74" i="2"/>
  <c r="CO73" i="2" s="1"/>
  <c r="CN74" i="2"/>
  <c r="CN73" i="2" s="1"/>
  <c r="CM74" i="2"/>
  <c r="CM73" i="2" s="1"/>
  <c r="CV71" i="2"/>
  <c r="CU71" i="2"/>
  <c r="CT71" i="2"/>
  <c r="CS71" i="2"/>
  <c r="CR71" i="2"/>
  <c r="CQ71" i="2"/>
  <c r="CP71" i="2"/>
  <c r="CO71" i="2"/>
  <c r="CN71" i="2"/>
  <c r="CM71" i="2"/>
  <c r="CV70" i="2"/>
  <c r="CU70" i="2"/>
  <c r="CT70" i="2"/>
  <c r="CS70" i="2"/>
  <c r="CR70" i="2"/>
  <c r="CQ70" i="2"/>
  <c r="CP70" i="2"/>
  <c r="CO70" i="2"/>
  <c r="CN70" i="2"/>
  <c r="CM70" i="2"/>
  <c r="CV69" i="2"/>
  <c r="CU69" i="2"/>
  <c r="CT69" i="2"/>
  <c r="CS69" i="2"/>
  <c r="CR69" i="2"/>
  <c r="CQ69" i="2"/>
  <c r="CP69" i="2"/>
  <c r="CO69" i="2"/>
  <c r="CN69" i="2"/>
  <c r="CM69" i="2"/>
  <c r="CV68" i="2"/>
  <c r="CU68" i="2"/>
  <c r="CT68" i="2"/>
  <c r="CS68" i="2"/>
  <c r="CR68" i="2"/>
  <c r="CQ68" i="2"/>
  <c r="CP68" i="2"/>
  <c r="CO68" i="2"/>
  <c r="CN68" i="2"/>
  <c r="CM68" i="2"/>
  <c r="CV67" i="2"/>
  <c r="CU67" i="2"/>
  <c r="CT67" i="2"/>
  <c r="CS67" i="2"/>
  <c r="CR67" i="2"/>
  <c r="CQ67" i="2"/>
  <c r="CP67" i="2"/>
  <c r="CO67" i="2"/>
  <c r="CN67" i="2"/>
  <c r="CM67" i="2"/>
  <c r="CV64" i="2"/>
  <c r="CU64" i="2"/>
  <c r="CT64" i="2"/>
  <c r="CS64" i="2"/>
  <c r="CR64" i="2"/>
  <c r="CQ64" i="2"/>
  <c r="CP64" i="2"/>
  <c r="CO64" i="2"/>
  <c r="CN64" i="2"/>
  <c r="CM64" i="2"/>
  <c r="CV63" i="2"/>
  <c r="CU63" i="2"/>
  <c r="CT63" i="2"/>
  <c r="CS63" i="2"/>
  <c r="CR63" i="2"/>
  <c r="CQ63" i="2"/>
  <c r="CP63" i="2"/>
  <c r="CO63" i="2"/>
  <c r="CN63" i="2"/>
  <c r="CM63" i="2"/>
  <c r="CV62" i="2"/>
  <c r="CU62" i="2"/>
  <c r="CT62" i="2"/>
  <c r="CS62" i="2"/>
  <c r="CR62" i="2"/>
  <c r="CQ62" i="2"/>
  <c r="CP62" i="2"/>
  <c r="CO62" i="2"/>
  <c r="CN62" i="2"/>
  <c r="CM62" i="2"/>
  <c r="CV61" i="2"/>
  <c r="CU61" i="2"/>
  <c r="CT61" i="2"/>
  <c r="CS61" i="2"/>
  <c r="CR61" i="2"/>
  <c r="CQ61" i="2"/>
  <c r="CP61" i="2"/>
  <c r="CO61" i="2"/>
  <c r="CN61" i="2"/>
  <c r="CM61" i="2"/>
  <c r="CV60" i="2"/>
  <c r="CU60" i="2"/>
  <c r="CT60" i="2"/>
  <c r="CS60" i="2"/>
  <c r="CR60" i="2"/>
  <c r="CQ60" i="2"/>
  <c r="CP60" i="2"/>
  <c r="CO60" i="2"/>
  <c r="CN60" i="2"/>
  <c r="CM60" i="2"/>
  <c r="CV49" i="2"/>
  <c r="CU49" i="2"/>
  <c r="CT49" i="2"/>
  <c r="CS49" i="2"/>
  <c r="CR49" i="2"/>
  <c r="CQ49" i="2"/>
  <c r="CP49" i="2"/>
  <c r="CO49" i="2"/>
  <c r="CN49" i="2"/>
  <c r="CM49" i="2"/>
  <c r="CV48" i="2"/>
  <c r="CU48" i="2"/>
  <c r="CT48" i="2"/>
  <c r="CS48" i="2"/>
  <c r="CR48" i="2"/>
  <c r="CQ48" i="2"/>
  <c r="CP48" i="2"/>
  <c r="CO48" i="2"/>
  <c r="CN48" i="2"/>
  <c r="CM48" i="2"/>
  <c r="CV47" i="2"/>
  <c r="CU47" i="2"/>
  <c r="CT47" i="2"/>
  <c r="CS47" i="2"/>
  <c r="CR47" i="2"/>
  <c r="CQ47" i="2"/>
  <c r="CP47" i="2"/>
  <c r="CO47" i="2"/>
  <c r="CN47" i="2"/>
  <c r="CM47" i="2"/>
  <c r="CV46" i="2"/>
  <c r="CU46" i="2"/>
  <c r="CT46" i="2"/>
  <c r="CS46" i="2"/>
  <c r="CR46" i="2"/>
  <c r="CQ46" i="2"/>
  <c r="CP46" i="2"/>
  <c r="CO46" i="2"/>
  <c r="CN46" i="2"/>
  <c r="CM46" i="2"/>
  <c r="CV43" i="2"/>
  <c r="CV42" i="2" s="1"/>
  <c r="CU43" i="2"/>
  <c r="CU42" i="2" s="1"/>
  <c r="CT43" i="2"/>
  <c r="CT42" i="2" s="1"/>
  <c r="CS43" i="2"/>
  <c r="CS42" i="2" s="1"/>
  <c r="CR43" i="2"/>
  <c r="CR42" i="2" s="1"/>
  <c r="CQ43" i="2"/>
  <c r="CQ42" i="2" s="1"/>
  <c r="CP43" i="2"/>
  <c r="CP42" i="2" s="1"/>
  <c r="CO43" i="2"/>
  <c r="CO42" i="2" s="1"/>
  <c r="CN43" i="2"/>
  <c r="CN42" i="2" s="1"/>
  <c r="CM43" i="2"/>
  <c r="CM42" i="2" s="1"/>
  <c r="CV41" i="2"/>
  <c r="CU41" i="2"/>
  <c r="CT41" i="2"/>
  <c r="CS41" i="2"/>
  <c r="CR41" i="2"/>
  <c r="CQ41" i="2"/>
  <c r="CP41" i="2"/>
  <c r="CO41" i="2"/>
  <c r="CN41" i="2"/>
  <c r="CM41" i="2"/>
  <c r="CV40" i="2"/>
  <c r="CU40" i="2"/>
  <c r="CT40" i="2"/>
  <c r="CS40" i="2"/>
  <c r="CR40" i="2"/>
  <c r="CQ40" i="2"/>
  <c r="CP40" i="2"/>
  <c r="CO40" i="2"/>
  <c r="CN40" i="2"/>
  <c r="CM40" i="2"/>
  <c r="CV38" i="2"/>
  <c r="CU38" i="2"/>
  <c r="CT38" i="2"/>
  <c r="CS38" i="2"/>
  <c r="CR38" i="2"/>
  <c r="CQ38" i="2"/>
  <c r="CP38" i="2"/>
  <c r="CO38" i="2"/>
  <c r="CN38" i="2"/>
  <c r="CM38" i="2"/>
  <c r="CV37" i="2"/>
  <c r="CU37" i="2"/>
  <c r="CT37" i="2"/>
  <c r="CS37" i="2"/>
  <c r="CR37" i="2"/>
  <c r="CQ37" i="2"/>
  <c r="CP37" i="2"/>
  <c r="CO37" i="2"/>
  <c r="CN37" i="2"/>
  <c r="CM37" i="2"/>
  <c r="CV36" i="2"/>
  <c r="CU36" i="2"/>
  <c r="CT36" i="2"/>
  <c r="CS36" i="2"/>
  <c r="CR36" i="2"/>
  <c r="CQ36" i="2"/>
  <c r="CP36" i="2"/>
  <c r="CO36" i="2"/>
  <c r="CN36" i="2"/>
  <c r="CM36" i="2"/>
  <c r="CV32" i="2"/>
  <c r="CU32" i="2"/>
  <c r="CT32" i="2"/>
  <c r="CS32" i="2"/>
  <c r="CR32" i="2"/>
  <c r="CQ32" i="2"/>
  <c r="CP32" i="2"/>
  <c r="CO32" i="2"/>
  <c r="CN32" i="2"/>
  <c r="CM32" i="2"/>
  <c r="CV31" i="2"/>
  <c r="CU31" i="2"/>
  <c r="CT31" i="2"/>
  <c r="CS31" i="2"/>
  <c r="CR31" i="2"/>
  <c r="CQ31" i="2"/>
  <c r="CP31" i="2"/>
  <c r="CO31" i="2"/>
  <c r="CN31" i="2"/>
  <c r="CM31" i="2"/>
  <c r="CV26" i="2"/>
  <c r="CV25" i="2" s="1"/>
  <c r="CU26" i="2"/>
  <c r="CU25" i="2" s="1"/>
  <c r="CT26" i="2"/>
  <c r="CT25" i="2" s="1"/>
  <c r="CS26" i="2"/>
  <c r="CS25" i="2" s="1"/>
  <c r="CR26" i="2"/>
  <c r="CR25" i="2" s="1"/>
  <c r="CQ26" i="2"/>
  <c r="CQ25" i="2" s="1"/>
  <c r="CP26" i="2"/>
  <c r="CP25" i="2" s="1"/>
  <c r="CO26" i="2"/>
  <c r="CO25" i="2" s="1"/>
  <c r="CN26" i="2"/>
  <c r="CN25" i="2" s="1"/>
  <c r="CM26" i="2"/>
  <c r="CM25" i="2" s="1"/>
  <c r="CV24" i="2"/>
  <c r="CU24" i="2"/>
  <c r="CT24" i="2"/>
  <c r="CS24" i="2"/>
  <c r="CR24" i="2"/>
  <c r="CQ24" i="2"/>
  <c r="CP24" i="2"/>
  <c r="CO24" i="2"/>
  <c r="CN24" i="2"/>
  <c r="CM24" i="2"/>
  <c r="CV23" i="2"/>
  <c r="CU23" i="2"/>
  <c r="CT23" i="2"/>
  <c r="CS23" i="2"/>
  <c r="CR23" i="2"/>
  <c r="CQ23" i="2"/>
  <c r="CP23" i="2"/>
  <c r="CO23" i="2"/>
  <c r="CN23" i="2"/>
  <c r="CM23" i="2"/>
  <c r="CU22" i="2"/>
  <c r="CT22" i="2"/>
  <c r="CS22" i="2"/>
  <c r="CR22" i="2"/>
  <c r="CQ22" i="2"/>
  <c r="CP22" i="2"/>
  <c r="CO22" i="2"/>
  <c r="CN22" i="2"/>
  <c r="CM22" i="2"/>
  <c r="CV21" i="2"/>
  <c r="CU21" i="2"/>
  <c r="CT21" i="2"/>
  <c r="CS21" i="2"/>
  <c r="CR21" i="2"/>
  <c r="CQ21" i="2"/>
  <c r="CP21" i="2"/>
  <c r="CO21" i="2"/>
  <c r="CN21" i="2"/>
  <c r="CM21" i="2"/>
  <c r="CV15" i="2"/>
  <c r="CU15" i="2"/>
  <c r="CT15" i="2"/>
  <c r="CS15" i="2"/>
  <c r="CR15" i="2"/>
  <c r="CQ15" i="2"/>
  <c r="CP15" i="2"/>
  <c r="CO15" i="2"/>
  <c r="CN15" i="2"/>
  <c r="CM15" i="2"/>
  <c r="CV8" i="2"/>
  <c r="CV7" i="2" s="1"/>
  <c r="CU8" i="2"/>
  <c r="CU7" i="2" s="1"/>
  <c r="CT8" i="2"/>
  <c r="CT7" i="2" s="1"/>
  <c r="CS8" i="2"/>
  <c r="CS7" i="2" s="1"/>
  <c r="CR8" i="2"/>
  <c r="CR7" i="2" s="1"/>
  <c r="CQ8" i="2"/>
  <c r="CQ7" i="2" s="1"/>
  <c r="CP8" i="2"/>
  <c r="CP7" i="2" s="1"/>
  <c r="CO8" i="2"/>
  <c r="CO7" i="2" s="1"/>
  <c r="CN8" i="2"/>
  <c r="CN7" i="2" s="1"/>
  <c r="CM8" i="2"/>
  <c r="CM7" i="2" s="1"/>
  <c r="O16" i="12" l="1"/>
  <c r="E63" i="12" s="1"/>
  <c r="DH5" i="14"/>
  <c r="DH143" i="14" s="1"/>
  <c r="DC5" i="14"/>
  <c r="DF5" i="14"/>
  <c r="DF143" i="14" s="1"/>
  <c r="DE5" i="14"/>
  <c r="DD5" i="14"/>
  <c r="DG5" i="14"/>
  <c r="DB5" i="14"/>
  <c r="DB143" i="14" s="1"/>
  <c r="DA5" i="14"/>
  <c r="CV17" i="11"/>
  <c r="CT74" i="11"/>
  <c r="CW105" i="11"/>
  <c r="CN26" i="11"/>
  <c r="CR26" i="11"/>
  <c r="CV26" i="11"/>
  <c r="CP26" i="11"/>
  <c r="CN34" i="11"/>
  <c r="CU58" i="11"/>
  <c r="CM129" i="11"/>
  <c r="CQ129" i="11"/>
  <c r="CU129" i="11"/>
  <c r="CO138" i="2"/>
  <c r="CM99" i="2"/>
  <c r="CQ99" i="2"/>
  <c r="CU99" i="2"/>
  <c r="CQ119" i="2"/>
  <c r="CU119" i="2"/>
  <c r="DE79" i="2"/>
  <c r="DB79" i="2"/>
  <c r="CX79" i="2"/>
  <c r="CZ79" i="2"/>
  <c r="DD79" i="2"/>
  <c r="CX14" i="2"/>
  <c r="DC14" i="2"/>
  <c r="I156" i="2" s="1"/>
  <c r="J156" i="2" s="1"/>
  <c r="DA14" i="2"/>
  <c r="DD14" i="2"/>
  <c r="DC79" i="2"/>
  <c r="I176" i="2" s="1"/>
  <c r="J176" i="2" s="1"/>
  <c r="DA79" i="2"/>
  <c r="CZ14" i="2"/>
  <c r="CY79" i="2"/>
  <c r="DB14" i="2"/>
  <c r="CY78" i="11"/>
  <c r="CV38" i="11"/>
  <c r="CP74" i="11"/>
  <c r="CO111" i="11"/>
  <c r="CS111" i="11"/>
  <c r="CM111" i="11"/>
  <c r="CM118" i="11"/>
  <c r="CQ118" i="11"/>
  <c r="DB13" i="11"/>
  <c r="CX13" i="11"/>
  <c r="DD78" i="11"/>
  <c r="CT26" i="11"/>
  <c r="DA13" i="11"/>
  <c r="DE78" i="11"/>
  <c r="DA78" i="11"/>
  <c r="DC13" i="11"/>
  <c r="CM88" i="11"/>
  <c r="CQ88" i="11"/>
  <c r="CU88" i="11"/>
  <c r="CO88" i="11"/>
  <c r="CS88" i="11"/>
  <c r="CN111" i="11"/>
  <c r="CR111" i="11"/>
  <c r="CV111" i="11"/>
  <c r="CV129" i="11"/>
  <c r="CQ111" i="11"/>
  <c r="CT43" i="11"/>
  <c r="DB78" i="11"/>
  <c r="CZ13" i="11"/>
  <c r="CU34" i="11"/>
  <c r="CP129" i="11"/>
  <c r="CV133" i="11"/>
  <c r="CW137" i="11"/>
  <c r="CZ78" i="11"/>
  <c r="DD13" i="11"/>
  <c r="DD5" i="11" s="1"/>
  <c r="CY13" i="11"/>
  <c r="DC78" i="11"/>
  <c r="CX78" i="11"/>
  <c r="CM34" i="11"/>
  <c r="CN137" i="11"/>
  <c r="CP38" i="11"/>
  <c r="CT38" i="11"/>
  <c r="CM26" i="11"/>
  <c r="CQ26" i="11"/>
  <c r="CU26" i="11"/>
  <c r="CO26" i="11"/>
  <c r="CS26" i="11"/>
  <c r="CU38" i="11"/>
  <c r="CP43" i="11"/>
  <c r="DE14" i="2"/>
  <c r="CY14" i="2"/>
  <c r="CU109" i="2"/>
  <c r="CR119" i="2"/>
  <c r="CS59" i="2"/>
  <c r="CU89" i="2"/>
  <c r="CP134" i="2"/>
  <c r="CS130" i="2"/>
  <c r="CW44" i="2"/>
  <c r="CW39" i="2"/>
  <c r="CV123" i="2"/>
  <c r="CN130" i="2"/>
  <c r="CT99" i="2"/>
  <c r="CN106" i="2"/>
  <c r="CM109" i="2"/>
  <c r="CS138" i="2"/>
  <c r="CW123" i="2"/>
  <c r="CR130" i="2"/>
  <c r="CV130" i="2"/>
  <c r="CP130" i="2"/>
  <c r="CW75" i="2"/>
  <c r="CV44" i="2"/>
  <c r="CT119" i="2"/>
  <c r="CS106" i="2"/>
  <c r="CV115" i="2"/>
  <c r="CP123" i="2"/>
  <c r="CT123" i="2"/>
  <c r="CR123" i="2"/>
  <c r="CM138" i="2"/>
  <c r="CQ138" i="2"/>
  <c r="CU138" i="2"/>
  <c r="CP99" i="2"/>
  <c r="CN99" i="2"/>
  <c r="CT106" i="2"/>
  <c r="CM115" i="2"/>
  <c r="CP119" i="2"/>
  <c r="CN134" i="2"/>
  <c r="CR134" i="2"/>
  <c r="CV134" i="2"/>
  <c r="CT134" i="2"/>
  <c r="CW138" i="2"/>
  <c r="CW99" i="2"/>
  <c r="CT18" i="2"/>
  <c r="CQ44" i="2"/>
  <c r="CU44" i="2"/>
  <c r="CV105" i="11"/>
  <c r="CU17" i="11"/>
  <c r="CM130" i="2"/>
  <c r="CQ130" i="2"/>
  <c r="CU130" i="2"/>
  <c r="CO130" i="2"/>
  <c r="CW119" i="2"/>
  <c r="CN119" i="2"/>
  <c r="CV119" i="2"/>
  <c r="CP115" i="2"/>
  <c r="CT115" i="2"/>
  <c r="CW115" i="2"/>
  <c r="CQ115" i="2"/>
  <c r="CU115" i="2"/>
  <c r="CR115" i="2"/>
  <c r="CT109" i="2"/>
  <c r="CN109" i="2"/>
  <c r="CW106" i="2"/>
  <c r="CP89" i="2"/>
  <c r="CO75" i="2"/>
  <c r="CS75" i="2"/>
  <c r="CU75" i="2"/>
  <c r="CR39" i="2"/>
  <c r="CV39" i="2"/>
  <c r="CP39" i="2"/>
  <c r="CR75" i="2"/>
  <c r="CV35" i="2"/>
  <c r="CO44" i="2"/>
  <c r="CS44" i="2"/>
  <c r="CM75" i="2"/>
  <c r="CQ75" i="2"/>
  <c r="CP44" i="2"/>
  <c r="CT44" i="2"/>
  <c r="CR44" i="2"/>
  <c r="CO59" i="2"/>
  <c r="CW59" i="2"/>
  <c r="CN59" i="2"/>
  <c r="CR59" i="2"/>
  <c r="CV59" i="2"/>
  <c r="CT59" i="2"/>
  <c r="CQ27" i="2"/>
  <c r="CU27" i="2"/>
  <c r="CV112" i="2"/>
  <c r="CO35" i="2"/>
  <c r="CN44" i="2"/>
  <c r="CN115" i="2"/>
  <c r="CN39" i="2"/>
  <c r="CN123" i="2"/>
  <c r="CN138" i="2"/>
  <c r="CM89" i="2"/>
  <c r="CM123" i="2"/>
  <c r="CN112" i="2"/>
  <c r="CO89" i="2"/>
  <c r="CS89" i="2"/>
  <c r="CQ89" i="2"/>
  <c r="CV89" i="2"/>
  <c r="CN89" i="2"/>
  <c r="CW89" i="2"/>
  <c r="CV18" i="2"/>
  <c r="CR18" i="2"/>
  <c r="CW112" i="2"/>
  <c r="CP35" i="2"/>
  <c r="CN27" i="2"/>
  <c r="CR27" i="2"/>
  <c r="CV27" i="2"/>
  <c r="CX78" i="14"/>
  <c r="CU78" i="14"/>
  <c r="CZ78" i="14"/>
  <c r="CU118" i="11"/>
  <c r="CW58" i="11"/>
  <c r="CV58" i="11"/>
  <c r="CM133" i="11"/>
  <c r="CQ133" i="11"/>
  <c r="CU133" i="11"/>
  <c r="CQ137" i="11"/>
  <c r="CN38" i="11"/>
  <c r="CR38" i="11"/>
  <c r="CO43" i="11"/>
  <c r="CM108" i="11"/>
  <c r="CQ108" i="11"/>
  <c r="CU108" i="11"/>
  <c r="CN129" i="11"/>
  <c r="CO17" i="11"/>
  <c r="CS17" i="11"/>
  <c r="CM17" i="11"/>
  <c r="CO58" i="11"/>
  <c r="CS58" i="11"/>
  <c r="CM58" i="11"/>
  <c r="CQ58" i="11"/>
  <c r="CO118" i="11"/>
  <c r="CO122" i="11"/>
  <c r="CS122" i="11"/>
  <c r="CW129" i="11"/>
  <c r="CO38" i="11"/>
  <c r="CS38" i="11"/>
  <c r="CM38" i="11"/>
  <c r="CQ38" i="11"/>
  <c r="CN58" i="11"/>
  <c r="CR58" i="11"/>
  <c r="CP105" i="11"/>
  <c r="CT105" i="11"/>
  <c r="CN105" i="11"/>
  <c r="CR105" i="11"/>
  <c r="CT118" i="11"/>
  <c r="CP133" i="11"/>
  <c r="CT133" i="11"/>
  <c r="CN133" i="11"/>
  <c r="CR133" i="11"/>
  <c r="CM137" i="11"/>
  <c r="CW133" i="11"/>
  <c r="CW38" i="11"/>
  <c r="CO108" i="11"/>
  <c r="CS108" i="11"/>
  <c r="CW43" i="11"/>
  <c r="CS114" i="11"/>
  <c r="CQ105" i="11"/>
  <c r="CS98" i="11"/>
  <c r="CP98" i="11"/>
  <c r="CT88" i="11"/>
  <c r="CM74" i="11"/>
  <c r="CQ74" i="11"/>
  <c r="CU74" i="11"/>
  <c r="CO74" i="11"/>
  <c r="CS74" i="11"/>
  <c r="CM43" i="11"/>
  <c r="CQ43" i="11"/>
  <c r="CU43" i="11"/>
  <c r="CS43" i="11"/>
  <c r="CV34" i="11"/>
  <c r="CQ17" i="11"/>
  <c r="CW17" i="11"/>
  <c r="CP17" i="11"/>
  <c r="CT17" i="11"/>
  <c r="CN17" i="11"/>
  <c r="CR17" i="11"/>
  <c r="CT35" i="2"/>
  <c r="CP112" i="2"/>
  <c r="CT112" i="2"/>
  <c r="CR112" i="2"/>
  <c r="CM112" i="2"/>
  <c r="CQ112" i="2"/>
  <c r="CU112" i="2"/>
  <c r="CN35" i="2"/>
  <c r="CW35" i="2"/>
  <c r="CM27" i="2"/>
  <c r="CW27" i="2"/>
  <c r="CP27" i="2"/>
  <c r="CN18" i="2"/>
  <c r="CP18" i="2"/>
  <c r="CP122" i="11"/>
  <c r="CP118" i="11"/>
  <c r="CP114" i="11"/>
  <c r="CU111" i="11"/>
  <c r="CW108" i="11"/>
  <c r="CT108" i="11"/>
  <c r="CW88" i="11"/>
  <c r="CP88" i="11"/>
  <c r="CZ13" i="14"/>
  <c r="CZ5" i="14" s="1"/>
  <c r="CX13" i="14"/>
  <c r="CY13" i="14"/>
  <c r="CW13" i="14"/>
  <c r="CW78" i="14"/>
  <c r="CP13" i="14"/>
  <c r="CT13" i="14"/>
  <c r="CQ78" i="14"/>
  <c r="CQ13" i="14"/>
  <c r="CU13" i="14"/>
  <c r="CR13" i="14"/>
  <c r="CV13" i="14"/>
  <c r="CY78" i="14"/>
  <c r="CP34" i="11"/>
  <c r="CT34" i="11"/>
  <c r="CR34" i="11"/>
  <c r="CO98" i="11"/>
  <c r="CP108" i="11"/>
  <c r="CO114" i="11"/>
  <c r="CT129" i="11"/>
  <c r="CR129" i="11"/>
  <c r="CW122" i="11"/>
  <c r="CW26" i="11"/>
  <c r="CS118" i="11"/>
  <c r="CR137" i="11"/>
  <c r="CV137" i="11"/>
  <c r="CW114" i="11"/>
  <c r="CW111" i="11"/>
  <c r="CW98" i="11"/>
  <c r="CW74" i="11"/>
  <c r="CO34" i="11"/>
  <c r="CS34" i="11"/>
  <c r="CQ34" i="11"/>
  <c r="CN43" i="11"/>
  <c r="CR43" i="11"/>
  <c r="CV43" i="11"/>
  <c r="CN98" i="11"/>
  <c r="CR98" i="11"/>
  <c r="CV98" i="11"/>
  <c r="CT98" i="11"/>
  <c r="CM105" i="11"/>
  <c r="CU105" i="11"/>
  <c r="CN114" i="11"/>
  <c r="CR114" i="11"/>
  <c r="CV114" i="11"/>
  <c r="CT114" i="11"/>
  <c r="CN122" i="11"/>
  <c r="CR122" i="11"/>
  <c r="CV122" i="11"/>
  <c r="CT122" i="11"/>
  <c r="CW118" i="11"/>
  <c r="CW34" i="11"/>
  <c r="CR35" i="2"/>
  <c r="CW18" i="2"/>
  <c r="CQ18" i="2"/>
  <c r="CO18" i="2"/>
  <c r="CO27" i="2"/>
  <c r="CM35" i="2"/>
  <c r="CU35" i="2"/>
  <c r="CM39" i="2"/>
  <c r="CQ39" i="2"/>
  <c r="CS39" i="2"/>
  <c r="CP59" i="2"/>
  <c r="CT89" i="2"/>
  <c r="CR89" i="2"/>
  <c r="CR99" i="2"/>
  <c r="CV99" i="2"/>
  <c r="CM106" i="2"/>
  <c r="CQ106" i="2"/>
  <c r="CU106" i="2"/>
  <c r="CO106" i="2"/>
  <c r="CR109" i="2"/>
  <c r="CV109" i="2"/>
  <c r="CP109" i="2"/>
  <c r="CO119" i="2"/>
  <c r="CS119" i="2"/>
  <c r="CM119" i="2"/>
  <c r="CQ123" i="2"/>
  <c r="CU123" i="2"/>
  <c r="CO134" i="2"/>
  <c r="CS134" i="2"/>
  <c r="CR138" i="2"/>
  <c r="CV138" i="2"/>
  <c r="CP138" i="2"/>
  <c r="CT138" i="2"/>
  <c r="CW134" i="2"/>
  <c r="CM18" i="2"/>
  <c r="CU18" i="2"/>
  <c r="CS18" i="2"/>
  <c r="CS27" i="2"/>
  <c r="CQ35" i="2"/>
  <c r="CT39" i="2"/>
  <c r="CM44" i="2"/>
  <c r="CR106" i="2"/>
  <c r="CV106" i="2"/>
  <c r="CP106" i="2"/>
  <c r="CO109" i="2"/>
  <c r="CS109" i="2"/>
  <c r="CQ109" i="2"/>
  <c r="CO112" i="2"/>
  <c r="CT130" i="2"/>
  <c r="CW109" i="2"/>
  <c r="CW130" i="2"/>
  <c r="CT27" i="2"/>
  <c r="CO39" i="2"/>
  <c r="CS35" i="2"/>
  <c r="CM59" i="2"/>
  <c r="CQ59" i="2"/>
  <c r="CU59" i="2"/>
  <c r="CN75" i="2"/>
  <c r="CV75" i="2"/>
  <c r="CO99" i="2"/>
  <c r="CS99" i="2"/>
  <c r="CS112" i="2"/>
  <c r="CO115" i="2"/>
  <c r="CS115" i="2"/>
  <c r="CO123" i="2"/>
  <c r="CS123" i="2"/>
  <c r="CM134" i="2"/>
  <c r="CQ134" i="2"/>
  <c r="CU134" i="2"/>
  <c r="CP58" i="11"/>
  <c r="CT58" i="11"/>
  <c r="CN74" i="11"/>
  <c r="CR74" i="11"/>
  <c r="CV74" i="11"/>
  <c r="CN88" i="11"/>
  <c r="CR88" i="11"/>
  <c r="CV88" i="11"/>
  <c r="CN108" i="11"/>
  <c r="CR108" i="11"/>
  <c r="CV108" i="11"/>
  <c r="CP111" i="11"/>
  <c r="CT111" i="11"/>
  <c r="CN118" i="11"/>
  <c r="CR118" i="11"/>
  <c r="CV118" i="11"/>
  <c r="CO137" i="11"/>
  <c r="CS137" i="11"/>
  <c r="CU137" i="11"/>
  <c r="CM98" i="11"/>
  <c r="CQ98" i="11"/>
  <c r="CU98" i="11"/>
  <c r="CO105" i="11"/>
  <c r="CS105" i="11"/>
  <c r="CM114" i="11"/>
  <c r="CQ114" i="11"/>
  <c r="CU114" i="11"/>
  <c r="CM122" i="11"/>
  <c r="CQ122" i="11"/>
  <c r="CU122" i="11"/>
  <c r="CO129" i="11"/>
  <c r="CS129" i="11"/>
  <c r="CO133" i="11"/>
  <c r="CS133" i="11"/>
  <c r="CP137" i="11"/>
  <c r="CT137" i="11"/>
  <c r="CR78" i="14"/>
  <c r="CV78" i="14"/>
  <c r="CS78" i="14"/>
  <c r="CP78" i="14"/>
  <c r="CP5" i="14" s="1"/>
  <c r="CP143" i="14" s="1"/>
  <c r="CT78" i="14"/>
  <c r="CS13" i="14"/>
  <c r="CP75" i="2"/>
  <c r="CT75" i="2"/>
  <c r="CU39" i="2"/>
  <c r="CO137" i="14"/>
  <c r="CO133" i="14"/>
  <c r="CO129" i="14"/>
  <c r="CO122" i="14"/>
  <c r="CO118" i="14"/>
  <c r="CO114" i="14"/>
  <c r="CO111" i="14"/>
  <c r="CO108" i="14"/>
  <c r="CO105" i="14"/>
  <c r="CO103" i="14"/>
  <c r="CO98" i="14"/>
  <c r="CO88" i="14"/>
  <c r="CO86" i="14"/>
  <c r="CO79" i="14"/>
  <c r="CO74" i="14"/>
  <c r="CO72" i="14"/>
  <c r="CO58" i="14"/>
  <c r="CO48" i="14"/>
  <c r="CO43" i="14"/>
  <c r="CO41" i="14"/>
  <c r="CO38" i="14"/>
  <c r="CO34" i="14"/>
  <c r="CO26" i="14"/>
  <c r="CO24" i="14"/>
  <c r="CO17" i="14"/>
  <c r="CO14" i="14"/>
  <c r="CO7" i="14"/>
  <c r="CO6" i="14" s="1"/>
  <c r="CL140" i="11"/>
  <c r="CL139" i="11"/>
  <c r="CL138" i="11"/>
  <c r="CL136" i="11"/>
  <c r="CL135" i="11"/>
  <c r="CL134" i="11"/>
  <c r="CL132" i="11"/>
  <c r="CL131" i="11"/>
  <c r="CL130" i="11"/>
  <c r="CL128" i="11"/>
  <c r="CL127" i="11"/>
  <c r="CL126" i="11"/>
  <c r="CL125" i="11"/>
  <c r="CL124" i="11"/>
  <c r="CL123" i="11"/>
  <c r="CL121" i="11"/>
  <c r="CL120" i="11"/>
  <c r="CL119" i="11"/>
  <c r="CL117" i="11"/>
  <c r="CL116" i="11"/>
  <c r="CL115" i="11"/>
  <c r="CL113" i="11"/>
  <c r="CL112" i="11"/>
  <c r="CL110" i="11"/>
  <c r="CL109" i="11"/>
  <c r="CL107" i="11"/>
  <c r="CL106" i="11"/>
  <c r="CL104" i="11"/>
  <c r="CL103" i="11" s="1"/>
  <c r="CL102" i="11"/>
  <c r="CL101" i="11"/>
  <c r="CL96" i="11"/>
  <c r="CL95" i="11"/>
  <c r="CL93" i="11"/>
  <c r="CL92" i="11"/>
  <c r="CL89" i="11"/>
  <c r="CL86" i="11"/>
  <c r="CL82" i="11"/>
  <c r="CL79" i="11" s="1"/>
  <c r="CL77" i="11"/>
  <c r="CL76" i="11"/>
  <c r="CL75" i="11"/>
  <c r="CL73" i="11"/>
  <c r="CL72" i="11" s="1"/>
  <c r="CL70" i="11"/>
  <c r="CL69" i="11"/>
  <c r="CL68" i="11"/>
  <c r="CL67" i="11"/>
  <c r="CL66" i="11"/>
  <c r="CL63" i="11"/>
  <c r="CL62" i="11"/>
  <c r="CL61" i="11"/>
  <c r="CL60" i="11"/>
  <c r="CL59" i="11"/>
  <c r="CL48" i="11"/>
  <c r="CL47" i="11"/>
  <c r="CL46" i="11"/>
  <c r="CL45" i="11"/>
  <c r="CL42" i="11"/>
  <c r="CL41" i="11" s="1"/>
  <c r="CL40" i="11"/>
  <c r="CL39" i="11"/>
  <c r="CL37" i="11"/>
  <c r="CL36" i="11"/>
  <c r="CL35" i="11"/>
  <c r="CL31" i="11"/>
  <c r="CL30" i="11"/>
  <c r="CL25" i="11"/>
  <c r="CL24" i="11" s="1"/>
  <c r="CL23" i="11"/>
  <c r="CL22" i="11"/>
  <c r="CL21" i="11"/>
  <c r="CL20" i="11"/>
  <c r="CL14" i="11"/>
  <c r="CL7" i="11"/>
  <c r="CL6" i="11" s="1"/>
  <c r="CL141" i="2"/>
  <c r="CL140" i="2"/>
  <c r="CL139" i="2"/>
  <c r="CL137" i="2"/>
  <c r="CL136" i="2"/>
  <c r="CL135" i="2"/>
  <c r="CL133" i="2"/>
  <c r="CL132" i="2"/>
  <c r="CL131" i="2"/>
  <c r="CL129" i="2"/>
  <c r="CL128" i="2"/>
  <c r="CL127" i="2"/>
  <c r="CL126" i="2"/>
  <c r="CL125" i="2"/>
  <c r="CL124" i="2"/>
  <c r="CL122" i="2"/>
  <c r="CL121" i="2"/>
  <c r="CL120" i="2"/>
  <c r="CL118" i="2"/>
  <c r="CL117" i="2"/>
  <c r="CL116" i="2"/>
  <c r="CL114" i="2"/>
  <c r="CL113" i="2"/>
  <c r="CL111" i="2"/>
  <c r="CL110" i="2"/>
  <c r="CL108" i="2"/>
  <c r="CL107" i="2"/>
  <c r="CL105" i="2"/>
  <c r="CL104" i="2" s="1"/>
  <c r="CL103" i="2"/>
  <c r="CL102" i="2"/>
  <c r="CL97" i="2"/>
  <c r="CL96" i="2"/>
  <c r="CL94" i="2"/>
  <c r="CL93" i="2"/>
  <c r="CL90" i="2"/>
  <c r="CL87" i="2"/>
  <c r="CL83" i="2"/>
  <c r="CL80" i="2" s="1"/>
  <c r="CL78" i="2"/>
  <c r="CL77" i="2"/>
  <c r="CL76" i="2"/>
  <c r="CL74" i="2"/>
  <c r="CL73" i="2" s="1"/>
  <c r="CL71" i="2"/>
  <c r="CL70" i="2"/>
  <c r="CL69" i="2"/>
  <c r="CL68" i="2"/>
  <c r="CL67" i="2"/>
  <c r="CL64" i="2"/>
  <c r="CL63" i="2"/>
  <c r="CL62" i="2"/>
  <c r="CL61" i="2"/>
  <c r="CL60" i="2"/>
  <c r="CL49" i="2"/>
  <c r="CL48" i="2"/>
  <c r="CL47" i="2"/>
  <c r="CL46" i="2"/>
  <c r="CL43" i="2"/>
  <c r="CL42" i="2" s="1"/>
  <c r="CL41" i="2"/>
  <c r="CL40" i="2"/>
  <c r="CL38" i="2"/>
  <c r="CL37" i="2"/>
  <c r="CL36" i="2"/>
  <c r="CL32" i="2"/>
  <c r="CL31" i="2"/>
  <c r="CL26" i="2"/>
  <c r="CL25" i="2" s="1"/>
  <c r="CL24" i="2"/>
  <c r="CL23" i="2"/>
  <c r="CL22" i="2"/>
  <c r="CL21" i="2"/>
  <c r="CL15" i="2"/>
  <c r="CL8" i="2"/>
  <c r="CL7" i="2" s="1"/>
  <c r="CN137" i="14"/>
  <c r="CN133" i="14"/>
  <c r="CN129" i="14"/>
  <c r="CN122" i="14"/>
  <c r="CN118" i="14"/>
  <c r="CN114" i="14"/>
  <c r="CN111" i="14"/>
  <c r="CN108" i="14"/>
  <c r="CN105" i="14"/>
  <c r="CN103" i="14"/>
  <c r="CN98" i="14"/>
  <c r="CN88" i="14"/>
  <c r="CN86" i="14"/>
  <c r="CN79" i="14"/>
  <c r="CN74" i="14"/>
  <c r="CN72" i="14"/>
  <c r="CN58" i="14"/>
  <c r="CN48" i="14"/>
  <c r="CN43" i="14"/>
  <c r="CN41" i="14"/>
  <c r="CN38" i="14"/>
  <c r="CN34" i="14"/>
  <c r="CN26" i="14"/>
  <c r="CN24" i="14"/>
  <c r="CN17" i="14"/>
  <c r="CN14" i="14"/>
  <c r="CN7" i="14"/>
  <c r="CN6" i="14" s="1"/>
  <c r="CM137" i="14"/>
  <c r="CM133" i="14"/>
  <c r="CM129" i="14"/>
  <c r="CM122" i="14"/>
  <c r="CM118" i="14"/>
  <c r="CM114" i="14"/>
  <c r="CM111" i="14"/>
  <c r="CM108" i="14"/>
  <c r="CM105" i="14"/>
  <c r="CM103" i="14"/>
  <c r="CM98" i="14"/>
  <c r="CM88" i="14"/>
  <c r="CM86" i="14"/>
  <c r="CM79" i="14"/>
  <c r="CM74" i="14"/>
  <c r="CM72" i="14"/>
  <c r="CM58" i="14"/>
  <c r="CM48" i="14"/>
  <c r="CM43" i="14"/>
  <c r="CM41" i="14"/>
  <c r="CM38" i="14"/>
  <c r="CM34" i="14"/>
  <c r="CM26" i="14"/>
  <c r="CM24" i="14"/>
  <c r="CM17" i="14"/>
  <c r="CM14" i="14"/>
  <c r="CM7" i="14"/>
  <c r="CM6" i="14" s="1"/>
  <c r="CU5" i="14" l="1"/>
  <c r="DF2" i="14"/>
  <c r="DE2" i="14"/>
  <c r="DC2" i="14"/>
  <c r="DG2" i="14"/>
  <c r="DH144" i="14"/>
  <c r="DH2" i="14"/>
  <c r="CS5" i="14"/>
  <c r="DD2" i="14"/>
  <c r="DD143" i="14"/>
  <c r="DD144" i="14"/>
  <c r="CZ144" i="14"/>
  <c r="CZ143" i="14"/>
  <c r="CX5" i="14"/>
  <c r="CX5" i="11"/>
  <c r="DE6" i="2"/>
  <c r="DB6" i="2"/>
  <c r="DG1" i="2" s="1"/>
  <c r="DD6" i="2"/>
  <c r="CZ6" i="2"/>
  <c r="DA6" i="2"/>
  <c r="CX6" i="2"/>
  <c r="DC6" i="2"/>
  <c r="DH1" i="2" s="1"/>
  <c r="CY6" i="2"/>
  <c r="CQ5" i="14"/>
  <c r="CR5" i="14"/>
  <c r="CT5" i="14"/>
  <c r="CT143" i="14" s="1"/>
  <c r="CY5" i="14"/>
  <c r="DA2" i="14" s="1"/>
  <c r="DB2" i="14"/>
  <c r="DB5" i="11"/>
  <c r="CY5" i="11"/>
  <c r="CY143" i="11" s="1"/>
  <c r="DA5" i="11"/>
  <c r="CM13" i="11"/>
  <c r="DC5" i="11"/>
  <c r="DC143" i="11" s="1"/>
  <c r="CZ5" i="11"/>
  <c r="CN13" i="11"/>
  <c r="CN79" i="2"/>
  <c r="CU79" i="2"/>
  <c r="CQ79" i="2"/>
  <c r="CP79" i="2"/>
  <c r="CO79" i="2"/>
  <c r="CS79" i="2"/>
  <c r="CQ14" i="2"/>
  <c r="CV14" i="2"/>
  <c r="CV79" i="2"/>
  <c r="CW79" i="2"/>
  <c r="CR79" i="2"/>
  <c r="CR14" i="2"/>
  <c r="CN14" i="2"/>
  <c r="CP14" i="2"/>
  <c r="CM79" i="2"/>
  <c r="CV5" i="14"/>
  <c r="CW5" i="14"/>
  <c r="CW2" i="14" s="1"/>
  <c r="CV13" i="11"/>
  <c r="CP13" i="11"/>
  <c r="CU13" i="11"/>
  <c r="CS78" i="11"/>
  <c r="CR13" i="11"/>
  <c r="CQ13" i="11"/>
  <c r="CS13" i="11"/>
  <c r="CO13" i="11"/>
  <c r="CL38" i="11"/>
  <c r="CL34" i="11"/>
  <c r="CT13" i="11"/>
  <c r="CW13" i="11"/>
  <c r="CW14" i="2"/>
  <c r="CU14" i="2"/>
  <c r="CT79" i="2"/>
  <c r="CS14" i="2"/>
  <c r="CT14" i="2"/>
  <c r="CO14" i="2"/>
  <c r="CM14" i="2"/>
  <c r="CT78" i="11"/>
  <c r="CN78" i="11"/>
  <c r="CQ78" i="11"/>
  <c r="CP78" i="11"/>
  <c r="CW78" i="11"/>
  <c r="CV78" i="11"/>
  <c r="CV5" i="11" s="1"/>
  <c r="CU78" i="11"/>
  <c r="CM13" i="14"/>
  <c r="CM78" i="11"/>
  <c r="CR78" i="11"/>
  <c r="CO78" i="11"/>
  <c r="CL26" i="11"/>
  <c r="CO13" i="14"/>
  <c r="CM78" i="14"/>
  <c r="CL88" i="11"/>
  <c r="CL98" i="11"/>
  <c r="CL105" i="11"/>
  <c r="CL137" i="11"/>
  <c r="CL108" i="11"/>
  <c r="CL114" i="11"/>
  <c r="CL74" i="11"/>
  <c r="CL43" i="11"/>
  <c r="CL133" i="11"/>
  <c r="CL129" i="11"/>
  <c r="CL44" i="2"/>
  <c r="CO78" i="14"/>
  <c r="CL122" i="11"/>
  <c r="CL58" i="11"/>
  <c r="CL118" i="11"/>
  <c r="CL17" i="11"/>
  <c r="CL111" i="11"/>
  <c r="CL18" i="2"/>
  <c r="CL35" i="2"/>
  <c r="CL99" i="2"/>
  <c r="CL112" i="2"/>
  <c r="CL123" i="2"/>
  <c r="CL89" i="2"/>
  <c r="CL119" i="2"/>
  <c r="CL134" i="2"/>
  <c r="CL27" i="2"/>
  <c r="CL75" i="2"/>
  <c r="CL115" i="2"/>
  <c r="CL130" i="2"/>
  <c r="CL109" i="2"/>
  <c r="CL39" i="2"/>
  <c r="CL59" i="2"/>
  <c r="CL106" i="2"/>
  <c r="CL138" i="2"/>
  <c r="CN13" i="14"/>
  <c r="CN78" i="14"/>
  <c r="CK140" i="11"/>
  <c r="CK139" i="11"/>
  <c r="CK138" i="11"/>
  <c r="CK136" i="11"/>
  <c r="CK135" i="11"/>
  <c r="CK134" i="11"/>
  <c r="CK132" i="11"/>
  <c r="CK131" i="11"/>
  <c r="CK130" i="11"/>
  <c r="CK128" i="11"/>
  <c r="CK127" i="11"/>
  <c r="CK126" i="11"/>
  <c r="CK125" i="11"/>
  <c r="CK124" i="11"/>
  <c r="CK123" i="11"/>
  <c r="CK121" i="11"/>
  <c r="CK120" i="11"/>
  <c r="CK119" i="11"/>
  <c r="CK117" i="11"/>
  <c r="CK116" i="11"/>
  <c r="CK115" i="11"/>
  <c r="CK113" i="11"/>
  <c r="CK112" i="11"/>
  <c r="CK110" i="11"/>
  <c r="CK109" i="11"/>
  <c r="CK107" i="11"/>
  <c r="CK106" i="11"/>
  <c r="CK104" i="11"/>
  <c r="CK103" i="11" s="1"/>
  <c r="CK102" i="11"/>
  <c r="CK101" i="11"/>
  <c r="CK96" i="11"/>
  <c r="CK95" i="11"/>
  <c r="CK93" i="11"/>
  <c r="CK92" i="11"/>
  <c r="CK89" i="11"/>
  <c r="CK86" i="11"/>
  <c r="CK82" i="11"/>
  <c r="CK79" i="11" s="1"/>
  <c r="CK77" i="11"/>
  <c r="CK76" i="11"/>
  <c r="CK75" i="11"/>
  <c r="CK73" i="11"/>
  <c r="CK72" i="11" s="1"/>
  <c r="CK70" i="11"/>
  <c r="CK69" i="11"/>
  <c r="CK68" i="11"/>
  <c r="CK67" i="11"/>
  <c r="CK66" i="11"/>
  <c r="CK63" i="11"/>
  <c r="CK62" i="11"/>
  <c r="CK61" i="11"/>
  <c r="CK60" i="11"/>
  <c r="CK59" i="11"/>
  <c r="CK48" i="11"/>
  <c r="CK47" i="11"/>
  <c r="CK46" i="11"/>
  <c r="CK45" i="11"/>
  <c r="CK42" i="11"/>
  <c r="CK41" i="11" s="1"/>
  <c r="CK40" i="11"/>
  <c r="CK39" i="11"/>
  <c r="CK37" i="11"/>
  <c r="CK36" i="11"/>
  <c r="CK35" i="11"/>
  <c r="CK31" i="11"/>
  <c r="CK30" i="11"/>
  <c r="CK25" i="11"/>
  <c r="CK24" i="11" s="1"/>
  <c r="CK23" i="11"/>
  <c r="CK22" i="11"/>
  <c r="CK21" i="11"/>
  <c r="CK20" i="11"/>
  <c r="CK14" i="11"/>
  <c r="CK7" i="11"/>
  <c r="CK6" i="11" s="1"/>
  <c r="CJ140" i="11"/>
  <c r="CJ139" i="11"/>
  <c r="CJ138" i="11"/>
  <c r="CJ136" i="11"/>
  <c r="CJ135" i="11"/>
  <c r="CJ134" i="11"/>
  <c r="CJ132" i="11"/>
  <c r="CJ131" i="11"/>
  <c r="CJ130" i="11"/>
  <c r="CJ128" i="11"/>
  <c r="CJ127" i="11"/>
  <c r="CJ126" i="11"/>
  <c r="CJ125" i="11"/>
  <c r="CJ124" i="11"/>
  <c r="CJ123" i="11"/>
  <c r="CJ121" i="11"/>
  <c r="CJ120" i="11"/>
  <c r="CJ119" i="11"/>
  <c r="CJ117" i="11"/>
  <c r="CJ116" i="11"/>
  <c r="CJ115" i="11"/>
  <c r="CJ113" i="11"/>
  <c r="CJ112" i="11"/>
  <c r="CJ110" i="11"/>
  <c r="CJ109" i="11"/>
  <c r="CJ107" i="11"/>
  <c r="CJ106" i="11"/>
  <c r="CJ104" i="11"/>
  <c r="CJ103" i="11" s="1"/>
  <c r="CJ102" i="11"/>
  <c r="CJ101" i="11"/>
  <c r="CJ96" i="11"/>
  <c r="CJ95" i="11"/>
  <c r="CJ93" i="11"/>
  <c r="CJ92" i="11"/>
  <c r="CJ89" i="11"/>
  <c r="CJ86" i="11"/>
  <c r="CJ82" i="11"/>
  <c r="CJ79" i="11" s="1"/>
  <c r="CJ77" i="11"/>
  <c r="CJ76" i="11"/>
  <c r="CJ75" i="11"/>
  <c r="CJ73" i="11"/>
  <c r="CJ72" i="11" s="1"/>
  <c r="CJ70" i="11"/>
  <c r="CJ69" i="11"/>
  <c r="CJ68" i="11"/>
  <c r="CJ67" i="11"/>
  <c r="CJ66" i="11"/>
  <c r="CJ63" i="11"/>
  <c r="CJ62" i="11"/>
  <c r="CJ61" i="11"/>
  <c r="CJ60" i="11"/>
  <c r="CJ59" i="11"/>
  <c r="CJ48" i="11"/>
  <c r="CJ47" i="11"/>
  <c r="CJ46" i="11"/>
  <c r="CJ45" i="11"/>
  <c r="CJ42" i="11"/>
  <c r="CJ41" i="11" s="1"/>
  <c r="CJ40" i="11"/>
  <c r="CJ39" i="11"/>
  <c r="CJ37" i="11"/>
  <c r="CJ36" i="11"/>
  <c r="CJ35" i="11"/>
  <c r="CJ31" i="11"/>
  <c r="CJ30" i="11"/>
  <c r="CJ25" i="11"/>
  <c r="CJ24" i="11" s="1"/>
  <c r="CJ23" i="11"/>
  <c r="CJ22" i="11"/>
  <c r="CJ21" i="11"/>
  <c r="CJ20" i="11"/>
  <c r="CJ14" i="11"/>
  <c r="CJ7" i="11"/>
  <c r="CJ6" i="11" s="1"/>
  <c r="CK141" i="2"/>
  <c r="CK140" i="2"/>
  <c r="CK139" i="2"/>
  <c r="CK137" i="2"/>
  <c r="CK136" i="2"/>
  <c r="CK135" i="2"/>
  <c r="CK133" i="2"/>
  <c r="CK132" i="2"/>
  <c r="CK131" i="2"/>
  <c r="CK129" i="2"/>
  <c r="CK128" i="2"/>
  <c r="CK127" i="2"/>
  <c r="CK126" i="2"/>
  <c r="CK125" i="2"/>
  <c r="CK124" i="2"/>
  <c r="CK122" i="2"/>
  <c r="CK121" i="2"/>
  <c r="CK120" i="2"/>
  <c r="CK118" i="2"/>
  <c r="CK117" i="2"/>
  <c r="CK116" i="2"/>
  <c r="CK114" i="2"/>
  <c r="CK113" i="2"/>
  <c r="CK111" i="2"/>
  <c r="CK110" i="2"/>
  <c r="CK108" i="2"/>
  <c r="CK107" i="2"/>
  <c r="CK105" i="2"/>
  <c r="CK104" i="2" s="1"/>
  <c r="CK103" i="2"/>
  <c r="CK102" i="2"/>
  <c r="CK97" i="2"/>
  <c r="CK96" i="2"/>
  <c r="CK94" i="2"/>
  <c r="CK93" i="2"/>
  <c r="CK90" i="2"/>
  <c r="CK87" i="2"/>
  <c r="CK83" i="2"/>
  <c r="CK80" i="2" s="1"/>
  <c r="CK78" i="2"/>
  <c r="CK77" i="2"/>
  <c r="CK76" i="2"/>
  <c r="CK74" i="2"/>
  <c r="CK73" i="2" s="1"/>
  <c r="CK71" i="2"/>
  <c r="CK70" i="2"/>
  <c r="CK69" i="2"/>
  <c r="CK68" i="2"/>
  <c r="CK67" i="2"/>
  <c r="CK64" i="2"/>
  <c r="CK63" i="2"/>
  <c r="CK62" i="2"/>
  <c r="CK61" i="2"/>
  <c r="CK60" i="2"/>
  <c r="CK49" i="2"/>
  <c r="CK48" i="2"/>
  <c r="CK47" i="2"/>
  <c r="CK46" i="2"/>
  <c r="CK43" i="2"/>
  <c r="CK42" i="2" s="1"/>
  <c r="CK41" i="2"/>
  <c r="CK40" i="2"/>
  <c r="CK38" i="2"/>
  <c r="CK37" i="2"/>
  <c r="CK36" i="2"/>
  <c r="CK32" i="2"/>
  <c r="CK31" i="2"/>
  <c r="CK26" i="2"/>
  <c r="CK25" i="2" s="1"/>
  <c r="CK24" i="2"/>
  <c r="CK23" i="2"/>
  <c r="CK22" i="2"/>
  <c r="CK21" i="2"/>
  <c r="CK15" i="2"/>
  <c r="CK8" i="2"/>
  <c r="CK7" i="2" s="1"/>
  <c r="CJ141" i="2"/>
  <c r="CJ140" i="2"/>
  <c r="CJ139" i="2"/>
  <c r="CJ137" i="2"/>
  <c r="CJ136" i="2"/>
  <c r="CJ135" i="2"/>
  <c r="CJ133" i="2"/>
  <c r="CJ132" i="2"/>
  <c r="CJ131" i="2"/>
  <c r="CJ129" i="2"/>
  <c r="CJ128" i="2"/>
  <c r="CJ127" i="2"/>
  <c r="CJ126" i="2"/>
  <c r="CJ125" i="2"/>
  <c r="CJ122" i="2"/>
  <c r="CJ121" i="2"/>
  <c r="CJ120" i="2"/>
  <c r="CJ118" i="2"/>
  <c r="CJ117" i="2"/>
  <c r="CJ116" i="2"/>
  <c r="CJ114" i="2"/>
  <c r="CJ113" i="2"/>
  <c r="CJ111" i="2"/>
  <c r="CJ110" i="2"/>
  <c r="CJ108" i="2"/>
  <c r="CJ107" i="2"/>
  <c r="CJ105" i="2"/>
  <c r="CJ104" i="2" s="1"/>
  <c r="CJ103" i="2"/>
  <c r="CJ102" i="2"/>
  <c r="CJ97" i="2"/>
  <c r="CJ96" i="2"/>
  <c r="CJ94" i="2"/>
  <c r="CJ93" i="2"/>
  <c r="CJ90" i="2"/>
  <c r="CJ87" i="2"/>
  <c r="CJ83" i="2"/>
  <c r="CJ80" i="2" s="1"/>
  <c r="CJ78" i="2"/>
  <c r="CJ77" i="2"/>
  <c r="CJ76" i="2"/>
  <c r="CJ74" i="2"/>
  <c r="CJ73" i="2" s="1"/>
  <c r="CJ71" i="2"/>
  <c r="CJ70" i="2"/>
  <c r="CJ69" i="2"/>
  <c r="CJ68" i="2"/>
  <c r="CJ67" i="2"/>
  <c r="CJ64" i="2"/>
  <c r="CJ63" i="2"/>
  <c r="CJ62" i="2"/>
  <c r="CJ61" i="2"/>
  <c r="CJ60" i="2"/>
  <c r="CJ49" i="2"/>
  <c r="CJ48" i="2"/>
  <c r="CJ47" i="2"/>
  <c r="CJ46" i="2"/>
  <c r="CJ43" i="2"/>
  <c r="CJ42" i="2" s="1"/>
  <c r="CJ41" i="2"/>
  <c r="CJ40" i="2"/>
  <c r="CJ38" i="2"/>
  <c r="CJ37" i="2"/>
  <c r="CJ36" i="2"/>
  <c r="CJ32" i="2"/>
  <c r="CJ31" i="2"/>
  <c r="CJ26" i="2"/>
  <c r="CJ25" i="2" s="1"/>
  <c r="CJ24" i="2"/>
  <c r="CJ23" i="2"/>
  <c r="CJ22" i="2"/>
  <c r="CJ21" i="2"/>
  <c r="CJ15" i="2"/>
  <c r="CJ8" i="2"/>
  <c r="CJ7" i="2" s="1"/>
  <c r="CI141" i="2"/>
  <c r="CI140" i="2"/>
  <c r="CI139" i="2"/>
  <c r="CI137" i="2"/>
  <c r="CI136" i="2"/>
  <c r="CI135" i="2"/>
  <c r="CI133" i="2"/>
  <c r="CI132" i="2"/>
  <c r="CI131" i="2"/>
  <c r="CI129" i="2"/>
  <c r="CI128" i="2"/>
  <c r="CI127" i="2"/>
  <c r="CI126" i="2"/>
  <c r="CI125" i="2"/>
  <c r="CI124" i="2"/>
  <c r="CI122" i="2"/>
  <c r="CI121" i="2"/>
  <c r="CI120" i="2"/>
  <c r="CI118" i="2"/>
  <c r="CI117" i="2"/>
  <c r="CI116" i="2"/>
  <c r="CI114" i="2"/>
  <c r="CI113" i="2"/>
  <c r="CI111" i="2"/>
  <c r="CI110" i="2"/>
  <c r="CI108" i="2"/>
  <c r="CI107" i="2"/>
  <c r="CI105" i="2"/>
  <c r="CI104" i="2" s="1"/>
  <c r="CI103" i="2"/>
  <c r="CI102" i="2"/>
  <c r="CI97" i="2"/>
  <c r="CI96" i="2"/>
  <c r="CI94" i="2"/>
  <c r="CI93" i="2"/>
  <c r="CI90" i="2"/>
  <c r="CI87" i="2"/>
  <c r="CI83" i="2"/>
  <c r="CI80" i="2" s="1"/>
  <c r="CI78" i="2"/>
  <c r="CI77" i="2"/>
  <c r="CI76" i="2"/>
  <c r="CI74" i="2"/>
  <c r="CI73" i="2" s="1"/>
  <c r="CI71" i="2"/>
  <c r="CI70" i="2"/>
  <c r="CI69" i="2"/>
  <c r="CI68" i="2"/>
  <c r="CI67" i="2"/>
  <c r="CI64" i="2"/>
  <c r="CI63" i="2"/>
  <c r="CI62" i="2"/>
  <c r="CI61" i="2"/>
  <c r="CI60" i="2"/>
  <c r="CI49" i="2"/>
  <c r="CI48" i="2"/>
  <c r="CI47" i="2"/>
  <c r="CI46" i="2"/>
  <c r="CI43" i="2"/>
  <c r="CI42" i="2" s="1"/>
  <c r="CI41" i="2"/>
  <c r="CI40" i="2"/>
  <c r="CI38" i="2"/>
  <c r="CI37" i="2"/>
  <c r="CI36" i="2"/>
  <c r="CI32" i="2"/>
  <c r="CI31" i="2"/>
  <c r="CI26" i="2"/>
  <c r="CI25" i="2" s="1"/>
  <c r="CI24" i="2"/>
  <c r="CI23" i="2"/>
  <c r="CI22" i="2"/>
  <c r="CI21" i="2"/>
  <c r="CI15" i="2"/>
  <c r="CI8" i="2"/>
  <c r="CI7" i="2" s="1"/>
  <c r="CH141" i="2"/>
  <c r="CH140" i="2"/>
  <c r="CH139" i="2"/>
  <c r="CH137" i="2"/>
  <c r="CH136" i="2"/>
  <c r="CH135" i="2"/>
  <c r="CH133" i="2"/>
  <c r="CH132" i="2"/>
  <c r="CH131" i="2"/>
  <c r="CH129" i="2"/>
  <c r="CH128" i="2"/>
  <c r="CH127" i="2"/>
  <c r="CH126" i="2"/>
  <c r="CH125" i="2"/>
  <c r="CH124" i="2"/>
  <c r="CH122" i="2"/>
  <c r="CH121" i="2"/>
  <c r="CH120" i="2"/>
  <c r="CH118" i="2"/>
  <c r="CH117" i="2"/>
  <c r="CH116" i="2"/>
  <c r="CH114" i="2"/>
  <c r="CH113" i="2"/>
  <c r="CH111" i="2"/>
  <c r="CH110" i="2"/>
  <c r="CH108" i="2"/>
  <c r="CH107" i="2"/>
  <c r="CH105" i="2"/>
  <c r="CH104" i="2" s="1"/>
  <c r="CH103" i="2"/>
  <c r="CH102" i="2"/>
  <c r="CH97" i="2"/>
  <c r="CH96" i="2"/>
  <c r="CH94" i="2"/>
  <c r="CH93" i="2"/>
  <c r="CH90" i="2"/>
  <c r="CH87" i="2"/>
  <c r="CH83" i="2"/>
  <c r="CH80" i="2" s="1"/>
  <c r="CH78" i="2"/>
  <c r="CH77" i="2"/>
  <c r="CH76" i="2"/>
  <c r="CH74" i="2"/>
  <c r="CH73" i="2" s="1"/>
  <c r="CH71" i="2"/>
  <c r="CH70" i="2"/>
  <c r="CH69" i="2"/>
  <c r="CH68" i="2"/>
  <c r="CH67" i="2"/>
  <c r="CH64" i="2"/>
  <c r="CH63" i="2"/>
  <c r="CH62" i="2"/>
  <c r="CH61" i="2"/>
  <c r="CH60" i="2"/>
  <c r="CH49" i="2"/>
  <c r="CH48" i="2"/>
  <c r="CH47" i="2"/>
  <c r="CH46" i="2"/>
  <c r="CH43" i="2"/>
  <c r="CH42" i="2" s="1"/>
  <c r="CH41" i="2"/>
  <c r="CH40" i="2"/>
  <c r="CH38" i="2"/>
  <c r="CH37" i="2"/>
  <c r="CH36" i="2"/>
  <c r="CH32" i="2"/>
  <c r="CH31" i="2"/>
  <c r="CH26" i="2"/>
  <c r="CH25" i="2" s="1"/>
  <c r="CH24" i="2"/>
  <c r="CH23" i="2"/>
  <c r="CH22" i="2"/>
  <c r="CH21" i="2"/>
  <c r="CH15" i="2"/>
  <c r="CH8" i="2"/>
  <c r="CH7" i="2" s="1"/>
  <c r="CG141" i="2"/>
  <c r="CG140" i="2"/>
  <c r="CG139" i="2"/>
  <c r="CG137" i="2"/>
  <c r="CG136" i="2"/>
  <c r="CG135" i="2"/>
  <c r="CG133" i="2"/>
  <c r="CG132" i="2"/>
  <c r="CG131" i="2"/>
  <c r="CG129" i="2"/>
  <c r="CG128" i="2"/>
  <c r="CG127" i="2"/>
  <c r="CG126" i="2"/>
  <c r="CG125" i="2"/>
  <c r="CG124" i="2"/>
  <c r="CG122" i="2"/>
  <c r="CG121" i="2"/>
  <c r="CG120" i="2"/>
  <c r="CG118" i="2"/>
  <c r="CG117" i="2"/>
  <c r="CG116" i="2"/>
  <c r="CG114" i="2"/>
  <c r="CG113" i="2"/>
  <c r="CG111" i="2"/>
  <c r="CG110" i="2"/>
  <c r="CG108" i="2"/>
  <c r="CG107" i="2"/>
  <c r="CG105" i="2"/>
  <c r="CG104" i="2" s="1"/>
  <c r="CG103" i="2"/>
  <c r="CG102" i="2"/>
  <c r="CG97" i="2"/>
  <c r="CG96" i="2"/>
  <c r="CG94" i="2"/>
  <c r="CG93" i="2"/>
  <c r="CG90" i="2"/>
  <c r="CG87" i="2"/>
  <c r="CG83" i="2"/>
  <c r="CG80" i="2" s="1"/>
  <c r="CG78" i="2"/>
  <c r="CG77" i="2"/>
  <c r="CG76" i="2"/>
  <c r="CG74" i="2"/>
  <c r="CG73" i="2" s="1"/>
  <c r="CG71" i="2"/>
  <c r="CG70" i="2"/>
  <c r="CG69" i="2"/>
  <c r="CG68" i="2"/>
  <c r="CG67" i="2"/>
  <c r="CG64" i="2"/>
  <c r="CG63" i="2"/>
  <c r="CG62" i="2"/>
  <c r="CG61" i="2"/>
  <c r="CG60" i="2"/>
  <c r="CG49" i="2"/>
  <c r="CG48" i="2"/>
  <c r="CG47" i="2"/>
  <c r="CG46" i="2"/>
  <c r="CG43" i="2"/>
  <c r="CG42" i="2" s="1"/>
  <c r="CG41" i="2"/>
  <c r="CG40" i="2"/>
  <c r="CG38" i="2"/>
  <c r="CG37" i="2"/>
  <c r="CG36" i="2"/>
  <c r="CG32" i="2"/>
  <c r="CG31" i="2"/>
  <c r="CG26" i="2"/>
  <c r="CG25" i="2" s="1"/>
  <c r="CG24" i="2"/>
  <c r="CG23" i="2"/>
  <c r="CG22" i="2"/>
  <c r="CG21" i="2"/>
  <c r="CG15" i="2"/>
  <c r="CG8" i="2"/>
  <c r="CG7" i="2" s="1"/>
  <c r="N4" i="12"/>
  <c r="DA152" i="2" l="1"/>
  <c r="DF1" i="2"/>
  <c r="DE152" i="2"/>
  <c r="DJ1" i="2"/>
  <c r="DG2" i="2"/>
  <c r="DF3" i="2"/>
  <c r="DF2" i="2"/>
  <c r="DI1" i="2"/>
  <c r="CU2" i="14"/>
  <c r="CS2" i="14"/>
  <c r="CV143" i="14"/>
  <c r="CV144" i="14"/>
  <c r="CR2" i="14"/>
  <c r="CR143" i="14"/>
  <c r="CR144" i="14"/>
  <c r="CZ2" i="14"/>
  <c r="CX143" i="14"/>
  <c r="CX2" i="14"/>
  <c r="CX2" i="11"/>
  <c r="DA144" i="11"/>
  <c r="DA143" i="11"/>
  <c r="CY149" i="2"/>
  <c r="CY151" i="2"/>
  <c r="DC149" i="2"/>
  <c r="DC151" i="2"/>
  <c r="DA151" i="2"/>
  <c r="DE151" i="2"/>
  <c r="DA149" i="2"/>
  <c r="DA150" i="2"/>
  <c r="DE149" i="2"/>
  <c r="DE150" i="2"/>
  <c r="CT2" i="14"/>
  <c r="CY2" i="14"/>
  <c r="CV2" i="14"/>
  <c r="DB2" i="11"/>
  <c r="DD2" i="11"/>
  <c r="DB2" i="2"/>
  <c r="DB3" i="2"/>
  <c r="DD2" i="2"/>
  <c r="DB144" i="2"/>
  <c r="DD144" i="2"/>
  <c r="DE3" i="2"/>
  <c r="DE1" i="2"/>
  <c r="CZ2" i="2"/>
  <c r="DC1" i="2"/>
  <c r="CX144" i="2"/>
  <c r="CY3" i="2"/>
  <c r="DA3" i="2"/>
  <c r="DA144" i="2"/>
  <c r="DA2" i="2"/>
  <c r="DE2" i="2"/>
  <c r="DC3" i="2"/>
  <c r="DC2" i="2"/>
  <c r="DD3" i="2"/>
  <c r="DD1" i="2"/>
  <c r="CZ3" i="2"/>
  <c r="CY144" i="2"/>
  <c r="CY145" i="2" s="1"/>
  <c r="CM5" i="14"/>
  <c r="DC2" i="11"/>
  <c r="CN5" i="11"/>
  <c r="CP5" i="11"/>
  <c r="DA2" i="11"/>
  <c r="DC144" i="2"/>
  <c r="DC145" i="2" s="1"/>
  <c r="CM5" i="11"/>
  <c r="CM143" i="11" s="1"/>
  <c r="CQ5" i="11"/>
  <c r="CQ143" i="11" s="1"/>
  <c r="CS5" i="11"/>
  <c r="CZ2" i="11"/>
  <c r="CZ144" i="2"/>
  <c r="CR5" i="11"/>
  <c r="CK75" i="2"/>
  <c r="CS6" i="2"/>
  <c r="CS152" i="2" s="1"/>
  <c r="CO6" i="2"/>
  <c r="CO152" i="2" s="1"/>
  <c r="CU5" i="11"/>
  <c r="CU143" i="11" s="1"/>
  <c r="CQ6" i="2"/>
  <c r="CN6" i="2"/>
  <c r="CU6" i="2"/>
  <c r="CP6" i="2"/>
  <c r="CR6" i="2"/>
  <c r="CV6" i="2"/>
  <c r="CW6" i="2"/>
  <c r="CW152" i="2" s="1"/>
  <c r="CM6" i="2"/>
  <c r="CO5" i="11"/>
  <c r="CW5" i="11"/>
  <c r="CT5" i="11"/>
  <c r="CT6" i="2"/>
  <c r="CY1" i="2" s="1"/>
  <c r="CJ108" i="11"/>
  <c r="CJ105" i="11"/>
  <c r="CK27" i="2"/>
  <c r="CO5" i="14"/>
  <c r="CO2" i="14" s="1"/>
  <c r="CK39" i="2"/>
  <c r="CL13" i="11"/>
  <c r="CJ133" i="11"/>
  <c r="CL78" i="11"/>
  <c r="CK137" i="11"/>
  <c r="CJ17" i="11"/>
  <c r="CK88" i="11"/>
  <c r="CJ89" i="2"/>
  <c r="CJ119" i="2"/>
  <c r="CL79" i="2"/>
  <c r="CI99" i="2"/>
  <c r="CN5" i="14"/>
  <c r="CJ129" i="11"/>
  <c r="CK108" i="11"/>
  <c r="CK17" i="11"/>
  <c r="CJ58" i="11"/>
  <c r="CJ137" i="11"/>
  <c r="CK38" i="11"/>
  <c r="CK58" i="11"/>
  <c r="CK105" i="11"/>
  <c r="CK114" i="11"/>
  <c r="CL14" i="2"/>
  <c r="CJ75" i="2"/>
  <c r="CJ134" i="2"/>
  <c r="CJ109" i="2"/>
  <c r="CJ115" i="2"/>
  <c r="CJ130" i="2"/>
  <c r="CK112" i="2"/>
  <c r="CK123" i="2"/>
  <c r="CK89" i="2"/>
  <c r="CK119" i="2"/>
  <c r="CK134" i="2"/>
  <c r="CJ112" i="2"/>
  <c r="CJ123" i="2"/>
  <c r="CK59" i="2"/>
  <c r="CK99" i="2"/>
  <c r="CK115" i="2"/>
  <c r="CK130" i="2"/>
  <c r="CJ43" i="11"/>
  <c r="CJ122" i="11"/>
  <c r="CK43" i="11"/>
  <c r="CK133" i="11"/>
  <c r="CJ38" i="11"/>
  <c r="CK34" i="11"/>
  <c r="CK129" i="11"/>
  <c r="CJ34" i="11"/>
  <c r="CJ98" i="11"/>
  <c r="CJ111" i="11"/>
  <c r="CK35" i="2"/>
  <c r="CJ18" i="2"/>
  <c r="CK18" i="2"/>
  <c r="CJ74" i="11"/>
  <c r="CJ114" i="11"/>
  <c r="CK74" i="11"/>
  <c r="CK122" i="11"/>
  <c r="CJ26" i="11"/>
  <c r="CJ88" i="11"/>
  <c r="CK26" i="11"/>
  <c r="CK98" i="11"/>
  <c r="CK118" i="11"/>
  <c r="CJ118" i="11"/>
  <c r="CK111" i="11"/>
  <c r="CJ27" i="2"/>
  <c r="CK109" i="2"/>
  <c r="CJ39" i="2"/>
  <c r="CJ44" i="2"/>
  <c r="CJ59" i="2"/>
  <c r="CJ99" i="2"/>
  <c r="CJ106" i="2"/>
  <c r="CJ138" i="2"/>
  <c r="CK106" i="2"/>
  <c r="CK138" i="2"/>
  <c r="CJ35" i="2"/>
  <c r="CK44" i="2"/>
  <c r="CI89" i="2"/>
  <c r="CI27" i="2"/>
  <c r="CI109" i="2"/>
  <c r="CI115" i="2"/>
  <c r="CI130" i="2"/>
  <c r="CI39" i="2"/>
  <c r="CI112" i="2"/>
  <c r="CI123" i="2"/>
  <c r="CI75" i="2"/>
  <c r="CI119" i="2"/>
  <c r="CI134" i="2"/>
  <c r="CI44" i="2"/>
  <c r="CI59" i="2"/>
  <c r="CH39" i="2"/>
  <c r="CI18" i="2"/>
  <c r="CI106" i="2"/>
  <c r="CI138" i="2"/>
  <c r="CI35" i="2"/>
  <c r="CH109" i="2"/>
  <c r="CH44" i="2"/>
  <c r="CH75" i="2"/>
  <c r="CH138" i="2"/>
  <c r="CG112" i="2"/>
  <c r="CG138" i="2"/>
  <c r="CH99" i="2"/>
  <c r="CH123" i="2"/>
  <c r="CH134" i="2"/>
  <c r="CH27" i="2"/>
  <c r="CH89" i="2"/>
  <c r="CH106" i="2"/>
  <c r="CH115" i="2"/>
  <c r="CH112" i="2"/>
  <c r="CH59" i="2"/>
  <c r="CH119" i="2"/>
  <c r="CH130" i="2"/>
  <c r="CH18" i="2"/>
  <c r="CH35" i="2"/>
  <c r="CG39" i="2"/>
  <c r="CG75" i="2"/>
  <c r="CG123" i="2"/>
  <c r="CG89" i="2"/>
  <c r="CG119" i="2"/>
  <c r="CG134" i="2"/>
  <c r="CG106" i="2"/>
  <c r="CG27" i="2"/>
  <c r="CG59" i="2"/>
  <c r="CG99" i="2"/>
  <c r="CG35" i="2"/>
  <c r="CG109" i="2"/>
  <c r="CG115" i="2"/>
  <c r="CG18" i="2"/>
  <c r="CG44" i="2"/>
  <c r="CG130" i="2"/>
  <c r="CP2" i="14" l="1"/>
  <c r="CN143" i="14"/>
  <c r="CN144" i="14"/>
  <c r="CW144" i="11"/>
  <c r="CW143" i="11"/>
  <c r="CO144" i="11"/>
  <c r="CO143" i="11"/>
  <c r="CS144" i="11"/>
  <c r="CS143" i="11"/>
  <c r="DA146" i="2"/>
  <c r="DA145" i="2"/>
  <c r="CW151" i="2"/>
  <c r="CU149" i="2"/>
  <c r="CU151" i="2"/>
  <c r="CO151" i="2"/>
  <c r="CS151" i="2"/>
  <c r="CM149" i="2"/>
  <c r="CM151" i="2"/>
  <c r="CQ149" i="2"/>
  <c r="CQ151" i="2"/>
  <c r="CW149" i="2"/>
  <c r="CW150" i="2"/>
  <c r="CO150" i="2"/>
  <c r="CO149" i="2"/>
  <c r="CS149" i="2"/>
  <c r="CS150" i="2"/>
  <c r="CP2" i="11"/>
  <c r="CR2" i="11"/>
  <c r="CQ144" i="2"/>
  <c r="CQ145" i="2" s="1"/>
  <c r="CS2" i="11"/>
  <c r="CU2" i="11"/>
  <c r="CT2" i="11"/>
  <c r="CW2" i="11"/>
  <c r="CY2" i="11"/>
  <c r="CX3" i="2"/>
  <c r="DB1" i="2"/>
  <c r="CY2" i="2"/>
  <c r="CU144" i="2"/>
  <c r="CU145" i="2" s="1"/>
  <c r="CZ1" i="2"/>
  <c r="DA1" i="2"/>
  <c r="CX2" i="2"/>
  <c r="CS144" i="2"/>
  <c r="CX1" i="2"/>
  <c r="CO144" i="2"/>
  <c r="CP3" i="2"/>
  <c r="CS2" i="2"/>
  <c r="CR1" i="2"/>
  <c r="CS1" i="2"/>
  <c r="CN144" i="2"/>
  <c r="CO3" i="2"/>
  <c r="CQ2" i="2"/>
  <c r="CV1" i="2"/>
  <c r="CO2" i="11"/>
  <c r="CQ2" i="11"/>
  <c r="CU2" i="2"/>
  <c r="CQ3" i="2"/>
  <c r="CR2" i="2"/>
  <c r="CS3" i="2"/>
  <c r="CU1" i="2"/>
  <c r="CT2" i="2"/>
  <c r="CP144" i="2"/>
  <c r="CR3" i="2"/>
  <c r="CP2" i="2"/>
  <c r="CV3" i="2"/>
  <c r="CR144" i="2"/>
  <c r="CV144" i="2"/>
  <c r="CW1" i="2"/>
  <c r="CW3" i="2"/>
  <c r="CW2" i="2"/>
  <c r="CN3" i="2"/>
  <c r="CM144" i="2"/>
  <c r="CM145" i="2" s="1"/>
  <c r="CO2" i="2"/>
  <c r="CV2" i="11"/>
  <c r="CW144" i="2"/>
  <c r="CT1" i="2"/>
  <c r="CV2" i="2"/>
  <c r="CU3" i="2"/>
  <c r="CT144" i="2"/>
  <c r="CT3" i="2"/>
  <c r="CL6" i="2"/>
  <c r="CN2" i="2" s="1"/>
  <c r="CQ2" i="14"/>
  <c r="CJ79" i="2"/>
  <c r="CL5" i="11"/>
  <c r="CK79" i="2"/>
  <c r="CK78" i="11"/>
  <c r="CJ13" i="11"/>
  <c r="CK13" i="11"/>
  <c r="CJ78" i="11"/>
  <c r="CK14" i="2"/>
  <c r="CJ14" i="2"/>
  <c r="CI79" i="2"/>
  <c r="CI14" i="2"/>
  <c r="CH79" i="2"/>
  <c r="CH14" i="2"/>
  <c r="CG14" i="2"/>
  <c r="CG79" i="2"/>
  <c r="CW146" i="2" l="1"/>
  <c r="CW145" i="2"/>
  <c r="CO146" i="2"/>
  <c r="CO145" i="2"/>
  <c r="CS146" i="2"/>
  <c r="CS145" i="2"/>
  <c r="CN2" i="11"/>
  <c r="CQ1" i="2"/>
  <c r="CM3" i="2"/>
  <c r="CK6" i="2"/>
  <c r="CK152" i="2" s="1"/>
  <c r="CJ6" i="2"/>
  <c r="CO1" i="2" s="1"/>
  <c r="CL144" i="2"/>
  <c r="CJ5" i="11"/>
  <c r="CK5" i="11"/>
  <c r="CH6" i="2"/>
  <c r="CM1" i="2" s="1"/>
  <c r="CI6" i="2"/>
  <c r="CI151" i="2" s="1"/>
  <c r="CG6" i="2"/>
  <c r="CG152" i="2" s="1"/>
  <c r="CF141" i="2"/>
  <c r="CF140" i="2"/>
  <c r="CF139" i="2"/>
  <c r="CF137" i="2"/>
  <c r="CF136" i="2"/>
  <c r="CF135" i="2"/>
  <c r="CF133" i="2"/>
  <c r="CF132" i="2"/>
  <c r="CF131" i="2"/>
  <c r="CF129" i="2"/>
  <c r="CF128" i="2"/>
  <c r="CF127" i="2"/>
  <c r="CF126" i="2"/>
  <c r="CF125" i="2"/>
  <c r="CF124" i="2"/>
  <c r="CF122" i="2"/>
  <c r="CF121" i="2"/>
  <c r="CF120" i="2"/>
  <c r="CF118" i="2"/>
  <c r="CF117" i="2"/>
  <c r="CF116" i="2"/>
  <c r="CF114" i="2"/>
  <c r="CF113" i="2"/>
  <c r="CF111" i="2"/>
  <c r="CF110" i="2"/>
  <c r="CF108" i="2"/>
  <c r="CF107" i="2"/>
  <c r="CF105" i="2"/>
  <c r="CF104" i="2" s="1"/>
  <c r="CF103" i="2"/>
  <c r="CF102" i="2"/>
  <c r="CF97" i="2"/>
  <c r="CF96" i="2"/>
  <c r="CF94" i="2"/>
  <c r="CF93" i="2"/>
  <c r="CF90" i="2"/>
  <c r="CF87" i="2"/>
  <c r="CF83" i="2"/>
  <c r="CF80" i="2" s="1"/>
  <c r="CF78" i="2"/>
  <c r="CF77" i="2"/>
  <c r="CF76" i="2"/>
  <c r="CF74" i="2"/>
  <c r="CF73" i="2" s="1"/>
  <c r="CF71" i="2"/>
  <c r="CF70" i="2"/>
  <c r="CF69" i="2"/>
  <c r="CF68" i="2"/>
  <c r="CF67" i="2"/>
  <c r="CF64" i="2"/>
  <c r="CF63" i="2"/>
  <c r="CF62" i="2"/>
  <c r="CF61" i="2"/>
  <c r="CF60" i="2"/>
  <c r="CF49" i="2"/>
  <c r="CF48" i="2"/>
  <c r="CF47" i="2"/>
  <c r="CF46" i="2"/>
  <c r="CF43" i="2"/>
  <c r="CF42" i="2" s="1"/>
  <c r="CF41" i="2"/>
  <c r="CF40" i="2"/>
  <c r="CF38" i="2"/>
  <c r="CF37" i="2"/>
  <c r="CF36" i="2"/>
  <c r="CF32" i="2"/>
  <c r="CF31" i="2"/>
  <c r="CF26" i="2"/>
  <c r="CF25" i="2" s="1"/>
  <c r="CF24" i="2"/>
  <c r="CF23" i="2"/>
  <c r="CF22" i="2"/>
  <c r="CF21" i="2"/>
  <c r="CF15" i="2"/>
  <c r="CF8" i="2"/>
  <c r="CF7" i="2" s="1"/>
  <c r="CK144" i="11" l="1"/>
  <c r="CK143" i="11"/>
  <c r="CK151" i="2"/>
  <c r="CG151" i="2"/>
  <c r="CN1" i="2"/>
  <c r="CI149" i="2"/>
  <c r="CL3" i="2"/>
  <c r="CK149" i="2"/>
  <c r="CK150" i="2"/>
  <c r="CL1" i="2"/>
  <c r="CG149" i="2"/>
  <c r="CG150" i="2"/>
  <c r="CM2" i="11"/>
  <c r="CL2" i="11"/>
  <c r="CK3" i="2"/>
  <c r="CM2" i="2"/>
  <c r="CP1" i="2"/>
  <c r="CL2" i="2"/>
  <c r="CK144" i="2"/>
  <c r="CJ144" i="2"/>
  <c r="CK2" i="2"/>
  <c r="CJ3" i="2"/>
  <c r="CI2" i="2"/>
  <c r="CJ2" i="2"/>
  <c r="CI3" i="2"/>
  <c r="CH3" i="2"/>
  <c r="CF123" i="2"/>
  <c r="CF27" i="2"/>
  <c r="CF119" i="2"/>
  <c r="CF115" i="2"/>
  <c r="CF89" i="2"/>
  <c r="CF99" i="2"/>
  <c r="CF75" i="2"/>
  <c r="CF138" i="2"/>
  <c r="CF18" i="2"/>
  <c r="CF35" i="2"/>
  <c r="CF44" i="2"/>
  <c r="CF106" i="2"/>
  <c r="CF112" i="2"/>
  <c r="CF109" i="2"/>
  <c r="CF134" i="2"/>
  <c r="CF39" i="2"/>
  <c r="CF59" i="2"/>
  <c r="CF130" i="2"/>
  <c r="CK146" i="2" l="1"/>
  <c r="CK145" i="2"/>
  <c r="CF14" i="2"/>
  <c r="CF79" i="2"/>
  <c r="CF6" i="2" l="1"/>
  <c r="CK1" i="2" s="1"/>
  <c r="CG3" i="2" l="1"/>
  <c r="CH2" i="2"/>
  <c r="CE141" i="2" l="1"/>
  <c r="CE140" i="2"/>
  <c r="CE139" i="2"/>
  <c r="CE137" i="2"/>
  <c r="CE136" i="2"/>
  <c r="CE135" i="2"/>
  <c r="CE133" i="2"/>
  <c r="CE132" i="2"/>
  <c r="CE131" i="2"/>
  <c r="CE129" i="2"/>
  <c r="CE128" i="2"/>
  <c r="CE127" i="2"/>
  <c r="CE126" i="2"/>
  <c r="CE125" i="2"/>
  <c r="CE124" i="2"/>
  <c r="CE122" i="2"/>
  <c r="CE121" i="2"/>
  <c r="CE120" i="2"/>
  <c r="CE118" i="2"/>
  <c r="CE117" i="2"/>
  <c r="CE116" i="2"/>
  <c r="CE114" i="2"/>
  <c r="CE113" i="2"/>
  <c r="CE111" i="2"/>
  <c r="CE110" i="2"/>
  <c r="CE108" i="2"/>
  <c r="CE107" i="2"/>
  <c r="CE105" i="2"/>
  <c r="CE104" i="2" s="1"/>
  <c r="CE103" i="2"/>
  <c r="CE102" i="2"/>
  <c r="CE97" i="2"/>
  <c r="CE96" i="2"/>
  <c r="CE94" i="2"/>
  <c r="CE93" i="2"/>
  <c r="CE90" i="2"/>
  <c r="CE87" i="2"/>
  <c r="CE83" i="2"/>
  <c r="CE80" i="2" s="1"/>
  <c r="CE78" i="2"/>
  <c r="CE77" i="2"/>
  <c r="CE76" i="2"/>
  <c r="CE74" i="2"/>
  <c r="CE73" i="2" s="1"/>
  <c r="CE71" i="2"/>
  <c r="CE70" i="2"/>
  <c r="CE69" i="2"/>
  <c r="CE68" i="2"/>
  <c r="CE67" i="2"/>
  <c r="CE64" i="2"/>
  <c r="CE63" i="2"/>
  <c r="CE62" i="2"/>
  <c r="CE61" i="2"/>
  <c r="CE60" i="2"/>
  <c r="CE49" i="2"/>
  <c r="CE48" i="2"/>
  <c r="CE47" i="2"/>
  <c r="CE46" i="2"/>
  <c r="CE43" i="2"/>
  <c r="CE42" i="2" s="1"/>
  <c r="CE41" i="2"/>
  <c r="CE40" i="2"/>
  <c r="CE38" i="2"/>
  <c r="CE37" i="2"/>
  <c r="CE36" i="2"/>
  <c r="CE32" i="2"/>
  <c r="CE31" i="2"/>
  <c r="CE26" i="2"/>
  <c r="CE25" i="2" s="1"/>
  <c r="CE24" i="2"/>
  <c r="CE23" i="2"/>
  <c r="CE22" i="2"/>
  <c r="CE21" i="2"/>
  <c r="CE15" i="2"/>
  <c r="CE8" i="2"/>
  <c r="CE7" i="2" s="1"/>
  <c r="CD141" i="2"/>
  <c r="CD140" i="2"/>
  <c r="CD139" i="2"/>
  <c r="CD137" i="2"/>
  <c r="CD136" i="2"/>
  <c r="CD135" i="2"/>
  <c r="CD133" i="2"/>
  <c r="CD132" i="2"/>
  <c r="CD131" i="2"/>
  <c r="CD129" i="2"/>
  <c r="CD128" i="2"/>
  <c r="CD127" i="2"/>
  <c r="CD126" i="2"/>
  <c r="CD125" i="2"/>
  <c r="CD124" i="2"/>
  <c r="CD122" i="2"/>
  <c r="CD121" i="2"/>
  <c r="CD120" i="2"/>
  <c r="CD118" i="2"/>
  <c r="CD117" i="2"/>
  <c r="CD116" i="2"/>
  <c r="CD114" i="2"/>
  <c r="CD113" i="2"/>
  <c r="CD111" i="2"/>
  <c r="CD110" i="2"/>
  <c r="CD108" i="2"/>
  <c r="CD107" i="2"/>
  <c r="CD105" i="2"/>
  <c r="CD104" i="2" s="1"/>
  <c r="CD103" i="2"/>
  <c r="CD102" i="2"/>
  <c r="CD97" i="2"/>
  <c r="CD96" i="2"/>
  <c r="CD94" i="2"/>
  <c r="CD93" i="2"/>
  <c r="CD90" i="2"/>
  <c r="CD87" i="2"/>
  <c r="CD83" i="2"/>
  <c r="CD80" i="2" s="1"/>
  <c r="CD78" i="2"/>
  <c r="CD77" i="2"/>
  <c r="CD76" i="2"/>
  <c r="CD74" i="2"/>
  <c r="CD73" i="2" s="1"/>
  <c r="CD71" i="2"/>
  <c r="CD70" i="2"/>
  <c r="CD69" i="2"/>
  <c r="CD68" i="2"/>
  <c r="CD67" i="2"/>
  <c r="CD64" i="2"/>
  <c r="CD63" i="2"/>
  <c r="CD62" i="2"/>
  <c r="CD61" i="2"/>
  <c r="CD60" i="2"/>
  <c r="CD49" i="2"/>
  <c r="CD48" i="2"/>
  <c r="CD47" i="2"/>
  <c r="CD46" i="2"/>
  <c r="CD43" i="2"/>
  <c r="CD42" i="2" s="1"/>
  <c r="CD41" i="2"/>
  <c r="CD40" i="2"/>
  <c r="CD38" i="2"/>
  <c r="CD37" i="2"/>
  <c r="CD36" i="2"/>
  <c r="CD32" i="2"/>
  <c r="CD31" i="2"/>
  <c r="CD26" i="2"/>
  <c r="CD25" i="2" s="1"/>
  <c r="CD24" i="2"/>
  <c r="CD23" i="2"/>
  <c r="CD22" i="2"/>
  <c r="CD21" i="2"/>
  <c r="CD15" i="2"/>
  <c r="CD8" i="2"/>
  <c r="CD7" i="2" s="1"/>
  <c r="CE123" i="2" l="1"/>
  <c r="CE89" i="2"/>
  <c r="CE119" i="2"/>
  <c r="CD112" i="2"/>
  <c r="CE39" i="2"/>
  <c r="CD115" i="2"/>
  <c r="CE109" i="2"/>
  <c r="CE75" i="2"/>
  <c r="CD39" i="2"/>
  <c r="CE115" i="2"/>
  <c r="CD89" i="2"/>
  <c r="CD106" i="2"/>
  <c r="CE99" i="2"/>
  <c r="CD75" i="2"/>
  <c r="CD123" i="2"/>
  <c r="CD138" i="2"/>
  <c r="CE138" i="2"/>
  <c r="CD119" i="2"/>
  <c r="CE106" i="2"/>
  <c r="CE112" i="2"/>
  <c r="CE27" i="2"/>
  <c r="CE59" i="2"/>
  <c r="CE134" i="2"/>
  <c r="CD44" i="2"/>
  <c r="CD59" i="2"/>
  <c r="CE18" i="2"/>
  <c r="CE35" i="2"/>
  <c r="CE44" i="2"/>
  <c r="CE130" i="2"/>
  <c r="CD35" i="2"/>
  <c r="CD99" i="2"/>
  <c r="CD134" i="2"/>
  <c r="CD18" i="2"/>
  <c r="CD27" i="2"/>
  <c r="CD109" i="2"/>
  <c r="CD130" i="2"/>
  <c r="CE79" i="2" l="1"/>
  <c r="CD79" i="2"/>
  <c r="CE14" i="2"/>
  <c r="CD14" i="2"/>
  <c r="CD6" i="2" l="1"/>
  <c r="CE6" i="2"/>
  <c r="CE149" i="2" l="1"/>
  <c r="CE151" i="2"/>
  <c r="CG2" i="2"/>
  <c r="CJ1" i="2"/>
  <c r="CI1" i="2"/>
  <c r="CF2" i="2"/>
  <c r="CE3" i="2"/>
  <c r="CF3" i="2"/>
  <c r="CC141" i="2"/>
  <c r="CC140" i="2"/>
  <c r="CC139" i="2"/>
  <c r="CC137" i="2"/>
  <c r="CC136" i="2"/>
  <c r="CC135" i="2"/>
  <c r="CC133" i="2"/>
  <c r="CC132" i="2"/>
  <c r="CC131" i="2"/>
  <c r="CC129" i="2"/>
  <c r="CC128" i="2"/>
  <c r="CC127" i="2"/>
  <c r="CC126" i="2"/>
  <c r="CC125" i="2"/>
  <c r="CC124" i="2"/>
  <c r="CC122" i="2"/>
  <c r="CC121" i="2"/>
  <c r="CC120" i="2"/>
  <c r="CC118" i="2"/>
  <c r="CC117" i="2"/>
  <c r="CC116" i="2"/>
  <c r="CC114" i="2"/>
  <c r="CC113" i="2"/>
  <c r="CC111" i="2"/>
  <c r="CC110" i="2"/>
  <c r="CC108" i="2"/>
  <c r="CC107" i="2"/>
  <c r="CC105" i="2"/>
  <c r="CC104" i="2" s="1"/>
  <c r="CC103" i="2"/>
  <c r="CC102" i="2"/>
  <c r="CC97" i="2"/>
  <c r="CC96" i="2"/>
  <c r="CC94" i="2"/>
  <c r="CC93" i="2"/>
  <c r="CC90" i="2"/>
  <c r="CC87" i="2"/>
  <c r="CC83" i="2"/>
  <c r="CC80" i="2" s="1"/>
  <c r="CC78" i="2"/>
  <c r="CC77" i="2"/>
  <c r="CC76" i="2"/>
  <c r="CC74" i="2"/>
  <c r="CC73" i="2" s="1"/>
  <c r="CC71" i="2"/>
  <c r="CC70" i="2"/>
  <c r="CC69" i="2"/>
  <c r="CC68" i="2"/>
  <c r="CC67" i="2"/>
  <c r="CC64" i="2"/>
  <c r="CC63" i="2"/>
  <c r="CC62" i="2"/>
  <c r="CC61" i="2"/>
  <c r="CC60" i="2"/>
  <c r="CC49" i="2"/>
  <c r="CC48" i="2"/>
  <c r="CC47" i="2"/>
  <c r="CC46" i="2"/>
  <c r="CC43" i="2"/>
  <c r="CC42" i="2" s="1"/>
  <c r="CC41" i="2"/>
  <c r="CC40" i="2"/>
  <c r="CC38" i="2"/>
  <c r="CC37" i="2"/>
  <c r="CC36" i="2"/>
  <c r="CC32" i="2"/>
  <c r="CC31" i="2"/>
  <c r="CC26" i="2"/>
  <c r="CC25" i="2" s="1"/>
  <c r="CC24" i="2"/>
  <c r="CC23" i="2"/>
  <c r="CC22" i="2"/>
  <c r="CC21" i="2"/>
  <c r="CC15" i="2"/>
  <c r="CC8" i="2"/>
  <c r="CC7" i="2" s="1"/>
  <c r="CC99" i="2" l="1"/>
  <c r="CC106" i="2"/>
  <c r="CC119" i="2"/>
  <c r="CC130" i="2"/>
  <c r="CC123" i="2"/>
  <c r="CC27" i="2"/>
  <c r="CC115" i="2"/>
  <c r="CC89" i="2"/>
  <c r="CC109" i="2"/>
  <c r="CC75" i="2"/>
  <c r="CC112" i="2"/>
  <c r="CC18" i="2"/>
  <c r="CC138" i="2"/>
  <c r="CC39" i="2"/>
  <c r="CC59" i="2"/>
  <c r="CC134" i="2"/>
  <c r="CC35" i="2"/>
  <c r="CC44" i="2"/>
  <c r="CC79" i="2" l="1"/>
  <c r="CC14" i="2"/>
  <c r="CC6" i="2" l="1"/>
  <c r="CC152" i="2" s="1"/>
  <c r="CC151" i="2" l="1"/>
  <c r="CC149" i="2"/>
  <c r="CC150" i="2"/>
  <c r="CE2" i="2"/>
  <c r="CH1" i="2"/>
  <c r="CD3" i="2"/>
  <c r="CB141" i="2"/>
  <c r="CB140" i="2"/>
  <c r="CB139" i="2"/>
  <c r="CB137" i="2"/>
  <c r="CB136" i="2"/>
  <c r="CB135" i="2"/>
  <c r="CB133" i="2"/>
  <c r="CB132" i="2"/>
  <c r="CB131" i="2"/>
  <c r="CB129" i="2"/>
  <c r="CB128" i="2"/>
  <c r="CB127" i="2"/>
  <c r="CB126" i="2"/>
  <c r="CB125" i="2"/>
  <c r="CB124" i="2"/>
  <c r="CB122" i="2"/>
  <c r="CB121" i="2"/>
  <c r="CB120" i="2"/>
  <c r="CB118" i="2"/>
  <c r="CB117" i="2"/>
  <c r="CB116" i="2"/>
  <c r="CB114" i="2"/>
  <c r="CB113" i="2"/>
  <c r="CB111" i="2"/>
  <c r="CB110" i="2"/>
  <c r="CB108" i="2"/>
  <c r="CB107" i="2"/>
  <c r="CB105" i="2"/>
  <c r="CB104" i="2" s="1"/>
  <c r="CB103" i="2"/>
  <c r="CB102" i="2"/>
  <c r="CB97" i="2"/>
  <c r="CB96" i="2"/>
  <c r="CB94" i="2"/>
  <c r="CB93" i="2"/>
  <c r="CB90" i="2"/>
  <c r="CB87" i="2"/>
  <c r="CB83" i="2"/>
  <c r="CB80" i="2" s="1"/>
  <c r="CB78" i="2"/>
  <c r="CB77" i="2"/>
  <c r="CB76" i="2"/>
  <c r="CB74" i="2"/>
  <c r="CB73" i="2" s="1"/>
  <c r="CB71" i="2"/>
  <c r="CB70" i="2"/>
  <c r="CB69" i="2"/>
  <c r="CB68" i="2"/>
  <c r="CB67" i="2"/>
  <c r="CB64" i="2"/>
  <c r="CB63" i="2"/>
  <c r="CB62" i="2"/>
  <c r="CB61" i="2"/>
  <c r="CB60" i="2"/>
  <c r="CB49" i="2"/>
  <c r="CB48" i="2"/>
  <c r="CB47" i="2"/>
  <c r="CB46" i="2"/>
  <c r="CB43" i="2"/>
  <c r="CB42" i="2" s="1"/>
  <c r="CB41" i="2"/>
  <c r="CB40" i="2"/>
  <c r="CB38" i="2"/>
  <c r="CB37" i="2"/>
  <c r="CB36" i="2"/>
  <c r="CB32" i="2"/>
  <c r="CB31" i="2"/>
  <c r="CB26" i="2"/>
  <c r="CB25" i="2" s="1"/>
  <c r="CB24" i="2"/>
  <c r="CB23" i="2"/>
  <c r="CB22" i="2"/>
  <c r="CB21" i="2"/>
  <c r="CB15" i="2"/>
  <c r="CB8" i="2"/>
  <c r="CB7" i="2" s="1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AI42" i="6" s="1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AI25" i="6" s="1"/>
  <c r="F25" i="6"/>
  <c r="F24" i="6"/>
  <c r="F23" i="6"/>
  <c r="F22" i="6"/>
  <c r="F21" i="6"/>
  <c r="F20" i="6"/>
  <c r="F19" i="6"/>
  <c r="F18" i="6"/>
  <c r="F17" i="6"/>
  <c r="F16" i="6"/>
  <c r="F15" i="6"/>
  <c r="F14" i="6"/>
  <c r="AI13" i="6" s="1"/>
  <c r="F13" i="6"/>
  <c r="F12" i="6"/>
  <c r="F11" i="6"/>
  <c r="F10" i="6"/>
  <c r="F9" i="6"/>
  <c r="F8" i="6"/>
  <c r="F7" i="6"/>
  <c r="F6" i="6"/>
  <c r="CA141" i="2"/>
  <c r="CA140" i="2"/>
  <c r="CA139" i="2"/>
  <c r="CA137" i="2"/>
  <c r="CA136" i="2"/>
  <c r="CA135" i="2"/>
  <c r="CA133" i="2"/>
  <c r="CA132" i="2"/>
  <c r="CA131" i="2"/>
  <c r="CA129" i="2"/>
  <c r="CA128" i="2"/>
  <c r="CA127" i="2"/>
  <c r="CA126" i="2"/>
  <c r="CA125" i="2"/>
  <c r="CA124" i="2"/>
  <c r="CA122" i="2"/>
  <c r="CA121" i="2"/>
  <c r="CA120" i="2"/>
  <c r="CA118" i="2"/>
  <c r="CA117" i="2"/>
  <c r="CA116" i="2"/>
  <c r="CA114" i="2"/>
  <c r="CA113" i="2"/>
  <c r="CA111" i="2"/>
  <c r="CA110" i="2"/>
  <c r="CA108" i="2"/>
  <c r="CA107" i="2"/>
  <c r="CA105" i="2"/>
  <c r="CA104" i="2" s="1"/>
  <c r="CA103" i="2"/>
  <c r="CA102" i="2"/>
  <c r="CA97" i="2"/>
  <c r="CA96" i="2"/>
  <c r="CA94" i="2"/>
  <c r="CA93" i="2"/>
  <c r="CA90" i="2"/>
  <c r="CA87" i="2"/>
  <c r="CA83" i="2"/>
  <c r="CA80" i="2" s="1"/>
  <c r="CA78" i="2"/>
  <c r="CA77" i="2"/>
  <c r="CA76" i="2"/>
  <c r="CA74" i="2"/>
  <c r="CA73" i="2" s="1"/>
  <c r="CA71" i="2"/>
  <c r="CA70" i="2"/>
  <c r="CA69" i="2"/>
  <c r="CA68" i="2"/>
  <c r="CA67" i="2"/>
  <c r="CA64" i="2"/>
  <c r="CA63" i="2"/>
  <c r="CA62" i="2"/>
  <c r="CA61" i="2"/>
  <c r="CA60" i="2"/>
  <c r="CA49" i="2"/>
  <c r="CA48" i="2"/>
  <c r="CA47" i="2"/>
  <c r="CA46" i="2"/>
  <c r="CA43" i="2"/>
  <c r="CA42" i="2" s="1"/>
  <c r="CA41" i="2"/>
  <c r="CA40" i="2"/>
  <c r="CA38" i="2"/>
  <c r="CA37" i="2"/>
  <c r="CA36" i="2"/>
  <c r="CA32" i="2"/>
  <c r="CA31" i="2"/>
  <c r="CA26" i="2"/>
  <c r="CA25" i="2" s="1"/>
  <c r="CA24" i="2"/>
  <c r="CA23" i="2"/>
  <c r="CA22" i="2"/>
  <c r="CA21" i="2"/>
  <c r="CA15" i="2"/>
  <c r="CA8" i="2"/>
  <c r="CA7" i="2" s="1"/>
  <c r="BZ141" i="2"/>
  <c r="BZ140" i="2"/>
  <c r="BZ139" i="2"/>
  <c r="BZ137" i="2"/>
  <c r="BZ136" i="2"/>
  <c r="BZ135" i="2"/>
  <c r="BZ133" i="2"/>
  <c r="BZ132" i="2"/>
  <c r="BZ131" i="2"/>
  <c r="BZ129" i="2"/>
  <c r="BZ128" i="2"/>
  <c r="BZ127" i="2"/>
  <c r="BZ126" i="2"/>
  <c r="BZ125" i="2"/>
  <c r="BZ124" i="2"/>
  <c r="BZ122" i="2"/>
  <c r="BZ121" i="2"/>
  <c r="BZ120" i="2"/>
  <c r="BZ118" i="2"/>
  <c r="BZ117" i="2"/>
  <c r="BZ116" i="2"/>
  <c r="BZ114" i="2"/>
  <c r="BZ113" i="2"/>
  <c r="BZ111" i="2"/>
  <c r="BZ110" i="2"/>
  <c r="BZ108" i="2"/>
  <c r="BZ107" i="2"/>
  <c r="BZ105" i="2"/>
  <c r="BZ104" i="2" s="1"/>
  <c r="BZ103" i="2"/>
  <c r="BZ102" i="2"/>
  <c r="BZ97" i="2"/>
  <c r="BZ96" i="2"/>
  <c r="BZ94" i="2"/>
  <c r="BZ93" i="2"/>
  <c r="BZ90" i="2"/>
  <c r="BZ87" i="2"/>
  <c r="BZ83" i="2"/>
  <c r="BZ80" i="2" s="1"/>
  <c r="BZ78" i="2"/>
  <c r="BZ77" i="2"/>
  <c r="BZ76" i="2"/>
  <c r="BZ74" i="2"/>
  <c r="BZ73" i="2" s="1"/>
  <c r="BZ71" i="2"/>
  <c r="BZ70" i="2"/>
  <c r="BZ69" i="2"/>
  <c r="BZ68" i="2"/>
  <c r="BZ67" i="2"/>
  <c r="BZ64" i="2"/>
  <c r="BZ63" i="2"/>
  <c r="BZ62" i="2"/>
  <c r="BZ61" i="2"/>
  <c r="BZ60" i="2"/>
  <c r="BZ49" i="2"/>
  <c r="BZ48" i="2"/>
  <c r="BZ47" i="2"/>
  <c r="BZ46" i="2"/>
  <c r="BZ43" i="2"/>
  <c r="BZ42" i="2" s="1"/>
  <c r="BZ41" i="2"/>
  <c r="BZ40" i="2"/>
  <c r="BZ38" i="2"/>
  <c r="BZ37" i="2"/>
  <c r="BZ36" i="2"/>
  <c r="BZ32" i="2"/>
  <c r="BZ31" i="2"/>
  <c r="BZ26" i="2"/>
  <c r="BZ25" i="2" s="1"/>
  <c r="BZ24" i="2"/>
  <c r="BZ23" i="2"/>
  <c r="BZ22" i="2"/>
  <c r="BZ21" i="2"/>
  <c r="BZ15" i="2"/>
  <c r="BZ8" i="2"/>
  <c r="BZ7" i="2" s="1"/>
  <c r="AI55" i="6" l="1"/>
  <c r="AI31" i="6"/>
  <c r="AI63" i="6"/>
  <c r="AI18" i="6"/>
  <c r="AI22" i="6"/>
  <c r="AI49" i="6"/>
  <c r="AI66" i="6"/>
  <c r="AI69" i="6"/>
  <c r="AI77" i="6"/>
  <c r="BJ8" i="6"/>
  <c r="BF8" i="6"/>
  <c r="BK8" i="6"/>
  <c r="BG8" i="6"/>
  <c r="BE8" i="6"/>
  <c r="BL8" i="6"/>
  <c r="BH8" i="6"/>
  <c r="BI8" i="6"/>
  <c r="BB8" i="6"/>
  <c r="AX8" i="6"/>
  <c r="AT8" i="6"/>
  <c r="BD8" i="6"/>
  <c r="AZ8" i="6"/>
  <c r="AV8" i="6"/>
  <c r="BA8" i="6"/>
  <c r="AY8" i="6"/>
  <c r="AW8" i="6"/>
  <c r="AU8" i="6"/>
  <c r="BC8" i="6"/>
  <c r="AS8" i="6"/>
  <c r="AO8" i="6"/>
  <c r="AN8" i="6"/>
  <c r="AQ8" i="6"/>
  <c r="AR8" i="6"/>
  <c r="AP8" i="6"/>
  <c r="AM8" i="6"/>
  <c r="AL8" i="6"/>
  <c r="AK8" i="6"/>
  <c r="AJ8" i="6"/>
  <c r="BI44" i="6"/>
  <c r="BE44" i="6"/>
  <c r="BJ44" i="6"/>
  <c r="BF44" i="6"/>
  <c r="BK44" i="6"/>
  <c r="BG44" i="6"/>
  <c r="BL44" i="6"/>
  <c r="BH44" i="6"/>
  <c r="BD44" i="6"/>
  <c r="BC44" i="6"/>
  <c r="AY44" i="6"/>
  <c r="AU44" i="6"/>
  <c r="BA44" i="6"/>
  <c r="AW44" i="6"/>
  <c r="AZ44" i="6"/>
  <c r="AV44" i="6"/>
  <c r="BB44" i="6"/>
  <c r="AX44" i="6"/>
  <c r="AT44" i="6"/>
  <c r="AS44" i="6"/>
  <c r="AP44" i="6"/>
  <c r="AQ44" i="6"/>
  <c r="AR44" i="6"/>
  <c r="AO44" i="6"/>
  <c r="AN44" i="6"/>
  <c r="AM44" i="6"/>
  <c r="AL44" i="6"/>
  <c r="AK44" i="6"/>
  <c r="AJ44" i="6"/>
  <c r="BH60" i="6"/>
  <c r="BI60" i="6"/>
  <c r="BE60" i="6"/>
  <c r="BJ60" i="6"/>
  <c r="BF60" i="6"/>
  <c r="BK60" i="6"/>
  <c r="BG60" i="6"/>
  <c r="BD60" i="6"/>
  <c r="AV60" i="6"/>
  <c r="BC60" i="6"/>
  <c r="AY60" i="6"/>
  <c r="BA60" i="6"/>
  <c r="AW60" i="6"/>
  <c r="AT60" i="6"/>
  <c r="AZ60" i="6"/>
  <c r="BB60" i="6"/>
  <c r="AX60" i="6"/>
  <c r="AU60" i="6"/>
  <c r="AS60" i="6"/>
  <c r="AQ60" i="6"/>
  <c r="AR60" i="6"/>
  <c r="AP60" i="6"/>
  <c r="AN60" i="6"/>
  <c r="AO60" i="6"/>
  <c r="AM60" i="6"/>
  <c r="AL60" i="6"/>
  <c r="AK60" i="6"/>
  <c r="AJ60" i="6"/>
  <c r="BJ84" i="6"/>
  <c r="BF84" i="6"/>
  <c r="BK84" i="6"/>
  <c r="BG84" i="6"/>
  <c r="BH84" i="6"/>
  <c r="BI84" i="6"/>
  <c r="BE84" i="6"/>
  <c r="AZ84" i="6"/>
  <c r="BC84" i="6"/>
  <c r="AY84" i="6"/>
  <c r="AT84" i="6"/>
  <c r="BD84" i="6"/>
  <c r="BA84" i="6"/>
  <c r="AW84" i="6"/>
  <c r="AV84" i="6"/>
  <c r="AU84" i="6"/>
  <c r="BB84" i="6"/>
  <c r="AX84" i="6"/>
  <c r="AS84" i="6"/>
  <c r="AN84" i="6"/>
  <c r="AQ84" i="6"/>
  <c r="AR84" i="6"/>
  <c r="AP84" i="6"/>
  <c r="AO84" i="6"/>
  <c r="AM84" i="6"/>
  <c r="AL84" i="6"/>
  <c r="AK84" i="6"/>
  <c r="AJ84" i="6"/>
  <c r="BI88" i="6"/>
  <c r="BE88" i="6"/>
  <c r="BJ88" i="6"/>
  <c r="BF88" i="6"/>
  <c r="BK88" i="6"/>
  <c r="BG88" i="6"/>
  <c r="BH88" i="6"/>
  <c r="BD88" i="6"/>
  <c r="BC88" i="6"/>
  <c r="AY88" i="6"/>
  <c r="AU88" i="6"/>
  <c r="BA88" i="6"/>
  <c r="AW88" i="6"/>
  <c r="AZ88" i="6"/>
  <c r="AV88" i="6"/>
  <c r="BB88" i="6"/>
  <c r="AX88" i="6"/>
  <c r="AT88" i="6"/>
  <c r="AS88" i="6"/>
  <c r="AQ88" i="6"/>
  <c r="AR88" i="6"/>
  <c r="AP88" i="6"/>
  <c r="AO88" i="6"/>
  <c r="AN88" i="6"/>
  <c r="AM88" i="6"/>
  <c r="AL88" i="6"/>
  <c r="AK88" i="6"/>
  <c r="AJ88" i="6"/>
  <c r="BH92" i="6"/>
  <c r="BI92" i="6"/>
  <c r="BE92" i="6"/>
  <c r="BJ92" i="6"/>
  <c r="BF92" i="6"/>
  <c r="BK92" i="6"/>
  <c r="BG92" i="6"/>
  <c r="BD92" i="6"/>
  <c r="AZ92" i="6"/>
  <c r="BC92" i="6"/>
  <c r="AY92" i="6"/>
  <c r="BA92" i="6"/>
  <c r="AW92" i="6"/>
  <c r="AT92" i="6"/>
  <c r="AV92" i="6"/>
  <c r="AU92" i="6"/>
  <c r="BB92" i="6"/>
  <c r="AX92" i="6"/>
  <c r="AS92" i="6"/>
  <c r="AQ92" i="6"/>
  <c r="AR92" i="6"/>
  <c r="AP92" i="6"/>
  <c r="AN92" i="6"/>
  <c r="AO92" i="6"/>
  <c r="AM92" i="6"/>
  <c r="AL92" i="6"/>
  <c r="AK92" i="6"/>
  <c r="AJ92" i="6"/>
  <c r="BI13" i="6"/>
  <c r="BE13" i="6"/>
  <c r="BJ13" i="6"/>
  <c r="BF13" i="6"/>
  <c r="BK13" i="6"/>
  <c r="BG13" i="6"/>
  <c r="BL13" i="6"/>
  <c r="BH13" i="6"/>
  <c r="BD13" i="6"/>
  <c r="BB13" i="6"/>
  <c r="AX13" i="6"/>
  <c r="AU13" i="6"/>
  <c r="AZ13" i="6"/>
  <c r="AV13" i="6"/>
  <c r="BA13" i="6"/>
  <c r="AY13" i="6"/>
  <c r="AW13" i="6"/>
  <c r="BC13" i="6"/>
  <c r="AT13" i="6"/>
  <c r="AS13" i="6"/>
  <c r="AN13" i="6"/>
  <c r="AQ13" i="6"/>
  <c r="AR13" i="6"/>
  <c r="AP13" i="6"/>
  <c r="AO13" i="6"/>
  <c r="AM13" i="6"/>
  <c r="AL13" i="6"/>
  <c r="AK13" i="6"/>
  <c r="AJ13" i="6"/>
  <c r="BI25" i="6"/>
  <c r="BE25" i="6"/>
  <c r="BJ25" i="6"/>
  <c r="BF25" i="6"/>
  <c r="BK25" i="6"/>
  <c r="BG25" i="6"/>
  <c r="BL25" i="6"/>
  <c r="BH25" i="6"/>
  <c r="BD25" i="6"/>
  <c r="BC25" i="6"/>
  <c r="AY25" i="6"/>
  <c r="AU25" i="6"/>
  <c r="BA25" i="6"/>
  <c r="AW25" i="6"/>
  <c r="BB25" i="6"/>
  <c r="AZ25" i="6"/>
  <c r="AX25" i="6"/>
  <c r="AV25" i="6"/>
  <c r="AT25" i="6"/>
  <c r="AS25" i="6"/>
  <c r="AQ25" i="6"/>
  <c r="AR25" i="6"/>
  <c r="AP25" i="6"/>
  <c r="AO25" i="6"/>
  <c r="AN25" i="6"/>
  <c r="AM25" i="6"/>
  <c r="AL25" i="6"/>
  <c r="AK25" i="6"/>
  <c r="AJ25" i="6"/>
  <c r="BK49" i="6"/>
  <c r="BG49" i="6"/>
  <c r="BH49" i="6"/>
  <c r="BI49" i="6"/>
  <c r="BE49" i="6"/>
  <c r="BJ49" i="6"/>
  <c r="BF49" i="6"/>
  <c r="AV49" i="6"/>
  <c r="BC49" i="6"/>
  <c r="AY49" i="6"/>
  <c r="BD49" i="6"/>
  <c r="BA49" i="6"/>
  <c r="AW49" i="6"/>
  <c r="AU49" i="6"/>
  <c r="AZ49" i="6"/>
  <c r="BB49" i="6"/>
  <c r="AX49" i="6"/>
  <c r="AT49" i="6"/>
  <c r="AS49" i="6"/>
  <c r="AR49" i="6"/>
  <c r="AP49" i="6"/>
  <c r="AO49" i="6"/>
  <c r="AN49" i="6"/>
  <c r="AQ49" i="6"/>
  <c r="AM49" i="6"/>
  <c r="AK49" i="6"/>
  <c r="AL49" i="6"/>
  <c r="AJ49" i="6"/>
  <c r="BI69" i="6"/>
  <c r="BE69" i="6"/>
  <c r="BJ69" i="6"/>
  <c r="BF69" i="6"/>
  <c r="BK69" i="6"/>
  <c r="BG69" i="6"/>
  <c r="BH69" i="6"/>
  <c r="BD69" i="6"/>
  <c r="BC69" i="6"/>
  <c r="AY69" i="6"/>
  <c r="AU69" i="6"/>
  <c r="BA69" i="6"/>
  <c r="AW69" i="6"/>
  <c r="AZ69" i="6"/>
  <c r="AV69" i="6"/>
  <c r="BB69" i="6"/>
  <c r="AX69" i="6"/>
  <c r="AT69" i="6"/>
  <c r="AS69" i="6"/>
  <c r="AN69" i="6"/>
  <c r="AR69" i="6"/>
  <c r="AQ69" i="6"/>
  <c r="AO69" i="6"/>
  <c r="AP69" i="6"/>
  <c r="AM69" i="6"/>
  <c r="AL69" i="6"/>
  <c r="AK69" i="6"/>
  <c r="AJ69" i="6"/>
  <c r="BH73" i="6"/>
  <c r="BI73" i="6"/>
  <c r="BE73" i="6"/>
  <c r="BJ73" i="6"/>
  <c r="BF73" i="6"/>
  <c r="BK73" i="6"/>
  <c r="BG73" i="6"/>
  <c r="BD73" i="6"/>
  <c r="AV73" i="6"/>
  <c r="BC73" i="6"/>
  <c r="AY73" i="6"/>
  <c r="BA73" i="6"/>
  <c r="AW73" i="6"/>
  <c r="AT73" i="6"/>
  <c r="AZ73" i="6"/>
  <c r="BB73" i="6"/>
  <c r="AX73" i="6"/>
  <c r="AU73" i="6"/>
  <c r="AS73" i="6"/>
  <c r="AQ73" i="6"/>
  <c r="AR73" i="6"/>
  <c r="AP73" i="6"/>
  <c r="AO73" i="6"/>
  <c r="AN73" i="6"/>
  <c r="AM73" i="6"/>
  <c r="AL73" i="6"/>
  <c r="AK73" i="6"/>
  <c r="AJ73" i="6"/>
  <c r="BK77" i="6"/>
  <c r="BG77" i="6"/>
  <c r="BH77" i="6"/>
  <c r="BI77" i="6"/>
  <c r="BE77" i="6"/>
  <c r="BF77" i="6"/>
  <c r="BJ77" i="6"/>
  <c r="AV77" i="6"/>
  <c r="BC77" i="6"/>
  <c r="AY77" i="6"/>
  <c r="BD77" i="6"/>
  <c r="BA77" i="6"/>
  <c r="AW77" i="6"/>
  <c r="AU77" i="6"/>
  <c r="AZ77" i="6"/>
  <c r="BB77" i="6"/>
  <c r="AX77" i="6"/>
  <c r="AT77" i="6"/>
  <c r="AS77" i="6"/>
  <c r="AR77" i="6"/>
  <c r="AP77" i="6"/>
  <c r="AO77" i="6"/>
  <c r="AQ77" i="6"/>
  <c r="AN77" i="6"/>
  <c r="AM77" i="6"/>
  <c r="AL77" i="6"/>
  <c r="AK77" i="6"/>
  <c r="AJ77" i="6"/>
  <c r="AI8" i="6"/>
  <c r="AI84" i="6"/>
  <c r="BK18" i="6"/>
  <c r="BG18" i="6"/>
  <c r="BL18" i="6"/>
  <c r="BH18" i="6"/>
  <c r="BI18" i="6"/>
  <c r="BE18" i="6"/>
  <c r="BJ18" i="6"/>
  <c r="BF18" i="6"/>
  <c r="BB18" i="6"/>
  <c r="AX18" i="6"/>
  <c r="BD18" i="6"/>
  <c r="AZ18" i="6"/>
  <c r="AV18" i="6"/>
  <c r="AU18" i="6"/>
  <c r="BC18" i="6"/>
  <c r="BA18" i="6"/>
  <c r="AT18" i="6"/>
  <c r="AY18" i="6"/>
  <c r="AW18" i="6"/>
  <c r="AS18" i="6"/>
  <c r="AR18" i="6"/>
  <c r="AP18" i="6"/>
  <c r="AO18" i="6"/>
  <c r="AN18" i="6"/>
  <c r="AQ18" i="6"/>
  <c r="AM18" i="6"/>
  <c r="AK18" i="6"/>
  <c r="AL18" i="6"/>
  <c r="AJ18" i="6"/>
  <c r="BJ22" i="6"/>
  <c r="BF22" i="6"/>
  <c r="BA22" i="6"/>
  <c r="BK22" i="6"/>
  <c r="BG22" i="6"/>
  <c r="BL22" i="6"/>
  <c r="BH22" i="6"/>
  <c r="BI22" i="6"/>
  <c r="BE22" i="6"/>
  <c r="BC22" i="6"/>
  <c r="AX22" i="6"/>
  <c r="AT22" i="6"/>
  <c r="BD22" i="6"/>
  <c r="AZ22" i="6"/>
  <c r="AV22" i="6"/>
  <c r="BB22" i="6"/>
  <c r="AU22" i="6"/>
  <c r="AY22" i="6"/>
  <c r="AW22" i="6"/>
  <c r="AS22" i="6"/>
  <c r="AN22" i="6"/>
  <c r="AR22" i="6"/>
  <c r="AP22" i="6"/>
  <c r="AO22" i="6"/>
  <c r="AQ22" i="6"/>
  <c r="AM22" i="6"/>
  <c r="AL22" i="6"/>
  <c r="AK22" i="6"/>
  <c r="AJ22" i="6"/>
  <c r="BJ42" i="6"/>
  <c r="BF42" i="6"/>
  <c r="BK42" i="6"/>
  <c r="BG42" i="6"/>
  <c r="BL42" i="6"/>
  <c r="BH42" i="6"/>
  <c r="BI42" i="6"/>
  <c r="BE42" i="6"/>
  <c r="BC42" i="6"/>
  <c r="AY42" i="6"/>
  <c r="AT42" i="6"/>
  <c r="BD42" i="6"/>
  <c r="BA42" i="6"/>
  <c r="AW42" i="6"/>
  <c r="AZ42" i="6"/>
  <c r="AV42" i="6"/>
  <c r="BB42" i="6"/>
  <c r="AX42" i="6"/>
  <c r="AU42" i="6"/>
  <c r="AS42" i="6"/>
  <c r="AO42" i="6"/>
  <c r="AN42" i="6"/>
  <c r="AQ42" i="6"/>
  <c r="AR42" i="6"/>
  <c r="AP42" i="6"/>
  <c r="AM42" i="6"/>
  <c r="AL42" i="6"/>
  <c r="AK42" i="6"/>
  <c r="AJ42" i="6"/>
  <c r="BI58" i="6"/>
  <c r="BE58" i="6"/>
  <c r="BJ58" i="6"/>
  <c r="BF58" i="6"/>
  <c r="BK58" i="6"/>
  <c r="BG58" i="6"/>
  <c r="BH58" i="6"/>
  <c r="AV58" i="6"/>
  <c r="BD58" i="6"/>
  <c r="BC58" i="6"/>
  <c r="AY58" i="6"/>
  <c r="AU58" i="6"/>
  <c r="BA58" i="6"/>
  <c r="AW58" i="6"/>
  <c r="AZ58" i="6"/>
  <c r="BB58" i="6"/>
  <c r="AX58" i="6"/>
  <c r="AT58" i="6"/>
  <c r="AS58" i="6"/>
  <c r="AQ58" i="6"/>
  <c r="AR58" i="6"/>
  <c r="AP58" i="6"/>
  <c r="AO58" i="6"/>
  <c r="AN58" i="6"/>
  <c r="AM58" i="6"/>
  <c r="AL58" i="6"/>
  <c r="AK58" i="6"/>
  <c r="AJ58" i="6"/>
  <c r="BJ66" i="6"/>
  <c r="BF66" i="6"/>
  <c r="BK66" i="6"/>
  <c r="BG66" i="6"/>
  <c r="BH66" i="6"/>
  <c r="BI66" i="6"/>
  <c r="BE66" i="6"/>
  <c r="AZ66" i="6"/>
  <c r="BC66" i="6"/>
  <c r="AY66" i="6"/>
  <c r="AT66" i="6"/>
  <c r="BD66" i="6"/>
  <c r="BA66" i="6"/>
  <c r="AW66" i="6"/>
  <c r="AV66" i="6"/>
  <c r="BB66" i="6"/>
  <c r="AX66" i="6"/>
  <c r="AU66" i="6"/>
  <c r="AS66" i="6"/>
  <c r="AO66" i="6"/>
  <c r="AN66" i="6"/>
  <c r="AR66" i="6"/>
  <c r="AP66" i="6"/>
  <c r="AQ66" i="6"/>
  <c r="AM66" i="6"/>
  <c r="AL66" i="6"/>
  <c r="AK66" i="6"/>
  <c r="AJ66" i="6"/>
  <c r="AI44" i="6"/>
  <c r="AI58" i="6"/>
  <c r="AI88" i="6"/>
  <c r="BL15" i="6"/>
  <c r="BH15" i="6"/>
  <c r="BI15" i="6"/>
  <c r="BE15" i="6"/>
  <c r="BJ15" i="6"/>
  <c r="BF15" i="6"/>
  <c r="BK15" i="6"/>
  <c r="BG15" i="6"/>
  <c r="BD15" i="6"/>
  <c r="BB15" i="6"/>
  <c r="AX15" i="6"/>
  <c r="AZ15" i="6"/>
  <c r="AV15" i="6"/>
  <c r="AT15" i="6"/>
  <c r="AU15" i="6"/>
  <c r="BA15" i="6"/>
  <c r="AY15" i="6"/>
  <c r="AW15" i="6"/>
  <c r="BC15" i="6"/>
  <c r="AS15" i="6"/>
  <c r="AQ15" i="6"/>
  <c r="AR15" i="6"/>
  <c r="AP15" i="6"/>
  <c r="AN15" i="6"/>
  <c r="AO15" i="6"/>
  <c r="AM15" i="6"/>
  <c r="AL15" i="6"/>
  <c r="AK15" i="6"/>
  <c r="AJ15" i="6"/>
  <c r="BL27" i="6"/>
  <c r="BH27" i="6"/>
  <c r="BI27" i="6"/>
  <c r="BE27" i="6"/>
  <c r="BJ27" i="6"/>
  <c r="BF27" i="6"/>
  <c r="BK27" i="6"/>
  <c r="BG27" i="6"/>
  <c r="BD27" i="6"/>
  <c r="BC27" i="6"/>
  <c r="AY27" i="6"/>
  <c r="BA27" i="6"/>
  <c r="AW27" i="6"/>
  <c r="AT27" i="6"/>
  <c r="AU27" i="6"/>
  <c r="BB27" i="6"/>
  <c r="AZ27" i="6"/>
  <c r="AX27" i="6"/>
  <c r="AV27" i="6"/>
  <c r="AS27" i="6"/>
  <c r="AQ27" i="6"/>
  <c r="AR27" i="6"/>
  <c r="AP27" i="6"/>
  <c r="AO27" i="6"/>
  <c r="AN27" i="6"/>
  <c r="AM27" i="6"/>
  <c r="AL27" i="6"/>
  <c r="AK27" i="6"/>
  <c r="AJ27" i="6"/>
  <c r="BK31" i="6"/>
  <c r="BG31" i="6"/>
  <c r="BL31" i="6"/>
  <c r="BH31" i="6"/>
  <c r="BI31" i="6"/>
  <c r="BE31" i="6"/>
  <c r="BJ31" i="6"/>
  <c r="BF31" i="6"/>
  <c r="BC31" i="6"/>
  <c r="AY31" i="6"/>
  <c r="BD31" i="6"/>
  <c r="BA31" i="6"/>
  <c r="AW31" i="6"/>
  <c r="AU31" i="6"/>
  <c r="AV31" i="6"/>
  <c r="BB31" i="6"/>
  <c r="AZ31" i="6"/>
  <c r="AX31" i="6"/>
  <c r="AT31" i="6"/>
  <c r="AS31" i="6"/>
  <c r="AR31" i="6"/>
  <c r="AP31" i="6"/>
  <c r="AO31" i="6"/>
  <c r="AQ31" i="6"/>
  <c r="AN31" i="6"/>
  <c r="AM31" i="6"/>
  <c r="AK31" i="6"/>
  <c r="AL31" i="6"/>
  <c r="AJ31" i="6"/>
  <c r="BH47" i="6"/>
  <c r="BI47" i="6"/>
  <c r="BE47" i="6"/>
  <c r="BJ47" i="6"/>
  <c r="BF47" i="6"/>
  <c r="BK47" i="6"/>
  <c r="BG47" i="6"/>
  <c r="BD47" i="6"/>
  <c r="BC47" i="6"/>
  <c r="AY47" i="6"/>
  <c r="BA47" i="6"/>
  <c r="AW47" i="6"/>
  <c r="AT47" i="6"/>
  <c r="AZ47" i="6"/>
  <c r="AV47" i="6"/>
  <c r="BB47" i="6"/>
  <c r="AU47" i="6"/>
  <c r="AX47" i="6"/>
  <c r="AS47" i="6"/>
  <c r="AQ47" i="6"/>
  <c r="AR47" i="6"/>
  <c r="AP47" i="6"/>
  <c r="AN47" i="6"/>
  <c r="AO47" i="6"/>
  <c r="AM47" i="6"/>
  <c r="AL47" i="6"/>
  <c r="AK47" i="6"/>
  <c r="AJ47" i="6"/>
  <c r="BJ55" i="6"/>
  <c r="BF55" i="6"/>
  <c r="BK55" i="6"/>
  <c r="BG55" i="6"/>
  <c r="BH55" i="6"/>
  <c r="BI55" i="6"/>
  <c r="BE55" i="6"/>
  <c r="AV55" i="6"/>
  <c r="BC55" i="6"/>
  <c r="AY55" i="6"/>
  <c r="AT55" i="6"/>
  <c r="BD55" i="6"/>
  <c r="BA55" i="6"/>
  <c r="AW55" i="6"/>
  <c r="AZ55" i="6"/>
  <c r="AU55" i="6"/>
  <c r="BB55" i="6"/>
  <c r="AX55" i="6"/>
  <c r="AS55" i="6"/>
  <c r="AN55" i="6"/>
  <c r="AQ55" i="6"/>
  <c r="AR55" i="6"/>
  <c r="AP55" i="6"/>
  <c r="AO55" i="6"/>
  <c r="AM55" i="6"/>
  <c r="AL55" i="6"/>
  <c r="AK55" i="6"/>
  <c r="AJ55" i="6"/>
  <c r="BK63" i="6"/>
  <c r="BG63" i="6"/>
  <c r="BH63" i="6"/>
  <c r="BI63" i="6"/>
  <c r="BE63" i="6"/>
  <c r="BJ63" i="6"/>
  <c r="BF63" i="6"/>
  <c r="AZ63" i="6"/>
  <c r="BC63" i="6"/>
  <c r="AY63" i="6"/>
  <c r="BD63" i="6"/>
  <c r="BA63" i="6"/>
  <c r="AW63" i="6"/>
  <c r="AU63" i="6"/>
  <c r="AV63" i="6"/>
  <c r="BB63" i="6"/>
  <c r="AX63" i="6"/>
  <c r="AT63" i="6"/>
  <c r="AS63" i="6"/>
  <c r="AR63" i="6"/>
  <c r="AP63" i="6"/>
  <c r="AO63" i="6"/>
  <c r="AN63" i="6"/>
  <c r="AQ63" i="6"/>
  <c r="AM63" i="6"/>
  <c r="AL63" i="6"/>
  <c r="AK63" i="6"/>
  <c r="AJ63" i="6"/>
  <c r="AI15" i="6"/>
  <c r="AI27" i="6"/>
  <c r="AI47" i="6"/>
  <c r="AI60" i="6"/>
  <c r="AI73" i="6"/>
  <c r="AI92" i="6"/>
  <c r="CB99" i="2"/>
  <c r="CB39" i="2"/>
  <c r="CB138" i="2"/>
  <c r="CB89" i="2"/>
  <c r="CB123" i="2"/>
  <c r="CB119" i="2"/>
  <c r="CB109" i="2"/>
  <c r="CB134" i="2"/>
  <c r="CB112" i="2"/>
  <c r="CB75" i="2"/>
  <c r="CB115" i="2"/>
  <c r="CB44" i="2"/>
  <c r="CB59" i="2"/>
  <c r="CB35" i="2"/>
  <c r="CB27" i="2"/>
  <c r="CB106" i="2"/>
  <c r="CB18" i="2"/>
  <c r="CB130" i="2"/>
  <c r="CA75" i="2"/>
  <c r="CA27" i="2"/>
  <c r="BZ119" i="2"/>
  <c r="BZ134" i="2"/>
  <c r="CA39" i="2"/>
  <c r="CA123" i="2"/>
  <c r="CA119" i="2"/>
  <c r="CA115" i="2"/>
  <c r="BZ89" i="2"/>
  <c r="CA44" i="2"/>
  <c r="CA59" i="2"/>
  <c r="BZ99" i="2"/>
  <c r="CA89" i="2"/>
  <c r="CA112" i="2"/>
  <c r="BZ75" i="2"/>
  <c r="BZ109" i="2"/>
  <c r="BZ115" i="2"/>
  <c r="BZ130" i="2"/>
  <c r="CA18" i="2"/>
  <c r="CA35" i="2"/>
  <c r="CA99" i="2"/>
  <c r="CA106" i="2"/>
  <c r="CA138" i="2"/>
  <c r="BZ39" i="2"/>
  <c r="CA134" i="2"/>
  <c r="BZ112" i="2"/>
  <c r="BZ123" i="2"/>
  <c r="CA109" i="2"/>
  <c r="CA130" i="2"/>
  <c r="BZ27" i="2"/>
  <c r="BZ59" i="2"/>
  <c r="BZ18" i="2"/>
  <c r="BZ35" i="2"/>
  <c r="BZ44" i="2"/>
  <c r="BZ106" i="2"/>
  <c r="BZ138" i="2"/>
  <c r="AO7" i="6" l="1"/>
  <c r="AS7" i="6"/>
  <c r="BA7" i="6"/>
  <c r="BC7" i="6"/>
  <c r="AN7" i="6"/>
  <c r="AL46" i="6"/>
  <c r="AP46" i="6"/>
  <c r="AX46" i="6"/>
  <c r="AY46" i="6"/>
  <c r="AL7" i="6"/>
  <c r="AZ7" i="6"/>
  <c r="AR7" i="6"/>
  <c r="AT7" i="6"/>
  <c r="AI7" i="6"/>
  <c r="AP7" i="6"/>
  <c r="AY7" i="6"/>
  <c r="AU7" i="6"/>
  <c r="AX7" i="6"/>
  <c r="AM7" i="6"/>
  <c r="AV7" i="6"/>
  <c r="BB7" i="6"/>
  <c r="AQ7" i="6"/>
  <c r="AI46" i="6"/>
  <c r="AK7" i="6"/>
  <c r="AW7" i="6"/>
  <c r="AJ7" i="6"/>
  <c r="BD7" i="6"/>
  <c r="BI7" i="6"/>
  <c r="BG7" i="6"/>
  <c r="BK46" i="6"/>
  <c r="BI46" i="6"/>
  <c r="AM46" i="6"/>
  <c r="AR46" i="6"/>
  <c r="AR118" i="6" s="1"/>
  <c r="AU46" i="6"/>
  <c r="AT46" i="6"/>
  <c r="BC46" i="6"/>
  <c r="BF46" i="6"/>
  <c r="BH46" i="6"/>
  <c r="BH118" i="6" s="1"/>
  <c r="BH7" i="6"/>
  <c r="BK7" i="6"/>
  <c r="AJ46" i="6"/>
  <c r="AJ118" i="6" s="1"/>
  <c r="AO46" i="6"/>
  <c r="AQ46" i="6"/>
  <c r="BB46" i="6"/>
  <c r="AW46" i="6"/>
  <c r="BD46" i="6"/>
  <c r="BD118" i="6" s="1"/>
  <c r="BJ46" i="6"/>
  <c r="BL46" i="6"/>
  <c r="BL118" i="6" s="1"/>
  <c r="BL7" i="6"/>
  <c r="BF7" i="6"/>
  <c r="AZ46" i="6"/>
  <c r="AZ118" i="6" s="1"/>
  <c r="AK46" i="6"/>
  <c r="AN46" i="6"/>
  <c r="AN118" i="6" s="1"/>
  <c r="AS46" i="6"/>
  <c r="AV46" i="6"/>
  <c r="AV118" i="6" s="1"/>
  <c r="BA46" i="6"/>
  <c r="BG46" i="6"/>
  <c r="BE46" i="6"/>
  <c r="BE7" i="6"/>
  <c r="BJ7" i="6"/>
  <c r="AW6" i="6"/>
  <c r="CB79" i="2"/>
  <c r="CB14" i="2"/>
  <c r="BZ79" i="2"/>
  <c r="CA79" i="2"/>
  <c r="CA14" i="2"/>
  <c r="BZ14" i="2"/>
  <c r="AO6" i="6" l="1"/>
  <c r="AP6" i="6"/>
  <c r="AP105" i="6" s="1"/>
  <c r="AN113" i="6"/>
  <c r="AN114" i="6"/>
  <c r="AN117" i="6"/>
  <c r="AJ113" i="6"/>
  <c r="AJ114" i="6"/>
  <c r="AJ117" i="6"/>
  <c r="BF117" i="6"/>
  <c r="BF113" i="6"/>
  <c r="AR113" i="6"/>
  <c r="AR114" i="6"/>
  <c r="AR117" i="6"/>
  <c r="AL117" i="6"/>
  <c r="AL113" i="6"/>
  <c r="BL113" i="6"/>
  <c r="BL114" i="6"/>
  <c r="BL117" i="6"/>
  <c r="BB117" i="6"/>
  <c r="BB113" i="6"/>
  <c r="AV113" i="6"/>
  <c r="AV117" i="6"/>
  <c r="AV114" i="6"/>
  <c r="AT117" i="6"/>
  <c r="AT113" i="6"/>
  <c r="AZ113" i="6"/>
  <c r="AZ114" i="6"/>
  <c r="AZ117" i="6"/>
  <c r="BJ117" i="6"/>
  <c r="BJ113" i="6"/>
  <c r="AX117" i="6"/>
  <c r="AX113" i="6"/>
  <c r="BD113" i="6"/>
  <c r="BD114" i="6"/>
  <c r="BD117" i="6"/>
  <c r="BH113" i="6"/>
  <c r="BH114" i="6"/>
  <c r="BH117" i="6"/>
  <c r="AP117" i="6"/>
  <c r="AP113" i="6"/>
  <c r="BJ107" i="6"/>
  <c r="BJ111" i="6"/>
  <c r="BB107" i="6"/>
  <c r="BB111" i="6"/>
  <c r="AT107" i="6"/>
  <c r="AT111" i="6"/>
  <c r="AN112" i="6"/>
  <c r="AN111" i="6"/>
  <c r="BH112" i="6"/>
  <c r="BH111" i="6"/>
  <c r="BD112" i="6"/>
  <c r="BD111" i="6"/>
  <c r="AV112" i="6"/>
  <c r="AV111" i="6"/>
  <c r="AR112" i="6"/>
  <c r="AR111" i="6"/>
  <c r="BF107" i="6"/>
  <c r="BF111" i="6"/>
  <c r="AJ111" i="6"/>
  <c r="AJ112" i="6"/>
  <c r="AP107" i="6"/>
  <c r="AP111" i="6"/>
  <c r="AZ111" i="6"/>
  <c r="AZ112" i="6"/>
  <c r="BL111" i="6"/>
  <c r="BL112" i="6"/>
  <c r="AX107" i="6"/>
  <c r="AX111" i="6"/>
  <c r="AL107" i="6"/>
  <c r="AL111" i="6"/>
  <c r="AN6" i="6"/>
  <c r="AL6" i="6"/>
  <c r="AL105" i="6" s="1"/>
  <c r="BL108" i="6"/>
  <c r="BL107" i="6"/>
  <c r="AJ108" i="6"/>
  <c r="AJ107" i="6"/>
  <c r="AZ108" i="6"/>
  <c r="AZ107" i="6"/>
  <c r="BH108" i="6"/>
  <c r="BH107" i="6"/>
  <c r="AN108" i="6"/>
  <c r="AN107" i="6"/>
  <c r="BD108" i="6"/>
  <c r="BD107" i="6"/>
  <c r="AV108" i="6"/>
  <c r="AV107" i="6"/>
  <c r="AR108" i="6"/>
  <c r="AR107" i="6"/>
  <c r="AJ6" i="6"/>
  <c r="AP101" i="6"/>
  <c r="AM6" i="6"/>
  <c r="BD6" i="6"/>
  <c r="BD106" i="6" s="1"/>
  <c r="AX6" i="6"/>
  <c r="AX3" i="6" s="1"/>
  <c r="BB6" i="6"/>
  <c r="AI6" i="6"/>
  <c r="AZ6" i="6"/>
  <c r="AZ106" i="6" s="1"/>
  <c r="AU6" i="6"/>
  <c r="AU1" i="6" s="1"/>
  <c r="AR6" i="6"/>
  <c r="AR106" i="6" s="1"/>
  <c r="AY6" i="6"/>
  <c r="AY2" i="6" s="1"/>
  <c r="AQ6" i="6"/>
  <c r="AP3" i="6"/>
  <c r="BC6" i="6"/>
  <c r="AK6" i="6"/>
  <c r="AS6" i="6"/>
  <c r="BJ6" i="6"/>
  <c r="BL6" i="6"/>
  <c r="BL106" i="6" s="1"/>
  <c r="AT6" i="6"/>
  <c r="BG6" i="6"/>
  <c r="BA6" i="6"/>
  <c r="BH6" i="6"/>
  <c r="AV6" i="6"/>
  <c r="AV106" i="6" s="1"/>
  <c r="BF6" i="6"/>
  <c r="BF105" i="6" s="1"/>
  <c r="BK6" i="6"/>
  <c r="BM2" i="6" s="1"/>
  <c r="BI6" i="6"/>
  <c r="BE6" i="6"/>
  <c r="CB6" i="2"/>
  <c r="CG1" i="2" s="1"/>
  <c r="BZ6" i="2"/>
  <c r="CA6" i="2"/>
  <c r="BY141" i="2"/>
  <c r="BY140" i="2"/>
  <c r="BY139" i="2"/>
  <c r="BY137" i="2"/>
  <c r="BY136" i="2"/>
  <c r="BY135" i="2"/>
  <c r="BY133" i="2"/>
  <c r="BY132" i="2"/>
  <c r="BY131" i="2"/>
  <c r="BY129" i="2"/>
  <c r="BY128" i="2"/>
  <c r="BY127" i="2"/>
  <c r="BY126" i="2"/>
  <c r="BY125" i="2"/>
  <c r="BY124" i="2"/>
  <c r="BY122" i="2"/>
  <c r="BY121" i="2"/>
  <c r="BY120" i="2"/>
  <c r="BY118" i="2"/>
  <c r="BY117" i="2"/>
  <c r="BY116" i="2"/>
  <c r="BY114" i="2"/>
  <c r="BY113" i="2"/>
  <c r="BY111" i="2"/>
  <c r="BY110" i="2"/>
  <c r="BY108" i="2"/>
  <c r="BY107" i="2"/>
  <c r="BY105" i="2"/>
  <c r="BY104" i="2" s="1"/>
  <c r="BY103" i="2"/>
  <c r="BY102" i="2"/>
  <c r="BY97" i="2"/>
  <c r="BY96" i="2"/>
  <c r="BY94" i="2"/>
  <c r="BY93" i="2"/>
  <c r="BY90" i="2"/>
  <c r="BY87" i="2"/>
  <c r="BY83" i="2"/>
  <c r="BY80" i="2" s="1"/>
  <c r="BY78" i="2"/>
  <c r="BY77" i="2"/>
  <c r="BY76" i="2"/>
  <c r="BY74" i="2"/>
  <c r="BY73" i="2" s="1"/>
  <c r="BY71" i="2"/>
  <c r="BY70" i="2"/>
  <c r="BY69" i="2"/>
  <c r="BY68" i="2"/>
  <c r="BY67" i="2"/>
  <c r="BY64" i="2"/>
  <c r="BY63" i="2"/>
  <c r="BY62" i="2"/>
  <c r="BY61" i="2"/>
  <c r="BY60" i="2"/>
  <c r="BY49" i="2"/>
  <c r="BY48" i="2"/>
  <c r="BY47" i="2"/>
  <c r="BY46" i="2"/>
  <c r="BY43" i="2"/>
  <c r="BY42" i="2" s="1"/>
  <c r="BY41" i="2"/>
  <c r="BY40" i="2"/>
  <c r="BY38" i="2"/>
  <c r="BY37" i="2"/>
  <c r="BY36" i="2"/>
  <c r="BY32" i="2"/>
  <c r="BY31" i="2"/>
  <c r="BY26" i="2"/>
  <c r="BY25" i="2" s="1"/>
  <c r="BY24" i="2"/>
  <c r="BY23" i="2"/>
  <c r="BY22" i="2"/>
  <c r="BY21" i="2"/>
  <c r="BY15" i="2"/>
  <c r="BY8" i="2"/>
  <c r="BY7" i="2" s="1"/>
  <c r="AQ3" i="6" l="1"/>
  <c r="AL101" i="6"/>
  <c r="AN105" i="6"/>
  <c r="AN106" i="6"/>
  <c r="BH105" i="6"/>
  <c r="BH106" i="6"/>
  <c r="AJ105" i="6"/>
  <c r="AJ106" i="6"/>
  <c r="BL105" i="6"/>
  <c r="BN2" i="6"/>
  <c r="BM3" i="6"/>
  <c r="AN1" i="6"/>
  <c r="AO3" i="6"/>
  <c r="AN102" i="6"/>
  <c r="AP2" i="6"/>
  <c r="AN101" i="6"/>
  <c r="AM3" i="6"/>
  <c r="AN2" i="6"/>
  <c r="AO2" i="6"/>
  <c r="AM2" i="6"/>
  <c r="AN3" i="6"/>
  <c r="AJ102" i="6"/>
  <c r="AQ1" i="6"/>
  <c r="AZ2" i="6"/>
  <c r="AW2" i="6"/>
  <c r="AV102" i="6"/>
  <c r="AV105" i="6"/>
  <c r="BB101" i="6"/>
  <c r="BB105" i="6"/>
  <c r="AQ2" i="6"/>
  <c r="BG1" i="6"/>
  <c r="BC3" i="6"/>
  <c r="AX101" i="6"/>
  <c r="AX105" i="6"/>
  <c r="AT101" i="6"/>
  <c r="AT105" i="6"/>
  <c r="BJ101" i="6"/>
  <c r="BJ105" i="6"/>
  <c r="BB2" i="6"/>
  <c r="AZ105" i="6"/>
  <c r="BD2" i="6"/>
  <c r="BD105" i="6"/>
  <c r="BB1" i="6"/>
  <c r="AR102" i="6"/>
  <c r="AR105" i="6"/>
  <c r="AP1" i="6"/>
  <c r="AU2" i="6"/>
  <c r="BA2" i="6"/>
  <c r="AZ101" i="6"/>
  <c r="AZ102" i="6"/>
  <c r="BA3" i="6"/>
  <c r="AY3" i="6"/>
  <c r="AZ1" i="6"/>
  <c r="BE3" i="6"/>
  <c r="BH101" i="6"/>
  <c r="BH102" i="6"/>
  <c r="BL101" i="6"/>
  <c r="BL102" i="6"/>
  <c r="BD1" i="6"/>
  <c r="BD101" i="6"/>
  <c r="BD102" i="6"/>
  <c r="AZ3" i="6"/>
  <c r="BI1" i="6"/>
  <c r="AV1" i="6"/>
  <c r="AV101" i="6"/>
  <c r="BF2" i="6"/>
  <c r="BF101" i="6"/>
  <c r="AO1" i="6"/>
  <c r="AJ101" i="6"/>
  <c r="AR2" i="6"/>
  <c r="AR101" i="6"/>
  <c r="AL2" i="6"/>
  <c r="AW3" i="6"/>
  <c r="AV3" i="6"/>
  <c r="AW1" i="6"/>
  <c r="AT2" i="6"/>
  <c r="AJ3" i="6"/>
  <c r="AR3" i="6"/>
  <c r="AS3" i="6"/>
  <c r="AR1" i="6"/>
  <c r="AX2" i="6"/>
  <c r="AS1" i="6"/>
  <c r="AS2" i="6"/>
  <c r="AX1" i="6"/>
  <c r="AT3" i="6"/>
  <c r="BD3" i="6"/>
  <c r="BC1" i="6"/>
  <c r="BE2" i="6"/>
  <c r="AU3" i="6"/>
  <c r="AL3" i="6"/>
  <c r="AK2" i="6"/>
  <c r="AY1" i="6"/>
  <c r="AK3" i="6"/>
  <c r="AV2" i="6"/>
  <c r="AT1" i="6"/>
  <c r="BF1" i="6"/>
  <c r="BG2" i="6"/>
  <c r="BK1" i="6"/>
  <c r="BK3" i="6"/>
  <c r="BK2" i="6"/>
  <c r="BL2" i="6"/>
  <c r="BL3" i="6"/>
  <c r="BL1" i="6"/>
  <c r="BB3" i="6"/>
  <c r="BI3" i="6"/>
  <c r="BI2" i="6"/>
  <c r="BF3" i="6"/>
  <c r="BE1" i="6"/>
  <c r="BJ1" i="6"/>
  <c r="BJ3" i="6"/>
  <c r="BJ2" i="6"/>
  <c r="BH3" i="6"/>
  <c r="BH2" i="6"/>
  <c r="BA1" i="6"/>
  <c r="BC2" i="6"/>
  <c r="BH1" i="6"/>
  <c r="BG3" i="6"/>
  <c r="CA149" i="2"/>
  <c r="CA151" i="2"/>
  <c r="CD2" i="2"/>
  <c r="CF1" i="2"/>
  <c r="CC3" i="2"/>
  <c r="CB2" i="2"/>
  <c r="CE1" i="2"/>
  <c r="CB3" i="2"/>
  <c r="CC2" i="2"/>
  <c r="CA3" i="2"/>
  <c r="BY109" i="2"/>
  <c r="BY39" i="2"/>
  <c r="BY44" i="2"/>
  <c r="BY106" i="2"/>
  <c r="BY138" i="2"/>
  <c r="BY123" i="2"/>
  <c r="BY75" i="2"/>
  <c r="BY115" i="2"/>
  <c r="BY27" i="2"/>
  <c r="BY112" i="2"/>
  <c r="BY89" i="2"/>
  <c r="BY119" i="2"/>
  <c r="BY18" i="2"/>
  <c r="BY59" i="2"/>
  <c r="BY35" i="2"/>
  <c r="BY99" i="2"/>
  <c r="BY134" i="2"/>
  <c r="BY130" i="2"/>
  <c r="BY79" i="2" l="1"/>
  <c r="BY14" i="2"/>
  <c r="BY6" i="2" l="1"/>
  <c r="BY152" i="2" s="1"/>
  <c r="BY151" i="2" l="1"/>
  <c r="CD1" i="2"/>
  <c r="BY149" i="2"/>
  <c r="BY150" i="2"/>
  <c r="BZ3" i="2"/>
  <c r="CA2" i="2"/>
  <c r="BX141" i="2"/>
  <c r="BX140" i="2"/>
  <c r="BX139" i="2"/>
  <c r="BX137" i="2"/>
  <c r="BX136" i="2"/>
  <c r="BX135" i="2"/>
  <c r="BX133" i="2"/>
  <c r="BX132" i="2"/>
  <c r="BX131" i="2"/>
  <c r="BX129" i="2"/>
  <c r="BX128" i="2"/>
  <c r="BX127" i="2"/>
  <c r="BX126" i="2"/>
  <c r="BX125" i="2"/>
  <c r="BX124" i="2"/>
  <c r="BX122" i="2"/>
  <c r="BX121" i="2"/>
  <c r="BX120" i="2"/>
  <c r="BX118" i="2"/>
  <c r="BX117" i="2"/>
  <c r="BX116" i="2"/>
  <c r="BX114" i="2"/>
  <c r="BX113" i="2"/>
  <c r="BX111" i="2"/>
  <c r="BX110" i="2"/>
  <c r="BX108" i="2"/>
  <c r="BX107" i="2"/>
  <c r="BX105" i="2"/>
  <c r="BX104" i="2" s="1"/>
  <c r="BX103" i="2"/>
  <c r="BX102" i="2"/>
  <c r="BX97" i="2"/>
  <c r="BX96" i="2"/>
  <c r="BX94" i="2"/>
  <c r="BX93" i="2"/>
  <c r="BX90" i="2"/>
  <c r="BX87" i="2"/>
  <c r="BX83" i="2"/>
  <c r="BX80" i="2" s="1"/>
  <c r="BX78" i="2"/>
  <c r="BX77" i="2"/>
  <c r="BX76" i="2"/>
  <c r="BX74" i="2"/>
  <c r="BX73" i="2" s="1"/>
  <c r="BX71" i="2"/>
  <c r="BX70" i="2"/>
  <c r="BX69" i="2"/>
  <c r="BX68" i="2"/>
  <c r="BX67" i="2"/>
  <c r="BX64" i="2"/>
  <c r="BX63" i="2"/>
  <c r="BX62" i="2"/>
  <c r="BX61" i="2"/>
  <c r="BX60" i="2"/>
  <c r="BX49" i="2"/>
  <c r="BX48" i="2"/>
  <c r="BX47" i="2"/>
  <c r="BX46" i="2"/>
  <c r="BX43" i="2"/>
  <c r="BX42" i="2" s="1"/>
  <c r="BX41" i="2"/>
  <c r="BX40" i="2"/>
  <c r="BX38" i="2"/>
  <c r="BX37" i="2"/>
  <c r="BX36" i="2"/>
  <c r="BX32" i="2"/>
  <c r="BX31" i="2"/>
  <c r="BX26" i="2"/>
  <c r="BX25" i="2" s="1"/>
  <c r="BX24" i="2"/>
  <c r="BX23" i="2"/>
  <c r="BX22" i="2"/>
  <c r="BX21" i="2"/>
  <c r="BX15" i="2"/>
  <c r="BX8" i="2"/>
  <c r="BX7" i="2" s="1"/>
  <c r="BW141" i="2"/>
  <c r="BW140" i="2"/>
  <c r="BW139" i="2"/>
  <c r="BW137" i="2"/>
  <c r="BW136" i="2"/>
  <c r="BW135" i="2"/>
  <c r="BW133" i="2"/>
  <c r="BW132" i="2"/>
  <c r="BW131" i="2"/>
  <c r="BW129" i="2"/>
  <c r="BW128" i="2"/>
  <c r="BW127" i="2"/>
  <c r="BW126" i="2"/>
  <c r="BW125" i="2"/>
  <c r="BW124" i="2"/>
  <c r="BW122" i="2"/>
  <c r="BW121" i="2"/>
  <c r="BW120" i="2"/>
  <c r="BW118" i="2"/>
  <c r="BW117" i="2"/>
  <c r="BW116" i="2"/>
  <c r="BW114" i="2"/>
  <c r="BW113" i="2"/>
  <c r="BW111" i="2"/>
  <c r="BW110" i="2"/>
  <c r="BW108" i="2"/>
  <c r="BW107" i="2"/>
  <c r="BW105" i="2"/>
  <c r="BW104" i="2" s="1"/>
  <c r="BW103" i="2"/>
  <c r="BW102" i="2"/>
  <c r="BW97" i="2"/>
  <c r="BW96" i="2"/>
  <c r="BW94" i="2"/>
  <c r="BW93" i="2"/>
  <c r="BW90" i="2"/>
  <c r="BW87" i="2"/>
  <c r="BW83" i="2"/>
  <c r="BW80" i="2" s="1"/>
  <c r="BW78" i="2"/>
  <c r="BW77" i="2"/>
  <c r="BW76" i="2"/>
  <c r="BW74" i="2"/>
  <c r="BW73" i="2" s="1"/>
  <c r="BW71" i="2"/>
  <c r="BW70" i="2"/>
  <c r="BW69" i="2"/>
  <c r="BW68" i="2"/>
  <c r="BW67" i="2"/>
  <c r="BW64" i="2"/>
  <c r="BW63" i="2"/>
  <c r="BW62" i="2"/>
  <c r="BW61" i="2"/>
  <c r="BW60" i="2"/>
  <c r="BW49" i="2"/>
  <c r="BW48" i="2"/>
  <c r="BW47" i="2"/>
  <c r="BW46" i="2"/>
  <c r="BW43" i="2"/>
  <c r="BW42" i="2" s="1"/>
  <c r="BW41" i="2"/>
  <c r="BW40" i="2"/>
  <c r="BW38" i="2"/>
  <c r="BW37" i="2"/>
  <c r="BW36" i="2"/>
  <c r="BW32" i="2"/>
  <c r="BW31" i="2"/>
  <c r="BW26" i="2"/>
  <c r="BW25" i="2" s="1"/>
  <c r="BW24" i="2"/>
  <c r="BW23" i="2"/>
  <c r="BW22" i="2"/>
  <c r="BW21" i="2"/>
  <c r="BW15" i="2"/>
  <c r="BW8" i="2"/>
  <c r="BW7" i="2" s="1"/>
  <c r="BV141" i="2"/>
  <c r="BV140" i="2"/>
  <c r="BV139" i="2"/>
  <c r="BV137" i="2"/>
  <c r="BV136" i="2"/>
  <c r="BV135" i="2"/>
  <c r="BV133" i="2"/>
  <c r="BV132" i="2"/>
  <c r="BV131" i="2"/>
  <c r="BV129" i="2"/>
  <c r="BV128" i="2"/>
  <c r="BV127" i="2"/>
  <c r="BV126" i="2"/>
  <c r="BV125" i="2"/>
  <c r="BV124" i="2"/>
  <c r="BV122" i="2"/>
  <c r="BV121" i="2"/>
  <c r="BV120" i="2"/>
  <c r="BV118" i="2"/>
  <c r="BV117" i="2"/>
  <c r="BV116" i="2"/>
  <c r="BV114" i="2"/>
  <c r="BV113" i="2"/>
  <c r="BV111" i="2"/>
  <c r="BV110" i="2"/>
  <c r="BV108" i="2"/>
  <c r="BV107" i="2"/>
  <c r="BV105" i="2"/>
  <c r="BV104" i="2" s="1"/>
  <c r="BV103" i="2"/>
  <c r="BV102" i="2"/>
  <c r="BV97" i="2"/>
  <c r="BV96" i="2"/>
  <c r="BV94" i="2"/>
  <c r="BV93" i="2"/>
  <c r="BV90" i="2"/>
  <c r="BV87" i="2"/>
  <c r="BV83" i="2"/>
  <c r="BV80" i="2" s="1"/>
  <c r="BV78" i="2"/>
  <c r="BV77" i="2"/>
  <c r="BV76" i="2"/>
  <c r="BV74" i="2"/>
  <c r="BV73" i="2" s="1"/>
  <c r="BV71" i="2"/>
  <c r="BV70" i="2"/>
  <c r="BV69" i="2"/>
  <c r="BV68" i="2"/>
  <c r="BV67" i="2"/>
  <c r="BV64" i="2"/>
  <c r="BV63" i="2"/>
  <c r="BV62" i="2"/>
  <c r="BV61" i="2"/>
  <c r="BV60" i="2"/>
  <c r="BV49" i="2"/>
  <c r="BV48" i="2"/>
  <c r="BV47" i="2"/>
  <c r="BV46" i="2"/>
  <c r="BV43" i="2"/>
  <c r="BV42" i="2" s="1"/>
  <c r="BV41" i="2"/>
  <c r="BV40" i="2"/>
  <c r="BV38" i="2"/>
  <c r="BV37" i="2"/>
  <c r="BV36" i="2"/>
  <c r="BV32" i="2"/>
  <c r="BV31" i="2"/>
  <c r="BV26" i="2"/>
  <c r="BV25" i="2" s="1"/>
  <c r="BV24" i="2"/>
  <c r="BV23" i="2"/>
  <c r="BV22" i="2"/>
  <c r="BV21" i="2"/>
  <c r="BV15" i="2"/>
  <c r="BV8" i="2"/>
  <c r="BV7" i="2" s="1"/>
  <c r="H19" i="12"/>
  <c r="D15" i="9"/>
  <c r="H52" i="12"/>
  <c r="D16" i="9"/>
  <c r="H26" i="12"/>
  <c r="BX115" i="2" l="1"/>
  <c r="BX119" i="2"/>
  <c r="BX138" i="2"/>
  <c r="BX39" i="2"/>
  <c r="BX44" i="2"/>
  <c r="BX112" i="2"/>
  <c r="BX75" i="2"/>
  <c r="BW59" i="2"/>
  <c r="BX27" i="2"/>
  <c r="BW44" i="2"/>
  <c r="BW119" i="2"/>
  <c r="BV115" i="2"/>
  <c r="BW115" i="2"/>
  <c r="BX35" i="2"/>
  <c r="BX89" i="2"/>
  <c r="BX106" i="2"/>
  <c r="BW106" i="2"/>
  <c r="BW123" i="2"/>
  <c r="BX59" i="2"/>
  <c r="BX123" i="2"/>
  <c r="BX18" i="2"/>
  <c r="BW109" i="2"/>
  <c r="BX99" i="2"/>
  <c r="BX134" i="2"/>
  <c r="BW138" i="2"/>
  <c r="BX109" i="2"/>
  <c r="BX130" i="2"/>
  <c r="BW75" i="2"/>
  <c r="BW89" i="2"/>
  <c r="BW39" i="2"/>
  <c r="BW112" i="2"/>
  <c r="BW18" i="2"/>
  <c r="BW35" i="2"/>
  <c r="BV39" i="2"/>
  <c r="BV119" i="2"/>
  <c r="BW134" i="2"/>
  <c r="BV138" i="2"/>
  <c r="BW27" i="2"/>
  <c r="BW99" i="2"/>
  <c r="BW130" i="2"/>
  <c r="BV99" i="2"/>
  <c r="BV27" i="2"/>
  <c r="BV75" i="2"/>
  <c r="BV134" i="2"/>
  <c r="BV35" i="2"/>
  <c r="BV106" i="2"/>
  <c r="BV112" i="2"/>
  <c r="BV89" i="2"/>
  <c r="BV59" i="2"/>
  <c r="BV123" i="2"/>
  <c r="BV18" i="2"/>
  <c r="BV44" i="2"/>
  <c r="BV109" i="2"/>
  <c r="BV130" i="2"/>
  <c r="J55" i="12"/>
  <c r="J30" i="12"/>
  <c r="J29" i="12"/>
  <c r="J23" i="12"/>
  <c r="J22" i="12"/>
  <c r="J56" i="12"/>
  <c r="J31" i="12" l="1"/>
  <c r="BX14" i="2"/>
  <c r="BW79" i="2"/>
  <c r="BX79" i="2"/>
  <c r="BW14" i="2"/>
  <c r="J24" i="12"/>
  <c r="BV14" i="2"/>
  <c r="BV79" i="2"/>
  <c r="BW6" i="2" l="1"/>
  <c r="BW151" i="2" s="1"/>
  <c r="BX6" i="2"/>
  <c r="BV6" i="2"/>
  <c r="CA1" i="2" s="1"/>
  <c r="BU141" i="2"/>
  <c r="BU140" i="2"/>
  <c r="BU139" i="2"/>
  <c r="BU137" i="2"/>
  <c r="BU136" i="2"/>
  <c r="BU135" i="2"/>
  <c r="BU133" i="2"/>
  <c r="BU132" i="2"/>
  <c r="BU131" i="2"/>
  <c r="BU129" i="2"/>
  <c r="BU128" i="2"/>
  <c r="BU127" i="2"/>
  <c r="BU126" i="2"/>
  <c r="BU125" i="2"/>
  <c r="BU124" i="2"/>
  <c r="BU122" i="2"/>
  <c r="BU121" i="2"/>
  <c r="BU120" i="2"/>
  <c r="BU118" i="2"/>
  <c r="BU117" i="2"/>
  <c r="BU116" i="2"/>
  <c r="BU114" i="2"/>
  <c r="BU113" i="2"/>
  <c r="BU111" i="2"/>
  <c r="BU110" i="2"/>
  <c r="BU108" i="2"/>
  <c r="BU107" i="2"/>
  <c r="BU105" i="2"/>
  <c r="BU104" i="2" s="1"/>
  <c r="BU103" i="2"/>
  <c r="BU102" i="2"/>
  <c r="BU97" i="2"/>
  <c r="BU96" i="2"/>
  <c r="BU94" i="2"/>
  <c r="BU93" i="2"/>
  <c r="BU90" i="2"/>
  <c r="BU87" i="2"/>
  <c r="BU83" i="2"/>
  <c r="BU80" i="2" s="1"/>
  <c r="BU78" i="2"/>
  <c r="BU77" i="2"/>
  <c r="BU76" i="2"/>
  <c r="BU74" i="2"/>
  <c r="BU73" i="2" s="1"/>
  <c r="BU71" i="2"/>
  <c r="BU70" i="2"/>
  <c r="BU69" i="2"/>
  <c r="BU68" i="2"/>
  <c r="BU67" i="2"/>
  <c r="BU64" i="2"/>
  <c r="BU63" i="2"/>
  <c r="BU62" i="2"/>
  <c r="BU61" i="2"/>
  <c r="BU60" i="2"/>
  <c r="BU49" i="2"/>
  <c r="BU48" i="2"/>
  <c r="BU47" i="2"/>
  <c r="BU46" i="2"/>
  <c r="BU43" i="2"/>
  <c r="BU42" i="2" s="1"/>
  <c r="BU41" i="2"/>
  <c r="BU40" i="2"/>
  <c r="BU38" i="2"/>
  <c r="BU37" i="2"/>
  <c r="BU36" i="2"/>
  <c r="BU32" i="2"/>
  <c r="BU31" i="2"/>
  <c r="BU26" i="2"/>
  <c r="BU25" i="2" s="1"/>
  <c r="BU24" i="2"/>
  <c r="BU23" i="2"/>
  <c r="BU22" i="2"/>
  <c r="BU21" i="2"/>
  <c r="BU15" i="2"/>
  <c r="BU8" i="2"/>
  <c r="BU7" i="2" s="1"/>
  <c r="CB1" i="2" l="1"/>
  <c r="BW149" i="2"/>
  <c r="BZ2" i="2"/>
  <c r="CC1" i="2"/>
  <c r="BY3" i="2"/>
  <c r="BY2" i="2"/>
  <c r="BX3" i="2"/>
  <c r="BX2" i="2"/>
  <c r="BZ1" i="2"/>
  <c r="BW3" i="2"/>
  <c r="BU75" i="2"/>
  <c r="BU106" i="2"/>
  <c r="BU115" i="2"/>
  <c r="BU123" i="2"/>
  <c r="BU59" i="2"/>
  <c r="BU119" i="2"/>
  <c r="BU112" i="2"/>
  <c r="BU27" i="2"/>
  <c r="BU39" i="2"/>
  <c r="BU109" i="2"/>
  <c r="BU138" i="2"/>
  <c r="BU35" i="2"/>
  <c r="BU89" i="2"/>
  <c r="BU18" i="2"/>
  <c r="BU44" i="2"/>
  <c r="BU99" i="2"/>
  <c r="BU134" i="2"/>
  <c r="BU130" i="2"/>
  <c r="BU14" i="2" l="1"/>
  <c r="BU79" i="2"/>
  <c r="BU6" i="2" l="1"/>
  <c r="BU152" i="2" s="1"/>
  <c r="BT141" i="2"/>
  <c r="BT140" i="2"/>
  <c r="BT139" i="2"/>
  <c r="BT137" i="2"/>
  <c r="BT136" i="2"/>
  <c r="BT135" i="2"/>
  <c r="BT133" i="2"/>
  <c r="BT132" i="2"/>
  <c r="BT131" i="2"/>
  <c r="BT129" i="2"/>
  <c r="BT128" i="2"/>
  <c r="BT127" i="2"/>
  <c r="BT126" i="2"/>
  <c r="BT125" i="2"/>
  <c r="BT124" i="2"/>
  <c r="BT122" i="2"/>
  <c r="BT121" i="2"/>
  <c r="BT120" i="2"/>
  <c r="BT118" i="2"/>
  <c r="BT117" i="2"/>
  <c r="BT116" i="2"/>
  <c r="BT114" i="2"/>
  <c r="BT113" i="2"/>
  <c r="BT111" i="2"/>
  <c r="BT110" i="2"/>
  <c r="BT108" i="2"/>
  <c r="BT107" i="2"/>
  <c r="BT105" i="2"/>
  <c r="BT104" i="2" s="1"/>
  <c r="BT103" i="2"/>
  <c r="BT102" i="2"/>
  <c r="BT97" i="2"/>
  <c r="BT96" i="2"/>
  <c r="BT94" i="2"/>
  <c r="BT93" i="2"/>
  <c r="BT90" i="2"/>
  <c r="BT87" i="2"/>
  <c r="BT83" i="2"/>
  <c r="BT80" i="2" s="1"/>
  <c r="BT78" i="2"/>
  <c r="BT77" i="2"/>
  <c r="BT76" i="2"/>
  <c r="BT74" i="2"/>
  <c r="BT73" i="2" s="1"/>
  <c r="BT71" i="2"/>
  <c r="BT70" i="2"/>
  <c r="BT69" i="2"/>
  <c r="BT68" i="2"/>
  <c r="BT67" i="2"/>
  <c r="BT64" i="2"/>
  <c r="BT63" i="2"/>
  <c r="BT62" i="2"/>
  <c r="BT61" i="2"/>
  <c r="BT60" i="2"/>
  <c r="BT49" i="2"/>
  <c r="BT48" i="2"/>
  <c r="BT47" i="2"/>
  <c r="BT46" i="2"/>
  <c r="BT43" i="2"/>
  <c r="BT42" i="2" s="1"/>
  <c r="BT41" i="2"/>
  <c r="BT40" i="2"/>
  <c r="BT38" i="2"/>
  <c r="BT37" i="2"/>
  <c r="BT36" i="2"/>
  <c r="BT32" i="2"/>
  <c r="BT31" i="2"/>
  <c r="BT26" i="2"/>
  <c r="BT25" i="2" s="1"/>
  <c r="BT24" i="2"/>
  <c r="BT23" i="2"/>
  <c r="BT22" i="2"/>
  <c r="BT21" i="2"/>
  <c r="BT15" i="2"/>
  <c r="BT8" i="2"/>
  <c r="BT7" i="2" s="1"/>
  <c r="BS141" i="2"/>
  <c r="BS140" i="2"/>
  <c r="BS139" i="2"/>
  <c r="BS137" i="2"/>
  <c r="BS136" i="2"/>
  <c r="BS135" i="2"/>
  <c r="BS133" i="2"/>
  <c r="BS132" i="2"/>
  <c r="BS131" i="2"/>
  <c r="BS129" i="2"/>
  <c r="BS128" i="2"/>
  <c r="BS127" i="2"/>
  <c r="BS126" i="2"/>
  <c r="BS125" i="2"/>
  <c r="BS124" i="2"/>
  <c r="BS122" i="2"/>
  <c r="BS121" i="2"/>
  <c r="BS120" i="2"/>
  <c r="BS118" i="2"/>
  <c r="BS117" i="2"/>
  <c r="BS116" i="2"/>
  <c r="BS114" i="2"/>
  <c r="BS113" i="2"/>
  <c r="BS111" i="2"/>
  <c r="BS110" i="2"/>
  <c r="BS108" i="2"/>
  <c r="BS107" i="2"/>
  <c r="BS105" i="2"/>
  <c r="BS104" i="2" s="1"/>
  <c r="BS103" i="2"/>
  <c r="BS102" i="2"/>
  <c r="BS97" i="2"/>
  <c r="BS96" i="2"/>
  <c r="BS94" i="2"/>
  <c r="BS93" i="2"/>
  <c r="BS90" i="2"/>
  <c r="BS87" i="2"/>
  <c r="BS83" i="2"/>
  <c r="BS80" i="2" s="1"/>
  <c r="BS78" i="2"/>
  <c r="BS77" i="2"/>
  <c r="BS76" i="2"/>
  <c r="BS74" i="2"/>
  <c r="BS73" i="2" s="1"/>
  <c r="BS71" i="2"/>
  <c r="BS70" i="2"/>
  <c r="BS69" i="2"/>
  <c r="BS68" i="2"/>
  <c r="BS67" i="2"/>
  <c r="BS64" i="2"/>
  <c r="BS63" i="2"/>
  <c r="BS62" i="2"/>
  <c r="BS61" i="2"/>
  <c r="BS60" i="2"/>
  <c r="BS49" i="2"/>
  <c r="BS48" i="2"/>
  <c r="BS47" i="2"/>
  <c r="BS46" i="2"/>
  <c r="BS43" i="2"/>
  <c r="BS42" i="2" s="1"/>
  <c r="BS41" i="2"/>
  <c r="BS40" i="2"/>
  <c r="BS38" i="2"/>
  <c r="BS37" i="2"/>
  <c r="BS36" i="2"/>
  <c r="BS32" i="2"/>
  <c r="BS31" i="2"/>
  <c r="BS26" i="2"/>
  <c r="BS25" i="2" s="1"/>
  <c r="BS24" i="2"/>
  <c r="BS23" i="2"/>
  <c r="BS22" i="2"/>
  <c r="BS21" i="2"/>
  <c r="BS15" i="2"/>
  <c r="BS8" i="2"/>
  <c r="BS7" i="2" s="1"/>
  <c r="W16" i="3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W15" i="3"/>
  <c r="X15" i="3" s="1"/>
  <c r="Y15" i="3" s="1"/>
  <c r="BR141" i="2"/>
  <c r="BR140" i="2"/>
  <c r="BR139" i="2"/>
  <c r="BR137" i="2"/>
  <c r="BR136" i="2"/>
  <c r="BR135" i="2"/>
  <c r="BR133" i="2"/>
  <c r="BR132" i="2"/>
  <c r="BR131" i="2"/>
  <c r="BR129" i="2"/>
  <c r="BR128" i="2"/>
  <c r="BR127" i="2"/>
  <c r="BR126" i="2"/>
  <c r="BR125" i="2"/>
  <c r="BR124" i="2"/>
  <c r="BR122" i="2"/>
  <c r="BR121" i="2"/>
  <c r="BR120" i="2"/>
  <c r="BR118" i="2"/>
  <c r="BR117" i="2"/>
  <c r="BR116" i="2"/>
  <c r="BR114" i="2"/>
  <c r="BR113" i="2"/>
  <c r="BR111" i="2"/>
  <c r="BR110" i="2"/>
  <c r="BR108" i="2"/>
  <c r="BR107" i="2"/>
  <c r="BR105" i="2"/>
  <c r="BR104" i="2" s="1"/>
  <c r="BR103" i="2"/>
  <c r="BR102" i="2"/>
  <c r="BR97" i="2"/>
  <c r="BR96" i="2"/>
  <c r="BR94" i="2"/>
  <c r="BR93" i="2"/>
  <c r="BR90" i="2"/>
  <c r="BR87" i="2"/>
  <c r="BR83" i="2"/>
  <c r="BR80" i="2" s="1"/>
  <c r="BR78" i="2"/>
  <c r="BR77" i="2"/>
  <c r="BR76" i="2"/>
  <c r="BR74" i="2"/>
  <c r="BR73" i="2" s="1"/>
  <c r="BR71" i="2"/>
  <c r="BR70" i="2"/>
  <c r="BR69" i="2"/>
  <c r="BR68" i="2"/>
  <c r="BR67" i="2"/>
  <c r="BR64" i="2"/>
  <c r="BR63" i="2"/>
  <c r="BR62" i="2"/>
  <c r="BR61" i="2"/>
  <c r="BR60" i="2"/>
  <c r="BR49" i="2"/>
  <c r="BR48" i="2"/>
  <c r="BR47" i="2"/>
  <c r="BR46" i="2"/>
  <c r="BR43" i="2"/>
  <c r="BR42" i="2" s="1"/>
  <c r="BR41" i="2"/>
  <c r="BR40" i="2"/>
  <c r="BR38" i="2"/>
  <c r="BR37" i="2"/>
  <c r="BR36" i="2"/>
  <c r="BR32" i="2"/>
  <c r="BR31" i="2"/>
  <c r="BR26" i="2"/>
  <c r="BR25" i="2" s="1"/>
  <c r="BR24" i="2"/>
  <c r="BR23" i="2"/>
  <c r="BR22" i="2"/>
  <c r="BR21" i="2"/>
  <c r="BR15" i="2"/>
  <c r="BR8" i="2"/>
  <c r="BR7" i="2" s="1"/>
  <c r="BU151" i="2" l="1"/>
  <c r="BU150" i="2"/>
  <c r="BU149" i="2"/>
  <c r="BW2" i="2"/>
  <c r="BY1" i="2"/>
  <c r="BT112" i="2"/>
  <c r="BV3" i="2"/>
  <c r="BT106" i="2"/>
  <c r="BT27" i="2"/>
  <c r="BT39" i="2"/>
  <c r="BT75" i="2"/>
  <c r="BS123" i="2"/>
  <c r="BT123" i="2"/>
  <c r="BT138" i="2"/>
  <c r="BS119" i="2"/>
  <c r="BT134" i="2"/>
  <c r="BS115" i="2"/>
  <c r="BT18" i="2"/>
  <c r="BT109" i="2"/>
  <c r="BT115" i="2"/>
  <c r="BT119" i="2"/>
  <c r="BT59" i="2"/>
  <c r="BT89" i="2"/>
  <c r="BR119" i="2"/>
  <c r="BS18" i="2"/>
  <c r="BS35" i="2"/>
  <c r="BS99" i="2"/>
  <c r="BT44" i="2"/>
  <c r="BS75" i="2"/>
  <c r="BT35" i="2"/>
  <c r="BT99" i="2"/>
  <c r="BS106" i="2"/>
  <c r="BS112" i="2"/>
  <c r="BT130" i="2"/>
  <c r="BS89" i="2"/>
  <c r="BS27" i="2"/>
  <c r="BS44" i="2"/>
  <c r="BS109" i="2"/>
  <c r="BS138" i="2"/>
  <c r="BS134" i="2"/>
  <c r="BS39" i="2"/>
  <c r="BS59" i="2"/>
  <c r="BS130" i="2"/>
  <c r="BR115" i="2"/>
  <c r="BR123" i="2"/>
  <c r="BR75" i="2"/>
  <c r="BR99" i="2"/>
  <c r="BR59" i="2"/>
  <c r="BR112" i="2"/>
  <c r="BR27" i="2"/>
  <c r="BR39" i="2"/>
  <c r="BR109" i="2"/>
  <c r="BR89" i="2"/>
  <c r="BR18" i="2"/>
  <c r="BR35" i="2"/>
  <c r="BR44" i="2"/>
  <c r="BR106" i="2"/>
  <c r="BR138" i="2"/>
  <c r="BR134" i="2"/>
  <c r="BR130" i="2"/>
  <c r="BT14" i="2" l="1"/>
  <c r="BT79" i="2"/>
  <c r="BS14" i="2"/>
  <c r="BS79" i="2"/>
  <c r="BR14" i="2"/>
  <c r="BR79" i="2"/>
  <c r="BT6" i="2" l="1"/>
  <c r="BS6" i="2"/>
  <c r="BS151" i="2" s="1"/>
  <c r="BR6" i="2"/>
  <c r="BV1" i="2" s="1"/>
  <c r="BQ141" i="2"/>
  <c r="BQ140" i="2"/>
  <c r="BQ139" i="2"/>
  <c r="BQ137" i="2"/>
  <c r="BQ136" i="2"/>
  <c r="BQ135" i="2"/>
  <c r="BQ133" i="2"/>
  <c r="BQ132" i="2"/>
  <c r="BQ131" i="2"/>
  <c r="BQ129" i="2"/>
  <c r="BQ128" i="2"/>
  <c r="BQ127" i="2"/>
  <c r="BQ126" i="2"/>
  <c r="BQ125" i="2"/>
  <c r="BQ124" i="2"/>
  <c r="BQ122" i="2"/>
  <c r="BQ121" i="2"/>
  <c r="BQ120" i="2"/>
  <c r="BQ118" i="2"/>
  <c r="BQ117" i="2"/>
  <c r="BQ116" i="2"/>
  <c r="BQ114" i="2"/>
  <c r="BQ113" i="2"/>
  <c r="BQ111" i="2"/>
  <c r="BQ110" i="2"/>
  <c r="BQ108" i="2"/>
  <c r="BQ107" i="2"/>
  <c r="BQ105" i="2"/>
  <c r="BQ104" i="2" s="1"/>
  <c r="BQ103" i="2"/>
  <c r="BQ102" i="2"/>
  <c r="BQ97" i="2"/>
  <c r="BQ96" i="2"/>
  <c r="BQ94" i="2"/>
  <c r="BQ93" i="2"/>
  <c r="BQ90" i="2"/>
  <c r="BQ87" i="2"/>
  <c r="BQ83" i="2"/>
  <c r="BQ80" i="2" s="1"/>
  <c r="BQ78" i="2"/>
  <c r="BQ77" i="2"/>
  <c r="BQ76" i="2"/>
  <c r="BQ74" i="2"/>
  <c r="BQ73" i="2" s="1"/>
  <c r="BQ71" i="2"/>
  <c r="BQ70" i="2"/>
  <c r="BQ69" i="2"/>
  <c r="BQ68" i="2"/>
  <c r="BQ67" i="2"/>
  <c r="BQ64" i="2"/>
  <c r="BQ63" i="2"/>
  <c r="BQ62" i="2"/>
  <c r="BQ61" i="2"/>
  <c r="BQ60" i="2"/>
  <c r="BQ49" i="2"/>
  <c r="BQ48" i="2"/>
  <c r="BQ47" i="2"/>
  <c r="BQ46" i="2"/>
  <c r="BQ43" i="2"/>
  <c r="BQ42" i="2" s="1"/>
  <c r="BQ41" i="2"/>
  <c r="BQ40" i="2"/>
  <c r="BQ38" i="2"/>
  <c r="BQ37" i="2"/>
  <c r="BQ36" i="2"/>
  <c r="BQ32" i="2"/>
  <c r="BQ31" i="2"/>
  <c r="BQ26" i="2"/>
  <c r="BQ25" i="2" s="1"/>
  <c r="BQ24" i="2"/>
  <c r="BQ23" i="2"/>
  <c r="BQ22" i="2"/>
  <c r="BQ21" i="2"/>
  <c r="BQ15" i="2"/>
  <c r="BQ8" i="2"/>
  <c r="BQ7" i="2" s="1"/>
  <c r="CL6" i="14"/>
  <c r="CK137" i="14"/>
  <c r="CK133" i="14"/>
  <c r="CK129" i="14"/>
  <c r="CK122" i="14"/>
  <c r="CK118" i="14"/>
  <c r="CK114" i="14"/>
  <c r="CK111" i="14"/>
  <c r="CK108" i="14"/>
  <c r="CK105" i="14"/>
  <c r="CK103" i="14"/>
  <c r="CK98" i="14"/>
  <c r="CK88" i="14"/>
  <c r="CK86" i="14"/>
  <c r="CK79" i="14"/>
  <c r="CK74" i="14"/>
  <c r="CK72" i="14"/>
  <c r="CK58" i="14"/>
  <c r="CK48" i="14"/>
  <c r="CK43" i="14"/>
  <c r="CK41" i="14"/>
  <c r="CK38" i="14"/>
  <c r="CK34" i="14"/>
  <c r="CK26" i="14"/>
  <c r="CK24" i="14"/>
  <c r="CK17" i="14"/>
  <c r="CK14" i="14"/>
  <c r="CK7" i="14"/>
  <c r="CK6" i="14" s="1"/>
  <c r="CJ137" i="14"/>
  <c r="CJ133" i="14"/>
  <c r="CJ129" i="14"/>
  <c r="CJ122" i="14"/>
  <c r="CJ118" i="14"/>
  <c r="CJ114" i="14"/>
  <c r="CJ111" i="14"/>
  <c r="CJ108" i="14"/>
  <c r="CJ105" i="14"/>
  <c r="CJ103" i="14"/>
  <c r="CJ98" i="14"/>
  <c r="CJ88" i="14"/>
  <c r="CJ86" i="14"/>
  <c r="CJ79" i="14"/>
  <c r="CJ74" i="14"/>
  <c r="CJ72" i="14"/>
  <c r="CJ58" i="14"/>
  <c r="CJ48" i="14"/>
  <c r="CJ43" i="14"/>
  <c r="CJ41" i="14"/>
  <c r="CJ38" i="14"/>
  <c r="CJ34" i="14"/>
  <c r="CJ26" i="14"/>
  <c r="CJ24" i="14"/>
  <c r="CJ17" i="14"/>
  <c r="CJ14" i="14"/>
  <c r="CJ7" i="14"/>
  <c r="CJ6" i="14" s="1"/>
  <c r="CI137" i="14"/>
  <c r="CI133" i="14"/>
  <c r="CI129" i="14"/>
  <c r="CI122" i="14"/>
  <c r="CI118" i="14"/>
  <c r="CI114" i="14"/>
  <c r="CI111" i="14"/>
  <c r="CI108" i="14"/>
  <c r="CI105" i="14"/>
  <c r="CI103" i="14"/>
  <c r="CI98" i="14"/>
  <c r="CI88" i="14"/>
  <c r="CI86" i="14"/>
  <c r="CI79" i="14"/>
  <c r="CI74" i="14"/>
  <c r="CI72" i="14"/>
  <c r="CI58" i="14"/>
  <c r="CI48" i="14"/>
  <c r="CI43" i="14"/>
  <c r="CI41" i="14"/>
  <c r="CI38" i="14"/>
  <c r="CI34" i="14"/>
  <c r="CI26" i="14"/>
  <c r="CI24" i="14"/>
  <c r="CI17" i="14"/>
  <c r="CI14" i="14"/>
  <c r="CI7" i="14"/>
  <c r="CI6" i="14" s="1"/>
  <c r="CH137" i="14"/>
  <c r="CH133" i="14"/>
  <c r="CH129" i="14"/>
  <c r="CH122" i="14"/>
  <c r="CH118" i="14"/>
  <c r="CH114" i="14"/>
  <c r="CH111" i="14"/>
  <c r="CH108" i="14"/>
  <c r="CH105" i="14"/>
  <c r="CH103" i="14"/>
  <c r="CH98" i="14"/>
  <c r="CH88" i="14"/>
  <c r="CH86" i="14"/>
  <c r="CH79" i="14"/>
  <c r="CH74" i="14"/>
  <c r="CH72" i="14"/>
  <c r="CH58" i="14"/>
  <c r="CH48" i="14"/>
  <c r="CH43" i="14"/>
  <c r="CH41" i="14"/>
  <c r="CH38" i="14"/>
  <c r="CH34" i="14"/>
  <c r="CH26" i="14"/>
  <c r="CH24" i="14"/>
  <c r="CH17" i="14"/>
  <c r="CH14" i="14"/>
  <c r="CH7" i="14"/>
  <c r="CH6" i="14" s="1"/>
  <c r="CG137" i="14"/>
  <c r="CG133" i="14"/>
  <c r="CG129" i="14"/>
  <c r="CG122" i="14"/>
  <c r="CG118" i="14"/>
  <c r="CG114" i="14"/>
  <c r="CG111" i="14"/>
  <c r="CG108" i="14"/>
  <c r="CG105" i="14"/>
  <c r="CG103" i="14"/>
  <c r="CG98" i="14"/>
  <c r="CG88" i="14"/>
  <c r="CG86" i="14"/>
  <c r="CG79" i="14"/>
  <c r="CG74" i="14"/>
  <c r="CG72" i="14"/>
  <c r="CG58" i="14"/>
  <c r="CG48" i="14"/>
  <c r="CG43" i="14"/>
  <c r="CG41" i="14"/>
  <c r="CG38" i="14"/>
  <c r="CG34" i="14"/>
  <c r="CG26" i="14"/>
  <c r="CG24" i="14"/>
  <c r="CG17" i="14"/>
  <c r="CG14" i="14"/>
  <c r="CG7" i="14"/>
  <c r="CG6" i="14" s="1"/>
  <c r="CF137" i="14"/>
  <c r="CF133" i="14"/>
  <c r="CF129" i="14"/>
  <c r="CF122" i="14"/>
  <c r="CF118" i="14"/>
  <c r="CF114" i="14"/>
  <c r="CF111" i="14"/>
  <c r="CF108" i="14"/>
  <c r="CF105" i="14"/>
  <c r="CF103" i="14"/>
  <c r="CF98" i="14"/>
  <c r="CF88" i="14"/>
  <c r="CF86" i="14"/>
  <c r="CF79" i="14"/>
  <c r="CF74" i="14"/>
  <c r="CF72" i="14"/>
  <c r="CF58" i="14"/>
  <c r="CF48" i="14"/>
  <c r="CF43" i="14"/>
  <c r="CF41" i="14"/>
  <c r="CF38" i="14"/>
  <c r="CF34" i="14"/>
  <c r="CF26" i="14"/>
  <c r="CF24" i="14"/>
  <c r="CF17" i="14"/>
  <c r="CF14" i="14"/>
  <c r="CF7" i="14"/>
  <c r="CF6" i="14" s="1"/>
  <c r="CE137" i="14"/>
  <c r="CE133" i="14"/>
  <c r="CE129" i="14"/>
  <c r="CE122" i="14"/>
  <c r="CE118" i="14"/>
  <c r="CE114" i="14"/>
  <c r="CE111" i="14"/>
  <c r="CE108" i="14"/>
  <c r="CE105" i="14"/>
  <c r="CE103" i="14"/>
  <c r="CE98" i="14"/>
  <c r="CE88" i="14"/>
  <c r="CE86" i="14"/>
  <c r="CE79" i="14"/>
  <c r="CE74" i="14"/>
  <c r="CE72" i="14"/>
  <c r="CE58" i="14"/>
  <c r="CE48" i="14"/>
  <c r="CE43" i="14"/>
  <c r="CE41" i="14"/>
  <c r="CE38" i="14"/>
  <c r="CE34" i="14"/>
  <c r="CE26" i="14"/>
  <c r="CE24" i="14"/>
  <c r="CE17" i="14"/>
  <c r="CE14" i="14"/>
  <c r="CE7" i="14"/>
  <c r="CE6" i="14" s="1"/>
  <c r="CD137" i="14"/>
  <c r="CD133" i="14"/>
  <c r="CD129" i="14"/>
  <c r="CD122" i="14"/>
  <c r="CD118" i="14"/>
  <c r="CD114" i="14"/>
  <c r="CD111" i="14"/>
  <c r="CD108" i="14"/>
  <c r="CD105" i="14"/>
  <c r="CD103" i="14"/>
  <c r="CD98" i="14"/>
  <c r="CD88" i="14"/>
  <c r="CD86" i="14"/>
  <c r="CD79" i="14"/>
  <c r="CD74" i="14"/>
  <c r="CD72" i="14"/>
  <c r="CD58" i="14"/>
  <c r="CD48" i="14"/>
  <c r="CD43" i="14"/>
  <c r="CD41" i="14"/>
  <c r="CD38" i="14"/>
  <c r="CD34" i="14"/>
  <c r="CD26" i="14"/>
  <c r="CD24" i="14"/>
  <c r="CD17" i="14"/>
  <c r="CD14" i="14"/>
  <c r="CD7" i="14"/>
  <c r="CD6" i="14" s="1"/>
  <c r="CC137" i="14"/>
  <c r="CC133" i="14"/>
  <c r="CC129" i="14"/>
  <c r="CC122" i="14"/>
  <c r="CC118" i="14"/>
  <c r="CC114" i="14"/>
  <c r="CC111" i="14"/>
  <c r="CC108" i="14"/>
  <c r="CC105" i="14"/>
  <c r="CC103" i="14"/>
  <c r="CC98" i="14"/>
  <c r="CC88" i="14"/>
  <c r="CC86" i="14"/>
  <c r="CC79" i="14"/>
  <c r="CC74" i="14"/>
  <c r="CC72" i="14"/>
  <c r="CC58" i="14"/>
  <c r="CC48" i="14"/>
  <c r="CC43" i="14"/>
  <c r="CC41" i="14"/>
  <c r="CC38" i="14"/>
  <c r="CC34" i="14"/>
  <c r="CC26" i="14"/>
  <c r="CC24" i="14"/>
  <c r="CC17" i="14"/>
  <c r="CC14" i="14"/>
  <c r="CC7" i="14"/>
  <c r="CC6" i="14" s="1"/>
  <c r="CB137" i="14"/>
  <c r="CB133" i="14"/>
  <c r="CB129" i="14"/>
  <c r="CB122" i="14"/>
  <c r="CB118" i="14"/>
  <c r="CB114" i="14"/>
  <c r="CB111" i="14"/>
  <c r="CB108" i="14"/>
  <c r="CB105" i="14"/>
  <c r="CB103" i="14"/>
  <c r="CB98" i="14"/>
  <c r="CB88" i="14"/>
  <c r="CB86" i="14"/>
  <c r="CB79" i="14"/>
  <c r="CB74" i="14"/>
  <c r="CB72" i="14"/>
  <c r="CB58" i="14"/>
  <c r="CB48" i="14"/>
  <c r="CB43" i="14"/>
  <c r="CB41" i="14"/>
  <c r="CB38" i="14"/>
  <c r="CB34" i="14"/>
  <c r="CB26" i="14"/>
  <c r="CB24" i="14"/>
  <c r="CB17" i="14"/>
  <c r="CB14" i="14"/>
  <c r="CB7" i="14"/>
  <c r="CB6" i="14" s="1"/>
  <c r="CA137" i="14"/>
  <c r="CA133" i="14"/>
  <c r="CA129" i="14"/>
  <c r="CA122" i="14"/>
  <c r="CA118" i="14"/>
  <c r="CA114" i="14"/>
  <c r="CA111" i="14"/>
  <c r="CA108" i="14"/>
  <c r="CA105" i="14"/>
  <c r="CA103" i="14"/>
  <c r="CA98" i="14"/>
  <c r="CA88" i="14"/>
  <c r="CA86" i="14"/>
  <c r="CA79" i="14"/>
  <c r="CA74" i="14"/>
  <c r="CA72" i="14"/>
  <c r="CA58" i="14"/>
  <c r="CA48" i="14"/>
  <c r="CA43" i="14"/>
  <c r="CA41" i="14"/>
  <c r="CA38" i="14"/>
  <c r="CA34" i="14"/>
  <c r="CA26" i="14"/>
  <c r="CA24" i="14"/>
  <c r="CA17" i="14"/>
  <c r="CA14" i="14"/>
  <c r="CA7" i="14"/>
  <c r="CA6" i="14" s="1"/>
  <c r="BZ137" i="14"/>
  <c r="BZ133" i="14"/>
  <c r="BZ129" i="14"/>
  <c r="BZ122" i="14"/>
  <c r="BZ118" i="14"/>
  <c r="BZ114" i="14"/>
  <c r="BZ111" i="14"/>
  <c r="BZ108" i="14"/>
  <c r="BZ105" i="14"/>
  <c r="BZ103" i="14"/>
  <c r="BZ98" i="14"/>
  <c r="BZ88" i="14"/>
  <c r="BZ86" i="14"/>
  <c r="BZ79" i="14"/>
  <c r="BZ74" i="14"/>
  <c r="BZ72" i="14"/>
  <c r="BZ58" i="14"/>
  <c r="BZ48" i="14"/>
  <c r="BZ43" i="14"/>
  <c r="BZ41" i="14"/>
  <c r="BZ38" i="14"/>
  <c r="BZ34" i="14"/>
  <c r="BZ26" i="14"/>
  <c r="BZ24" i="14"/>
  <c r="BZ17" i="14"/>
  <c r="BZ14" i="14"/>
  <c r="BZ7" i="14"/>
  <c r="BZ6" i="14" s="1"/>
  <c r="BY137" i="14"/>
  <c r="BY133" i="14"/>
  <c r="BY129" i="14"/>
  <c r="BY122" i="14"/>
  <c r="BY118" i="14"/>
  <c r="BY114" i="14"/>
  <c r="BY111" i="14"/>
  <c r="BY108" i="14"/>
  <c r="BY105" i="14"/>
  <c r="BY103" i="14"/>
  <c r="BY98" i="14"/>
  <c r="BY88" i="14"/>
  <c r="BY86" i="14"/>
  <c r="BY79" i="14"/>
  <c r="BY74" i="14"/>
  <c r="BY72" i="14"/>
  <c r="BY58" i="14"/>
  <c r="BY48" i="14"/>
  <c r="BY43" i="14"/>
  <c r="BY41" i="14"/>
  <c r="BY38" i="14"/>
  <c r="BY34" i="14"/>
  <c r="BY26" i="14"/>
  <c r="BY24" i="14"/>
  <c r="BY17" i="14"/>
  <c r="BY14" i="14"/>
  <c r="BY7" i="14"/>
  <c r="BY6" i="14" s="1"/>
  <c r="BX137" i="14"/>
  <c r="BX133" i="14"/>
  <c r="BX129" i="14"/>
  <c r="BX122" i="14"/>
  <c r="BX118" i="14"/>
  <c r="BX114" i="14"/>
  <c r="BX111" i="14"/>
  <c r="BX108" i="14"/>
  <c r="BX105" i="14"/>
  <c r="BX103" i="14"/>
  <c r="BX98" i="14"/>
  <c r="BX88" i="14"/>
  <c r="BX86" i="14"/>
  <c r="BX79" i="14"/>
  <c r="BX74" i="14"/>
  <c r="BX72" i="14"/>
  <c r="BX58" i="14"/>
  <c r="BX48" i="14"/>
  <c r="BX43" i="14"/>
  <c r="BX41" i="14"/>
  <c r="BX38" i="14"/>
  <c r="BX34" i="14"/>
  <c r="BX26" i="14"/>
  <c r="BX24" i="14"/>
  <c r="BX17" i="14"/>
  <c r="BX14" i="14"/>
  <c r="BX7" i="14"/>
  <c r="BX6" i="14" s="1"/>
  <c r="BW137" i="14"/>
  <c r="BW133" i="14"/>
  <c r="BW129" i="14"/>
  <c r="BW122" i="14"/>
  <c r="BW118" i="14"/>
  <c r="BW114" i="14"/>
  <c r="BW111" i="14"/>
  <c r="BW108" i="14"/>
  <c r="BW105" i="14"/>
  <c r="BW103" i="14"/>
  <c r="BW98" i="14"/>
  <c r="BW88" i="14"/>
  <c r="BW86" i="14"/>
  <c r="BW79" i="14"/>
  <c r="BW74" i="14"/>
  <c r="BW72" i="14"/>
  <c r="BW58" i="14"/>
  <c r="BW48" i="14"/>
  <c r="BW43" i="14"/>
  <c r="BW41" i="14"/>
  <c r="BW38" i="14"/>
  <c r="BW34" i="14"/>
  <c r="BW26" i="14"/>
  <c r="BW24" i="14"/>
  <c r="BW17" i="14"/>
  <c r="BW14" i="14"/>
  <c r="BW7" i="14"/>
  <c r="BW6" i="14" s="1"/>
  <c r="BV137" i="14"/>
  <c r="BV133" i="14"/>
  <c r="BV129" i="14"/>
  <c r="BV122" i="14"/>
  <c r="BV118" i="14"/>
  <c r="BV114" i="14"/>
  <c r="BV111" i="14"/>
  <c r="BV108" i="14"/>
  <c r="BV105" i="14"/>
  <c r="BV103" i="14"/>
  <c r="BV98" i="14"/>
  <c r="BV88" i="14"/>
  <c r="BV86" i="14"/>
  <c r="BV79" i="14"/>
  <c r="BV74" i="14"/>
  <c r="BV72" i="14"/>
  <c r="BV58" i="14"/>
  <c r="BV48" i="14"/>
  <c r="BV43" i="14"/>
  <c r="BV41" i="14"/>
  <c r="BV38" i="14"/>
  <c r="BV34" i="14"/>
  <c r="BV26" i="14"/>
  <c r="BV24" i="14"/>
  <c r="BV17" i="14"/>
  <c r="BV14" i="14"/>
  <c r="BV7" i="14"/>
  <c r="BV6" i="14" s="1"/>
  <c r="BP141" i="2"/>
  <c r="BP140" i="2"/>
  <c r="BP139" i="2"/>
  <c r="BP137" i="2"/>
  <c r="BP136" i="2"/>
  <c r="BP135" i="2"/>
  <c r="BP133" i="2"/>
  <c r="BP132" i="2"/>
  <c r="BP131" i="2"/>
  <c r="BP129" i="2"/>
  <c r="BP128" i="2"/>
  <c r="BP127" i="2"/>
  <c r="BP126" i="2"/>
  <c r="BP125" i="2"/>
  <c r="BP124" i="2"/>
  <c r="BP122" i="2"/>
  <c r="BP121" i="2"/>
  <c r="BP120" i="2"/>
  <c r="BP118" i="2"/>
  <c r="BP117" i="2"/>
  <c r="BP116" i="2"/>
  <c r="BP114" i="2"/>
  <c r="BP113" i="2"/>
  <c r="BP111" i="2"/>
  <c r="BP110" i="2"/>
  <c r="BP108" i="2"/>
  <c r="BP107" i="2"/>
  <c r="BP105" i="2"/>
  <c r="BP104" i="2" s="1"/>
  <c r="BP103" i="2"/>
  <c r="BP102" i="2"/>
  <c r="BP97" i="2"/>
  <c r="BP96" i="2"/>
  <c r="BP94" i="2"/>
  <c r="BP93" i="2"/>
  <c r="BP90" i="2"/>
  <c r="BP87" i="2"/>
  <c r="BP83" i="2"/>
  <c r="BP80" i="2" s="1"/>
  <c r="BP78" i="2"/>
  <c r="BP77" i="2"/>
  <c r="BP76" i="2"/>
  <c r="BP74" i="2"/>
  <c r="BP73" i="2" s="1"/>
  <c r="BP71" i="2"/>
  <c r="BP70" i="2"/>
  <c r="BP69" i="2"/>
  <c r="BP68" i="2"/>
  <c r="BP67" i="2"/>
  <c r="BP64" i="2"/>
  <c r="BP63" i="2"/>
  <c r="BP62" i="2"/>
  <c r="BP61" i="2"/>
  <c r="BP60" i="2"/>
  <c r="BP49" i="2"/>
  <c r="BP48" i="2"/>
  <c r="BP47" i="2"/>
  <c r="BP46" i="2"/>
  <c r="BP43" i="2"/>
  <c r="BP42" i="2" s="1"/>
  <c r="BP41" i="2"/>
  <c r="BP40" i="2"/>
  <c r="BP38" i="2"/>
  <c r="BP37" i="2"/>
  <c r="BP36" i="2"/>
  <c r="BP32" i="2"/>
  <c r="BP31" i="2"/>
  <c r="BP26" i="2"/>
  <c r="BP25" i="2" s="1"/>
  <c r="BP24" i="2"/>
  <c r="BP23" i="2"/>
  <c r="BP22" i="2"/>
  <c r="BP21" i="2"/>
  <c r="BP15" i="2"/>
  <c r="BP8" i="2"/>
  <c r="BP7" i="2" s="1"/>
  <c r="BO141" i="2"/>
  <c r="BO140" i="2"/>
  <c r="BO139" i="2"/>
  <c r="BO137" i="2"/>
  <c r="BO136" i="2"/>
  <c r="BO135" i="2"/>
  <c r="BO133" i="2"/>
  <c r="BO132" i="2"/>
  <c r="BO131" i="2"/>
  <c r="BO129" i="2"/>
  <c r="BO128" i="2"/>
  <c r="BO127" i="2"/>
  <c r="BO126" i="2"/>
  <c r="BO125" i="2"/>
  <c r="BO124" i="2"/>
  <c r="BO122" i="2"/>
  <c r="BO121" i="2"/>
  <c r="BO120" i="2"/>
  <c r="BO118" i="2"/>
  <c r="BO117" i="2"/>
  <c r="BO116" i="2"/>
  <c r="BO114" i="2"/>
  <c r="BO113" i="2"/>
  <c r="BO111" i="2"/>
  <c r="BO110" i="2"/>
  <c r="BO108" i="2"/>
  <c r="BO107" i="2"/>
  <c r="BO105" i="2"/>
  <c r="BO104" i="2" s="1"/>
  <c r="BO103" i="2"/>
  <c r="BO102" i="2"/>
  <c r="BO97" i="2"/>
  <c r="BO96" i="2"/>
  <c r="BO94" i="2"/>
  <c r="BO93" i="2"/>
  <c r="BO90" i="2"/>
  <c r="BO87" i="2"/>
  <c r="BO83" i="2"/>
  <c r="BO80" i="2" s="1"/>
  <c r="BO78" i="2"/>
  <c r="BO77" i="2"/>
  <c r="BO76" i="2"/>
  <c r="BO74" i="2"/>
  <c r="BO73" i="2" s="1"/>
  <c r="BO71" i="2"/>
  <c r="BO70" i="2"/>
  <c r="BO69" i="2"/>
  <c r="BO68" i="2"/>
  <c r="BO67" i="2"/>
  <c r="BO64" i="2"/>
  <c r="BO63" i="2"/>
  <c r="BO62" i="2"/>
  <c r="BO61" i="2"/>
  <c r="BO60" i="2"/>
  <c r="BO49" i="2"/>
  <c r="BO48" i="2"/>
  <c r="BO47" i="2"/>
  <c r="BO46" i="2"/>
  <c r="BO43" i="2"/>
  <c r="BO42" i="2" s="1"/>
  <c r="BO41" i="2"/>
  <c r="BO40" i="2"/>
  <c r="BO38" i="2"/>
  <c r="BO37" i="2"/>
  <c r="BO36" i="2"/>
  <c r="BO32" i="2"/>
  <c r="BO31" i="2"/>
  <c r="BO26" i="2"/>
  <c r="BO25" i="2" s="1"/>
  <c r="BO24" i="2"/>
  <c r="BO23" i="2"/>
  <c r="BO22" i="2"/>
  <c r="BO21" i="2"/>
  <c r="BO15" i="2"/>
  <c r="BO8" i="2"/>
  <c r="BO7" i="2" s="1"/>
  <c r="AE85" i="3"/>
  <c r="AF85" i="3" s="1"/>
  <c r="AG85" i="3" s="1"/>
  <c r="AH85" i="3" s="1"/>
  <c r="AI85" i="3" s="1"/>
  <c r="AJ85" i="3" s="1"/>
  <c r="AK85" i="3" s="1"/>
  <c r="X84" i="3"/>
  <c r="Y84" i="3" s="1"/>
  <c r="Z84" i="3" s="1"/>
  <c r="AA84" i="3" s="1"/>
  <c r="AB84" i="3" s="1"/>
  <c r="AC84" i="3" s="1"/>
  <c r="AD84" i="3" s="1"/>
  <c r="AI82" i="3"/>
  <c r="AJ82" i="3" s="1"/>
  <c r="AK82" i="3" s="1"/>
  <c r="AL82" i="3" s="1"/>
  <c r="AM82" i="3" s="1"/>
  <c r="AN82" i="3" s="1"/>
  <c r="AO82" i="3" s="1"/>
  <c r="AI81" i="3"/>
  <c r="AJ81" i="3" s="1"/>
  <c r="AK81" i="3" s="1"/>
  <c r="AL81" i="3" s="1"/>
  <c r="AM81" i="3" s="1"/>
  <c r="AN81" i="3" s="1"/>
  <c r="AO81" i="3" s="1"/>
  <c r="AI80" i="3"/>
  <c r="AJ80" i="3" s="1"/>
  <c r="AK80" i="3" s="1"/>
  <c r="AL80" i="3" s="1"/>
  <c r="AM80" i="3" s="1"/>
  <c r="AN80" i="3" s="1"/>
  <c r="AO80" i="3" s="1"/>
  <c r="AI79" i="3"/>
  <c r="AJ79" i="3" s="1"/>
  <c r="AK79" i="3" s="1"/>
  <c r="AL79" i="3" s="1"/>
  <c r="AM79" i="3" s="1"/>
  <c r="AN79" i="3" s="1"/>
  <c r="AO79" i="3" s="1"/>
  <c r="AI78" i="3"/>
  <c r="AJ78" i="3" s="1"/>
  <c r="AK78" i="3" s="1"/>
  <c r="AL78" i="3" s="1"/>
  <c r="AM78" i="3" s="1"/>
  <c r="AN78" i="3" s="1"/>
  <c r="AO78" i="3" s="1"/>
  <c r="AI77" i="3"/>
  <c r="AJ77" i="3" s="1"/>
  <c r="AK77" i="3" s="1"/>
  <c r="AL77" i="3" s="1"/>
  <c r="AM77" i="3" s="1"/>
  <c r="AN77" i="3" s="1"/>
  <c r="AO77" i="3" s="1"/>
  <c r="W74" i="3"/>
  <c r="X74" i="3" s="1"/>
  <c r="Y74" i="3" s="1"/>
  <c r="Z74" i="3" s="1"/>
  <c r="AA74" i="3" s="1"/>
  <c r="AB74" i="3" s="1"/>
  <c r="AC74" i="3" s="1"/>
  <c r="AB64" i="3"/>
  <c r="AC64" i="3" s="1"/>
  <c r="AD64" i="3" s="1"/>
  <c r="AE64" i="3" s="1"/>
  <c r="AF64" i="3" s="1"/>
  <c r="AG64" i="3" s="1"/>
  <c r="AH64" i="3" s="1"/>
  <c r="AI64" i="3" s="1"/>
  <c r="AF58" i="3"/>
  <c r="AG58" i="3" s="1"/>
  <c r="AH58" i="3" s="1"/>
  <c r="AI58" i="3" s="1"/>
  <c r="L53" i="3"/>
  <c r="M53" i="3" s="1"/>
  <c r="N53" i="3" s="1"/>
  <c r="O53" i="3" s="1"/>
  <c r="P53" i="3" s="1"/>
  <c r="Q53" i="3" s="1"/>
  <c r="R53" i="3" s="1"/>
  <c r="S53" i="3" s="1"/>
  <c r="T53" i="3" s="1"/>
  <c r="U53" i="3" s="1"/>
  <c r="V53" i="3" s="1"/>
  <c r="W53" i="3" s="1"/>
  <c r="L51" i="3"/>
  <c r="M51" i="3" s="1"/>
  <c r="N51" i="3" s="1"/>
  <c r="O51" i="3" s="1"/>
  <c r="P51" i="3" s="1"/>
  <c r="Q51" i="3" s="1"/>
  <c r="R51" i="3" s="1"/>
  <c r="S51" i="3" s="1"/>
  <c r="T51" i="3" s="1"/>
  <c r="U51" i="3" s="1"/>
  <c r="V51" i="3" s="1"/>
  <c r="W51" i="3" s="1"/>
  <c r="X51" i="3" s="1"/>
  <c r="J50" i="3"/>
  <c r="K50" i="3" s="1"/>
  <c r="L50" i="3" s="1"/>
  <c r="M50" i="3" s="1"/>
  <c r="N50" i="3" s="1"/>
  <c r="O50" i="3" s="1"/>
  <c r="P50" i="3" s="1"/>
  <c r="Q50" i="3" s="1"/>
  <c r="R50" i="3" s="1"/>
  <c r="S50" i="3" s="1"/>
  <c r="T50" i="3" s="1"/>
  <c r="U50" i="3" s="1"/>
  <c r="V50" i="3" s="1"/>
  <c r="W50" i="3" s="1"/>
  <c r="X50" i="3" s="1"/>
  <c r="Y50" i="3" s="1"/>
  <c r="Z50" i="3" s="1"/>
  <c r="AA50" i="3" s="1"/>
  <c r="AB50" i="3" s="1"/>
  <c r="J40" i="3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AG40" i="3" s="1"/>
  <c r="AH40" i="3" s="1"/>
  <c r="AI40" i="3" s="1"/>
  <c r="AJ40" i="3" s="1"/>
  <c r="O39" i="3"/>
  <c r="P39" i="3" s="1"/>
  <c r="Q39" i="3" s="1"/>
  <c r="R39" i="3" s="1"/>
  <c r="S39" i="3" s="1"/>
  <c r="T39" i="3" s="1"/>
  <c r="U39" i="3" s="1"/>
  <c r="V39" i="3" s="1"/>
  <c r="W39" i="3" s="1"/>
  <c r="X39" i="3" s="1"/>
  <c r="Y39" i="3" s="1"/>
  <c r="Z39" i="3" s="1"/>
  <c r="AA39" i="3" s="1"/>
  <c r="AB39" i="3" s="1"/>
  <c r="AC39" i="3" s="1"/>
  <c r="AD39" i="3" s="1"/>
  <c r="AE39" i="3" s="1"/>
  <c r="AF39" i="3" s="1"/>
  <c r="AG39" i="3" s="1"/>
  <c r="AH39" i="3" s="1"/>
  <c r="AI39" i="3" s="1"/>
  <c r="AJ39" i="3" s="1"/>
  <c r="J37" i="3"/>
  <c r="K37" i="3" s="1"/>
  <c r="L37" i="3" s="1"/>
  <c r="M37" i="3" s="1"/>
  <c r="N37" i="3" s="1"/>
  <c r="O37" i="3" s="1"/>
  <c r="P37" i="3" s="1"/>
  <c r="Q37" i="3" s="1"/>
  <c r="R37" i="3" s="1"/>
  <c r="S37" i="3" s="1"/>
  <c r="T37" i="3" s="1"/>
  <c r="U37" i="3" s="1"/>
  <c r="V37" i="3" s="1"/>
  <c r="W37" i="3" s="1"/>
  <c r="X37" i="3" s="1"/>
  <c r="Y37" i="3" s="1"/>
  <c r="Z37" i="3" s="1"/>
  <c r="AA37" i="3" s="1"/>
  <c r="AB37" i="3" s="1"/>
  <c r="AC37" i="3" s="1"/>
  <c r="AD37" i="3" s="1"/>
  <c r="AE37" i="3" s="1"/>
  <c r="AF37" i="3" s="1"/>
  <c r="AG37" i="3" s="1"/>
  <c r="AH37" i="3" s="1"/>
  <c r="AI37" i="3" s="1"/>
  <c r="AJ37" i="3" s="1"/>
  <c r="R36" i="3"/>
  <c r="S36" i="3" s="1"/>
  <c r="T36" i="3" s="1"/>
  <c r="U36" i="3" s="1"/>
  <c r="V36" i="3" s="1"/>
  <c r="W36" i="3" s="1"/>
  <c r="X36" i="3" s="1"/>
  <c r="Y36" i="3" s="1"/>
  <c r="Z36" i="3" s="1"/>
  <c r="AA36" i="3" s="1"/>
  <c r="AB36" i="3" s="1"/>
  <c r="AC36" i="3" s="1"/>
  <c r="AD36" i="3" s="1"/>
  <c r="AE36" i="3" s="1"/>
  <c r="AF36" i="3" s="1"/>
  <c r="AG36" i="3" s="1"/>
  <c r="AH36" i="3" s="1"/>
  <c r="AI36" i="3" s="1"/>
  <c r="AJ36" i="3" s="1"/>
  <c r="L35" i="3"/>
  <c r="M35" i="3" s="1"/>
  <c r="N35" i="3" s="1"/>
  <c r="O35" i="3" s="1"/>
  <c r="P35" i="3" s="1"/>
  <c r="Q35" i="3" s="1"/>
  <c r="R35" i="3" s="1"/>
  <c r="S35" i="3" s="1"/>
  <c r="T35" i="3" s="1"/>
  <c r="U35" i="3" s="1"/>
  <c r="V35" i="3" s="1"/>
  <c r="W35" i="3" s="1"/>
  <c r="X35" i="3" s="1"/>
  <c r="Y35" i="3" s="1"/>
  <c r="Z35" i="3" s="1"/>
  <c r="AA35" i="3" s="1"/>
  <c r="AB35" i="3" s="1"/>
  <c r="AC35" i="3" s="1"/>
  <c r="AD35" i="3" s="1"/>
  <c r="AE35" i="3" s="1"/>
  <c r="AF35" i="3" s="1"/>
  <c r="AG35" i="3" s="1"/>
  <c r="AH35" i="3" s="1"/>
  <c r="AI35" i="3" s="1"/>
  <c r="AJ35" i="3" s="1"/>
  <c r="L34" i="3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C33" i="3"/>
  <c r="AD33" i="3" s="1"/>
  <c r="AE33" i="3" s="1"/>
  <c r="AF33" i="3" s="1"/>
  <c r="AG33" i="3" s="1"/>
  <c r="AH33" i="3" s="1"/>
  <c r="AI33" i="3" s="1"/>
  <c r="AJ33" i="3" s="1"/>
  <c r="AK33" i="3" s="1"/>
  <c r="R31" i="3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N29" i="3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29" i="3" s="1"/>
  <c r="AA25" i="3"/>
  <c r="AB25" i="3" s="1"/>
  <c r="AC25" i="3" s="1"/>
  <c r="AD25" i="3" s="1"/>
  <c r="AE25" i="3" s="1"/>
  <c r="AF25" i="3" s="1"/>
  <c r="AG25" i="3" s="1"/>
  <c r="J20" i="3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J18" i="3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Z15" i="3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J13" i="3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T11" i="3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AL11" i="3" s="1"/>
  <c r="J9" i="3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M49" i="3"/>
  <c r="N49" i="3" s="1"/>
  <c r="O49" i="3" s="1"/>
  <c r="P49" i="3" s="1"/>
  <c r="Q49" i="3" s="1"/>
  <c r="R49" i="3" s="1"/>
  <c r="S49" i="3" s="1"/>
  <c r="T49" i="3" s="1"/>
  <c r="U49" i="3" s="1"/>
  <c r="V49" i="3" s="1"/>
  <c r="W49" i="3" s="1"/>
  <c r="BN141" i="2"/>
  <c r="BN140" i="2"/>
  <c r="BN139" i="2"/>
  <c r="BN137" i="2"/>
  <c r="BN136" i="2"/>
  <c r="BN135" i="2"/>
  <c r="BN133" i="2"/>
  <c r="BN132" i="2"/>
  <c r="BN131" i="2"/>
  <c r="BN129" i="2"/>
  <c r="BN128" i="2"/>
  <c r="BN127" i="2"/>
  <c r="BN126" i="2"/>
  <c r="BN125" i="2"/>
  <c r="BN124" i="2"/>
  <c r="BN122" i="2"/>
  <c r="BN121" i="2"/>
  <c r="BN120" i="2"/>
  <c r="BN118" i="2"/>
  <c r="BN117" i="2"/>
  <c r="BN116" i="2"/>
  <c r="BN114" i="2"/>
  <c r="BN113" i="2"/>
  <c r="BN111" i="2"/>
  <c r="BN110" i="2"/>
  <c r="BN108" i="2"/>
  <c r="BN107" i="2"/>
  <c r="BN105" i="2"/>
  <c r="BN104" i="2" s="1"/>
  <c r="BN103" i="2"/>
  <c r="BN102" i="2"/>
  <c r="BN97" i="2"/>
  <c r="BN96" i="2"/>
  <c r="BN94" i="2"/>
  <c r="BN93" i="2"/>
  <c r="BN90" i="2"/>
  <c r="BN87" i="2"/>
  <c r="BN83" i="2"/>
  <c r="BN80" i="2" s="1"/>
  <c r="BN78" i="2"/>
  <c r="BN77" i="2"/>
  <c r="BN76" i="2"/>
  <c r="BN74" i="2"/>
  <c r="BN73" i="2" s="1"/>
  <c r="BN71" i="2"/>
  <c r="BN70" i="2"/>
  <c r="BN69" i="2"/>
  <c r="BN68" i="2"/>
  <c r="BN67" i="2"/>
  <c r="BN64" i="2"/>
  <c r="BN63" i="2"/>
  <c r="BN62" i="2"/>
  <c r="BN61" i="2"/>
  <c r="BN60" i="2"/>
  <c r="BN49" i="2"/>
  <c r="BN48" i="2"/>
  <c r="BN47" i="2"/>
  <c r="BN46" i="2"/>
  <c r="BN43" i="2"/>
  <c r="BN42" i="2" s="1"/>
  <c r="BN41" i="2"/>
  <c r="BN40" i="2"/>
  <c r="BN38" i="2"/>
  <c r="BN37" i="2"/>
  <c r="BN36" i="2"/>
  <c r="BN32" i="2"/>
  <c r="BN31" i="2"/>
  <c r="BN26" i="2"/>
  <c r="BN25" i="2" s="1"/>
  <c r="BN24" i="2"/>
  <c r="BN23" i="2"/>
  <c r="BN22" i="2"/>
  <c r="BN21" i="2"/>
  <c r="BN15" i="2"/>
  <c r="BN8" i="2"/>
  <c r="BN7" i="2" s="1"/>
  <c r="D43" i="9"/>
  <c r="D44" i="9"/>
  <c r="BW1" i="2" l="1"/>
  <c r="BS149" i="2"/>
  <c r="CH78" i="14"/>
  <c r="CI78" i="14"/>
  <c r="BY13" i="14"/>
  <c r="BZ78" i="14"/>
  <c r="CA13" i="14"/>
  <c r="CE13" i="14"/>
  <c r="BW78" i="14"/>
  <c r="CD13" i="14"/>
  <c r="CD78" i="14"/>
  <c r="CB13" i="14"/>
  <c r="CC78" i="14"/>
  <c r="BV2" i="2"/>
  <c r="BX1" i="2"/>
  <c r="BU2" i="2"/>
  <c r="BS3" i="2"/>
  <c r="BT3" i="2"/>
  <c r="BU3" i="2"/>
  <c r="BT2" i="2"/>
  <c r="BP106" i="2"/>
  <c r="BQ106" i="2"/>
  <c r="BQ112" i="2"/>
  <c r="BQ123" i="2"/>
  <c r="BQ119" i="2"/>
  <c r="BQ115" i="2"/>
  <c r="BP109" i="2"/>
  <c r="BP134" i="2"/>
  <c r="BP35" i="2"/>
  <c r="BQ109" i="2"/>
  <c r="BQ138" i="2"/>
  <c r="BQ39" i="2"/>
  <c r="BO109" i="2"/>
  <c r="BP138" i="2"/>
  <c r="BQ89" i="2"/>
  <c r="BQ75" i="2"/>
  <c r="BP130" i="2"/>
  <c r="BQ27" i="2"/>
  <c r="BQ59" i="2"/>
  <c r="BP18" i="2"/>
  <c r="BP123" i="2"/>
  <c r="BQ18" i="2"/>
  <c r="BQ35" i="2"/>
  <c r="BQ44" i="2"/>
  <c r="BQ99" i="2"/>
  <c r="BQ134" i="2"/>
  <c r="BQ130" i="2"/>
  <c r="BX78" i="14"/>
  <c r="CA78" i="14"/>
  <c r="CF78" i="14"/>
  <c r="CG13" i="14"/>
  <c r="CK78" i="14"/>
  <c r="CL5" i="14"/>
  <c r="BV78" i="14"/>
  <c r="BW13" i="14"/>
  <c r="BX13" i="14"/>
  <c r="BX5" i="14" s="1"/>
  <c r="BY78" i="14"/>
  <c r="BY5" i="14" s="1"/>
  <c r="CH13" i="14"/>
  <c r="CI13" i="14"/>
  <c r="CJ13" i="14"/>
  <c r="BV13" i="14"/>
  <c r="BZ13" i="14"/>
  <c r="BZ5" i="14" s="1"/>
  <c r="BZ143" i="14" s="1"/>
  <c r="CB78" i="14"/>
  <c r="CC13" i="14"/>
  <c r="CE78" i="14"/>
  <c r="CF13" i="14"/>
  <c r="CF5" i="14" s="1"/>
  <c r="CG78" i="14"/>
  <c r="CG5" i="14" s="1"/>
  <c r="CJ78" i="14"/>
  <c r="CK13" i="14"/>
  <c r="BP59" i="2"/>
  <c r="BP75" i="2"/>
  <c r="BP27" i="2"/>
  <c r="BP99" i="2"/>
  <c r="BP119" i="2"/>
  <c r="BP44" i="2"/>
  <c r="BP89" i="2"/>
  <c r="BP115" i="2"/>
  <c r="BP39" i="2"/>
  <c r="BP112" i="2"/>
  <c r="BN106" i="2"/>
  <c r="BO27" i="2"/>
  <c r="BO18" i="2"/>
  <c r="BO35" i="2"/>
  <c r="BO99" i="2"/>
  <c r="BO134" i="2"/>
  <c r="BN39" i="2"/>
  <c r="BO130" i="2"/>
  <c r="BO106" i="2"/>
  <c r="BO138" i="2"/>
  <c r="BN99" i="2"/>
  <c r="BO123" i="2"/>
  <c r="BN109" i="2"/>
  <c r="BO59" i="2"/>
  <c r="BO75" i="2"/>
  <c r="BN18" i="2"/>
  <c r="BN44" i="2"/>
  <c r="BN75" i="2"/>
  <c r="BN119" i="2"/>
  <c r="BN138" i="2"/>
  <c r="BO44" i="2"/>
  <c r="BO89" i="2"/>
  <c r="BO115" i="2"/>
  <c r="BN27" i="2"/>
  <c r="BO119" i="2"/>
  <c r="BO39" i="2"/>
  <c r="BO112" i="2"/>
  <c r="BN59" i="2"/>
  <c r="BN115" i="2"/>
  <c r="BN134" i="2"/>
  <c r="BN89" i="2"/>
  <c r="BN35" i="2"/>
  <c r="BN112" i="2"/>
  <c r="BN130" i="2"/>
  <c r="BN123" i="2"/>
  <c r="CI5" i="14" l="1"/>
  <c r="CI2" i="14" s="1"/>
  <c r="BX143" i="14"/>
  <c r="BX144" i="14"/>
  <c r="CF143" i="14"/>
  <c r="CF144" i="14"/>
  <c r="CN2" i="14"/>
  <c r="CL143" i="14"/>
  <c r="CB5" i="14"/>
  <c r="CH5" i="14"/>
  <c r="CE5" i="14"/>
  <c r="CA5" i="14"/>
  <c r="CA2" i="14" s="1"/>
  <c r="CD5" i="14"/>
  <c r="BV5" i="14"/>
  <c r="CC5" i="14"/>
  <c r="BW5" i="14"/>
  <c r="BY2" i="14" s="1"/>
  <c r="CB2" i="14"/>
  <c r="CJ5" i="14"/>
  <c r="CK5" i="14"/>
  <c r="BQ79" i="2"/>
  <c r="BQ14" i="2"/>
  <c r="BP14" i="2"/>
  <c r="CG2" i="14"/>
  <c r="BZ2" i="14"/>
  <c r="BP79" i="2"/>
  <c r="BO14" i="2"/>
  <c r="BO79" i="2"/>
  <c r="BN79" i="2"/>
  <c r="BN14" i="2"/>
  <c r="CE2" i="14" l="1"/>
  <c r="CD2" i="14"/>
  <c r="CD143" i="14"/>
  <c r="CB143" i="14"/>
  <c r="CB144" i="14"/>
  <c r="CL2" i="14"/>
  <c r="CJ143" i="14"/>
  <c r="CJ144" i="14"/>
  <c r="BX2" i="14"/>
  <c r="BV143" i="14"/>
  <c r="CH2" i="14"/>
  <c r="CH143" i="14"/>
  <c r="CF2" i="14"/>
  <c r="CC2" i="14"/>
  <c r="CJ2" i="14"/>
  <c r="CK2" i="14"/>
  <c r="CM2" i="14"/>
  <c r="BP6" i="2"/>
  <c r="BQ6" i="2"/>
  <c r="BQ152" i="2" s="1"/>
  <c r="BO6" i="2"/>
  <c r="BN6" i="2"/>
  <c r="BM141" i="2"/>
  <c r="BM140" i="2"/>
  <c r="BM139" i="2"/>
  <c r="BM137" i="2"/>
  <c r="BM136" i="2"/>
  <c r="BM135" i="2"/>
  <c r="BM133" i="2"/>
  <c r="BM132" i="2"/>
  <c r="BM131" i="2"/>
  <c r="BM129" i="2"/>
  <c r="BM128" i="2"/>
  <c r="BM127" i="2"/>
  <c r="BM126" i="2"/>
  <c r="BM125" i="2"/>
  <c r="BM124" i="2"/>
  <c r="BM122" i="2"/>
  <c r="BM121" i="2"/>
  <c r="BM120" i="2"/>
  <c r="BM118" i="2"/>
  <c r="BM117" i="2"/>
  <c r="BM116" i="2"/>
  <c r="BM114" i="2"/>
  <c r="BM113" i="2"/>
  <c r="BM111" i="2"/>
  <c r="BM110" i="2"/>
  <c r="BM108" i="2"/>
  <c r="BM107" i="2"/>
  <c r="BM105" i="2"/>
  <c r="BM104" i="2" s="1"/>
  <c r="BM103" i="2"/>
  <c r="BM102" i="2"/>
  <c r="BM97" i="2"/>
  <c r="BM96" i="2"/>
  <c r="BM94" i="2"/>
  <c r="BM93" i="2"/>
  <c r="BM90" i="2"/>
  <c r="BM87" i="2"/>
  <c r="BM83" i="2"/>
  <c r="BM80" i="2" s="1"/>
  <c r="BM78" i="2"/>
  <c r="BM77" i="2"/>
  <c r="BM76" i="2"/>
  <c r="BM74" i="2"/>
  <c r="BM73" i="2" s="1"/>
  <c r="BM71" i="2"/>
  <c r="BM70" i="2"/>
  <c r="BM69" i="2"/>
  <c r="BM68" i="2"/>
  <c r="BM67" i="2"/>
  <c r="BM64" i="2"/>
  <c r="BM63" i="2"/>
  <c r="BM62" i="2"/>
  <c r="BM61" i="2"/>
  <c r="BM60" i="2"/>
  <c r="BM49" i="2"/>
  <c r="BM48" i="2"/>
  <c r="BM47" i="2"/>
  <c r="BM46" i="2"/>
  <c r="BM43" i="2"/>
  <c r="BM42" i="2" s="1"/>
  <c r="BM41" i="2"/>
  <c r="BM40" i="2"/>
  <c r="BM38" i="2"/>
  <c r="BM37" i="2"/>
  <c r="BM36" i="2"/>
  <c r="BM32" i="2"/>
  <c r="BM31" i="2"/>
  <c r="BM26" i="2"/>
  <c r="BM25" i="2" s="1"/>
  <c r="BM24" i="2"/>
  <c r="BM23" i="2"/>
  <c r="BM22" i="2"/>
  <c r="BM21" i="2"/>
  <c r="BM15" i="2"/>
  <c r="BM8" i="2"/>
  <c r="BM7" i="2" s="1"/>
  <c r="BO149" i="2" l="1"/>
  <c r="BO151" i="2"/>
  <c r="BQ151" i="2"/>
  <c r="BQ149" i="2"/>
  <c r="BQ150" i="2"/>
  <c r="BO3" i="2"/>
  <c r="BU1" i="2"/>
  <c r="BQ3" i="2"/>
  <c r="BR3" i="2"/>
  <c r="BP3" i="2"/>
  <c r="BS2" i="2"/>
  <c r="BR1" i="2"/>
  <c r="BS1" i="2"/>
  <c r="BR2" i="2"/>
  <c r="BT1" i="2"/>
  <c r="BQ2" i="2"/>
  <c r="BP2" i="2"/>
  <c r="BM106" i="2"/>
  <c r="BM138" i="2"/>
  <c r="BM134" i="2"/>
  <c r="BM27" i="2"/>
  <c r="BM59" i="2"/>
  <c r="BM112" i="2"/>
  <c r="BM130" i="2"/>
  <c r="BM18" i="2"/>
  <c r="BM99" i="2"/>
  <c r="BM119" i="2"/>
  <c r="BM35" i="2"/>
  <c r="BM75" i="2"/>
  <c r="BM109" i="2"/>
  <c r="BM123" i="2"/>
  <c r="BM39" i="2"/>
  <c r="BM44" i="2"/>
  <c r="BM89" i="2"/>
  <c r="BM115" i="2"/>
  <c r="BM14" i="2" l="1"/>
  <c r="BM79" i="2"/>
  <c r="BM6" i="2" l="1"/>
  <c r="BM152" i="2" s="1"/>
  <c r="AF90" i="3"/>
  <c r="AG90" i="3" s="1"/>
  <c r="AH90" i="3" s="1"/>
  <c r="AI90" i="3" s="1"/>
  <c r="AJ90" i="3" s="1"/>
  <c r="AK90" i="3" s="1"/>
  <c r="AL90" i="3" s="1"/>
  <c r="AC88" i="3"/>
  <c r="AD88" i="3" s="1"/>
  <c r="AE88" i="3" s="1"/>
  <c r="AF88" i="3" s="1"/>
  <c r="AG88" i="3" s="1"/>
  <c r="AH88" i="3" s="1"/>
  <c r="AD66" i="3"/>
  <c r="AE66" i="3" s="1"/>
  <c r="AF66" i="3" s="1"/>
  <c r="AG66" i="3" s="1"/>
  <c r="AJ60" i="3"/>
  <c r="J52" i="3"/>
  <c r="K52" i="3" s="1"/>
  <c r="L52" i="3" s="1"/>
  <c r="M52" i="3" s="1"/>
  <c r="N52" i="3" s="1"/>
  <c r="O52" i="3" s="1"/>
  <c r="P52" i="3" s="1"/>
  <c r="Q52" i="3" s="1"/>
  <c r="R52" i="3" s="1"/>
  <c r="S52" i="3" s="1"/>
  <c r="T52" i="3" s="1"/>
  <c r="U52" i="3" s="1"/>
  <c r="V52" i="3" s="1"/>
  <c r="J42" i="3"/>
  <c r="K42" i="3" s="1"/>
  <c r="L42" i="3" s="1"/>
  <c r="M42" i="3" s="1"/>
  <c r="N42" i="3" s="1"/>
  <c r="O42" i="3" s="1"/>
  <c r="P42" i="3" s="1"/>
  <c r="Q42" i="3" s="1"/>
  <c r="R42" i="3" s="1"/>
  <c r="S42" i="3" s="1"/>
  <c r="T42" i="3" s="1"/>
  <c r="U42" i="3" s="1"/>
  <c r="V42" i="3" s="1"/>
  <c r="J22" i="3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R19" i="3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J56" i="3"/>
  <c r="K56" i="3" s="1"/>
  <c r="L56" i="3" s="1"/>
  <c r="M56" i="3" s="1"/>
  <c r="N56" i="3" s="1"/>
  <c r="O56" i="3" s="1"/>
  <c r="P56" i="3" s="1"/>
  <c r="J55" i="3"/>
  <c r="K55" i="3" s="1"/>
  <c r="L55" i="3" s="1"/>
  <c r="M55" i="3" s="1"/>
  <c r="N55" i="3" s="1"/>
  <c r="O55" i="3" s="1"/>
  <c r="P55" i="3" s="1"/>
  <c r="BG8" i="2"/>
  <c r="BG7" i="2" s="1"/>
  <c r="CI140" i="11"/>
  <c r="CH140" i="11"/>
  <c r="CG140" i="11"/>
  <c r="CF140" i="11"/>
  <c r="CI139" i="11"/>
  <c r="CH139" i="11"/>
  <c r="CG139" i="11"/>
  <c r="CF139" i="11"/>
  <c r="CI138" i="11"/>
  <c r="CH138" i="11"/>
  <c r="CG138" i="11"/>
  <c r="CF138" i="11"/>
  <c r="CI136" i="11"/>
  <c r="CH136" i="11"/>
  <c r="CI135" i="11"/>
  <c r="CH135" i="11"/>
  <c r="CG135" i="11"/>
  <c r="CF135" i="11"/>
  <c r="CI134" i="11"/>
  <c r="CH134" i="11"/>
  <c r="CI132" i="11"/>
  <c r="CH132" i="11"/>
  <c r="CG132" i="11"/>
  <c r="CF132" i="11"/>
  <c r="CI131" i="11"/>
  <c r="CH131" i="11"/>
  <c r="CF131" i="11"/>
  <c r="CI130" i="11"/>
  <c r="CH130" i="11"/>
  <c r="CI128" i="11"/>
  <c r="CH128" i="11"/>
  <c r="CG128" i="11"/>
  <c r="CF128" i="11"/>
  <c r="CI127" i="11"/>
  <c r="CH127" i="11"/>
  <c r="CG127" i="11"/>
  <c r="CF127" i="11"/>
  <c r="CI126" i="11"/>
  <c r="CH126" i="11"/>
  <c r="CG126" i="11"/>
  <c r="CF126" i="11"/>
  <c r="CI125" i="11"/>
  <c r="CH125" i="11"/>
  <c r="CG125" i="11"/>
  <c r="CF125" i="11"/>
  <c r="CI124" i="11"/>
  <c r="CH124" i="11"/>
  <c r="CG124" i="11"/>
  <c r="CF124" i="11"/>
  <c r="CI123" i="11"/>
  <c r="CH123" i="11"/>
  <c r="CG123" i="11"/>
  <c r="CF123" i="11"/>
  <c r="CI121" i="11"/>
  <c r="CH121" i="11"/>
  <c r="CG121" i="11"/>
  <c r="CF121" i="11"/>
  <c r="CI120" i="11"/>
  <c r="CH120" i="11"/>
  <c r="CG120" i="11"/>
  <c r="CF120" i="11"/>
  <c r="CI119" i="11"/>
  <c r="CH119" i="11"/>
  <c r="CG119" i="11"/>
  <c r="CF119" i="11"/>
  <c r="CI117" i="11"/>
  <c r="CH117" i="11"/>
  <c r="CG117" i="11"/>
  <c r="CF117" i="11"/>
  <c r="CI116" i="11"/>
  <c r="CH116" i="11"/>
  <c r="CG116" i="11"/>
  <c r="CF116" i="11"/>
  <c r="CI115" i="11"/>
  <c r="CH115" i="11"/>
  <c r="CG115" i="11"/>
  <c r="CF115" i="11"/>
  <c r="CI113" i="11"/>
  <c r="CH113" i="11"/>
  <c r="CI112" i="11"/>
  <c r="CH112" i="11"/>
  <c r="CG112" i="11"/>
  <c r="CI110" i="11"/>
  <c r="CH110" i="11"/>
  <c r="CG110" i="11"/>
  <c r="CF110" i="11"/>
  <c r="CI109" i="11"/>
  <c r="CH109" i="11"/>
  <c r="CG109" i="11"/>
  <c r="CF109" i="11"/>
  <c r="CI107" i="11"/>
  <c r="CH107" i="11"/>
  <c r="CG107" i="11"/>
  <c r="CF107" i="11"/>
  <c r="CI106" i="11"/>
  <c r="CH106" i="11"/>
  <c r="CG106" i="11"/>
  <c r="CF106" i="11"/>
  <c r="CF105" i="11" s="1"/>
  <c r="CI104" i="11"/>
  <c r="CI103" i="11" s="1"/>
  <c r="CH104" i="11"/>
  <c r="CH103" i="11" s="1"/>
  <c r="CG104" i="11"/>
  <c r="CG103" i="11" s="1"/>
  <c r="CF104" i="11"/>
  <c r="CF103" i="11" s="1"/>
  <c r="CI102" i="11"/>
  <c r="CH102" i="11"/>
  <c r="CG102" i="11"/>
  <c r="CF102" i="11"/>
  <c r="CI101" i="11"/>
  <c r="CH101" i="11"/>
  <c r="CG101" i="11"/>
  <c r="CF101" i="11"/>
  <c r="CI96" i="11"/>
  <c r="CH96" i="11"/>
  <c r="CG96" i="11"/>
  <c r="CF96" i="11"/>
  <c r="CI95" i="11"/>
  <c r="CH95" i="11"/>
  <c r="CG95" i="11"/>
  <c r="CF95" i="11"/>
  <c r="CI93" i="11"/>
  <c r="CH93" i="11"/>
  <c r="CG93" i="11"/>
  <c r="CF93" i="11"/>
  <c r="CI92" i="11"/>
  <c r="CH92" i="11"/>
  <c r="CG92" i="11"/>
  <c r="CF92" i="11"/>
  <c r="CI89" i="11"/>
  <c r="CH89" i="11"/>
  <c r="CG89" i="11"/>
  <c r="CF89" i="11"/>
  <c r="CI86" i="11"/>
  <c r="CH86" i="11"/>
  <c r="CG86" i="11"/>
  <c r="CF86" i="11"/>
  <c r="CI82" i="11"/>
  <c r="CI79" i="11" s="1"/>
  <c r="CH82" i="11"/>
  <c r="CH79" i="11" s="1"/>
  <c r="CG82" i="11"/>
  <c r="CG79" i="11" s="1"/>
  <c r="CF82" i="11"/>
  <c r="CF79" i="11" s="1"/>
  <c r="CI77" i="11"/>
  <c r="CH77" i="11"/>
  <c r="CG77" i="11"/>
  <c r="CF77" i="11"/>
  <c r="CI76" i="11"/>
  <c r="CH76" i="11"/>
  <c r="CG76" i="11"/>
  <c r="CF76" i="11"/>
  <c r="CI75" i="11"/>
  <c r="CH75" i="11"/>
  <c r="CG75" i="11"/>
  <c r="CF75" i="11"/>
  <c r="CI73" i="11"/>
  <c r="CI72" i="11" s="1"/>
  <c r="CH73" i="11"/>
  <c r="CH72" i="11" s="1"/>
  <c r="CG73" i="11"/>
  <c r="CG72" i="11" s="1"/>
  <c r="CF73" i="11"/>
  <c r="CF72" i="11" s="1"/>
  <c r="CI70" i="11"/>
  <c r="CH70" i="11"/>
  <c r="CG70" i="11"/>
  <c r="CF70" i="11"/>
  <c r="CI69" i="11"/>
  <c r="CH69" i="11"/>
  <c r="CG69" i="11"/>
  <c r="CF69" i="11"/>
  <c r="CI68" i="11"/>
  <c r="CH68" i="11"/>
  <c r="CG68" i="11"/>
  <c r="CF68" i="11"/>
  <c r="CI67" i="11"/>
  <c r="CH67" i="11"/>
  <c r="CG67" i="11"/>
  <c r="CF67" i="11"/>
  <c r="CI66" i="11"/>
  <c r="CH66" i="11"/>
  <c r="CG66" i="11"/>
  <c r="CF66" i="11"/>
  <c r="CI63" i="11"/>
  <c r="CH63" i="11"/>
  <c r="CG63" i="11"/>
  <c r="CF63" i="11"/>
  <c r="CI62" i="11"/>
  <c r="CH62" i="11"/>
  <c r="CG62" i="11"/>
  <c r="CF62" i="11"/>
  <c r="CI61" i="11"/>
  <c r="CH61" i="11"/>
  <c r="CG61" i="11"/>
  <c r="CF61" i="11"/>
  <c r="CI60" i="11"/>
  <c r="CH60" i="11"/>
  <c r="CG60" i="11"/>
  <c r="CF60" i="11"/>
  <c r="CI59" i="11"/>
  <c r="CH59" i="11"/>
  <c r="CG59" i="11"/>
  <c r="CF59" i="11"/>
  <c r="CI48" i="11"/>
  <c r="CH48" i="11"/>
  <c r="CG48" i="11"/>
  <c r="CF48" i="11"/>
  <c r="CI47" i="11"/>
  <c r="CH47" i="11"/>
  <c r="CG47" i="11"/>
  <c r="CF47" i="11"/>
  <c r="CI46" i="11"/>
  <c r="CH46" i="11"/>
  <c r="CG46" i="11"/>
  <c r="CF46" i="11"/>
  <c r="CI45" i="11"/>
  <c r="CH45" i="11"/>
  <c r="CG45" i="11"/>
  <c r="CF45" i="11"/>
  <c r="CI42" i="11"/>
  <c r="CI41" i="11" s="1"/>
  <c r="CH42" i="11"/>
  <c r="CH41" i="11" s="1"/>
  <c r="CG42" i="11"/>
  <c r="CG41" i="11" s="1"/>
  <c r="CF42" i="11"/>
  <c r="CF41" i="11" s="1"/>
  <c r="CI40" i="11"/>
  <c r="CH40" i="11"/>
  <c r="CG40" i="11"/>
  <c r="CF40" i="11"/>
  <c r="CI39" i="11"/>
  <c r="CH39" i="11"/>
  <c r="CI37" i="11"/>
  <c r="CH37" i="11"/>
  <c r="CG37" i="11"/>
  <c r="CF37" i="11"/>
  <c r="CI36" i="11"/>
  <c r="CH36" i="11"/>
  <c r="CG36" i="11"/>
  <c r="CI35" i="11"/>
  <c r="CH35" i="11"/>
  <c r="CG35" i="11"/>
  <c r="CF35" i="11"/>
  <c r="CI31" i="11"/>
  <c r="CH31" i="11"/>
  <c r="CG31" i="11"/>
  <c r="CF31" i="11"/>
  <c r="CI30" i="11"/>
  <c r="CH30" i="11"/>
  <c r="CG30" i="11"/>
  <c r="CF30" i="11"/>
  <c r="CI25" i="11"/>
  <c r="CI24" i="11" s="1"/>
  <c r="CH25" i="11"/>
  <c r="CH24" i="11" s="1"/>
  <c r="CG25" i="11"/>
  <c r="CG24" i="11" s="1"/>
  <c r="CF25" i="11"/>
  <c r="CF24" i="11" s="1"/>
  <c r="CI23" i="11"/>
  <c r="CH23" i="11"/>
  <c r="CI22" i="11"/>
  <c r="CH22" i="11"/>
  <c r="CG22" i="11"/>
  <c r="CF22" i="11"/>
  <c r="CI21" i="11"/>
  <c r="CH21" i="11"/>
  <c r="CG21" i="11"/>
  <c r="CF21" i="11"/>
  <c r="CI20" i="11"/>
  <c r="CH20" i="11"/>
  <c r="CG20" i="11"/>
  <c r="CF20" i="11"/>
  <c r="CI14" i="11"/>
  <c r="CH14" i="11"/>
  <c r="CG14" i="11"/>
  <c r="CF14" i="11"/>
  <c r="CI7" i="11"/>
  <c r="CI6" i="11" s="1"/>
  <c r="CH7" i="11"/>
  <c r="CH6" i="11" s="1"/>
  <c r="CG7" i="11"/>
  <c r="CG6" i="11" s="1"/>
  <c r="CF7" i="11"/>
  <c r="CF6" i="11" s="1"/>
  <c r="CG131" i="11"/>
  <c r="BM151" i="2" l="1"/>
  <c r="BM150" i="2"/>
  <c r="BM149" i="2"/>
  <c r="BN3" i="2"/>
  <c r="BQ1" i="2"/>
  <c r="BO2" i="2"/>
  <c r="CI122" i="11"/>
  <c r="CF134" i="11"/>
  <c r="CI111" i="11"/>
  <c r="CF108" i="11"/>
  <c r="CH43" i="11"/>
  <c r="CH74" i="11"/>
  <c r="CG34" i="11"/>
  <c r="CF26" i="11"/>
  <c r="CI26" i="11"/>
  <c r="CI38" i="11"/>
  <c r="CF130" i="11"/>
  <c r="CF129" i="11" s="1"/>
  <c r="CH111" i="11"/>
  <c r="CH118" i="11"/>
  <c r="CI34" i="11"/>
  <c r="CG134" i="11"/>
  <c r="CF137" i="11"/>
  <c r="CI105" i="11"/>
  <c r="CG118" i="11"/>
  <c r="CH38" i="11"/>
  <c r="CF43" i="11"/>
  <c r="CG88" i="11"/>
  <c r="CF98" i="11"/>
  <c r="CI58" i="11"/>
  <c r="CG98" i="11"/>
  <c r="CH98" i="11"/>
  <c r="CG105" i="11"/>
  <c r="CG108" i="11"/>
  <c r="CI129" i="11"/>
  <c r="CH137" i="11"/>
  <c r="CI118" i="11"/>
  <c r="CH17" i="11"/>
  <c r="CH26" i="11"/>
  <c r="CH34" i="11"/>
  <c r="CF58" i="11"/>
  <c r="CH58" i="11"/>
  <c r="CI74" i="11"/>
  <c r="CF74" i="11"/>
  <c r="CH108" i="11"/>
  <c r="CI114" i="11"/>
  <c r="CH122" i="11"/>
  <c r="CF122" i="11"/>
  <c r="CI133" i="11"/>
  <c r="CI17" i="11"/>
  <c r="CI43" i="11"/>
  <c r="CF88" i="11"/>
  <c r="CH88" i="11"/>
  <c r="CH114" i="11"/>
  <c r="CF118" i="11"/>
  <c r="CH129" i="11"/>
  <c r="CI137" i="11"/>
  <c r="CG137" i="11"/>
  <c r="CG58" i="11"/>
  <c r="CG74" i="11"/>
  <c r="CG122" i="11"/>
  <c r="CH133" i="11"/>
  <c r="CG26" i="11"/>
  <c r="CI88" i="11"/>
  <c r="CG43" i="11"/>
  <c r="CI108" i="11"/>
  <c r="CI98" i="11"/>
  <c r="CH105" i="11"/>
  <c r="CG114" i="11"/>
  <c r="CF114" i="11"/>
  <c r="CF112" i="11"/>
  <c r="CF36" i="11"/>
  <c r="CF34" i="11" s="1"/>
  <c r="BL141" i="2"/>
  <c r="BL140" i="2"/>
  <c r="BL139" i="2"/>
  <c r="BL137" i="2"/>
  <c r="BL136" i="2"/>
  <c r="BL135" i="2"/>
  <c r="BL133" i="2"/>
  <c r="BL132" i="2"/>
  <c r="BL131" i="2"/>
  <c r="BL129" i="2"/>
  <c r="BL128" i="2"/>
  <c r="BL127" i="2"/>
  <c r="BL126" i="2"/>
  <c r="BL125" i="2"/>
  <c r="BL124" i="2"/>
  <c r="BL122" i="2"/>
  <c r="BL121" i="2"/>
  <c r="BL120" i="2"/>
  <c r="BL118" i="2"/>
  <c r="BL117" i="2"/>
  <c r="BL116" i="2"/>
  <c r="BL114" i="2"/>
  <c r="BL113" i="2"/>
  <c r="BL111" i="2"/>
  <c r="BL110" i="2"/>
  <c r="BL108" i="2"/>
  <c r="BL107" i="2"/>
  <c r="BL105" i="2"/>
  <c r="BL104" i="2" s="1"/>
  <c r="BL103" i="2"/>
  <c r="BL102" i="2"/>
  <c r="BL97" i="2"/>
  <c r="BL96" i="2"/>
  <c r="BL94" i="2"/>
  <c r="BL93" i="2"/>
  <c r="BL90" i="2"/>
  <c r="BL87" i="2"/>
  <c r="BL83" i="2"/>
  <c r="BL80" i="2" s="1"/>
  <c r="BL78" i="2"/>
  <c r="BL77" i="2"/>
  <c r="BL76" i="2"/>
  <c r="BL74" i="2"/>
  <c r="BL73" i="2" s="1"/>
  <c r="BL71" i="2"/>
  <c r="BL70" i="2"/>
  <c r="BL69" i="2"/>
  <c r="BL68" i="2"/>
  <c r="BL67" i="2"/>
  <c r="BL64" i="2"/>
  <c r="BL63" i="2"/>
  <c r="BL62" i="2"/>
  <c r="BL61" i="2"/>
  <c r="BL60" i="2"/>
  <c r="BL49" i="2"/>
  <c r="BL48" i="2"/>
  <c r="BL47" i="2"/>
  <c r="BL46" i="2"/>
  <c r="BL43" i="2"/>
  <c r="BL42" i="2" s="1"/>
  <c r="BL41" i="2"/>
  <c r="BL40" i="2"/>
  <c r="BL38" i="2"/>
  <c r="BL37" i="2"/>
  <c r="BL36" i="2"/>
  <c r="BL32" i="2"/>
  <c r="BL31" i="2"/>
  <c r="BL26" i="2"/>
  <c r="BL25" i="2" s="1"/>
  <c r="BL24" i="2"/>
  <c r="BL23" i="2"/>
  <c r="BL22" i="2"/>
  <c r="BL21" i="2"/>
  <c r="BL15" i="2"/>
  <c r="BL8" i="2"/>
  <c r="BL7" i="2" s="1"/>
  <c r="BL18" i="2" l="1"/>
  <c r="BL35" i="2"/>
  <c r="BL112" i="2"/>
  <c r="BL134" i="2"/>
  <c r="BL109" i="2"/>
  <c r="BL115" i="2"/>
  <c r="BL130" i="2"/>
  <c r="BL138" i="2"/>
  <c r="CF136" i="11"/>
  <c r="CF133" i="11" s="1"/>
  <c r="BL27" i="2"/>
  <c r="BL89" i="2"/>
  <c r="BL106" i="2"/>
  <c r="CF23" i="11"/>
  <c r="CF17" i="11" s="1"/>
  <c r="CF39" i="11"/>
  <c r="CF38" i="11" s="1"/>
  <c r="CF113" i="11"/>
  <c r="CF111" i="11" s="1"/>
  <c r="CH13" i="11"/>
  <c r="CG130" i="11"/>
  <c r="CG129" i="11" s="1"/>
  <c r="BL59" i="2"/>
  <c r="CH78" i="11"/>
  <c r="CI13" i="11"/>
  <c r="CI78" i="11"/>
  <c r="BL99" i="2"/>
  <c r="BL44" i="2"/>
  <c r="BL75" i="2"/>
  <c r="BL123" i="2"/>
  <c r="BL39" i="2"/>
  <c r="BL119" i="2"/>
  <c r="CF78" i="11" l="1"/>
  <c r="CG136" i="11"/>
  <c r="CG133" i="11" s="1"/>
  <c r="CF13" i="11"/>
  <c r="CH5" i="11"/>
  <c r="CI5" i="11"/>
  <c r="CI143" i="11" s="1"/>
  <c r="CG113" i="11"/>
  <c r="CG111" i="11" s="1"/>
  <c r="CG39" i="11"/>
  <c r="CG38" i="11" s="1"/>
  <c r="CG23" i="11"/>
  <c r="CG17" i="11" s="1"/>
  <c r="BL14" i="2"/>
  <c r="BL79" i="2"/>
  <c r="CH144" i="2" l="1"/>
  <c r="CJ2" i="11"/>
  <c r="CI144" i="2"/>
  <c r="CI145" i="2" s="1"/>
  <c r="CK2" i="11"/>
  <c r="CF5" i="11"/>
  <c r="CG78" i="11"/>
  <c r="BL6" i="2"/>
  <c r="CG13" i="11"/>
  <c r="BK141" i="2"/>
  <c r="BK140" i="2"/>
  <c r="BK139" i="2"/>
  <c r="BK137" i="2"/>
  <c r="BK136" i="2"/>
  <c r="BK135" i="2"/>
  <c r="BK133" i="2"/>
  <c r="BK132" i="2"/>
  <c r="BK131" i="2"/>
  <c r="BK129" i="2"/>
  <c r="BK128" i="2"/>
  <c r="BK127" i="2"/>
  <c r="BK126" i="2"/>
  <c r="BK125" i="2"/>
  <c r="BK124" i="2"/>
  <c r="BK122" i="2"/>
  <c r="BK121" i="2"/>
  <c r="BK120" i="2"/>
  <c r="BK118" i="2"/>
  <c r="BK117" i="2"/>
  <c r="BK116" i="2"/>
  <c r="BK114" i="2"/>
  <c r="BK113" i="2"/>
  <c r="BK111" i="2"/>
  <c r="BK110" i="2"/>
  <c r="BK108" i="2"/>
  <c r="BK107" i="2"/>
  <c r="BK105" i="2"/>
  <c r="BK104" i="2" s="1"/>
  <c r="BK103" i="2"/>
  <c r="BK102" i="2"/>
  <c r="BK97" i="2"/>
  <c r="BK96" i="2"/>
  <c r="BK94" i="2"/>
  <c r="BK93" i="2"/>
  <c r="BK90" i="2"/>
  <c r="BK87" i="2"/>
  <c r="BK83" i="2"/>
  <c r="BK80" i="2" s="1"/>
  <c r="BK78" i="2"/>
  <c r="BK77" i="2"/>
  <c r="BK76" i="2"/>
  <c r="BK74" i="2"/>
  <c r="BK73" i="2" s="1"/>
  <c r="BK71" i="2"/>
  <c r="BK70" i="2"/>
  <c r="BK69" i="2"/>
  <c r="BK68" i="2"/>
  <c r="BK67" i="2"/>
  <c r="BK64" i="2"/>
  <c r="BK63" i="2"/>
  <c r="BK62" i="2"/>
  <c r="BK61" i="2"/>
  <c r="BK60" i="2"/>
  <c r="BK49" i="2"/>
  <c r="BK48" i="2"/>
  <c r="BK47" i="2"/>
  <c r="BK46" i="2"/>
  <c r="BK43" i="2"/>
  <c r="BK42" i="2" s="1"/>
  <c r="BK41" i="2"/>
  <c r="BK40" i="2"/>
  <c r="BK38" i="2"/>
  <c r="BK37" i="2"/>
  <c r="BK36" i="2"/>
  <c r="BK32" i="2"/>
  <c r="BK31" i="2"/>
  <c r="BK26" i="2"/>
  <c r="BK25" i="2" s="1"/>
  <c r="BK24" i="2"/>
  <c r="BK23" i="2"/>
  <c r="BK22" i="2"/>
  <c r="BK21" i="2"/>
  <c r="BK15" i="2"/>
  <c r="BK8" i="2"/>
  <c r="BK7" i="2" s="1"/>
  <c r="BJ141" i="2"/>
  <c r="BJ140" i="2"/>
  <c r="BJ139" i="2"/>
  <c r="BJ137" i="2"/>
  <c r="BJ136" i="2"/>
  <c r="BJ135" i="2"/>
  <c r="BJ133" i="2"/>
  <c r="BJ132" i="2"/>
  <c r="BJ131" i="2"/>
  <c r="BJ129" i="2"/>
  <c r="BJ128" i="2"/>
  <c r="BJ127" i="2"/>
  <c r="BJ126" i="2"/>
  <c r="BJ125" i="2"/>
  <c r="BJ124" i="2"/>
  <c r="BJ122" i="2"/>
  <c r="BJ121" i="2"/>
  <c r="BJ120" i="2"/>
  <c r="BJ118" i="2"/>
  <c r="BJ117" i="2"/>
  <c r="BJ116" i="2"/>
  <c r="BJ114" i="2"/>
  <c r="BJ113" i="2"/>
  <c r="BJ111" i="2"/>
  <c r="BJ110" i="2"/>
  <c r="BJ108" i="2"/>
  <c r="BJ107" i="2"/>
  <c r="BJ105" i="2"/>
  <c r="BJ104" i="2" s="1"/>
  <c r="BJ103" i="2"/>
  <c r="BJ102" i="2"/>
  <c r="BJ97" i="2"/>
  <c r="BJ96" i="2"/>
  <c r="BJ94" i="2"/>
  <c r="BJ93" i="2"/>
  <c r="BJ90" i="2"/>
  <c r="BJ87" i="2"/>
  <c r="BJ83" i="2"/>
  <c r="BJ80" i="2" s="1"/>
  <c r="BJ78" i="2"/>
  <c r="BJ77" i="2"/>
  <c r="BJ76" i="2"/>
  <c r="BJ74" i="2"/>
  <c r="BJ73" i="2" s="1"/>
  <c r="BJ71" i="2"/>
  <c r="BJ70" i="2"/>
  <c r="BJ69" i="2"/>
  <c r="BJ68" i="2"/>
  <c r="BJ67" i="2"/>
  <c r="BJ64" i="2"/>
  <c r="BJ63" i="2"/>
  <c r="BJ62" i="2"/>
  <c r="BJ61" i="2"/>
  <c r="BJ60" i="2"/>
  <c r="BJ49" i="2"/>
  <c r="BJ48" i="2"/>
  <c r="BJ47" i="2"/>
  <c r="BJ46" i="2"/>
  <c r="BJ43" i="2"/>
  <c r="BJ42" i="2" s="1"/>
  <c r="BJ41" i="2"/>
  <c r="BJ40" i="2"/>
  <c r="BJ38" i="2"/>
  <c r="BJ37" i="2"/>
  <c r="BJ36" i="2"/>
  <c r="BJ32" i="2"/>
  <c r="BJ31" i="2"/>
  <c r="BJ26" i="2"/>
  <c r="BJ25" i="2" s="1"/>
  <c r="BJ24" i="2"/>
  <c r="BJ23" i="2"/>
  <c r="BJ22" i="2"/>
  <c r="BJ21" i="2"/>
  <c r="BJ15" i="2"/>
  <c r="BJ8" i="2"/>
  <c r="BJ7" i="2" s="1"/>
  <c r="CH2" i="11" l="1"/>
  <c r="CF144" i="2"/>
  <c r="BM3" i="2"/>
  <c r="BP1" i="2"/>
  <c r="BN2" i="2"/>
  <c r="BK106" i="2"/>
  <c r="BK138" i="2"/>
  <c r="CG5" i="11"/>
  <c r="BK115" i="2"/>
  <c r="BJ99" i="2"/>
  <c r="BK109" i="2"/>
  <c r="BK134" i="2"/>
  <c r="BK89" i="2"/>
  <c r="BK44" i="2"/>
  <c r="BK130" i="2"/>
  <c r="BK18" i="2"/>
  <c r="BK59" i="2"/>
  <c r="BJ134" i="2"/>
  <c r="BK35" i="2"/>
  <c r="BK75" i="2"/>
  <c r="BK123" i="2"/>
  <c r="BJ109" i="2"/>
  <c r="BK27" i="2"/>
  <c r="BK99" i="2"/>
  <c r="BK119" i="2"/>
  <c r="BK39" i="2"/>
  <c r="BK112" i="2"/>
  <c r="BJ59" i="2"/>
  <c r="BJ75" i="2"/>
  <c r="BJ123" i="2"/>
  <c r="BJ130" i="2"/>
  <c r="BJ106" i="2"/>
  <c r="BJ138" i="2"/>
  <c r="BJ18" i="2"/>
  <c r="BJ35" i="2"/>
  <c r="BJ27" i="2"/>
  <c r="BJ119" i="2"/>
  <c r="BJ44" i="2"/>
  <c r="BJ89" i="2"/>
  <c r="BJ115" i="2"/>
  <c r="BJ39" i="2"/>
  <c r="BJ112" i="2"/>
  <c r="BI141" i="2"/>
  <c r="BI140" i="2"/>
  <c r="BI139" i="2"/>
  <c r="BI137" i="2"/>
  <c r="BI136" i="2"/>
  <c r="BI135" i="2"/>
  <c r="BI133" i="2"/>
  <c r="BI132" i="2"/>
  <c r="BI131" i="2"/>
  <c r="BI129" i="2"/>
  <c r="BI128" i="2"/>
  <c r="BI127" i="2"/>
  <c r="BI126" i="2"/>
  <c r="BI125" i="2"/>
  <c r="BI124" i="2"/>
  <c r="BI122" i="2"/>
  <c r="BI121" i="2"/>
  <c r="BI120" i="2"/>
  <c r="BI118" i="2"/>
  <c r="BI117" i="2"/>
  <c r="BI116" i="2"/>
  <c r="BI114" i="2"/>
  <c r="BI113" i="2"/>
  <c r="BI111" i="2"/>
  <c r="BI110" i="2"/>
  <c r="BI108" i="2"/>
  <c r="BI107" i="2"/>
  <c r="BI105" i="2"/>
  <c r="BI104" i="2" s="1"/>
  <c r="BI103" i="2"/>
  <c r="BI102" i="2"/>
  <c r="BI97" i="2"/>
  <c r="BI96" i="2"/>
  <c r="BI94" i="2"/>
  <c r="BI93" i="2"/>
  <c r="BI90" i="2"/>
  <c r="BI87" i="2"/>
  <c r="BI83" i="2"/>
  <c r="BI80" i="2" s="1"/>
  <c r="BI78" i="2"/>
  <c r="BI77" i="2"/>
  <c r="BI76" i="2"/>
  <c r="BI74" i="2"/>
  <c r="BI73" i="2" s="1"/>
  <c r="BI71" i="2"/>
  <c r="BI70" i="2"/>
  <c r="BI69" i="2"/>
  <c r="BI68" i="2"/>
  <c r="BI67" i="2"/>
  <c r="BI64" i="2"/>
  <c r="BI63" i="2"/>
  <c r="BI62" i="2"/>
  <c r="BI61" i="2"/>
  <c r="BI60" i="2"/>
  <c r="BI49" i="2"/>
  <c r="BI48" i="2"/>
  <c r="BI47" i="2"/>
  <c r="BI46" i="2"/>
  <c r="BI43" i="2"/>
  <c r="BI42" i="2" s="1"/>
  <c r="BI41" i="2"/>
  <c r="BI40" i="2"/>
  <c r="BI38" i="2"/>
  <c r="BI37" i="2"/>
  <c r="BI36" i="2"/>
  <c r="BI32" i="2"/>
  <c r="BI31" i="2"/>
  <c r="BI26" i="2"/>
  <c r="BI25" i="2" s="1"/>
  <c r="BI24" i="2"/>
  <c r="BI23" i="2"/>
  <c r="BI22" i="2"/>
  <c r="BI21" i="2"/>
  <c r="BI15" i="2"/>
  <c r="BI8" i="2"/>
  <c r="BI7" i="2" s="1"/>
  <c r="BH141" i="2"/>
  <c r="BH140" i="2"/>
  <c r="BH139" i="2"/>
  <c r="BH137" i="2"/>
  <c r="BH136" i="2"/>
  <c r="BH135" i="2"/>
  <c r="BH133" i="2"/>
  <c r="BH132" i="2"/>
  <c r="BH131" i="2"/>
  <c r="BH129" i="2"/>
  <c r="BH128" i="2"/>
  <c r="BH127" i="2"/>
  <c r="BH126" i="2"/>
  <c r="BH125" i="2"/>
  <c r="BH124" i="2"/>
  <c r="BH122" i="2"/>
  <c r="BH121" i="2"/>
  <c r="BH120" i="2"/>
  <c r="BH118" i="2"/>
  <c r="BH117" i="2"/>
  <c r="BH116" i="2"/>
  <c r="BH114" i="2"/>
  <c r="BH113" i="2"/>
  <c r="BH111" i="2"/>
  <c r="BH110" i="2"/>
  <c r="BH108" i="2"/>
  <c r="BH107" i="2"/>
  <c r="BH105" i="2"/>
  <c r="BH104" i="2" s="1"/>
  <c r="BH103" i="2"/>
  <c r="BH102" i="2"/>
  <c r="BH97" i="2"/>
  <c r="BH96" i="2"/>
  <c r="BH94" i="2"/>
  <c r="BH93" i="2"/>
  <c r="BH90" i="2"/>
  <c r="BH87" i="2"/>
  <c r="BH83" i="2"/>
  <c r="BH80" i="2" s="1"/>
  <c r="BH78" i="2"/>
  <c r="BH77" i="2"/>
  <c r="BH76" i="2"/>
  <c r="BH74" i="2"/>
  <c r="BH73" i="2" s="1"/>
  <c r="BH71" i="2"/>
  <c r="BH70" i="2"/>
  <c r="BH69" i="2"/>
  <c r="BH68" i="2"/>
  <c r="BH67" i="2"/>
  <c r="BH64" i="2"/>
  <c r="BH63" i="2"/>
  <c r="BH62" i="2"/>
  <c r="BH61" i="2"/>
  <c r="BH60" i="2"/>
  <c r="BH49" i="2"/>
  <c r="BH48" i="2"/>
  <c r="BH47" i="2"/>
  <c r="BH46" i="2"/>
  <c r="BH43" i="2"/>
  <c r="BH42" i="2" s="1"/>
  <c r="BH41" i="2"/>
  <c r="BH40" i="2"/>
  <c r="BH38" i="2"/>
  <c r="BH37" i="2"/>
  <c r="BH36" i="2"/>
  <c r="BH32" i="2"/>
  <c r="BH31" i="2"/>
  <c r="BH26" i="2"/>
  <c r="BH25" i="2" s="1"/>
  <c r="BH24" i="2"/>
  <c r="BH23" i="2"/>
  <c r="BH22" i="2"/>
  <c r="BH21" i="2"/>
  <c r="BH15" i="2"/>
  <c r="BH8" i="2"/>
  <c r="BH7" i="2" s="1"/>
  <c r="CG144" i="11" l="1"/>
  <c r="CG143" i="11"/>
  <c r="CI2" i="11"/>
  <c r="CG144" i="2"/>
  <c r="BK14" i="2"/>
  <c r="BK79" i="2"/>
  <c r="BJ14" i="2"/>
  <c r="BJ79" i="2"/>
  <c r="BI44" i="2"/>
  <c r="BI106" i="2"/>
  <c r="BI112" i="2"/>
  <c r="BI138" i="2"/>
  <c r="BH18" i="2"/>
  <c r="BI134" i="2"/>
  <c r="BI109" i="2"/>
  <c r="BI130" i="2"/>
  <c r="BI99" i="2"/>
  <c r="BH112" i="2"/>
  <c r="BH59" i="2"/>
  <c r="BI39" i="2"/>
  <c r="BI59" i="2"/>
  <c r="BI18" i="2"/>
  <c r="BH89" i="2"/>
  <c r="BH138" i="2"/>
  <c r="BI35" i="2"/>
  <c r="BI119" i="2"/>
  <c r="BH35" i="2"/>
  <c r="BH134" i="2"/>
  <c r="BI75" i="2"/>
  <c r="BI115" i="2"/>
  <c r="BH130" i="2"/>
  <c r="BI27" i="2"/>
  <c r="BI89" i="2"/>
  <c r="BI123" i="2"/>
  <c r="BH109" i="2"/>
  <c r="BH115" i="2"/>
  <c r="BH106" i="2"/>
  <c r="BH99" i="2"/>
  <c r="BH27" i="2"/>
  <c r="BH44" i="2"/>
  <c r="BH75" i="2"/>
  <c r="BH123" i="2"/>
  <c r="BH39" i="2"/>
  <c r="BH119" i="2"/>
  <c r="BG141" i="2"/>
  <c r="BG140" i="2"/>
  <c r="BG139" i="2"/>
  <c r="BG137" i="2"/>
  <c r="BG136" i="2"/>
  <c r="BG135" i="2"/>
  <c r="BG133" i="2"/>
  <c r="BG132" i="2"/>
  <c r="BG131" i="2"/>
  <c r="BG129" i="2"/>
  <c r="BG128" i="2"/>
  <c r="BG127" i="2"/>
  <c r="BG126" i="2"/>
  <c r="BG125" i="2"/>
  <c r="BG124" i="2"/>
  <c r="BG122" i="2"/>
  <c r="BG121" i="2"/>
  <c r="BG120" i="2"/>
  <c r="BG118" i="2"/>
  <c r="BG117" i="2"/>
  <c r="BG116" i="2"/>
  <c r="BG114" i="2"/>
  <c r="BG113" i="2"/>
  <c r="BG111" i="2"/>
  <c r="BG110" i="2"/>
  <c r="BG108" i="2"/>
  <c r="BG107" i="2"/>
  <c r="BG105" i="2"/>
  <c r="BG104" i="2" s="1"/>
  <c r="BG103" i="2"/>
  <c r="BG102" i="2"/>
  <c r="BG97" i="2"/>
  <c r="BG96" i="2"/>
  <c r="BG94" i="2"/>
  <c r="BG93" i="2"/>
  <c r="BG90" i="2"/>
  <c r="BG87" i="2"/>
  <c r="BG83" i="2"/>
  <c r="BG80" i="2" s="1"/>
  <c r="BG78" i="2"/>
  <c r="BG77" i="2"/>
  <c r="BG76" i="2"/>
  <c r="BG74" i="2"/>
  <c r="BG73" i="2" s="1"/>
  <c r="BG71" i="2"/>
  <c r="BG70" i="2"/>
  <c r="BG69" i="2"/>
  <c r="BG68" i="2"/>
  <c r="BG67" i="2"/>
  <c r="BG64" i="2"/>
  <c r="BG63" i="2"/>
  <c r="BG62" i="2"/>
  <c r="BG61" i="2"/>
  <c r="BG60" i="2"/>
  <c r="BG49" i="2"/>
  <c r="BG48" i="2"/>
  <c r="BG47" i="2"/>
  <c r="BG46" i="2"/>
  <c r="BG43" i="2"/>
  <c r="BG42" i="2" s="1"/>
  <c r="BG41" i="2"/>
  <c r="BG40" i="2"/>
  <c r="BG38" i="2"/>
  <c r="BG37" i="2"/>
  <c r="BG36" i="2"/>
  <c r="BG32" i="2"/>
  <c r="BG31" i="2"/>
  <c r="BG26" i="2"/>
  <c r="BG25" i="2" s="1"/>
  <c r="BG24" i="2"/>
  <c r="BG23" i="2"/>
  <c r="BG22" i="2"/>
  <c r="BG21" i="2"/>
  <c r="BG15" i="2"/>
  <c r="BF141" i="2"/>
  <c r="BF140" i="2"/>
  <c r="BF139" i="2"/>
  <c r="BF137" i="2"/>
  <c r="BF136" i="2"/>
  <c r="BF135" i="2"/>
  <c r="BF133" i="2"/>
  <c r="BF132" i="2"/>
  <c r="BF131" i="2"/>
  <c r="BF129" i="2"/>
  <c r="BF128" i="2"/>
  <c r="BF127" i="2"/>
  <c r="BF126" i="2"/>
  <c r="BF125" i="2"/>
  <c r="BF124" i="2"/>
  <c r="BF122" i="2"/>
  <c r="BF121" i="2"/>
  <c r="BF120" i="2"/>
  <c r="BF118" i="2"/>
  <c r="BF117" i="2"/>
  <c r="BF116" i="2"/>
  <c r="BF114" i="2"/>
  <c r="BF113" i="2"/>
  <c r="BF111" i="2"/>
  <c r="BF110" i="2"/>
  <c r="BF108" i="2"/>
  <c r="BF107" i="2"/>
  <c r="BF105" i="2"/>
  <c r="BF104" i="2" s="1"/>
  <c r="BF103" i="2"/>
  <c r="BF102" i="2"/>
  <c r="BF97" i="2"/>
  <c r="BF96" i="2"/>
  <c r="BF94" i="2"/>
  <c r="BF93" i="2"/>
  <c r="BF90" i="2"/>
  <c r="BF87" i="2"/>
  <c r="BF83" i="2"/>
  <c r="BF80" i="2" s="1"/>
  <c r="BF78" i="2"/>
  <c r="BF77" i="2"/>
  <c r="BF76" i="2"/>
  <c r="BF74" i="2"/>
  <c r="BF73" i="2" s="1"/>
  <c r="BF71" i="2"/>
  <c r="BF70" i="2"/>
  <c r="BF69" i="2"/>
  <c r="BF68" i="2"/>
  <c r="BF67" i="2"/>
  <c r="BF64" i="2"/>
  <c r="BF63" i="2"/>
  <c r="BF62" i="2"/>
  <c r="BF61" i="2"/>
  <c r="BF60" i="2"/>
  <c r="BF49" i="2"/>
  <c r="BF48" i="2"/>
  <c r="BF47" i="2"/>
  <c r="BF46" i="2"/>
  <c r="BF43" i="2"/>
  <c r="BF42" i="2" s="1"/>
  <c r="BF41" i="2"/>
  <c r="BF40" i="2"/>
  <c r="BF38" i="2"/>
  <c r="BF37" i="2"/>
  <c r="BF36" i="2"/>
  <c r="BF32" i="2"/>
  <c r="BF31" i="2"/>
  <c r="BF26" i="2"/>
  <c r="BF25" i="2" s="1"/>
  <c r="BF24" i="2"/>
  <c r="BF23" i="2"/>
  <c r="BF22" i="2"/>
  <c r="BF21" i="2"/>
  <c r="BF15" i="2"/>
  <c r="BF8" i="2"/>
  <c r="BF7" i="2" s="1"/>
  <c r="I4" i="6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BE141" i="2"/>
  <c r="BE140" i="2"/>
  <c r="BE139" i="2"/>
  <c r="BE137" i="2"/>
  <c r="BE136" i="2"/>
  <c r="BE135" i="2"/>
  <c r="BE133" i="2"/>
  <c r="BE132" i="2"/>
  <c r="BE131" i="2"/>
  <c r="BE129" i="2"/>
  <c r="BE128" i="2"/>
  <c r="BE127" i="2"/>
  <c r="BE126" i="2"/>
  <c r="BE125" i="2"/>
  <c r="BE124" i="2"/>
  <c r="BE122" i="2"/>
  <c r="BE121" i="2"/>
  <c r="BE120" i="2"/>
  <c r="BE118" i="2"/>
  <c r="BE117" i="2"/>
  <c r="BE116" i="2"/>
  <c r="BE114" i="2"/>
  <c r="BE113" i="2"/>
  <c r="BE111" i="2"/>
  <c r="BE110" i="2"/>
  <c r="BE108" i="2"/>
  <c r="BE107" i="2"/>
  <c r="BE105" i="2"/>
  <c r="BE104" i="2" s="1"/>
  <c r="BE103" i="2"/>
  <c r="BE102" i="2"/>
  <c r="BE97" i="2"/>
  <c r="BE96" i="2"/>
  <c r="BE94" i="2"/>
  <c r="BE93" i="2"/>
  <c r="BE90" i="2"/>
  <c r="BE87" i="2"/>
  <c r="BE83" i="2"/>
  <c r="BE80" i="2" s="1"/>
  <c r="BE78" i="2"/>
  <c r="BE77" i="2"/>
  <c r="BE76" i="2"/>
  <c r="BE74" i="2"/>
  <c r="BE73" i="2" s="1"/>
  <c r="BE71" i="2"/>
  <c r="BE70" i="2"/>
  <c r="BE69" i="2"/>
  <c r="BE68" i="2"/>
  <c r="BE67" i="2"/>
  <c r="BE64" i="2"/>
  <c r="BE63" i="2"/>
  <c r="BE62" i="2"/>
  <c r="BE61" i="2"/>
  <c r="BE60" i="2"/>
  <c r="BE49" i="2"/>
  <c r="BE48" i="2"/>
  <c r="BE47" i="2"/>
  <c r="BE46" i="2"/>
  <c r="BE43" i="2"/>
  <c r="BE42" i="2" s="1"/>
  <c r="BE41" i="2"/>
  <c r="BE40" i="2"/>
  <c r="BE38" i="2"/>
  <c r="BE37" i="2"/>
  <c r="BE36" i="2"/>
  <c r="BE32" i="2"/>
  <c r="BE31" i="2"/>
  <c r="BE26" i="2"/>
  <c r="BE25" i="2" s="1"/>
  <c r="BE24" i="2"/>
  <c r="BE23" i="2"/>
  <c r="BE22" i="2"/>
  <c r="BE21" i="2"/>
  <c r="BE15" i="2"/>
  <c r="BE8" i="2"/>
  <c r="BE7" i="2" s="1"/>
  <c r="BD141" i="2"/>
  <c r="BD140" i="2"/>
  <c r="BD137" i="2"/>
  <c r="BD136" i="2"/>
  <c r="BD133" i="2"/>
  <c r="BD132" i="2"/>
  <c r="BD129" i="2"/>
  <c r="BD128" i="2"/>
  <c r="BD127" i="2"/>
  <c r="BD126" i="2"/>
  <c r="BD125" i="2"/>
  <c r="BD122" i="2"/>
  <c r="BD121" i="2"/>
  <c r="BD118" i="2"/>
  <c r="BD117" i="2"/>
  <c r="BD114" i="2"/>
  <c r="BD111" i="2"/>
  <c r="BD108" i="2"/>
  <c r="BD103" i="2"/>
  <c r="BD102" i="2"/>
  <c r="BD97" i="2"/>
  <c r="BD96" i="2"/>
  <c r="BD94" i="2"/>
  <c r="BD93" i="2"/>
  <c r="BD87" i="2"/>
  <c r="BD83" i="2"/>
  <c r="BD80" i="2" s="1"/>
  <c r="BD78" i="2"/>
  <c r="BD77" i="2"/>
  <c r="BD71" i="2"/>
  <c r="BD70" i="2"/>
  <c r="BD69" i="2"/>
  <c r="BD68" i="2"/>
  <c r="BD67" i="2"/>
  <c r="BD64" i="2"/>
  <c r="BD63" i="2"/>
  <c r="BD62" i="2"/>
  <c r="BD61" i="2"/>
  <c r="BD49" i="2"/>
  <c r="BD48" i="2"/>
  <c r="BD47" i="2"/>
  <c r="BD46" i="2"/>
  <c r="BD41" i="2"/>
  <c r="BD38" i="2"/>
  <c r="BD37" i="2"/>
  <c r="BD32" i="2"/>
  <c r="BD31" i="2"/>
  <c r="BD24" i="2"/>
  <c r="BD23" i="2"/>
  <c r="BD22" i="2"/>
  <c r="BD21" i="2"/>
  <c r="BD15" i="2"/>
  <c r="BD8" i="2"/>
  <c r="BD7" i="2" s="1"/>
  <c r="H59" i="12"/>
  <c r="CG146" i="2" l="1"/>
  <c r="CG145" i="2"/>
  <c r="BJ6" i="2"/>
  <c r="BK6" i="2"/>
  <c r="BI14" i="2"/>
  <c r="BI79" i="2"/>
  <c r="BH14" i="2"/>
  <c r="BH79" i="2"/>
  <c r="BG106" i="2"/>
  <c r="BG138" i="2"/>
  <c r="BG130" i="2"/>
  <c r="BF99" i="2"/>
  <c r="BF134" i="2"/>
  <c r="BG99" i="2"/>
  <c r="BF109" i="2"/>
  <c r="BG109" i="2"/>
  <c r="BG123" i="2"/>
  <c r="BG134" i="2"/>
  <c r="BG39" i="2"/>
  <c r="BF130" i="2"/>
  <c r="BF106" i="2"/>
  <c r="BF138" i="2"/>
  <c r="BG59" i="2"/>
  <c r="BG75" i="2"/>
  <c r="BF123" i="2"/>
  <c r="BG18" i="2"/>
  <c r="BG27" i="2"/>
  <c r="BG119" i="2"/>
  <c r="BG44" i="2"/>
  <c r="BG89" i="2"/>
  <c r="BG115" i="2"/>
  <c r="BG35" i="2"/>
  <c r="BG112" i="2"/>
  <c r="BF59" i="2"/>
  <c r="BF75" i="2"/>
  <c r="BF27" i="2"/>
  <c r="BF35" i="2"/>
  <c r="BF18" i="2"/>
  <c r="BF119" i="2"/>
  <c r="BE106" i="2"/>
  <c r="BF44" i="2"/>
  <c r="BF89" i="2"/>
  <c r="BF115" i="2"/>
  <c r="BF39" i="2"/>
  <c r="BF112" i="2"/>
  <c r="BE119" i="2"/>
  <c r="BE112" i="2"/>
  <c r="BE39" i="2"/>
  <c r="BE99" i="2"/>
  <c r="BE27" i="2"/>
  <c r="BE138" i="2"/>
  <c r="BE18" i="2"/>
  <c r="BE59" i="2"/>
  <c r="BE134" i="2"/>
  <c r="BE130" i="2"/>
  <c r="BD99" i="2"/>
  <c r="BE35" i="2"/>
  <c r="BE75" i="2"/>
  <c r="BE109" i="2"/>
  <c r="BE123" i="2"/>
  <c r="BE44" i="2"/>
  <c r="BE89" i="2"/>
  <c r="BE115" i="2"/>
  <c r="BD18" i="2"/>
  <c r="BD44" i="2"/>
  <c r="BD27" i="2"/>
  <c r="BK149" i="2" l="1"/>
  <c r="BK151" i="2"/>
  <c r="BK3" i="2"/>
  <c r="BL3" i="2"/>
  <c r="BO1" i="2"/>
  <c r="BN1" i="2"/>
  <c r="BM2" i="2"/>
  <c r="BL2" i="2"/>
  <c r="BH6" i="2"/>
  <c r="BI6" i="2"/>
  <c r="BI152" i="2" s="1"/>
  <c r="BG14" i="2"/>
  <c r="BG79" i="2"/>
  <c r="BF79" i="2"/>
  <c r="BF14" i="2"/>
  <c r="BE14" i="2"/>
  <c r="BE79" i="2"/>
  <c r="BI151" i="2" l="1"/>
  <c r="BI149" i="2"/>
  <c r="BI150" i="2"/>
  <c r="BI3" i="2"/>
  <c r="BJ3" i="2"/>
  <c r="BM1" i="2"/>
  <c r="BL1" i="2"/>
  <c r="BK2" i="2"/>
  <c r="BJ2" i="2"/>
  <c r="BG6" i="2"/>
  <c r="BF6" i="2"/>
  <c r="BE6" i="2"/>
  <c r="BE152" i="2" s="1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F18" i="16" s="1"/>
  <c r="E17" i="16"/>
  <c r="E16" i="16"/>
  <c r="E15" i="16"/>
  <c r="E14" i="16"/>
  <c r="E13" i="16"/>
  <c r="E12" i="16"/>
  <c r="E11" i="16"/>
  <c r="E10" i="16"/>
  <c r="E9" i="16"/>
  <c r="E8" i="16"/>
  <c r="E7" i="16"/>
  <c r="F7" i="16" s="1"/>
  <c r="E6" i="16"/>
  <c r="I140" i="14"/>
  <c r="BS137" i="14"/>
  <c r="I139" i="14"/>
  <c r="BP137" i="14"/>
  <c r="I138" i="14"/>
  <c r="BU137" i="14"/>
  <c r="BR137" i="14"/>
  <c r="BQ137" i="14"/>
  <c r="BN137" i="14"/>
  <c r="BM137" i="14"/>
  <c r="BL137" i="14"/>
  <c r="BI137" i="14"/>
  <c r="BH137" i="14"/>
  <c r="BF137" i="14"/>
  <c r="BE137" i="14"/>
  <c r="BD137" i="14"/>
  <c r="BB137" i="14"/>
  <c r="BA137" i="14"/>
  <c r="AZ137" i="14"/>
  <c r="AX137" i="14"/>
  <c r="AW137" i="14"/>
  <c r="AV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I136" i="14"/>
  <c r="I135" i="14"/>
  <c r="BU133" i="14"/>
  <c r="I134" i="14"/>
  <c r="BS133" i="14"/>
  <c r="BP133" i="14"/>
  <c r="BO133" i="14"/>
  <c r="BL133" i="14"/>
  <c r="BK133" i="14"/>
  <c r="BH133" i="14"/>
  <c r="BG133" i="14"/>
  <c r="BF133" i="14"/>
  <c r="BD133" i="14"/>
  <c r="BC133" i="14"/>
  <c r="BB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I132" i="14"/>
  <c r="BS129" i="14"/>
  <c r="I131" i="14"/>
  <c r="I130" i="14"/>
  <c r="BU129" i="14"/>
  <c r="BR129" i="14"/>
  <c r="BQ129" i="14"/>
  <c r="BN129" i="14"/>
  <c r="BM129" i="14"/>
  <c r="BJ129" i="14"/>
  <c r="BI129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I128" i="14"/>
  <c r="I127" i="14"/>
  <c r="I126" i="14"/>
  <c r="I125" i="14"/>
  <c r="BS122" i="14"/>
  <c r="I124" i="14"/>
  <c r="I123" i="14"/>
  <c r="BU122" i="14"/>
  <c r="BR122" i="14"/>
  <c r="BQ122" i="14"/>
  <c r="BN122" i="14"/>
  <c r="BM122" i="14"/>
  <c r="BL122" i="14"/>
  <c r="BK122" i="14"/>
  <c r="BJ122" i="14"/>
  <c r="BI122" i="14"/>
  <c r="BH122" i="14"/>
  <c r="BG122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I121" i="14"/>
  <c r="I120" i="14"/>
  <c r="BU118" i="14"/>
  <c r="I119" i="14"/>
  <c r="BS118" i="14"/>
  <c r="BP118" i="14"/>
  <c r="BO118" i="14"/>
  <c r="BL118" i="14"/>
  <c r="BK118" i="14"/>
  <c r="BH118" i="14"/>
  <c r="BG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I117" i="14"/>
  <c r="I114" i="14" s="1"/>
  <c r="BS114" i="14"/>
  <c r="I116" i="14"/>
  <c r="BN114" i="14"/>
  <c r="I115" i="14"/>
  <c r="BU114" i="14"/>
  <c r="BM114" i="14"/>
  <c r="BG114" i="14"/>
  <c r="BB114" i="14"/>
  <c r="AW114" i="14"/>
  <c r="AQ114" i="14"/>
  <c r="AL114" i="14"/>
  <c r="AG114" i="14"/>
  <c r="AC114" i="14"/>
  <c r="Y114" i="14"/>
  <c r="U114" i="14"/>
  <c r="Q114" i="14"/>
  <c r="M114" i="14"/>
  <c r="I113" i="14"/>
  <c r="I112" i="14"/>
  <c r="BU111" i="14"/>
  <c r="I110" i="14"/>
  <c r="BK108" i="14"/>
  <c r="I109" i="14"/>
  <c r="BO108" i="14"/>
  <c r="BE108" i="14"/>
  <c r="AT108" i="14"/>
  <c r="AI108" i="14"/>
  <c r="Y108" i="14"/>
  <c r="N108" i="14"/>
  <c r="I107" i="14"/>
  <c r="BJ105" i="14"/>
  <c r="I106" i="14"/>
  <c r="BO105" i="14"/>
  <c r="AY105" i="14"/>
  <c r="AO105" i="14"/>
  <c r="AD105" i="14"/>
  <c r="S105" i="14"/>
  <c r="BM103" i="14"/>
  <c r="I104" i="14"/>
  <c r="I103" i="14" s="1"/>
  <c r="AR103" i="14"/>
  <c r="AI103" i="14"/>
  <c r="X103" i="14"/>
  <c r="I102" i="14"/>
  <c r="I101" i="14"/>
  <c r="BQ98" i="14"/>
  <c r="I100" i="14"/>
  <c r="I99" i="14"/>
  <c r="BU98" i="14"/>
  <c r="BT98" i="14"/>
  <c r="BP98" i="14"/>
  <c r="BM98" i="14"/>
  <c r="BL98" i="14"/>
  <c r="BI98" i="14"/>
  <c r="BH98" i="14"/>
  <c r="BE98" i="14"/>
  <c r="BD98" i="14"/>
  <c r="BA98" i="14"/>
  <c r="AZ98" i="14"/>
  <c r="AW98" i="14"/>
  <c r="AV98" i="14"/>
  <c r="AS98" i="14"/>
  <c r="AR98" i="14"/>
  <c r="AQ98" i="14"/>
  <c r="AO98" i="14"/>
  <c r="AN98" i="14"/>
  <c r="AM98" i="14"/>
  <c r="AK98" i="14"/>
  <c r="AJ98" i="14"/>
  <c r="AI98" i="14"/>
  <c r="AG98" i="14"/>
  <c r="AF98" i="14"/>
  <c r="AE98" i="14"/>
  <c r="AC98" i="14"/>
  <c r="AB98" i="14"/>
  <c r="AA98" i="14"/>
  <c r="Y98" i="14"/>
  <c r="X98" i="14"/>
  <c r="W98" i="14"/>
  <c r="U98" i="14"/>
  <c r="T98" i="14"/>
  <c r="S98" i="14"/>
  <c r="Q98" i="14"/>
  <c r="P98" i="14"/>
  <c r="O98" i="14"/>
  <c r="M98" i="14"/>
  <c r="L98" i="14"/>
  <c r="I97" i="14"/>
  <c r="I96" i="14"/>
  <c r="I95" i="14"/>
  <c r="I94" i="14"/>
  <c r="I93" i="14"/>
  <c r="I92" i="14"/>
  <c r="I91" i="14"/>
  <c r="AY88" i="14"/>
  <c r="I90" i="14"/>
  <c r="BQ88" i="14"/>
  <c r="I89" i="14"/>
  <c r="BU88" i="14"/>
  <c r="AD88" i="14"/>
  <c r="BD86" i="14"/>
  <c r="I87" i="14"/>
  <c r="BH86" i="14"/>
  <c r="AO86" i="14"/>
  <c r="Y86" i="14"/>
  <c r="I86" i="14"/>
  <c r="I85" i="14"/>
  <c r="I84" i="14"/>
  <c r="I83" i="14"/>
  <c r="I82" i="14"/>
  <c r="I81" i="14"/>
  <c r="BE79" i="14"/>
  <c r="I80" i="14"/>
  <c r="BI79" i="14"/>
  <c r="AM79" i="14"/>
  <c r="R79" i="14"/>
  <c r="I77" i="14"/>
  <c r="I76" i="14"/>
  <c r="AG74" i="14"/>
  <c r="I75" i="14"/>
  <c r="AR74" i="14"/>
  <c r="BO72" i="14"/>
  <c r="I73" i="14"/>
  <c r="BS72" i="14"/>
  <c r="BN72" i="14"/>
  <c r="BG72" i="14"/>
  <c r="BC72" i="14"/>
  <c r="AX72" i="14"/>
  <c r="AQ72" i="14"/>
  <c r="AM72" i="14"/>
  <c r="AH72" i="14"/>
  <c r="AA72" i="14"/>
  <c r="W72" i="14"/>
  <c r="R72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BM58" i="14"/>
  <c r="I59" i="14"/>
  <c r="BE58" i="14"/>
  <c r="AV58" i="14"/>
  <c r="AK58" i="14"/>
  <c r="Y58" i="14"/>
  <c r="Q58" i="14"/>
  <c r="I57" i="14"/>
  <c r="I56" i="14"/>
  <c r="I55" i="14"/>
  <c r="I54" i="14"/>
  <c r="I53" i="14"/>
  <c r="I52" i="14"/>
  <c r="I51" i="14"/>
  <c r="I50" i="14"/>
  <c r="I49" i="14"/>
  <c r="BO48" i="14"/>
  <c r="BN48" i="14"/>
  <c r="BG48" i="14"/>
  <c r="BF48" i="14"/>
  <c r="AY48" i="14"/>
  <c r="AX48" i="14"/>
  <c r="AQ48" i="14"/>
  <c r="AP48" i="14"/>
  <c r="AI48" i="14"/>
  <c r="AH48" i="14"/>
  <c r="AA48" i="14"/>
  <c r="Z48" i="14"/>
  <c r="S48" i="14"/>
  <c r="R48" i="14"/>
  <c r="I47" i="14"/>
  <c r="I46" i="14"/>
  <c r="I45" i="14"/>
  <c r="I44" i="14"/>
  <c r="BO43" i="14"/>
  <c r="BN43" i="14"/>
  <c r="BG43" i="14"/>
  <c r="BF43" i="14"/>
  <c r="AY43" i="14"/>
  <c r="AX43" i="14"/>
  <c r="AQ43" i="14"/>
  <c r="AP43" i="14"/>
  <c r="AI43" i="14"/>
  <c r="AH43" i="14"/>
  <c r="AA43" i="14"/>
  <c r="Z43" i="14"/>
  <c r="S43" i="14"/>
  <c r="R43" i="14"/>
  <c r="BR41" i="14"/>
  <c r="I42" i="14"/>
  <c r="BT41" i="14"/>
  <c r="BS41" i="14"/>
  <c r="BQ41" i="14"/>
  <c r="BP41" i="14"/>
  <c r="BO41" i="14"/>
  <c r="BM41" i="14"/>
  <c r="BL41" i="14"/>
  <c r="BK41" i="14"/>
  <c r="BI41" i="14"/>
  <c r="BH41" i="14"/>
  <c r="BG41" i="14"/>
  <c r="BE41" i="14"/>
  <c r="BD41" i="14"/>
  <c r="BC41" i="14"/>
  <c r="BA41" i="14"/>
  <c r="AZ41" i="14"/>
  <c r="AY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I41" i="14"/>
  <c r="I40" i="14"/>
  <c r="BR38" i="14"/>
  <c r="I39" i="14"/>
  <c r="BU38" i="14"/>
  <c r="BT38" i="14"/>
  <c r="BQ38" i="14"/>
  <c r="BP38" i="14"/>
  <c r="BM38" i="14"/>
  <c r="BL38" i="14"/>
  <c r="BI38" i="14"/>
  <c r="BH38" i="14"/>
  <c r="BE38" i="14"/>
  <c r="BD38" i="14"/>
  <c r="BA38" i="14"/>
  <c r="AZ38" i="14"/>
  <c r="AW38" i="14"/>
  <c r="AV38" i="14"/>
  <c r="AS38" i="14"/>
  <c r="AR38" i="14"/>
  <c r="AO38" i="14"/>
  <c r="AN38" i="14"/>
  <c r="AK38" i="14"/>
  <c r="AJ38" i="14"/>
  <c r="AG38" i="14"/>
  <c r="AF38" i="14"/>
  <c r="AC38" i="14"/>
  <c r="AB38" i="14"/>
  <c r="Y38" i="14"/>
  <c r="X38" i="14"/>
  <c r="U38" i="14"/>
  <c r="T38" i="14"/>
  <c r="Q38" i="14"/>
  <c r="P38" i="14"/>
  <c r="M38" i="14"/>
  <c r="L38" i="14"/>
  <c r="I37" i="14"/>
  <c r="I36" i="14"/>
  <c r="AP34" i="14"/>
  <c r="I35" i="14"/>
  <c r="AY34" i="14"/>
  <c r="AD34" i="14"/>
  <c r="I33" i="14"/>
  <c r="I32" i="14"/>
  <c r="I31" i="14"/>
  <c r="I30" i="14"/>
  <c r="I29" i="14"/>
  <c r="I28" i="14"/>
  <c r="BM26" i="14"/>
  <c r="I27" i="14"/>
  <c r="BT26" i="14"/>
  <c r="BS26" i="14"/>
  <c r="BO26" i="14"/>
  <c r="BK26" i="14"/>
  <c r="BI26" i="14"/>
  <c r="BH26" i="14"/>
  <c r="BD26" i="14"/>
  <c r="BC26" i="14"/>
  <c r="AZ26" i="14"/>
  <c r="AW26" i="14"/>
  <c r="AU26" i="14"/>
  <c r="AS26" i="14"/>
  <c r="AO26" i="14"/>
  <c r="AN26" i="14"/>
  <c r="AM26" i="14"/>
  <c r="AI26" i="14"/>
  <c r="AG26" i="14"/>
  <c r="AE26" i="14"/>
  <c r="AB26" i="14"/>
  <c r="Y26" i="14"/>
  <c r="X26" i="14"/>
  <c r="U26" i="14"/>
  <c r="T26" i="14"/>
  <c r="S26" i="14"/>
  <c r="P26" i="14"/>
  <c r="O26" i="14"/>
  <c r="M26" i="14"/>
  <c r="BQ24" i="14"/>
  <c r="I25" i="14"/>
  <c r="BS24" i="14"/>
  <c r="BR24" i="14"/>
  <c r="BN24" i="14"/>
  <c r="BM24" i="14"/>
  <c r="BI24" i="14"/>
  <c r="BG24" i="14"/>
  <c r="BC24" i="14"/>
  <c r="BB24" i="14"/>
  <c r="AX24" i="14"/>
  <c r="AW24" i="14"/>
  <c r="AS24" i="14"/>
  <c r="AQ24" i="14"/>
  <c r="AM24" i="14"/>
  <c r="AL24" i="14"/>
  <c r="AH24" i="14"/>
  <c r="AG24" i="14"/>
  <c r="AC24" i="14"/>
  <c r="AA24" i="14"/>
  <c r="W24" i="14"/>
  <c r="V24" i="14"/>
  <c r="R24" i="14"/>
  <c r="Q24" i="14"/>
  <c r="M24" i="14"/>
  <c r="I24" i="14"/>
  <c r="I23" i="14"/>
  <c r="I22" i="14"/>
  <c r="I21" i="14"/>
  <c r="I20" i="14"/>
  <c r="I19" i="14"/>
  <c r="BQ17" i="14"/>
  <c r="I18" i="14"/>
  <c r="BN17" i="14"/>
  <c r="BC17" i="14"/>
  <c r="AS17" i="14"/>
  <c r="AH17" i="14"/>
  <c r="W17" i="14"/>
  <c r="M17" i="14"/>
  <c r="I16" i="14"/>
  <c r="BQ14" i="14"/>
  <c r="I15" i="14"/>
  <c r="BS14" i="14"/>
  <c r="BR14" i="14"/>
  <c r="BN14" i="14"/>
  <c r="BM14" i="14"/>
  <c r="BI14" i="14"/>
  <c r="BG14" i="14"/>
  <c r="BC14" i="14"/>
  <c r="BB14" i="14"/>
  <c r="AX14" i="14"/>
  <c r="AW14" i="14"/>
  <c r="AS14" i="14"/>
  <c r="AQ14" i="14"/>
  <c r="AM14" i="14"/>
  <c r="AL14" i="14"/>
  <c r="AH14" i="14"/>
  <c r="AG14" i="14"/>
  <c r="AC14" i="14"/>
  <c r="AA14" i="14"/>
  <c r="W14" i="14"/>
  <c r="V14" i="14"/>
  <c r="R14" i="14"/>
  <c r="Q14" i="14"/>
  <c r="M14" i="14"/>
  <c r="I12" i="14"/>
  <c r="I11" i="14"/>
  <c r="I10" i="14"/>
  <c r="BP7" i="14"/>
  <c r="BP6" i="14" s="1"/>
  <c r="I9" i="14"/>
  <c r="BQ7" i="14"/>
  <c r="BQ6" i="14" s="1"/>
  <c r="I8" i="14"/>
  <c r="BU7" i="14"/>
  <c r="BU6" i="14" s="1"/>
  <c r="BK7" i="14"/>
  <c r="BK6" i="14" s="1"/>
  <c r="BA7" i="14"/>
  <c r="BA6" i="14" s="1"/>
  <c r="AU7" i="14"/>
  <c r="AU6" i="14" s="1"/>
  <c r="AN7" i="14"/>
  <c r="AN6" i="14" s="1"/>
  <c r="AF7" i="14"/>
  <c r="AF6" i="14" s="1"/>
  <c r="Y7" i="14"/>
  <c r="Y6" i="14" s="1"/>
  <c r="S7" i="14"/>
  <c r="S6" i="14" s="1"/>
  <c r="M3" i="14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AH3" i="14" s="1"/>
  <c r="AI3" i="14" s="1"/>
  <c r="AJ3" i="14" s="1"/>
  <c r="AK3" i="14" s="1"/>
  <c r="AL3" i="14" s="1"/>
  <c r="AM3" i="14" s="1"/>
  <c r="AN3" i="14" s="1"/>
  <c r="AO3" i="14" s="1"/>
  <c r="AP3" i="14" s="1"/>
  <c r="AQ3" i="14" s="1"/>
  <c r="AR3" i="14" s="1"/>
  <c r="AS3" i="14" s="1"/>
  <c r="AT3" i="14" s="1"/>
  <c r="AU3" i="14" s="1"/>
  <c r="AV3" i="14" s="1"/>
  <c r="AW3" i="14" s="1"/>
  <c r="AX3" i="14" s="1"/>
  <c r="AY3" i="14" s="1"/>
  <c r="AZ3" i="14" s="1"/>
  <c r="BA3" i="14" s="1"/>
  <c r="BB3" i="14" s="1"/>
  <c r="BC3" i="14" s="1"/>
  <c r="BD3" i="14" s="1"/>
  <c r="BE3" i="14" s="1"/>
  <c r="BF3" i="14" s="1"/>
  <c r="BG3" i="14" s="1"/>
  <c r="BH3" i="14" s="1"/>
  <c r="BI3" i="14" s="1"/>
  <c r="BJ3" i="14" s="1"/>
  <c r="BK3" i="14" s="1"/>
  <c r="BL3" i="14" s="1"/>
  <c r="BM3" i="14" s="1"/>
  <c r="BN3" i="14" s="1"/>
  <c r="BO3" i="14" s="1"/>
  <c r="BP3" i="14" s="1"/>
  <c r="BQ3" i="14" s="1"/>
  <c r="BR3" i="14" s="1"/>
  <c r="BS3" i="14" s="1"/>
  <c r="BT3" i="14" s="1"/>
  <c r="BU3" i="14" s="1"/>
  <c r="BV3" i="14" s="1"/>
  <c r="BW3" i="14" s="1"/>
  <c r="BX3" i="14" s="1"/>
  <c r="BY3" i="14" s="1"/>
  <c r="BZ3" i="14" s="1"/>
  <c r="CA3" i="14" s="1"/>
  <c r="CB3" i="14" s="1"/>
  <c r="CC3" i="14" s="1"/>
  <c r="CD3" i="14" s="1"/>
  <c r="CE3" i="14" s="1"/>
  <c r="CF3" i="14" s="1"/>
  <c r="CG3" i="14" s="1"/>
  <c r="CH3" i="14" s="1"/>
  <c r="CI3" i="14" s="1"/>
  <c r="CJ3" i="14" s="1"/>
  <c r="CK3" i="14" s="1"/>
  <c r="CL3" i="14" s="1"/>
  <c r="CM3" i="14" s="1"/>
  <c r="CN3" i="14" s="1"/>
  <c r="CO3" i="14" s="1"/>
  <c r="CP3" i="14" s="1"/>
  <c r="CQ3" i="14" s="1"/>
  <c r="CR3" i="14" s="1"/>
  <c r="CS3" i="14" s="1"/>
  <c r="CT3" i="14" s="1"/>
  <c r="CU3" i="14" s="1"/>
  <c r="CV3" i="14" s="1"/>
  <c r="CW3" i="14" s="1"/>
  <c r="CX3" i="14" s="1"/>
  <c r="CY3" i="14" s="1"/>
  <c r="CZ3" i="14" s="1"/>
  <c r="DA3" i="14" s="1"/>
  <c r="DB3" i="14" s="1"/>
  <c r="DC3" i="14" s="1"/>
  <c r="DD3" i="14" s="1"/>
  <c r="DE3" i="14" s="1"/>
  <c r="DF3" i="14" s="1"/>
  <c r="DG3" i="14" s="1"/>
  <c r="DH3" i="14" s="1"/>
  <c r="DI3" i="14" s="1"/>
  <c r="DJ3" i="14" s="1"/>
  <c r="DK3" i="14" s="1"/>
  <c r="DL3" i="14" s="1"/>
  <c r="DM3" i="14" s="1"/>
  <c r="DN3" i="14" s="1"/>
  <c r="DO3" i="14" s="1"/>
  <c r="DP3" i="14" s="1"/>
  <c r="DQ3" i="14" s="1"/>
  <c r="DR3" i="14" s="1"/>
  <c r="DS3" i="14" s="1"/>
  <c r="DT3" i="14" s="1"/>
  <c r="DU3" i="14" s="1"/>
  <c r="DV3" i="14" s="1"/>
  <c r="DW3" i="14" s="1"/>
  <c r="DX3" i="14" s="1"/>
  <c r="DY3" i="14" s="1"/>
  <c r="DZ3" i="14" s="1"/>
  <c r="EA3" i="14" s="1"/>
  <c r="EB3" i="14" s="1"/>
  <c r="EC3" i="14" s="1"/>
  <c r="ED3" i="14" s="1"/>
  <c r="EE3" i="14" s="1"/>
  <c r="EF3" i="14" s="1"/>
  <c r="EG3" i="14" s="1"/>
  <c r="EH3" i="14" s="1"/>
  <c r="EI3" i="14" s="1"/>
  <c r="EJ3" i="14" s="1"/>
  <c r="EK3" i="14" s="1"/>
  <c r="EL3" i="14" s="1"/>
  <c r="I10" i="16"/>
  <c r="I19" i="16"/>
  <c r="I14" i="16"/>
  <c r="I24" i="16"/>
  <c r="I23" i="16"/>
  <c r="I12" i="16"/>
  <c r="I25" i="16"/>
  <c r="I6" i="16"/>
  <c r="I17" i="16"/>
  <c r="I9" i="16"/>
  <c r="I26" i="16"/>
  <c r="I15" i="16"/>
  <c r="I16" i="16"/>
  <c r="I28" i="16"/>
  <c r="I30" i="16"/>
  <c r="I18" i="16"/>
  <c r="I27" i="16"/>
  <c r="I11" i="16"/>
  <c r="I20" i="16"/>
  <c r="I8" i="16"/>
  <c r="I22" i="16"/>
  <c r="I31" i="16"/>
  <c r="I7" i="16"/>
  <c r="I21" i="16"/>
  <c r="I29" i="16"/>
  <c r="I13" i="16"/>
  <c r="I137" i="14" l="1"/>
  <c r="I129" i="14"/>
  <c r="BG149" i="2"/>
  <c r="BG151" i="2"/>
  <c r="BE151" i="2"/>
  <c r="BE149" i="2"/>
  <c r="BE150" i="2"/>
  <c r="I43" i="14"/>
  <c r="I105" i="14"/>
  <c r="I122" i="14"/>
  <c r="I133" i="14"/>
  <c r="I17" i="14"/>
  <c r="I34" i="14"/>
  <c r="I38" i="14"/>
  <c r="I108" i="14"/>
  <c r="I88" i="14"/>
  <c r="I74" i="14"/>
  <c r="I118" i="14"/>
  <c r="I7" i="14"/>
  <c r="I6" i="14" s="1"/>
  <c r="I98" i="14"/>
  <c r="I111" i="14"/>
  <c r="I48" i="14"/>
  <c r="I14" i="14"/>
  <c r="BF3" i="2"/>
  <c r="BG3" i="2"/>
  <c r="BH3" i="2"/>
  <c r="BJ1" i="2"/>
  <c r="BK1" i="2"/>
  <c r="BI1" i="2"/>
  <c r="BH2" i="2"/>
  <c r="BI2" i="2"/>
  <c r="I79" i="14"/>
  <c r="I26" i="14"/>
  <c r="I58" i="14"/>
  <c r="J21" i="16"/>
  <c r="BG2" i="2"/>
  <c r="J15" i="16"/>
  <c r="J28" i="16"/>
  <c r="J24" i="16"/>
  <c r="J20" i="16"/>
  <c r="J27" i="16"/>
  <c r="J19" i="16"/>
  <c r="J30" i="16"/>
  <c r="J22" i="16"/>
  <c r="J25" i="16"/>
  <c r="J31" i="16"/>
  <c r="J23" i="16"/>
  <c r="J26" i="16"/>
  <c r="J29" i="16"/>
  <c r="J11" i="16"/>
  <c r="J10" i="16"/>
  <c r="M10" i="16" s="1"/>
  <c r="J13" i="16"/>
  <c r="J16" i="16"/>
  <c r="J8" i="16"/>
  <c r="J14" i="16"/>
  <c r="J17" i="16"/>
  <c r="J9" i="16"/>
  <c r="J12" i="16"/>
  <c r="BQ58" i="14"/>
  <c r="M7" i="14"/>
  <c r="M6" i="14" s="1"/>
  <c r="T7" i="14"/>
  <c r="T6" i="14" s="1"/>
  <c r="AA7" i="14"/>
  <c r="AA6" i="14" s="1"/>
  <c r="AI7" i="14"/>
  <c r="AI6" i="14" s="1"/>
  <c r="AO7" i="14"/>
  <c r="AO6" i="14" s="1"/>
  <c r="AV7" i="14"/>
  <c r="AV6" i="14" s="1"/>
  <c r="BD7" i="14"/>
  <c r="BD6" i="14" s="1"/>
  <c r="BL7" i="14"/>
  <c r="BL6" i="14" s="1"/>
  <c r="Q17" i="14"/>
  <c r="AA17" i="14"/>
  <c r="AL17" i="14"/>
  <c r="AW17" i="14"/>
  <c r="BG17" i="14"/>
  <c r="BR17" i="14"/>
  <c r="AE34" i="14"/>
  <c r="BE34" i="14"/>
  <c r="L58" i="14"/>
  <c r="T58" i="14"/>
  <c r="AC58" i="14"/>
  <c r="AN58" i="14"/>
  <c r="AW58" i="14"/>
  <c r="BI58" i="14"/>
  <c r="BT58" i="14"/>
  <c r="S72" i="14"/>
  <c r="AE72" i="14"/>
  <c r="AP72" i="14"/>
  <c r="AY72" i="14"/>
  <c r="BK72" i="14"/>
  <c r="Q74" i="14"/>
  <c r="BC74" i="14"/>
  <c r="Y79" i="14"/>
  <c r="AT79" i="14"/>
  <c r="BO79" i="14"/>
  <c r="N86" i="14"/>
  <c r="AD86" i="14"/>
  <c r="AT86" i="14"/>
  <c r="BO86" i="14"/>
  <c r="AU88" i="14"/>
  <c r="BR98" i="14"/>
  <c r="U105" i="14"/>
  <c r="AE105" i="14"/>
  <c r="AP105" i="14"/>
  <c r="BE105" i="14"/>
  <c r="BQ105" i="14"/>
  <c r="O108" i="14"/>
  <c r="Z108" i="14"/>
  <c r="AK108" i="14"/>
  <c r="AU108" i="14"/>
  <c r="BF108" i="14"/>
  <c r="BQ108" i="14"/>
  <c r="N114" i="14"/>
  <c r="R114" i="14"/>
  <c r="V114" i="14"/>
  <c r="Z114" i="14"/>
  <c r="AD114" i="14"/>
  <c r="AH114" i="14"/>
  <c r="AM114" i="14"/>
  <c r="AS114" i="14"/>
  <c r="AX114" i="14"/>
  <c r="BC114" i="14"/>
  <c r="BI114" i="14"/>
  <c r="BT118" i="14"/>
  <c r="U7" i="14"/>
  <c r="U6" i="14" s="1"/>
  <c r="AJ7" i="14"/>
  <c r="AJ6" i="14" s="1"/>
  <c r="AY7" i="14"/>
  <c r="AY6" i="14" s="1"/>
  <c r="BE7" i="14"/>
  <c r="BE6" i="14" s="1"/>
  <c r="R17" i="14"/>
  <c r="AM17" i="14"/>
  <c r="BI17" i="14"/>
  <c r="S34" i="14"/>
  <c r="AO34" i="14"/>
  <c r="BO34" i="14"/>
  <c r="M58" i="14"/>
  <c r="U58" i="14"/>
  <c r="AF58" i="14"/>
  <c r="AO58" i="14"/>
  <c r="BA58" i="14"/>
  <c r="BL58" i="14"/>
  <c r="BU58" i="14"/>
  <c r="Y74" i="14"/>
  <c r="BM74" i="14"/>
  <c r="AC79" i="14"/>
  <c r="AX79" i="14"/>
  <c r="BU79" i="14"/>
  <c r="Q86" i="14"/>
  <c r="AG86" i="14"/>
  <c r="AW86" i="14"/>
  <c r="BS86" i="14"/>
  <c r="N105" i="14"/>
  <c r="Y105" i="14"/>
  <c r="AI105" i="14"/>
  <c r="AT105" i="14"/>
  <c r="BF105" i="14"/>
  <c r="BU105" i="14"/>
  <c r="S108" i="14"/>
  <c r="AD108" i="14"/>
  <c r="AO108" i="14"/>
  <c r="AY108" i="14"/>
  <c r="BJ108" i="14"/>
  <c r="BU108" i="14"/>
  <c r="O114" i="14"/>
  <c r="S114" i="14"/>
  <c r="W114" i="14"/>
  <c r="AA114" i="14"/>
  <c r="AE114" i="14"/>
  <c r="AI114" i="14"/>
  <c r="AO114" i="14"/>
  <c r="AT114" i="14"/>
  <c r="AY114" i="14"/>
  <c r="BE114" i="14"/>
  <c r="BJ114" i="14"/>
  <c r="BQ114" i="14"/>
  <c r="BT114" i="14"/>
  <c r="BJ137" i="14"/>
  <c r="O7" i="14"/>
  <c r="O6" i="14" s="1"/>
  <c r="AC7" i="14"/>
  <c r="AC6" i="14" s="1"/>
  <c r="AQ7" i="14"/>
  <c r="AQ6" i="14" s="1"/>
  <c r="AC17" i="14"/>
  <c r="AX17" i="14"/>
  <c r="BS17" i="14"/>
  <c r="BU34" i="14"/>
  <c r="P7" i="14"/>
  <c r="P6" i="14" s="1"/>
  <c r="X7" i="14"/>
  <c r="X6" i="14" s="1"/>
  <c r="AE7" i="14"/>
  <c r="AE6" i="14" s="1"/>
  <c r="AK7" i="14"/>
  <c r="AK6" i="14" s="1"/>
  <c r="AS7" i="14"/>
  <c r="AS6" i="14" s="1"/>
  <c r="AZ7" i="14"/>
  <c r="AZ6" i="14" s="1"/>
  <c r="BG7" i="14"/>
  <c r="BG6" i="14" s="1"/>
  <c r="V17" i="14"/>
  <c r="AG17" i="14"/>
  <c r="AQ17" i="14"/>
  <c r="BB17" i="14"/>
  <c r="BM17" i="14"/>
  <c r="U34" i="14"/>
  <c r="BU41" i="14"/>
  <c r="P58" i="14"/>
  <c r="X58" i="14"/>
  <c r="AG58" i="14"/>
  <c r="AS58" i="14"/>
  <c r="BD58" i="14"/>
  <c r="O72" i="14"/>
  <c r="Z72" i="14"/>
  <c r="AI72" i="14"/>
  <c r="AU72" i="14"/>
  <c r="BF72" i="14"/>
  <c r="N79" i="14"/>
  <c r="AI79" i="14"/>
  <c r="V86" i="14"/>
  <c r="AL86" i="14"/>
  <c r="Z88" i="14"/>
  <c r="O105" i="14"/>
  <c r="Z105" i="14"/>
  <c r="AK105" i="14"/>
  <c r="AU105" i="14"/>
  <c r="U108" i="14"/>
  <c r="AE108" i="14"/>
  <c r="AP108" i="14"/>
  <c r="BA108" i="14"/>
  <c r="L114" i="14"/>
  <c r="P114" i="14"/>
  <c r="T114" i="14"/>
  <c r="X114" i="14"/>
  <c r="AB114" i="14"/>
  <c r="AF114" i="14"/>
  <c r="AK114" i="14"/>
  <c r="AP114" i="14"/>
  <c r="AU114" i="14"/>
  <c r="BA114" i="14"/>
  <c r="BF114" i="14"/>
  <c r="BK114" i="14"/>
  <c r="BR114" i="14"/>
  <c r="BT133" i="14"/>
  <c r="F28" i="16"/>
  <c r="F31" i="16"/>
  <c r="F30" i="16"/>
  <c r="F29" i="16"/>
  <c r="F25" i="16"/>
  <c r="F23" i="16"/>
  <c r="F22" i="16"/>
  <c r="F26" i="16"/>
  <c r="F24" i="16"/>
  <c r="F20" i="16"/>
  <c r="F27" i="16"/>
  <c r="F21" i="16"/>
  <c r="F19" i="16"/>
  <c r="F10" i="16"/>
  <c r="F14" i="16"/>
  <c r="F8" i="16"/>
  <c r="F11" i="16"/>
  <c r="F12" i="16"/>
  <c r="F16" i="16"/>
  <c r="F17" i="16"/>
  <c r="F9" i="16"/>
  <c r="F13" i="16"/>
  <c r="F15" i="16"/>
  <c r="BS111" i="14"/>
  <c r="BN111" i="14"/>
  <c r="BI111" i="14"/>
  <c r="BC111" i="14"/>
  <c r="AX111" i="14"/>
  <c r="AS111" i="14"/>
  <c r="AM111" i="14"/>
  <c r="AH111" i="14"/>
  <c r="AC111" i="14"/>
  <c r="W111" i="14"/>
  <c r="R111" i="14"/>
  <c r="M111" i="14"/>
  <c r="BR111" i="14"/>
  <c r="BM111" i="14"/>
  <c r="BG111" i="14"/>
  <c r="BB111" i="14"/>
  <c r="AW111" i="14"/>
  <c r="AQ111" i="14"/>
  <c r="AL111" i="14"/>
  <c r="AG111" i="14"/>
  <c r="AA111" i="14"/>
  <c r="V111" i="14"/>
  <c r="Q111" i="14"/>
  <c r="BQ111" i="14"/>
  <c r="BF111" i="14"/>
  <c r="AU111" i="14"/>
  <c r="AK111" i="14"/>
  <c r="Z111" i="14"/>
  <c r="O111" i="14"/>
  <c r="BO111" i="14"/>
  <c r="BE111" i="14"/>
  <c r="AT111" i="14"/>
  <c r="AI111" i="14"/>
  <c r="Y111" i="14"/>
  <c r="N111" i="14"/>
  <c r="BK111" i="14"/>
  <c r="AP111" i="14"/>
  <c r="U111" i="14"/>
  <c r="BJ111" i="14"/>
  <c r="AO111" i="14"/>
  <c r="S111" i="14"/>
  <c r="BA111" i="14"/>
  <c r="AY111" i="14"/>
  <c r="AE111" i="14"/>
  <c r="AD111" i="14"/>
  <c r="BT7" i="14"/>
  <c r="BT6" i="14" s="1"/>
  <c r="BO7" i="14"/>
  <c r="BO6" i="14" s="1"/>
  <c r="BI7" i="14"/>
  <c r="BI6" i="14" s="1"/>
  <c r="BS7" i="14"/>
  <c r="BS6" i="14" s="1"/>
  <c r="BM7" i="14"/>
  <c r="BM6" i="14" s="1"/>
  <c r="BH7" i="14"/>
  <c r="BH6" i="14" s="1"/>
  <c r="BC7" i="14"/>
  <c r="BC6" i="14" s="1"/>
  <c r="AW7" i="14"/>
  <c r="AW6" i="14" s="1"/>
  <c r="AR7" i="14"/>
  <c r="AR6" i="14" s="1"/>
  <c r="AM7" i="14"/>
  <c r="AM6" i="14" s="1"/>
  <c r="AG7" i="14"/>
  <c r="AG6" i="14" s="1"/>
  <c r="AB7" i="14"/>
  <c r="AB6" i="14" s="1"/>
  <c r="W7" i="14"/>
  <c r="W6" i="14" s="1"/>
  <c r="Q7" i="14"/>
  <c r="Q6" i="14" s="1"/>
  <c r="L7" i="14"/>
  <c r="L6" i="14" s="1"/>
  <c r="BR7" i="14"/>
  <c r="BR6" i="14" s="1"/>
  <c r="BN7" i="14"/>
  <c r="BN6" i="14" s="1"/>
  <c r="BJ7" i="14"/>
  <c r="BJ6" i="14" s="1"/>
  <c r="BF7" i="14"/>
  <c r="BF6" i="14" s="1"/>
  <c r="BB7" i="14"/>
  <c r="BB6" i="14" s="1"/>
  <c r="AX7" i="14"/>
  <c r="AX6" i="14" s="1"/>
  <c r="AT7" i="14"/>
  <c r="AT6" i="14" s="1"/>
  <c r="AP7" i="14"/>
  <c r="AP6" i="14" s="1"/>
  <c r="AL7" i="14"/>
  <c r="AL6" i="14" s="1"/>
  <c r="AH7" i="14"/>
  <c r="AH6" i="14" s="1"/>
  <c r="AD7" i="14"/>
  <c r="AD6" i="14" s="1"/>
  <c r="Z7" i="14"/>
  <c r="Z6" i="14" s="1"/>
  <c r="V7" i="14"/>
  <c r="V6" i="14" s="1"/>
  <c r="R7" i="14"/>
  <c r="R6" i="14" s="1"/>
  <c r="N7" i="14"/>
  <c r="N6" i="14" s="1"/>
  <c r="N14" i="14"/>
  <c r="S14" i="14"/>
  <c r="Y14" i="14"/>
  <c r="AD14" i="14"/>
  <c r="AI14" i="14"/>
  <c r="AO14" i="14"/>
  <c r="AT14" i="14"/>
  <c r="AY14" i="14"/>
  <c r="BE14" i="14"/>
  <c r="BJ14" i="14"/>
  <c r="BO14" i="14"/>
  <c r="BU14" i="14"/>
  <c r="N17" i="14"/>
  <c r="S17" i="14"/>
  <c r="Y17" i="14"/>
  <c r="AD17" i="14"/>
  <c r="AI17" i="14"/>
  <c r="AO17" i="14"/>
  <c r="AT17" i="14"/>
  <c r="AY17" i="14"/>
  <c r="BE17" i="14"/>
  <c r="BJ17" i="14"/>
  <c r="BO17" i="14"/>
  <c r="BU17" i="14"/>
  <c r="N24" i="14"/>
  <c r="S24" i="14"/>
  <c r="Y24" i="14"/>
  <c r="AD24" i="14"/>
  <c r="AI24" i="14"/>
  <c r="AO24" i="14"/>
  <c r="AT24" i="14"/>
  <c r="AY24" i="14"/>
  <c r="BE24" i="14"/>
  <c r="BJ24" i="14"/>
  <c r="BO24" i="14"/>
  <c r="BU24" i="14"/>
  <c r="L26" i="14"/>
  <c r="Q26" i="14"/>
  <c r="W26" i="14"/>
  <c r="AC26" i="14"/>
  <c r="AJ26" i="14"/>
  <c r="AR26" i="14"/>
  <c r="AY26" i="14"/>
  <c r="BE26" i="14"/>
  <c r="N34" i="14"/>
  <c r="Y34" i="14"/>
  <c r="AI34" i="14"/>
  <c r="AT34" i="14"/>
  <c r="BJ34" i="14"/>
  <c r="BR74" i="14"/>
  <c r="BN74" i="14"/>
  <c r="BJ74" i="14"/>
  <c r="BF74" i="14"/>
  <c r="BB74" i="14"/>
  <c r="AX74" i="14"/>
  <c r="AT74" i="14"/>
  <c r="AP74" i="14"/>
  <c r="AL74" i="14"/>
  <c r="AH74" i="14"/>
  <c r="BU74" i="14"/>
  <c r="BP74" i="14"/>
  <c r="BK74" i="14"/>
  <c r="BE74" i="14"/>
  <c r="AZ74" i="14"/>
  <c r="AU74" i="14"/>
  <c r="AO74" i="14"/>
  <c r="AJ74" i="14"/>
  <c r="AE74" i="14"/>
  <c r="AA74" i="14"/>
  <c r="W74" i="14"/>
  <c r="S74" i="14"/>
  <c r="O74" i="14"/>
  <c r="BT74" i="14"/>
  <c r="BO74" i="14"/>
  <c r="BI74" i="14"/>
  <c r="BD74" i="14"/>
  <c r="AY74" i="14"/>
  <c r="AS74" i="14"/>
  <c r="AN74" i="14"/>
  <c r="AI74" i="14"/>
  <c r="AD74" i="14"/>
  <c r="Z74" i="14"/>
  <c r="V74" i="14"/>
  <c r="R74" i="14"/>
  <c r="N74" i="14"/>
  <c r="BL74" i="14"/>
  <c r="BA74" i="14"/>
  <c r="AQ74" i="14"/>
  <c r="AF74" i="14"/>
  <c r="X74" i="14"/>
  <c r="P74" i="14"/>
  <c r="BS74" i="14"/>
  <c r="BH74" i="14"/>
  <c r="AW74" i="14"/>
  <c r="AM74" i="14"/>
  <c r="AC74" i="14"/>
  <c r="U74" i="14"/>
  <c r="M74" i="14"/>
  <c r="BQ74" i="14"/>
  <c r="BG74" i="14"/>
  <c r="AV74" i="14"/>
  <c r="AK74" i="14"/>
  <c r="AB74" i="14"/>
  <c r="T74" i="14"/>
  <c r="L74" i="14"/>
  <c r="O14" i="14"/>
  <c r="U14" i="14"/>
  <c r="Z14" i="14"/>
  <c r="AE14" i="14"/>
  <c r="AK14" i="14"/>
  <c r="AP14" i="14"/>
  <c r="AU14" i="14"/>
  <c r="BA14" i="14"/>
  <c r="BF14" i="14"/>
  <c r="BK14" i="14"/>
  <c r="O17" i="14"/>
  <c r="U17" i="14"/>
  <c r="Z17" i="14"/>
  <c r="AE17" i="14"/>
  <c r="AK17" i="14"/>
  <c r="AP17" i="14"/>
  <c r="AU17" i="14"/>
  <c r="BA17" i="14"/>
  <c r="BF17" i="14"/>
  <c r="BK17" i="14"/>
  <c r="O24" i="14"/>
  <c r="U24" i="14"/>
  <c r="Z24" i="14"/>
  <c r="AE24" i="14"/>
  <c r="AK24" i="14"/>
  <c r="AP24" i="14"/>
  <c r="AU24" i="14"/>
  <c r="BA24" i="14"/>
  <c r="BF24" i="14"/>
  <c r="BK24" i="14"/>
  <c r="BR26" i="14"/>
  <c r="BN26" i="14"/>
  <c r="BJ26" i="14"/>
  <c r="BF26" i="14"/>
  <c r="BB26" i="14"/>
  <c r="AX26" i="14"/>
  <c r="AT26" i="14"/>
  <c r="AP26" i="14"/>
  <c r="AL26" i="14"/>
  <c r="AH26" i="14"/>
  <c r="AD26" i="14"/>
  <c r="Z26" i="14"/>
  <c r="BQ26" i="14"/>
  <c r="BL26" i="14"/>
  <c r="BG26" i="14"/>
  <c r="BA26" i="14"/>
  <c r="AV26" i="14"/>
  <c r="AQ26" i="14"/>
  <c r="AK26" i="14"/>
  <c r="AF26" i="14"/>
  <c r="AA26" i="14"/>
  <c r="V26" i="14"/>
  <c r="R26" i="14"/>
  <c r="N26" i="14"/>
  <c r="BU26" i="14"/>
  <c r="BP26" i="14"/>
  <c r="O34" i="14"/>
  <c r="Z34" i="14"/>
  <c r="AK34" i="14"/>
  <c r="AU34" i="14"/>
  <c r="BT14" i="14"/>
  <c r="BP14" i="14"/>
  <c r="BL14" i="14"/>
  <c r="BH14" i="14"/>
  <c r="BD14" i="14"/>
  <c r="AZ14" i="14"/>
  <c r="AV14" i="14"/>
  <c r="AR14" i="14"/>
  <c r="AN14" i="14"/>
  <c r="AJ14" i="14"/>
  <c r="AF14" i="14"/>
  <c r="AB14" i="14"/>
  <c r="X14" i="14"/>
  <c r="T14" i="14"/>
  <c r="P14" i="14"/>
  <c r="L14" i="14"/>
  <c r="BT17" i="14"/>
  <c r="BP17" i="14"/>
  <c r="BL17" i="14"/>
  <c r="BH17" i="14"/>
  <c r="BD17" i="14"/>
  <c r="AZ17" i="14"/>
  <c r="AV17" i="14"/>
  <c r="AR17" i="14"/>
  <c r="AN17" i="14"/>
  <c r="AJ17" i="14"/>
  <c r="AF17" i="14"/>
  <c r="AB17" i="14"/>
  <c r="X17" i="14"/>
  <c r="T17" i="14"/>
  <c r="P17" i="14"/>
  <c r="L17" i="14"/>
  <c r="BT24" i="14"/>
  <c r="BP24" i="14"/>
  <c r="BL24" i="14"/>
  <c r="BH24" i="14"/>
  <c r="BD24" i="14"/>
  <c r="AZ24" i="14"/>
  <c r="AV24" i="14"/>
  <c r="AR24" i="14"/>
  <c r="AN24" i="14"/>
  <c r="AJ24" i="14"/>
  <c r="AF24" i="14"/>
  <c r="AB24" i="14"/>
  <c r="X24" i="14"/>
  <c r="T24" i="14"/>
  <c r="P24" i="14"/>
  <c r="L24" i="14"/>
  <c r="BR34" i="14"/>
  <c r="BM34" i="14"/>
  <c r="BG34" i="14"/>
  <c r="BB34" i="14"/>
  <c r="AW34" i="14"/>
  <c r="AQ34" i="14"/>
  <c r="AL34" i="14"/>
  <c r="AG34" i="14"/>
  <c r="AA34" i="14"/>
  <c r="V34" i="14"/>
  <c r="Q34" i="14"/>
  <c r="BQ34" i="14"/>
  <c r="BK34" i="14"/>
  <c r="BF34" i="14"/>
  <c r="BA34" i="14"/>
  <c r="BU43" i="14"/>
  <c r="BQ43" i="14"/>
  <c r="BM43" i="14"/>
  <c r="BI43" i="14"/>
  <c r="BE43" i="14"/>
  <c r="BA43" i="14"/>
  <c r="AW43" i="14"/>
  <c r="AS43" i="14"/>
  <c r="AO43" i="14"/>
  <c r="AK43" i="14"/>
  <c r="AG43" i="14"/>
  <c r="AC43" i="14"/>
  <c r="Y43" i="14"/>
  <c r="U43" i="14"/>
  <c r="Q43" i="14"/>
  <c r="M43" i="14"/>
  <c r="BT43" i="14"/>
  <c r="BP43" i="14"/>
  <c r="BL43" i="14"/>
  <c r="BH43" i="14"/>
  <c r="BD43" i="14"/>
  <c r="AZ43" i="14"/>
  <c r="AV43" i="14"/>
  <c r="AR43" i="14"/>
  <c r="AN43" i="14"/>
  <c r="AJ43" i="14"/>
  <c r="AF43" i="14"/>
  <c r="AB43" i="14"/>
  <c r="X43" i="14"/>
  <c r="T43" i="14"/>
  <c r="P43" i="14"/>
  <c r="L43" i="14"/>
  <c r="BU48" i="14"/>
  <c r="BQ48" i="14"/>
  <c r="BM48" i="14"/>
  <c r="BI48" i="14"/>
  <c r="BE48" i="14"/>
  <c r="BA48" i="14"/>
  <c r="AW48" i="14"/>
  <c r="AS48" i="14"/>
  <c r="AO48" i="14"/>
  <c r="AK48" i="14"/>
  <c r="AG48" i="14"/>
  <c r="AC48" i="14"/>
  <c r="Y48" i="14"/>
  <c r="U48" i="14"/>
  <c r="Q48" i="14"/>
  <c r="M48" i="14"/>
  <c r="BT48" i="14"/>
  <c r="BP48" i="14"/>
  <c r="BL48" i="14"/>
  <c r="BH48" i="14"/>
  <c r="BD48" i="14"/>
  <c r="AZ48" i="14"/>
  <c r="AV48" i="14"/>
  <c r="AR48" i="14"/>
  <c r="AN48" i="14"/>
  <c r="AJ48" i="14"/>
  <c r="AF48" i="14"/>
  <c r="AB48" i="14"/>
  <c r="X48" i="14"/>
  <c r="T48" i="14"/>
  <c r="P48" i="14"/>
  <c r="L48" i="14"/>
  <c r="BS79" i="14"/>
  <c r="BR79" i="14"/>
  <c r="BM79" i="14"/>
  <c r="BG79" i="14"/>
  <c r="BB79" i="14"/>
  <c r="AW79" i="14"/>
  <c r="AQ79" i="14"/>
  <c r="AL79" i="14"/>
  <c r="AG79" i="14"/>
  <c r="AA79" i="14"/>
  <c r="V79" i="14"/>
  <c r="Q79" i="14"/>
  <c r="BQ79" i="14"/>
  <c r="BK79" i="14"/>
  <c r="BF79" i="14"/>
  <c r="BA79" i="14"/>
  <c r="AU79" i="14"/>
  <c r="AP79" i="14"/>
  <c r="AK79" i="14"/>
  <c r="AE79" i="14"/>
  <c r="Z79" i="14"/>
  <c r="U79" i="14"/>
  <c r="O79" i="14"/>
  <c r="W88" i="14"/>
  <c r="R88" i="14"/>
  <c r="M88" i="14"/>
  <c r="BR88" i="14"/>
  <c r="BM88" i="14"/>
  <c r="BG88" i="14"/>
  <c r="BB88" i="14"/>
  <c r="AW88" i="14"/>
  <c r="AQ88" i="14"/>
  <c r="AL88" i="14"/>
  <c r="AG88" i="14"/>
  <c r="AA88" i="14"/>
  <c r="V88" i="14"/>
  <c r="Q88" i="14"/>
  <c r="BO88" i="14"/>
  <c r="BE88" i="14"/>
  <c r="AT88" i="14"/>
  <c r="AI88" i="14"/>
  <c r="Y88" i="14"/>
  <c r="N88" i="14"/>
  <c r="BK88" i="14"/>
  <c r="BA88" i="14"/>
  <c r="AP88" i="14"/>
  <c r="AE88" i="14"/>
  <c r="U88" i="14"/>
  <c r="BT34" i="14"/>
  <c r="BP34" i="14"/>
  <c r="BL34" i="14"/>
  <c r="BH34" i="14"/>
  <c r="BD34" i="14"/>
  <c r="AZ34" i="14"/>
  <c r="AV34" i="14"/>
  <c r="AR34" i="14"/>
  <c r="AN34" i="14"/>
  <c r="AJ34" i="14"/>
  <c r="AF34" i="14"/>
  <c r="AB34" i="14"/>
  <c r="X34" i="14"/>
  <c r="T34" i="14"/>
  <c r="P34" i="14"/>
  <c r="L34" i="14"/>
  <c r="N43" i="14"/>
  <c r="V43" i="14"/>
  <c r="AD43" i="14"/>
  <c r="AL43" i="14"/>
  <c r="AT43" i="14"/>
  <c r="BB43" i="14"/>
  <c r="BJ43" i="14"/>
  <c r="BR43" i="14"/>
  <c r="N48" i="14"/>
  <c r="V48" i="14"/>
  <c r="AD48" i="14"/>
  <c r="AL48" i="14"/>
  <c r="AT48" i="14"/>
  <c r="BB48" i="14"/>
  <c r="BJ48" i="14"/>
  <c r="BR48" i="14"/>
  <c r="BS58" i="14"/>
  <c r="BO58" i="14"/>
  <c r="BK58" i="14"/>
  <c r="BG58" i="14"/>
  <c r="BC58" i="14"/>
  <c r="AY58" i="14"/>
  <c r="AU58" i="14"/>
  <c r="AQ58" i="14"/>
  <c r="AM58" i="14"/>
  <c r="AI58" i="14"/>
  <c r="AE58" i="14"/>
  <c r="AA58" i="14"/>
  <c r="W58" i="14"/>
  <c r="S58" i="14"/>
  <c r="O58" i="14"/>
  <c r="BR58" i="14"/>
  <c r="BN58" i="14"/>
  <c r="BJ58" i="14"/>
  <c r="BF58" i="14"/>
  <c r="BB58" i="14"/>
  <c r="AX58" i="14"/>
  <c r="AT58" i="14"/>
  <c r="AP58" i="14"/>
  <c r="AL58" i="14"/>
  <c r="AH58" i="14"/>
  <c r="AD58" i="14"/>
  <c r="Z58" i="14"/>
  <c r="V58" i="14"/>
  <c r="R58" i="14"/>
  <c r="N58" i="14"/>
  <c r="BU72" i="14"/>
  <c r="BQ72" i="14"/>
  <c r="BM72" i="14"/>
  <c r="BI72" i="14"/>
  <c r="BE72" i="14"/>
  <c r="BA72" i="14"/>
  <c r="AW72" i="14"/>
  <c r="AS72" i="14"/>
  <c r="AO72" i="14"/>
  <c r="AK72" i="14"/>
  <c r="AG72" i="14"/>
  <c r="AC72" i="14"/>
  <c r="Y72" i="14"/>
  <c r="U72" i="14"/>
  <c r="Q72" i="14"/>
  <c r="M72" i="14"/>
  <c r="BT72" i="14"/>
  <c r="BP72" i="14"/>
  <c r="BL72" i="14"/>
  <c r="BH72" i="14"/>
  <c r="BD72" i="14"/>
  <c r="AZ72" i="14"/>
  <c r="AV72" i="14"/>
  <c r="AR72" i="14"/>
  <c r="AN72" i="14"/>
  <c r="AJ72" i="14"/>
  <c r="AF72" i="14"/>
  <c r="AB72" i="14"/>
  <c r="X72" i="14"/>
  <c r="T72" i="14"/>
  <c r="P72" i="14"/>
  <c r="L72" i="14"/>
  <c r="S79" i="14"/>
  <c r="AD79" i="14"/>
  <c r="AO79" i="14"/>
  <c r="AY79" i="14"/>
  <c r="BJ79" i="14"/>
  <c r="O88" i="14"/>
  <c r="AK88" i="14"/>
  <c r="BF88" i="14"/>
  <c r="BR103" i="14"/>
  <c r="BN103" i="14"/>
  <c r="BJ103" i="14"/>
  <c r="BF103" i="14"/>
  <c r="BB103" i="14"/>
  <c r="AX103" i="14"/>
  <c r="AT103" i="14"/>
  <c r="AP103" i="14"/>
  <c r="AL103" i="14"/>
  <c r="AH103" i="14"/>
  <c r="AD103" i="14"/>
  <c r="BQ103" i="14"/>
  <c r="BL103" i="14"/>
  <c r="BG103" i="14"/>
  <c r="BA103" i="14"/>
  <c r="AV103" i="14"/>
  <c r="AQ103" i="14"/>
  <c r="AK103" i="14"/>
  <c r="AF103" i="14"/>
  <c r="AA103" i="14"/>
  <c r="W103" i="14"/>
  <c r="S103" i="14"/>
  <c r="O103" i="14"/>
  <c r="BU103" i="14"/>
  <c r="BP103" i="14"/>
  <c r="BK103" i="14"/>
  <c r="BE103" i="14"/>
  <c r="AZ103" i="14"/>
  <c r="AU103" i="14"/>
  <c r="AO103" i="14"/>
  <c r="AJ103" i="14"/>
  <c r="AE103" i="14"/>
  <c r="Z103" i="14"/>
  <c r="V103" i="14"/>
  <c r="R103" i="14"/>
  <c r="N103" i="14"/>
  <c r="BT103" i="14"/>
  <c r="BI103" i="14"/>
  <c r="AY103" i="14"/>
  <c r="AN103" i="14"/>
  <c r="AC103" i="14"/>
  <c r="U103" i="14"/>
  <c r="M103" i="14"/>
  <c r="BS103" i="14"/>
  <c r="BH103" i="14"/>
  <c r="AW103" i="14"/>
  <c r="AM103" i="14"/>
  <c r="AB103" i="14"/>
  <c r="T103" i="14"/>
  <c r="L103" i="14"/>
  <c r="BC103" i="14"/>
  <c r="AG103" i="14"/>
  <c r="P103" i="14"/>
  <c r="BO103" i="14"/>
  <c r="AS103" i="14"/>
  <c r="Y103" i="14"/>
  <c r="M34" i="14"/>
  <c r="R34" i="14"/>
  <c r="W34" i="14"/>
  <c r="AC34" i="14"/>
  <c r="AH34" i="14"/>
  <c r="AM34" i="14"/>
  <c r="AS34" i="14"/>
  <c r="AX34" i="14"/>
  <c r="BC34" i="14"/>
  <c r="BI34" i="14"/>
  <c r="BN34" i="14"/>
  <c r="BS34" i="14"/>
  <c r="BS38" i="14"/>
  <c r="BO38" i="14"/>
  <c r="BK38" i="14"/>
  <c r="BG38" i="14"/>
  <c r="BC38" i="14"/>
  <c r="AY38" i="14"/>
  <c r="AU38" i="14"/>
  <c r="AQ38" i="14"/>
  <c r="AM38" i="14"/>
  <c r="AI38" i="14"/>
  <c r="AE38" i="14"/>
  <c r="AA38" i="14"/>
  <c r="W38" i="14"/>
  <c r="S38" i="14"/>
  <c r="O38" i="14"/>
  <c r="AD38" i="14"/>
  <c r="Z38" i="14"/>
  <c r="V38" i="14"/>
  <c r="R38" i="14"/>
  <c r="N38" i="14"/>
  <c r="O43" i="14"/>
  <c r="W43" i="14"/>
  <c r="AE43" i="14"/>
  <c r="AM43" i="14"/>
  <c r="AU43" i="14"/>
  <c r="BC43" i="14"/>
  <c r="BK43" i="14"/>
  <c r="BS43" i="14"/>
  <c r="O48" i="14"/>
  <c r="W48" i="14"/>
  <c r="AE48" i="14"/>
  <c r="AM48" i="14"/>
  <c r="AU48" i="14"/>
  <c r="BC48" i="14"/>
  <c r="BK48" i="14"/>
  <c r="BS48" i="14"/>
  <c r="AB58" i="14"/>
  <c r="AJ58" i="14"/>
  <c r="AR58" i="14"/>
  <c r="AZ58" i="14"/>
  <c r="BH58" i="14"/>
  <c r="BP58" i="14"/>
  <c r="N72" i="14"/>
  <c r="V72" i="14"/>
  <c r="AD72" i="14"/>
  <c r="AL72" i="14"/>
  <c r="AT72" i="14"/>
  <c r="BB72" i="14"/>
  <c r="BJ72" i="14"/>
  <c r="BR72" i="14"/>
  <c r="M79" i="14"/>
  <c r="W79" i="14"/>
  <c r="AH79" i="14"/>
  <c r="AS79" i="14"/>
  <c r="BC79" i="14"/>
  <c r="BN79" i="14"/>
  <c r="BR86" i="14"/>
  <c r="BN86" i="14"/>
  <c r="BJ86" i="14"/>
  <c r="BF86" i="14"/>
  <c r="BB86" i="14"/>
  <c r="AX86" i="14"/>
  <c r="BQ86" i="14"/>
  <c r="BL86" i="14"/>
  <c r="BG86" i="14"/>
  <c r="BA86" i="14"/>
  <c r="AV86" i="14"/>
  <c r="AR86" i="14"/>
  <c r="AN86" i="14"/>
  <c r="AJ86" i="14"/>
  <c r="AF86" i="14"/>
  <c r="AB86" i="14"/>
  <c r="X86" i="14"/>
  <c r="T86" i="14"/>
  <c r="P86" i="14"/>
  <c r="L86" i="14"/>
  <c r="BU86" i="14"/>
  <c r="BP86" i="14"/>
  <c r="BK86" i="14"/>
  <c r="BE86" i="14"/>
  <c r="AZ86" i="14"/>
  <c r="AU86" i="14"/>
  <c r="AQ86" i="14"/>
  <c r="AM86" i="14"/>
  <c r="AI86" i="14"/>
  <c r="AE86" i="14"/>
  <c r="AA86" i="14"/>
  <c r="W86" i="14"/>
  <c r="S86" i="14"/>
  <c r="O86" i="14"/>
  <c r="BM86" i="14"/>
  <c r="BC86" i="14"/>
  <c r="AS86" i="14"/>
  <c r="AK86" i="14"/>
  <c r="AC86" i="14"/>
  <c r="U86" i="14"/>
  <c r="M86" i="14"/>
  <c r="BT86" i="14"/>
  <c r="BI86" i="14"/>
  <c r="AY86" i="14"/>
  <c r="AP86" i="14"/>
  <c r="AH86" i="14"/>
  <c r="Z86" i="14"/>
  <c r="R86" i="14"/>
  <c r="S88" i="14"/>
  <c r="AO88" i="14"/>
  <c r="BJ88" i="14"/>
  <c r="Q103" i="14"/>
  <c r="BD103" i="14"/>
  <c r="AH38" i="14"/>
  <c r="AL38" i="14"/>
  <c r="AP38" i="14"/>
  <c r="AT38" i="14"/>
  <c r="AX38" i="14"/>
  <c r="BB38" i="14"/>
  <c r="BF38" i="14"/>
  <c r="BJ38" i="14"/>
  <c r="BN38" i="14"/>
  <c r="AX41" i="14"/>
  <c r="BB41" i="14"/>
  <c r="BF41" i="14"/>
  <c r="BJ41" i="14"/>
  <c r="BN41" i="14"/>
  <c r="BT79" i="14"/>
  <c r="BT88" i="14"/>
  <c r="BP88" i="14"/>
  <c r="BL88" i="14"/>
  <c r="BH88" i="14"/>
  <c r="BD88" i="14"/>
  <c r="AZ88" i="14"/>
  <c r="AV88" i="14"/>
  <c r="AR88" i="14"/>
  <c r="AN88" i="14"/>
  <c r="AJ88" i="14"/>
  <c r="AF88" i="14"/>
  <c r="AB88" i="14"/>
  <c r="X88" i="14"/>
  <c r="T88" i="14"/>
  <c r="P88" i="14"/>
  <c r="L88" i="14"/>
  <c r="BS105" i="14"/>
  <c r="BN105" i="14"/>
  <c r="BI105" i="14"/>
  <c r="BC105" i="14"/>
  <c r="AX105" i="14"/>
  <c r="AS105" i="14"/>
  <c r="AM105" i="14"/>
  <c r="AH105" i="14"/>
  <c r="AC105" i="14"/>
  <c r="W105" i="14"/>
  <c r="R105" i="14"/>
  <c r="M105" i="14"/>
  <c r="BR105" i="14"/>
  <c r="BM105" i="14"/>
  <c r="BG105" i="14"/>
  <c r="BB105" i="14"/>
  <c r="AW105" i="14"/>
  <c r="AQ105" i="14"/>
  <c r="AL105" i="14"/>
  <c r="AG105" i="14"/>
  <c r="AA105" i="14"/>
  <c r="V105" i="14"/>
  <c r="Q105" i="14"/>
  <c r="L79" i="14"/>
  <c r="P79" i="14"/>
  <c r="T79" i="14"/>
  <c r="X79" i="14"/>
  <c r="AB79" i="14"/>
  <c r="AF79" i="14"/>
  <c r="AJ79" i="14"/>
  <c r="AN79" i="14"/>
  <c r="AR79" i="14"/>
  <c r="AV79" i="14"/>
  <c r="AZ79" i="14"/>
  <c r="BD79" i="14"/>
  <c r="BH79" i="14"/>
  <c r="BL79" i="14"/>
  <c r="BP79" i="14"/>
  <c r="AC88" i="14"/>
  <c r="AH88" i="14"/>
  <c r="AM88" i="14"/>
  <c r="AS88" i="14"/>
  <c r="AX88" i="14"/>
  <c r="BC88" i="14"/>
  <c r="BI88" i="14"/>
  <c r="BN88" i="14"/>
  <c r="BS88" i="14"/>
  <c r="BS98" i="14"/>
  <c r="BO98" i="14"/>
  <c r="BK98" i="14"/>
  <c r="BG98" i="14"/>
  <c r="BC98" i="14"/>
  <c r="AY98" i="14"/>
  <c r="AU98" i="14"/>
  <c r="BA105" i="14"/>
  <c r="BK105" i="14"/>
  <c r="BS108" i="14"/>
  <c r="BN108" i="14"/>
  <c r="BI108" i="14"/>
  <c r="BC108" i="14"/>
  <c r="AX108" i="14"/>
  <c r="AS108" i="14"/>
  <c r="AM108" i="14"/>
  <c r="AH108" i="14"/>
  <c r="AC108" i="14"/>
  <c r="W108" i="14"/>
  <c r="R108" i="14"/>
  <c r="M108" i="14"/>
  <c r="BR108" i="14"/>
  <c r="BM108" i="14"/>
  <c r="BG108" i="14"/>
  <c r="BB108" i="14"/>
  <c r="AW108" i="14"/>
  <c r="AQ108" i="14"/>
  <c r="AL108" i="14"/>
  <c r="AG108" i="14"/>
  <c r="AA108" i="14"/>
  <c r="V108" i="14"/>
  <c r="Q108" i="14"/>
  <c r="N98" i="14"/>
  <c r="R98" i="14"/>
  <c r="V98" i="14"/>
  <c r="Z98" i="14"/>
  <c r="AD98" i="14"/>
  <c r="AH98" i="14"/>
  <c r="AL98" i="14"/>
  <c r="AP98" i="14"/>
  <c r="AT98" i="14"/>
  <c r="AX98" i="14"/>
  <c r="BB98" i="14"/>
  <c r="BF98" i="14"/>
  <c r="BJ98" i="14"/>
  <c r="BN98" i="14"/>
  <c r="BT105" i="14"/>
  <c r="BP105" i="14"/>
  <c r="BL105" i="14"/>
  <c r="BH105" i="14"/>
  <c r="BD105" i="14"/>
  <c r="AZ105" i="14"/>
  <c r="AV105" i="14"/>
  <c r="AR105" i="14"/>
  <c r="AN105" i="14"/>
  <c r="AJ105" i="14"/>
  <c r="AF105" i="14"/>
  <c r="AB105" i="14"/>
  <c r="X105" i="14"/>
  <c r="T105" i="14"/>
  <c r="P105" i="14"/>
  <c r="L105" i="14"/>
  <c r="BT108" i="14"/>
  <c r="BP108" i="14"/>
  <c r="BL108" i="14"/>
  <c r="BH108" i="14"/>
  <c r="BD108" i="14"/>
  <c r="AZ108" i="14"/>
  <c r="AV108" i="14"/>
  <c r="AR108" i="14"/>
  <c r="AN108" i="14"/>
  <c r="AJ108" i="14"/>
  <c r="AF108" i="14"/>
  <c r="AB108" i="14"/>
  <c r="X108" i="14"/>
  <c r="T108" i="14"/>
  <c r="P108" i="14"/>
  <c r="L108" i="14"/>
  <c r="BT111" i="14"/>
  <c r="BP111" i="14"/>
  <c r="BL111" i="14"/>
  <c r="BH111" i="14"/>
  <c r="BD111" i="14"/>
  <c r="AZ111" i="14"/>
  <c r="AV111" i="14"/>
  <c r="AR111" i="14"/>
  <c r="AN111" i="14"/>
  <c r="AJ111" i="14"/>
  <c r="AF111" i="14"/>
  <c r="AB111" i="14"/>
  <c r="X111" i="14"/>
  <c r="T111" i="14"/>
  <c r="P111" i="14"/>
  <c r="L111" i="14"/>
  <c r="AJ114" i="14"/>
  <c r="AN114" i="14"/>
  <c r="AR114" i="14"/>
  <c r="AV114" i="14"/>
  <c r="AZ114" i="14"/>
  <c r="BD114" i="14"/>
  <c r="BH114" i="14"/>
  <c r="BL114" i="14"/>
  <c r="BP114" i="14"/>
  <c r="BF118" i="14"/>
  <c r="BJ118" i="14"/>
  <c r="BN118" i="14"/>
  <c r="BR118" i="14"/>
  <c r="BP122" i="14"/>
  <c r="BT122" i="14"/>
  <c r="BH129" i="14"/>
  <c r="BL129" i="14"/>
  <c r="BP129" i="14"/>
  <c r="BT129" i="14"/>
  <c r="BJ133" i="14"/>
  <c r="BN133" i="14"/>
  <c r="BR133" i="14"/>
  <c r="BT137" i="14"/>
  <c r="BO114" i="14"/>
  <c r="BI118" i="14"/>
  <c r="BM118" i="14"/>
  <c r="BQ118" i="14"/>
  <c r="BO122" i="14"/>
  <c r="BG129" i="14"/>
  <c r="BK129" i="14"/>
  <c r="BO129" i="14"/>
  <c r="BA133" i="14"/>
  <c r="BE133" i="14"/>
  <c r="BI133" i="14"/>
  <c r="BM133" i="14"/>
  <c r="BQ133" i="14"/>
  <c r="AU137" i="14"/>
  <c r="AY137" i="14"/>
  <c r="BC137" i="14"/>
  <c r="BG137" i="14"/>
  <c r="BK137" i="14"/>
  <c r="BO137" i="14"/>
  <c r="I78" i="14" l="1"/>
  <c r="M13" i="14"/>
  <c r="I13" i="14"/>
  <c r="R13" i="14"/>
  <c r="BE78" i="14"/>
  <c r="BM13" i="14"/>
  <c r="K10" i="16"/>
  <c r="K27" i="16"/>
  <c r="M27" i="16"/>
  <c r="K12" i="16"/>
  <c r="M12" i="16"/>
  <c r="K8" i="16"/>
  <c r="M8" i="16"/>
  <c r="K11" i="16"/>
  <c r="M11" i="16"/>
  <c r="M26" i="16"/>
  <c r="K26" i="16"/>
  <c r="M22" i="16"/>
  <c r="K22" i="16"/>
  <c r="K20" i="16"/>
  <c r="M20" i="16"/>
  <c r="K14" i="16"/>
  <c r="M14" i="16"/>
  <c r="K25" i="16"/>
  <c r="M25" i="16"/>
  <c r="M9" i="16"/>
  <c r="K9" i="16"/>
  <c r="K16" i="16"/>
  <c r="M16" i="16"/>
  <c r="K15" i="16"/>
  <c r="M15" i="16"/>
  <c r="K23" i="16"/>
  <c r="M23" i="16"/>
  <c r="M30" i="16"/>
  <c r="K30" i="16"/>
  <c r="M24" i="16"/>
  <c r="K24" i="16"/>
  <c r="K29" i="16"/>
  <c r="M29" i="16"/>
  <c r="M17" i="16"/>
  <c r="K17" i="16"/>
  <c r="M13" i="16"/>
  <c r="K13" i="16"/>
  <c r="K21" i="16"/>
  <c r="M21" i="16"/>
  <c r="K31" i="16"/>
  <c r="M31" i="16"/>
  <c r="K19" i="16"/>
  <c r="M19" i="16"/>
  <c r="K28" i="16"/>
  <c r="M28" i="16"/>
  <c r="Y78" i="14"/>
  <c r="AW13" i="14"/>
  <c r="BG13" i="14"/>
  <c r="Q13" i="14"/>
  <c r="BS13" i="14"/>
  <c r="AM13" i="14"/>
  <c r="AG13" i="14"/>
  <c r="V13" i="14"/>
  <c r="AQ13" i="14"/>
  <c r="AX13" i="14"/>
  <c r="BN13" i="14"/>
  <c r="N78" i="14"/>
  <c r="BO78" i="14"/>
  <c r="AF78" i="14"/>
  <c r="P78" i="14"/>
  <c r="AI78" i="14"/>
  <c r="BU78" i="14"/>
  <c r="BC13" i="14"/>
  <c r="AD78" i="14"/>
  <c r="AA13" i="14"/>
  <c r="BR13" i="14"/>
  <c r="AT78" i="14"/>
  <c r="AE78" i="14"/>
  <c r="Q78" i="14"/>
  <c r="BI13" i="14"/>
  <c r="BQ13" i="14"/>
  <c r="AL13" i="14"/>
  <c r="BB13" i="14"/>
  <c r="AC13" i="14"/>
  <c r="BA78" i="14"/>
  <c r="BG78" i="14"/>
  <c r="BG5" i="14" s="1"/>
  <c r="AF13" i="14"/>
  <c r="BK13" i="14"/>
  <c r="AT13" i="14"/>
  <c r="BH78" i="14"/>
  <c r="AR78" i="14"/>
  <c r="AB78" i="14"/>
  <c r="L78" i="14"/>
  <c r="BT78" i="14"/>
  <c r="R78" i="14"/>
  <c r="AM78" i="14"/>
  <c r="AM5" i="14" s="1"/>
  <c r="BN78" i="14"/>
  <c r="W78" i="14"/>
  <c r="BJ78" i="14"/>
  <c r="S78" i="14"/>
  <c r="O78" i="14"/>
  <c r="AK78" i="14"/>
  <c r="BF78" i="14"/>
  <c r="V78" i="14"/>
  <c r="AQ78" i="14"/>
  <c r="BM78" i="14"/>
  <c r="BM5" i="14" s="1"/>
  <c r="T13" i="14"/>
  <c r="AJ13" i="14"/>
  <c r="AZ13" i="14"/>
  <c r="BP13" i="14"/>
  <c r="BF13" i="14"/>
  <c r="BF5" i="14" s="1"/>
  <c r="BF143" i="14" s="1"/>
  <c r="AK13" i="14"/>
  <c r="O13" i="14"/>
  <c r="BJ13" i="14"/>
  <c r="AO13" i="14"/>
  <c r="S13" i="14"/>
  <c r="S5" i="14" s="1"/>
  <c r="AH78" i="14"/>
  <c r="AV13" i="14"/>
  <c r="AP13" i="14"/>
  <c r="BD78" i="14"/>
  <c r="AN78" i="14"/>
  <c r="X78" i="14"/>
  <c r="BI78" i="14"/>
  <c r="AC78" i="14"/>
  <c r="AC5" i="14" s="1"/>
  <c r="BC78" i="14"/>
  <c r="BC5" i="14" s="1"/>
  <c r="M78" i="14"/>
  <c r="M5" i="14" s="1"/>
  <c r="AS13" i="14"/>
  <c r="AY78" i="14"/>
  <c r="U78" i="14"/>
  <c r="AP78" i="14"/>
  <c r="BK78" i="14"/>
  <c r="AA78" i="14"/>
  <c r="AW78" i="14"/>
  <c r="AW5" i="14" s="1"/>
  <c r="BR78" i="14"/>
  <c r="X13" i="14"/>
  <c r="AN13" i="14"/>
  <c r="BD13" i="14"/>
  <c r="BT13" i="14"/>
  <c r="BT5" i="14" s="1"/>
  <c r="AH13" i="14"/>
  <c r="BA13" i="14"/>
  <c r="AE13" i="14"/>
  <c r="AE5" i="14" s="1"/>
  <c r="BE13" i="14"/>
  <c r="BE5" i="14" s="1"/>
  <c r="AI13" i="14"/>
  <c r="N13" i="14"/>
  <c r="BL78" i="14"/>
  <c r="AV78" i="14"/>
  <c r="AL78" i="14"/>
  <c r="P13" i="14"/>
  <c r="BL13" i="14"/>
  <c r="U13" i="14"/>
  <c r="W13" i="14"/>
  <c r="BO13" i="14"/>
  <c r="BO5" i="14" s="1"/>
  <c r="Y13" i="14"/>
  <c r="BP78" i="14"/>
  <c r="AZ78" i="14"/>
  <c r="AJ78" i="14"/>
  <c r="T78" i="14"/>
  <c r="AX78" i="14"/>
  <c r="AX5" i="14" s="1"/>
  <c r="AX143" i="14" s="1"/>
  <c r="AS78" i="14"/>
  <c r="AO78" i="14"/>
  <c r="Z78" i="14"/>
  <c r="AU78" i="14"/>
  <c r="BQ78" i="14"/>
  <c r="BQ5" i="14" s="1"/>
  <c r="AG78" i="14"/>
  <c r="AG5" i="14" s="1"/>
  <c r="BB78" i="14"/>
  <c r="BB5" i="14" s="1"/>
  <c r="BB143" i="14" s="1"/>
  <c r="BS78" i="14"/>
  <c r="L13" i="14"/>
  <c r="AB13" i="14"/>
  <c r="AR13" i="14"/>
  <c r="AR5" i="14" s="1"/>
  <c r="BH13" i="14"/>
  <c r="BH5" i="14" s="1"/>
  <c r="AU13" i="14"/>
  <c r="Z13" i="14"/>
  <c r="BU13" i="14"/>
  <c r="AY13" i="14"/>
  <c r="AD13" i="14"/>
  <c r="AT5" i="14" l="1"/>
  <c r="AT143" i="14" s="1"/>
  <c r="BL5" i="14"/>
  <c r="U5" i="14"/>
  <c r="P5" i="14"/>
  <c r="P144" i="14" s="1"/>
  <c r="BA5" i="14"/>
  <c r="BC2" i="14" s="1"/>
  <c r="O5" i="14"/>
  <c r="AD5" i="14"/>
  <c r="AD143" i="14" s="1"/>
  <c r="L5" i="14"/>
  <c r="L144" i="14" s="1"/>
  <c r="W5" i="14"/>
  <c r="W2" i="14" s="1"/>
  <c r="AL5" i="14"/>
  <c r="AL143" i="14" s="1"/>
  <c r="AF5" i="14"/>
  <c r="AF143" i="14" s="1"/>
  <c r="I5" i="14"/>
  <c r="BH143" i="14"/>
  <c r="BH144" i="14"/>
  <c r="BT143" i="14"/>
  <c r="BT144" i="14"/>
  <c r="AR143" i="14"/>
  <c r="AR144" i="14"/>
  <c r="BL143" i="14"/>
  <c r="BL144" i="14"/>
  <c r="R5" i="14"/>
  <c r="BU5" i="14"/>
  <c r="AB5" i="14"/>
  <c r="Y5" i="14"/>
  <c r="BS5" i="14"/>
  <c r="BS2" i="14" s="1"/>
  <c r="BI5" i="14"/>
  <c r="BI2" i="14" s="1"/>
  <c r="BR5" i="14"/>
  <c r="AQ5" i="14"/>
  <c r="BJ5" i="14"/>
  <c r="Z5" i="14"/>
  <c r="Z143" i="14" s="1"/>
  <c r="AY5" i="14"/>
  <c r="BD5" i="14"/>
  <c r="U2" i="14"/>
  <c r="N5" i="14"/>
  <c r="V5" i="14"/>
  <c r="V143" i="14" s="1"/>
  <c r="Q5" i="14"/>
  <c r="S2" i="14" s="1"/>
  <c r="AG2" i="14"/>
  <c r="BV2" i="14"/>
  <c r="AP5" i="14"/>
  <c r="AP143" i="14" s="1"/>
  <c r="M2" i="14"/>
  <c r="K18" i="16"/>
  <c r="L24" i="16" s="1"/>
  <c r="K7" i="16"/>
  <c r="M18" i="16"/>
  <c r="N25" i="16" s="1"/>
  <c r="M7" i="16"/>
  <c r="N12" i="16" s="1"/>
  <c r="BG2" i="14"/>
  <c r="AU5" i="14"/>
  <c r="BQ2" i="14"/>
  <c r="AA5" i="14"/>
  <c r="AC2" i="14" s="1"/>
  <c r="BN5" i="14"/>
  <c r="BN143" i="14" s="1"/>
  <c r="AI5" i="14"/>
  <c r="AH5" i="14"/>
  <c r="AH143" i="14" s="1"/>
  <c r="X5" i="14"/>
  <c r="AK5" i="14"/>
  <c r="AN5" i="14"/>
  <c r="AJ5" i="14"/>
  <c r="BO2" i="14"/>
  <c r="AS5" i="14"/>
  <c r="AO5" i="14"/>
  <c r="T5" i="14"/>
  <c r="BH2" i="14"/>
  <c r="AT2" i="14"/>
  <c r="BE2" i="14"/>
  <c r="BP5" i="14"/>
  <c r="BK5" i="14"/>
  <c r="AE2" i="14"/>
  <c r="AV5" i="14"/>
  <c r="O2" i="14"/>
  <c r="AZ5" i="14"/>
  <c r="AF2" i="14"/>
  <c r="L143" i="14" l="1"/>
  <c r="P143" i="14"/>
  <c r="Y2" i="14"/>
  <c r="BA2" i="14"/>
  <c r="BU2" i="14"/>
  <c r="AF144" i="14"/>
  <c r="AJ144" i="14"/>
  <c r="AJ143" i="14"/>
  <c r="X143" i="14"/>
  <c r="X144" i="14"/>
  <c r="AN143" i="14"/>
  <c r="AN144" i="14"/>
  <c r="BD2" i="14"/>
  <c r="BD144" i="14"/>
  <c r="BD143" i="14"/>
  <c r="BJ2" i="14"/>
  <c r="BJ143" i="14"/>
  <c r="R2" i="14"/>
  <c r="R143" i="14"/>
  <c r="AV143" i="14"/>
  <c r="AV144" i="14"/>
  <c r="AZ143" i="14"/>
  <c r="AZ144" i="14"/>
  <c r="P2" i="14"/>
  <c r="N143" i="14"/>
  <c r="BP144" i="14"/>
  <c r="BP143" i="14"/>
  <c r="T143" i="14"/>
  <c r="T144" i="14"/>
  <c r="BT2" i="14"/>
  <c r="BR143" i="14"/>
  <c r="AB143" i="14"/>
  <c r="AB144" i="14"/>
  <c r="BW2" i="14"/>
  <c r="AB2" i="14"/>
  <c r="BL2" i="14"/>
  <c r="AD2" i="14"/>
  <c r="AY2" i="14"/>
  <c r="N2" i="14"/>
  <c r="AU2" i="14"/>
  <c r="BP2" i="14"/>
  <c r="AV2" i="14"/>
  <c r="BK2" i="14"/>
  <c r="AS2" i="14"/>
  <c r="AH2" i="14"/>
  <c r="AI2" i="14"/>
  <c r="AW2" i="14"/>
  <c r="Q2" i="14"/>
  <c r="AZ2" i="14"/>
  <c r="T2" i="14"/>
  <c r="AN2" i="14"/>
  <c r="AM2" i="14"/>
  <c r="BN2" i="14"/>
  <c r="V2" i="14"/>
  <c r="AO2" i="14"/>
  <c r="X2" i="14"/>
  <c r="AA2" i="14"/>
  <c r="AR2" i="14"/>
  <c r="BF2" i="14"/>
  <c r="N15" i="16"/>
  <c r="N17" i="16"/>
  <c r="N13" i="16"/>
  <c r="N10" i="16"/>
  <c r="N11" i="16"/>
  <c r="N8" i="16"/>
  <c r="N9" i="16"/>
  <c r="N14" i="16"/>
  <c r="N16" i="16"/>
  <c r="N20" i="16"/>
  <c r="N28" i="16"/>
  <c r="N30" i="16"/>
  <c r="N23" i="16"/>
  <c r="N21" i="16"/>
  <c r="N27" i="16"/>
  <c r="N19" i="16"/>
  <c r="N26" i="16"/>
  <c r="N22" i="16"/>
  <c r="N31" i="16"/>
  <c r="N29" i="16"/>
  <c r="N24" i="16"/>
  <c r="L30" i="16"/>
  <c r="L31" i="16"/>
  <c r="L10" i="16"/>
  <c r="L22" i="16"/>
  <c r="L25" i="16"/>
  <c r="L15" i="16"/>
  <c r="L9" i="16"/>
  <c r="L17" i="16"/>
  <c r="L11" i="16"/>
  <c r="L12" i="16"/>
  <c r="L14" i="16"/>
  <c r="L13" i="16"/>
  <c r="L8" i="16"/>
  <c r="L16" i="16"/>
  <c r="L21" i="16"/>
  <c r="L26" i="16"/>
  <c r="L28" i="16"/>
  <c r="L23" i="16"/>
  <c r="L29" i="16"/>
  <c r="L27" i="16"/>
  <c r="L20" i="16"/>
  <c r="L19" i="16"/>
  <c r="AJ2" i="14"/>
  <c r="Z2" i="14"/>
  <c r="AP2" i="14"/>
  <c r="AK2" i="14"/>
  <c r="BR2" i="14"/>
  <c r="BM2" i="14"/>
  <c r="AL2" i="14"/>
  <c r="AX2" i="14"/>
  <c r="BB2" i="14"/>
  <c r="AQ2" i="14"/>
  <c r="N7" i="16" l="1"/>
  <c r="N18" i="16"/>
  <c r="F94" i="8"/>
  <c r="BC141" i="2" l="1"/>
  <c r="BC140" i="2"/>
  <c r="BC139" i="2"/>
  <c r="BC137" i="2"/>
  <c r="BC136" i="2"/>
  <c r="BC135" i="2"/>
  <c r="BC133" i="2"/>
  <c r="BC132" i="2"/>
  <c r="BC131" i="2"/>
  <c r="BC129" i="2"/>
  <c r="BC128" i="2"/>
  <c r="BC127" i="2"/>
  <c r="BC126" i="2"/>
  <c r="BC125" i="2"/>
  <c r="BC124" i="2"/>
  <c r="BC122" i="2"/>
  <c r="BC121" i="2"/>
  <c r="BC120" i="2"/>
  <c r="BC118" i="2"/>
  <c r="BC117" i="2"/>
  <c r="BC116" i="2"/>
  <c r="BC114" i="2"/>
  <c r="BC113" i="2"/>
  <c r="BC111" i="2"/>
  <c r="BC110" i="2"/>
  <c r="BC108" i="2"/>
  <c r="BC107" i="2"/>
  <c r="BC105" i="2"/>
  <c r="BC104" i="2" s="1"/>
  <c r="BC103" i="2"/>
  <c r="BC102" i="2"/>
  <c r="BC97" i="2"/>
  <c r="BC96" i="2"/>
  <c r="BC94" i="2"/>
  <c r="BC93" i="2"/>
  <c r="BC90" i="2"/>
  <c r="BC87" i="2"/>
  <c r="BC83" i="2"/>
  <c r="BC80" i="2" s="1"/>
  <c r="BC78" i="2"/>
  <c r="BC77" i="2"/>
  <c r="BC76" i="2"/>
  <c r="BC74" i="2"/>
  <c r="BC73" i="2" s="1"/>
  <c r="BC71" i="2"/>
  <c r="BC70" i="2"/>
  <c r="BC69" i="2"/>
  <c r="BC68" i="2"/>
  <c r="BC67" i="2"/>
  <c r="BC64" i="2"/>
  <c r="BC63" i="2"/>
  <c r="BC62" i="2"/>
  <c r="BC61" i="2"/>
  <c r="BC60" i="2"/>
  <c r="BC49" i="2"/>
  <c r="BC48" i="2"/>
  <c r="BC47" i="2"/>
  <c r="BC46" i="2"/>
  <c r="BC43" i="2"/>
  <c r="BC42" i="2" s="1"/>
  <c r="BC41" i="2"/>
  <c r="BC40" i="2"/>
  <c r="BC38" i="2"/>
  <c r="BC37" i="2"/>
  <c r="BC36" i="2"/>
  <c r="BC32" i="2"/>
  <c r="BC31" i="2"/>
  <c r="BC26" i="2"/>
  <c r="BC25" i="2" s="1"/>
  <c r="BC24" i="2"/>
  <c r="BC23" i="2"/>
  <c r="BC22" i="2"/>
  <c r="BC21" i="2"/>
  <c r="BC15" i="2"/>
  <c r="BC8" i="2"/>
  <c r="BC7" i="2" s="1"/>
  <c r="BB140" i="2"/>
  <c r="BB139" i="2"/>
  <c r="CE140" i="11"/>
  <c r="CD140" i="11"/>
  <c r="CC140" i="11"/>
  <c r="CB140" i="11"/>
  <c r="CA140" i="11"/>
  <c r="BZ140" i="11"/>
  <c r="BY140" i="11"/>
  <c r="BX140" i="11"/>
  <c r="BW140" i="11"/>
  <c r="BV140" i="11"/>
  <c r="BU140" i="11"/>
  <c r="BT140" i="11"/>
  <c r="BS140" i="11"/>
  <c r="BR140" i="11"/>
  <c r="BQ140" i="11"/>
  <c r="BP140" i="11"/>
  <c r="BO140" i="11"/>
  <c r="BN140" i="11"/>
  <c r="BM140" i="11"/>
  <c r="BL140" i="11"/>
  <c r="BK140" i="11"/>
  <c r="BJ140" i="11"/>
  <c r="BI140" i="11"/>
  <c r="BH140" i="11"/>
  <c r="BG140" i="11"/>
  <c r="BF140" i="11"/>
  <c r="BE140" i="11"/>
  <c r="BD140" i="11"/>
  <c r="BC140" i="11"/>
  <c r="CE139" i="11"/>
  <c r="CD139" i="11"/>
  <c r="CC139" i="11"/>
  <c r="CB139" i="11"/>
  <c r="CA139" i="11"/>
  <c r="BZ139" i="11"/>
  <c r="BY139" i="11"/>
  <c r="BX139" i="11"/>
  <c r="BW139" i="11"/>
  <c r="BV139" i="11"/>
  <c r="BU139" i="11"/>
  <c r="BT139" i="11"/>
  <c r="BS139" i="11"/>
  <c r="BR139" i="11"/>
  <c r="BQ139" i="11"/>
  <c r="BP139" i="11"/>
  <c r="BO139" i="11"/>
  <c r="BN139" i="11"/>
  <c r="BM139" i="11"/>
  <c r="BL139" i="11"/>
  <c r="BK139" i="11"/>
  <c r="BJ139" i="11"/>
  <c r="BI139" i="11"/>
  <c r="BH139" i="11"/>
  <c r="BG139" i="11"/>
  <c r="BF139" i="11"/>
  <c r="BE139" i="11"/>
  <c r="BD139" i="11"/>
  <c r="BC139" i="11"/>
  <c r="CE138" i="11"/>
  <c r="CD138" i="11"/>
  <c r="CC138" i="11"/>
  <c r="CB138" i="11"/>
  <c r="CA138" i="11"/>
  <c r="BZ138" i="11"/>
  <c r="BY138" i="11"/>
  <c r="BX138" i="11"/>
  <c r="BW138" i="11"/>
  <c r="BV138" i="11"/>
  <c r="BU138" i="11"/>
  <c r="BT138" i="11"/>
  <c r="BS138" i="11"/>
  <c r="BR138" i="11"/>
  <c r="BQ138" i="11"/>
  <c r="BP138" i="11"/>
  <c r="BO138" i="11"/>
  <c r="BN138" i="11"/>
  <c r="BM138" i="11"/>
  <c r="BL138" i="11"/>
  <c r="BK138" i="11"/>
  <c r="BJ138" i="11"/>
  <c r="BI138" i="11"/>
  <c r="BH138" i="11"/>
  <c r="BG138" i="11"/>
  <c r="BF138" i="11"/>
  <c r="BE138" i="11"/>
  <c r="BD138" i="11"/>
  <c r="BC138" i="11"/>
  <c r="BB140" i="11"/>
  <c r="BB139" i="11"/>
  <c r="BB138" i="11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BN14" i="3" l="1"/>
  <c r="BR14" i="3"/>
  <c r="BV14" i="3"/>
  <c r="BZ14" i="3"/>
  <c r="CD14" i="3"/>
  <c r="CH14" i="3"/>
  <c r="CL14" i="3"/>
  <c r="CP14" i="3"/>
  <c r="BQ14" i="3"/>
  <c r="BW14" i="3"/>
  <c r="CB14" i="3"/>
  <c r="CG14" i="3"/>
  <c r="CM14" i="3"/>
  <c r="BM14" i="3"/>
  <c r="BS14" i="3"/>
  <c r="BX14" i="3"/>
  <c r="CC14" i="3"/>
  <c r="CI14" i="3"/>
  <c r="CN14" i="3"/>
  <c r="BO14" i="3"/>
  <c r="BT14" i="3"/>
  <c r="BY14" i="3"/>
  <c r="CE14" i="3"/>
  <c r="CJ14" i="3"/>
  <c r="CO14" i="3"/>
  <c r="BU14" i="3"/>
  <c r="CA14" i="3"/>
  <c r="CF14" i="3"/>
  <c r="BP14" i="3"/>
  <c r="CK14" i="3"/>
  <c r="BL14" i="3"/>
  <c r="BJ14" i="3"/>
  <c r="BF14" i="3"/>
  <c r="BK14" i="3"/>
  <c r="BI14" i="3"/>
  <c r="BG14" i="3"/>
  <c r="BH14" i="3"/>
  <c r="BE14" i="3"/>
  <c r="AZ14" i="3"/>
  <c r="BC14" i="3"/>
  <c r="AY14" i="3"/>
  <c r="AU14" i="3"/>
  <c r="AX14" i="3"/>
  <c r="BB14" i="3"/>
  <c r="AT14" i="3"/>
  <c r="BD14" i="3"/>
  <c r="BA14" i="3"/>
  <c r="AW14" i="3"/>
  <c r="AV14" i="3"/>
  <c r="AS14" i="3"/>
  <c r="AR14" i="3"/>
  <c r="AQ14" i="3"/>
  <c r="BN26" i="3"/>
  <c r="BR26" i="3"/>
  <c r="BV26" i="3"/>
  <c r="BZ26" i="3"/>
  <c r="CD26" i="3"/>
  <c r="CH26" i="3"/>
  <c r="CL26" i="3"/>
  <c r="CP26" i="3"/>
  <c r="BP26" i="3"/>
  <c r="BU26" i="3"/>
  <c r="CA26" i="3"/>
  <c r="CF26" i="3"/>
  <c r="CK26" i="3"/>
  <c r="BQ26" i="3"/>
  <c r="BW26" i="3"/>
  <c r="CB26" i="3"/>
  <c r="CG26" i="3"/>
  <c r="CM26" i="3"/>
  <c r="BM26" i="3"/>
  <c r="BX26" i="3"/>
  <c r="CI26" i="3"/>
  <c r="BO26" i="3"/>
  <c r="BY26" i="3"/>
  <c r="CJ26" i="3"/>
  <c r="BS26" i="3"/>
  <c r="CC26" i="3"/>
  <c r="CN26" i="3"/>
  <c r="CE26" i="3"/>
  <c r="BT26" i="3"/>
  <c r="CO26" i="3"/>
  <c r="BL26" i="3"/>
  <c r="BJ26" i="3"/>
  <c r="BF26" i="3"/>
  <c r="BK26" i="3"/>
  <c r="BI26" i="3"/>
  <c r="BG26" i="3"/>
  <c r="BH26" i="3"/>
  <c r="BE26" i="3"/>
  <c r="BC26" i="3"/>
  <c r="AY26" i="3"/>
  <c r="AU26" i="3"/>
  <c r="AX26" i="3"/>
  <c r="BB26" i="3"/>
  <c r="AT26" i="3"/>
  <c r="BD26" i="3"/>
  <c r="BA26" i="3"/>
  <c r="AW26" i="3"/>
  <c r="AZ26" i="3"/>
  <c r="AV26" i="3"/>
  <c r="AS26" i="3"/>
  <c r="AQ26" i="3"/>
  <c r="AR26" i="3"/>
  <c r="BP30" i="3"/>
  <c r="BT30" i="3"/>
  <c r="BX30" i="3"/>
  <c r="CB30" i="3"/>
  <c r="CF30" i="3"/>
  <c r="CJ30" i="3"/>
  <c r="CN30" i="3"/>
  <c r="BM30" i="3"/>
  <c r="BR30" i="3"/>
  <c r="BW30" i="3"/>
  <c r="CC30" i="3"/>
  <c r="CH30" i="3"/>
  <c r="CM30" i="3"/>
  <c r="BN30" i="3"/>
  <c r="BS30" i="3"/>
  <c r="BY30" i="3"/>
  <c r="CD30" i="3"/>
  <c r="CI30" i="3"/>
  <c r="CO30" i="3"/>
  <c r="BO30" i="3"/>
  <c r="BZ30" i="3"/>
  <c r="CK30" i="3"/>
  <c r="BQ30" i="3"/>
  <c r="CA30" i="3"/>
  <c r="CL30" i="3"/>
  <c r="BU30" i="3"/>
  <c r="CE30" i="3"/>
  <c r="CP30" i="3"/>
  <c r="CG30" i="3"/>
  <c r="BV30" i="3"/>
  <c r="BI30" i="3"/>
  <c r="BE30" i="3"/>
  <c r="BJ30" i="3"/>
  <c r="BF30" i="3"/>
  <c r="BK30" i="3"/>
  <c r="BG30" i="3"/>
  <c r="BL30" i="3"/>
  <c r="BH30" i="3"/>
  <c r="BB30" i="3"/>
  <c r="AT30" i="3"/>
  <c r="BA30" i="3"/>
  <c r="AW30" i="3"/>
  <c r="AV30" i="3"/>
  <c r="BD30" i="3"/>
  <c r="AZ30" i="3"/>
  <c r="BC30" i="3"/>
  <c r="AY30" i="3"/>
  <c r="AU30" i="3"/>
  <c r="AX30" i="3"/>
  <c r="AS30" i="3"/>
  <c r="AQ30" i="3"/>
  <c r="AR30" i="3"/>
  <c r="BN46" i="3"/>
  <c r="BR46" i="3"/>
  <c r="BV46" i="3"/>
  <c r="BZ46" i="3"/>
  <c r="CD46" i="3"/>
  <c r="BM46" i="3"/>
  <c r="BS46" i="3"/>
  <c r="BX46" i="3"/>
  <c r="CC46" i="3"/>
  <c r="CH46" i="3"/>
  <c r="CL46" i="3"/>
  <c r="CP46" i="3"/>
  <c r="BO46" i="3"/>
  <c r="BT46" i="3"/>
  <c r="BY46" i="3"/>
  <c r="CE46" i="3"/>
  <c r="CI46" i="3"/>
  <c r="CM46" i="3"/>
  <c r="BU46" i="3"/>
  <c r="CF46" i="3"/>
  <c r="CN46" i="3"/>
  <c r="BW46" i="3"/>
  <c r="CG46" i="3"/>
  <c r="CO46" i="3"/>
  <c r="BP46" i="3"/>
  <c r="CA46" i="3"/>
  <c r="CJ46" i="3"/>
  <c r="CK46" i="3"/>
  <c r="BQ46" i="3"/>
  <c r="CB46" i="3"/>
  <c r="BL46" i="3"/>
  <c r="BJ46" i="3"/>
  <c r="BF46" i="3"/>
  <c r="BK46" i="3"/>
  <c r="BI46" i="3"/>
  <c r="BG46" i="3"/>
  <c r="BH46" i="3"/>
  <c r="BE46" i="3"/>
  <c r="AZ46" i="3"/>
  <c r="AV46" i="3"/>
  <c r="BC46" i="3"/>
  <c r="AY46" i="3"/>
  <c r="AU46" i="3"/>
  <c r="BB46" i="3"/>
  <c r="AX46" i="3"/>
  <c r="AT46" i="3"/>
  <c r="BD46" i="3"/>
  <c r="BA46" i="3"/>
  <c r="AW46" i="3"/>
  <c r="AS46" i="3"/>
  <c r="AR46" i="3"/>
  <c r="AQ46" i="3"/>
  <c r="BN54" i="3"/>
  <c r="DG94" i="11" s="1"/>
  <c r="BR54" i="3"/>
  <c r="DK94" i="11" s="1"/>
  <c r="BV54" i="3"/>
  <c r="DO94" i="11" s="1"/>
  <c r="BZ54" i="3"/>
  <c r="DS94" i="11" s="1"/>
  <c r="CD54" i="3"/>
  <c r="DW94" i="11" s="1"/>
  <c r="CH54" i="3"/>
  <c r="EA94" i="11" s="1"/>
  <c r="CL54" i="3"/>
  <c r="EE94" i="11" s="1"/>
  <c r="CP54" i="3"/>
  <c r="EI94" i="11" s="1"/>
  <c r="BP54" i="3"/>
  <c r="DI94" i="11" s="1"/>
  <c r="BU54" i="3"/>
  <c r="DN94" i="11" s="1"/>
  <c r="CA54" i="3"/>
  <c r="DT94" i="11" s="1"/>
  <c r="CF54" i="3"/>
  <c r="DY94" i="11" s="1"/>
  <c r="CK54" i="3"/>
  <c r="ED94" i="11" s="1"/>
  <c r="BQ54" i="3"/>
  <c r="DJ94" i="11" s="1"/>
  <c r="BW54" i="3"/>
  <c r="DP94" i="11" s="1"/>
  <c r="CB54" i="3"/>
  <c r="DU94" i="11" s="1"/>
  <c r="CG54" i="3"/>
  <c r="DZ94" i="11" s="1"/>
  <c r="CM54" i="3"/>
  <c r="EF94" i="11" s="1"/>
  <c r="BM54" i="3"/>
  <c r="DF94" i="11" s="1"/>
  <c r="BS54" i="3"/>
  <c r="DL94" i="11" s="1"/>
  <c r="BX54" i="3"/>
  <c r="DQ94" i="11" s="1"/>
  <c r="CC54" i="3"/>
  <c r="DV94" i="11" s="1"/>
  <c r="CI54" i="3"/>
  <c r="EB94" i="11" s="1"/>
  <c r="CN54" i="3"/>
  <c r="EG94" i="11" s="1"/>
  <c r="BY54" i="3"/>
  <c r="DR94" i="11" s="1"/>
  <c r="CE54" i="3"/>
  <c r="DX94" i="11" s="1"/>
  <c r="BT54" i="3"/>
  <c r="DM94" i="11" s="1"/>
  <c r="BO54" i="3"/>
  <c r="DH94" i="11" s="1"/>
  <c r="CJ54" i="3"/>
  <c r="EC94" i="11" s="1"/>
  <c r="CO54" i="3"/>
  <c r="EH94" i="11" s="1"/>
  <c r="BH54" i="3"/>
  <c r="BE54" i="3"/>
  <c r="BL54" i="3"/>
  <c r="BJ54" i="3"/>
  <c r="BF54" i="3"/>
  <c r="BK54" i="3"/>
  <c r="BI54" i="3"/>
  <c r="BG54" i="3"/>
  <c r="AZ54" i="3"/>
  <c r="AV54" i="3"/>
  <c r="BD54" i="3"/>
  <c r="BC54" i="3"/>
  <c r="AY54" i="3"/>
  <c r="AU54" i="3"/>
  <c r="BB54" i="3"/>
  <c r="AX54" i="3"/>
  <c r="AT54" i="3"/>
  <c r="BA54" i="3"/>
  <c r="AW54" i="3"/>
  <c r="AS54" i="3"/>
  <c r="AQ54" i="3"/>
  <c r="AR54" i="3"/>
  <c r="BM62" i="3"/>
  <c r="BQ62" i="3"/>
  <c r="BU62" i="3"/>
  <c r="BY62" i="3"/>
  <c r="CC62" i="3"/>
  <c r="CG62" i="3"/>
  <c r="CK62" i="3"/>
  <c r="CO62" i="3"/>
  <c r="BN62" i="3"/>
  <c r="BR62" i="3"/>
  <c r="BV62" i="3"/>
  <c r="BZ62" i="3"/>
  <c r="CD62" i="3"/>
  <c r="CH62" i="3"/>
  <c r="CL62" i="3"/>
  <c r="CP62" i="3"/>
  <c r="BO62" i="3"/>
  <c r="BS62" i="3"/>
  <c r="BW62" i="3"/>
  <c r="CA62" i="3"/>
  <c r="CE62" i="3"/>
  <c r="CI62" i="3"/>
  <c r="CM62" i="3"/>
  <c r="BX62" i="3"/>
  <c r="CN62" i="3"/>
  <c r="CB62" i="3"/>
  <c r="CJ62" i="3"/>
  <c r="BP62" i="3"/>
  <c r="CF62" i="3"/>
  <c r="BT62" i="3"/>
  <c r="BI62" i="3"/>
  <c r="BE62" i="3"/>
  <c r="BJ62" i="3"/>
  <c r="BF62" i="3"/>
  <c r="BK62" i="3"/>
  <c r="BG62" i="3"/>
  <c r="BL62" i="3"/>
  <c r="BH62" i="3"/>
  <c r="BB62" i="3"/>
  <c r="AX62" i="3"/>
  <c r="AT62" i="3"/>
  <c r="BA62" i="3"/>
  <c r="AW62" i="3"/>
  <c r="BD62" i="3"/>
  <c r="AZ62" i="3"/>
  <c r="AV62" i="3"/>
  <c r="BC62" i="3"/>
  <c r="AY62" i="3"/>
  <c r="AU62" i="3"/>
  <c r="AS62" i="3"/>
  <c r="AQ62" i="3"/>
  <c r="AR62" i="3"/>
  <c r="BN7" i="3"/>
  <c r="BR7" i="3"/>
  <c r="BV7" i="3"/>
  <c r="BZ7" i="3"/>
  <c r="CD7" i="3"/>
  <c r="CH7" i="3"/>
  <c r="CL7" i="3"/>
  <c r="CP7" i="3"/>
  <c r="BM7" i="3"/>
  <c r="BS7" i="3"/>
  <c r="BX7" i="3"/>
  <c r="CC7" i="3"/>
  <c r="CI7" i="3"/>
  <c r="CN7" i="3"/>
  <c r="BO7" i="3"/>
  <c r="BT7" i="3"/>
  <c r="BY7" i="3"/>
  <c r="CE7" i="3"/>
  <c r="CJ7" i="3"/>
  <c r="CO7" i="3"/>
  <c r="BP7" i="3"/>
  <c r="BU7" i="3"/>
  <c r="CA7" i="3"/>
  <c r="CF7" i="3"/>
  <c r="CK7" i="3"/>
  <c r="BQ7" i="3"/>
  <c r="CM7" i="3"/>
  <c r="BW7" i="3"/>
  <c r="CB7" i="3"/>
  <c r="CG7" i="3"/>
  <c r="BH7" i="3"/>
  <c r="BE7" i="3"/>
  <c r="BL7" i="3"/>
  <c r="BJ7" i="3"/>
  <c r="BF7" i="3"/>
  <c r="BK7" i="3"/>
  <c r="BI7" i="3"/>
  <c r="BG7" i="3"/>
  <c r="AZ7" i="3"/>
  <c r="BD7" i="3"/>
  <c r="BD6" i="3" s="1"/>
  <c r="BC7" i="3"/>
  <c r="AY7" i="3"/>
  <c r="AU7" i="3"/>
  <c r="AX7" i="3"/>
  <c r="BB7" i="3"/>
  <c r="BA7" i="3"/>
  <c r="AW7" i="3"/>
  <c r="AV7" i="3"/>
  <c r="AT7" i="3"/>
  <c r="AS7" i="3"/>
  <c r="AQ7" i="3"/>
  <c r="AR7" i="3"/>
  <c r="AR6" i="3" s="1"/>
  <c r="BP43" i="3"/>
  <c r="DI71" i="11" s="1"/>
  <c r="BT43" i="3"/>
  <c r="DM71" i="11" s="1"/>
  <c r="BX43" i="3"/>
  <c r="DQ71" i="11" s="1"/>
  <c r="CB43" i="3"/>
  <c r="DU71" i="11" s="1"/>
  <c r="CF43" i="3"/>
  <c r="DY71" i="11" s="1"/>
  <c r="CJ43" i="3"/>
  <c r="EC71" i="11" s="1"/>
  <c r="CN43" i="3"/>
  <c r="EG71" i="11" s="1"/>
  <c r="BQ43" i="3"/>
  <c r="DJ71" i="11" s="1"/>
  <c r="BV43" i="3"/>
  <c r="DO71" i="11" s="1"/>
  <c r="CA43" i="3"/>
  <c r="DT71" i="11" s="1"/>
  <c r="CG43" i="3"/>
  <c r="DZ71" i="11" s="1"/>
  <c r="CL43" i="3"/>
  <c r="EE71" i="11" s="1"/>
  <c r="BM43" i="3"/>
  <c r="DF71" i="11" s="1"/>
  <c r="BR43" i="3"/>
  <c r="DK71" i="11" s="1"/>
  <c r="BW43" i="3"/>
  <c r="DP71" i="11" s="1"/>
  <c r="CC43" i="3"/>
  <c r="DV71" i="11" s="1"/>
  <c r="CH43" i="3"/>
  <c r="EA71" i="11" s="1"/>
  <c r="CM43" i="3"/>
  <c r="EF71" i="11" s="1"/>
  <c r="BS43" i="3"/>
  <c r="DL71" i="11" s="1"/>
  <c r="CD43" i="3"/>
  <c r="DW71" i="11" s="1"/>
  <c r="CO43" i="3"/>
  <c r="EH71" i="11" s="1"/>
  <c r="BU43" i="3"/>
  <c r="DN71" i="11" s="1"/>
  <c r="CE43" i="3"/>
  <c r="DX71" i="11" s="1"/>
  <c r="CP43" i="3"/>
  <c r="EI71" i="11" s="1"/>
  <c r="BN43" i="3"/>
  <c r="DG71" i="11" s="1"/>
  <c r="BY43" i="3"/>
  <c r="DR71" i="11" s="1"/>
  <c r="CI43" i="3"/>
  <c r="EB71" i="11" s="1"/>
  <c r="BZ43" i="3"/>
  <c r="DS71" i="11" s="1"/>
  <c r="CK43" i="3"/>
  <c r="ED71" i="11" s="1"/>
  <c r="BO43" i="3"/>
  <c r="DH71" i="11" s="1"/>
  <c r="BK43" i="3"/>
  <c r="BG43" i="3"/>
  <c r="BL43" i="3"/>
  <c r="DE71" i="11" s="1"/>
  <c r="BH43" i="3"/>
  <c r="BI43" i="3"/>
  <c r="BE43" i="3"/>
  <c r="BJ43" i="3"/>
  <c r="BF43" i="3"/>
  <c r="BD43" i="3"/>
  <c r="BB43" i="3"/>
  <c r="AX43" i="3"/>
  <c r="AT43" i="3"/>
  <c r="BA43" i="3"/>
  <c r="AW43" i="3"/>
  <c r="AZ43" i="3"/>
  <c r="AV43" i="3"/>
  <c r="BC43" i="3"/>
  <c r="AY43" i="3"/>
  <c r="AU43" i="3"/>
  <c r="AU6" i="3" s="1"/>
  <c r="AS43" i="3"/>
  <c r="AR43" i="3"/>
  <c r="AQ43" i="3"/>
  <c r="BO59" i="3"/>
  <c r="BS59" i="3"/>
  <c r="BW59" i="3"/>
  <c r="CA59" i="3"/>
  <c r="CE59" i="3"/>
  <c r="CI59" i="3"/>
  <c r="CM59" i="3"/>
  <c r="BP59" i="3"/>
  <c r="BT59" i="3"/>
  <c r="BX59" i="3"/>
  <c r="CB59" i="3"/>
  <c r="CF59" i="3"/>
  <c r="CJ59" i="3"/>
  <c r="CN59" i="3"/>
  <c r="BM59" i="3"/>
  <c r="BQ59" i="3"/>
  <c r="BU59" i="3"/>
  <c r="BY59" i="3"/>
  <c r="CC59" i="3"/>
  <c r="CG59" i="3"/>
  <c r="CK59" i="3"/>
  <c r="CO59" i="3"/>
  <c r="BV59" i="3"/>
  <c r="CL59" i="3"/>
  <c r="CH59" i="3"/>
  <c r="BZ59" i="3"/>
  <c r="CP59" i="3"/>
  <c r="BN59" i="3"/>
  <c r="CD59" i="3"/>
  <c r="BR59" i="3"/>
  <c r="BL59" i="3"/>
  <c r="BJ59" i="3"/>
  <c r="BF59" i="3"/>
  <c r="BK59" i="3"/>
  <c r="BI59" i="3"/>
  <c r="BG59" i="3"/>
  <c r="BH59" i="3"/>
  <c r="BE59" i="3"/>
  <c r="AZ59" i="3"/>
  <c r="AV59" i="3"/>
  <c r="BC59" i="3"/>
  <c r="AY59" i="3"/>
  <c r="AU59" i="3"/>
  <c r="BB59" i="3"/>
  <c r="AX59" i="3"/>
  <c r="AT59" i="3"/>
  <c r="BD59" i="3"/>
  <c r="BA59" i="3"/>
  <c r="AW59" i="3"/>
  <c r="AS59" i="3"/>
  <c r="AQ59" i="3"/>
  <c r="AR59" i="3"/>
  <c r="BM83" i="3"/>
  <c r="BQ83" i="3"/>
  <c r="BU83" i="3"/>
  <c r="BY83" i="3"/>
  <c r="CC83" i="3"/>
  <c r="CG83" i="3"/>
  <c r="CK83" i="3"/>
  <c r="CO83" i="3"/>
  <c r="BR83" i="3"/>
  <c r="BW83" i="3"/>
  <c r="CB83" i="3"/>
  <c r="CH83" i="3"/>
  <c r="CM83" i="3"/>
  <c r="BV83" i="3"/>
  <c r="BN83" i="3"/>
  <c r="BS83" i="3"/>
  <c r="BX83" i="3"/>
  <c r="CD83" i="3"/>
  <c r="CI83" i="3"/>
  <c r="CN83" i="3"/>
  <c r="BO83" i="3"/>
  <c r="BZ83" i="3"/>
  <c r="CJ83" i="3"/>
  <c r="CA83" i="3"/>
  <c r="BT83" i="3"/>
  <c r="CE83" i="3"/>
  <c r="CP83" i="3"/>
  <c r="BP83" i="3"/>
  <c r="CL83" i="3"/>
  <c r="CF83" i="3"/>
  <c r="BH83" i="3"/>
  <c r="BE83" i="3"/>
  <c r="BL83" i="3"/>
  <c r="BJ83" i="3"/>
  <c r="BF83" i="3"/>
  <c r="BK83" i="3"/>
  <c r="BI83" i="3"/>
  <c r="BG83" i="3"/>
  <c r="AZ83" i="3"/>
  <c r="AV83" i="3"/>
  <c r="BD83" i="3"/>
  <c r="BC83" i="3"/>
  <c r="AY83" i="3"/>
  <c r="AU83" i="3"/>
  <c r="BB83" i="3"/>
  <c r="AX83" i="3"/>
  <c r="AT83" i="3"/>
  <c r="BA83" i="3"/>
  <c r="AW83" i="3"/>
  <c r="AS83" i="3"/>
  <c r="AQ83" i="3"/>
  <c r="AR83" i="3"/>
  <c r="BO87" i="3"/>
  <c r="BS87" i="3"/>
  <c r="BW87" i="3"/>
  <c r="CA87" i="3"/>
  <c r="CE87" i="3"/>
  <c r="CI87" i="3"/>
  <c r="CM87" i="3"/>
  <c r="BN87" i="3"/>
  <c r="BT87" i="3"/>
  <c r="BY87" i="3"/>
  <c r="CD87" i="3"/>
  <c r="CJ87" i="3"/>
  <c r="CO87" i="3"/>
  <c r="BM87" i="3"/>
  <c r="CH87" i="3"/>
  <c r="BP87" i="3"/>
  <c r="BU87" i="3"/>
  <c r="BZ87" i="3"/>
  <c r="CF87" i="3"/>
  <c r="CK87" i="3"/>
  <c r="CP87" i="3"/>
  <c r="BQ87" i="3"/>
  <c r="CB87" i="3"/>
  <c r="CL87" i="3"/>
  <c r="BR87" i="3"/>
  <c r="CN87" i="3"/>
  <c r="BV87" i="3"/>
  <c r="CG87" i="3"/>
  <c r="CC87" i="3"/>
  <c r="BX87" i="3"/>
  <c r="BK87" i="3"/>
  <c r="BG87" i="3"/>
  <c r="BL87" i="3"/>
  <c r="BH87" i="3"/>
  <c r="BI87" i="3"/>
  <c r="BE87" i="3"/>
  <c r="BJ87" i="3"/>
  <c r="BF87" i="3"/>
  <c r="BD87" i="3"/>
  <c r="BB87" i="3"/>
  <c r="AX87" i="3"/>
  <c r="AT87" i="3"/>
  <c r="BA87" i="3"/>
  <c r="AW87" i="3"/>
  <c r="AZ87" i="3"/>
  <c r="AV87" i="3"/>
  <c r="BC87" i="3"/>
  <c r="AY87" i="3"/>
  <c r="AU87" i="3"/>
  <c r="AS87" i="3"/>
  <c r="AR87" i="3"/>
  <c r="AQ87" i="3"/>
  <c r="BM91" i="3"/>
  <c r="BQ91" i="3"/>
  <c r="BU91" i="3"/>
  <c r="BY91" i="3"/>
  <c r="CC91" i="3"/>
  <c r="CG91" i="3"/>
  <c r="CK91" i="3"/>
  <c r="CO91" i="3"/>
  <c r="BP91" i="3"/>
  <c r="BV91" i="3"/>
  <c r="CA91" i="3"/>
  <c r="CF91" i="3"/>
  <c r="CL91" i="3"/>
  <c r="BZ91" i="3"/>
  <c r="CP91" i="3"/>
  <c r="BR91" i="3"/>
  <c r="BW91" i="3"/>
  <c r="CB91" i="3"/>
  <c r="CH91" i="3"/>
  <c r="CM91" i="3"/>
  <c r="BS91" i="3"/>
  <c r="CD91" i="3"/>
  <c r="CN91" i="3"/>
  <c r="BN91" i="3"/>
  <c r="BX91" i="3"/>
  <c r="CI91" i="3"/>
  <c r="BT91" i="3"/>
  <c r="CJ91" i="3"/>
  <c r="BO91" i="3"/>
  <c r="CE91" i="3"/>
  <c r="BL91" i="3"/>
  <c r="BJ91" i="3"/>
  <c r="BF91" i="3"/>
  <c r="BK91" i="3"/>
  <c r="BI91" i="3"/>
  <c r="BG91" i="3"/>
  <c r="BH91" i="3"/>
  <c r="BE91" i="3"/>
  <c r="AZ91" i="3"/>
  <c r="AV91" i="3"/>
  <c r="BC91" i="3"/>
  <c r="AY91" i="3"/>
  <c r="AU91" i="3"/>
  <c r="BB91" i="3"/>
  <c r="AX91" i="3"/>
  <c r="AT91" i="3"/>
  <c r="BD91" i="3"/>
  <c r="BA91" i="3"/>
  <c r="AW91" i="3"/>
  <c r="AS91" i="3"/>
  <c r="AQ91" i="3"/>
  <c r="AR91" i="3"/>
  <c r="BP12" i="3"/>
  <c r="BT12" i="3"/>
  <c r="BX12" i="3"/>
  <c r="CB12" i="3"/>
  <c r="CF12" i="3"/>
  <c r="CJ12" i="3"/>
  <c r="CN12" i="3"/>
  <c r="BO12" i="3"/>
  <c r="BU12" i="3"/>
  <c r="BZ12" i="3"/>
  <c r="CE12" i="3"/>
  <c r="CK12" i="3"/>
  <c r="CP12" i="3"/>
  <c r="BQ12" i="3"/>
  <c r="BV12" i="3"/>
  <c r="CA12" i="3"/>
  <c r="CG12" i="3"/>
  <c r="CL12" i="3"/>
  <c r="BM12" i="3"/>
  <c r="BR12" i="3"/>
  <c r="BW12" i="3"/>
  <c r="CC12" i="3"/>
  <c r="CH12" i="3"/>
  <c r="CM12" i="3"/>
  <c r="CD12" i="3"/>
  <c r="BN12" i="3"/>
  <c r="CI12" i="3"/>
  <c r="BS12" i="3"/>
  <c r="CO12" i="3"/>
  <c r="BY12" i="3"/>
  <c r="BK12" i="3"/>
  <c r="BG12" i="3"/>
  <c r="BL12" i="3"/>
  <c r="BH12" i="3"/>
  <c r="BI12" i="3"/>
  <c r="BE12" i="3"/>
  <c r="BJ12" i="3"/>
  <c r="BF12" i="3"/>
  <c r="BD12" i="3"/>
  <c r="BB12" i="3"/>
  <c r="BB6" i="3" s="1"/>
  <c r="BB97" i="3" s="1"/>
  <c r="AX12" i="3"/>
  <c r="BA12" i="3"/>
  <c r="AW12" i="3"/>
  <c r="AZ12" i="3"/>
  <c r="AZ6" i="3" s="1"/>
  <c r="AV12" i="3"/>
  <c r="AV6" i="3" s="1"/>
  <c r="BC12" i="3"/>
  <c r="AY12" i="3"/>
  <c r="AU12" i="3"/>
  <c r="AT12" i="3"/>
  <c r="AT6" i="3" s="1"/>
  <c r="AT97" i="3" s="1"/>
  <c r="AS12" i="3"/>
  <c r="AR12" i="3"/>
  <c r="AQ12" i="3"/>
  <c r="AQ6" i="3" s="1"/>
  <c r="BP24" i="3"/>
  <c r="BT24" i="3"/>
  <c r="BX24" i="3"/>
  <c r="CB24" i="3"/>
  <c r="CF24" i="3"/>
  <c r="CJ24" i="3"/>
  <c r="CN24" i="3"/>
  <c r="BN24" i="3"/>
  <c r="BS24" i="3"/>
  <c r="BY24" i="3"/>
  <c r="CD24" i="3"/>
  <c r="CI24" i="3"/>
  <c r="CO24" i="3"/>
  <c r="BO24" i="3"/>
  <c r="BU24" i="3"/>
  <c r="BZ24" i="3"/>
  <c r="CE24" i="3"/>
  <c r="CK24" i="3"/>
  <c r="CP24" i="3"/>
  <c r="BV24" i="3"/>
  <c r="CG24" i="3"/>
  <c r="BM24" i="3"/>
  <c r="BW24" i="3"/>
  <c r="CH24" i="3"/>
  <c r="BQ24" i="3"/>
  <c r="CA24" i="3"/>
  <c r="CL24" i="3"/>
  <c r="BR24" i="3"/>
  <c r="CC24" i="3"/>
  <c r="CM24" i="3"/>
  <c r="BK24" i="3"/>
  <c r="BG24" i="3"/>
  <c r="BL24" i="3"/>
  <c r="BH24" i="3"/>
  <c r="BI24" i="3"/>
  <c r="BE24" i="3"/>
  <c r="BJ24" i="3"/>
  <c r="BF24" i="3"/>
  <c r="BD24" i="3"/>
  <c r="BB24" i="3"/>
  <c r="AT24" i="3"/>
  <c r="BA24" i="3"/>
  <c r="AW24" i="3"/>
  <c r="AZ24" i="3"/>
  <c r="AV24" i="3"/>
  <c r="BC24" i="3"/>
  <c r="AY24" i="3"/>
  <c r="AU24" i="3"/>
  <c r="AX24" i="3"/>
  <c r="AS24" i="3"/>
  <c r="AQ24" i="3"/>
  <c r="AR24" i="3"/>
  <c r="BP48" i="3"/>
  <c r="BT48" i="3"/>
  <c r="BX48" i="3"/>
  <c r="CB48" i="3"/>
  <c r="CF48" i="3"/>
  <c r="CJ48" i="3"/>
  <c r="CN48" i="3"/>
  <c r="BM48" i="3"/>
  <c r="BQ48" i="3"/>
  <c r="BU48" i="3"/>
  <c r="BR48" i="3"/>
  <c r="BY48" i="3"/>
  <c r="CD48" i="3"/>
  <c r="CI48" i="3"/>
  <c r="CO48" i="3"/>
  <c r="BS48" i="3"/>
  <c r="BZ48" i="3"/>
  <c r="CE48" i="3"/>
  <c r="CK48" i="3"/>
  <c r="CP48" i="3"/>
  <c r="BN48" i="3"/>
  <c r="BV48" i="3"/>
  <c r="CA48" i="3"/>
  <c r="CG48" i="3"/>
  <c r="CL48" i="3"/>
  <c r="CH48" i="3"/>
  <c r="BO48" i="3"/>
  <c r="CM48" i="3"/>
  <c r="BW48" i="3"/>
  <c r="CC48" i="3"/>
  <c r="BI48" i="3"/>
  <c r="BE48" i="3"/>
  <c r="BJ48" i="3"/>
  <c r="BF48" i="3"/>
  <c r="BK48" i="3"/>
  <c r="BG48" i="3"/>
  <c r="BL48" i="3"/>
  <c r="BH48" i="3"/>
  <c r="BB48" i="3"/>
  <c r="AX48" i="3"/>
  <c r="AT48" i="3"/>
  <c r="BA48" i="3"/>
  <c r="AW48" i="3"/>
  <c r="BD48" i="3"/>
  <c r="AZ48" i="3"/>
  <c r="AV48" i="3"/>
  <c r="BC48" i="3"/>
  <c r="AY48" i="3"/>
  <c r="AU48" i="3"/>
  <c r="AS48" i="3"/>
  <c r="AQ48" i="3"/>
  <c r="AR48" i="3"/>
  <c r="BM68" i="3"/>
  <c r="BQ68" i="3"/>
  <c r="BU68" i="3"/>
  <c r="BY68" i="3"/>
  <c r="CC68" i="3"/>
  <c r="CG68" i="3"/>
  <c r="CK68" i="3"/>
  <c r="CO68" i="3"/>
  <c r="BN68" i="3"/>
  <c r="BR68" i="3"/>
  <c r="BV68" i="3"/>
  <c r="BZ68" i="3"/>
  <c r="CD68" i="3"/>
  <c r="CH68" i="3"/>
  <c r="CL68" i="3"/>
  <c r="CP68" i="3"/>
  <c r="BO68" i="3"/>
  <c r="BS68" i="3"/>
  <c r="BW68" i="3"/>
  <c r="CA68" i="3"/>
  <c r="CE68" i="3"/>
  <c r="CI68" i="3"/>
  <c r="CM68" i="3"/>
  <c r="CB68" i="3"/>
  <c r="BP68" i="3"/>
  <c r="CF68" i="3"/>
  <c r="CJ68" i="3"/>
  <c r="BX68" i="3"/>
  <c r="BT68" i="3"/>
  <c r="CN68" i="3"/>
  <c r="BK68" i="3"/>
  <c r="BG68" i="3"/>
  <c r="BL68" i="3"/>
  <c r="BH68" i="3"/>
  <c r="BI68" i="3"/>
  <c r="BE68" i="3"/>
  <c r="BJ68" i="3"/>
  <c r="BF68" i="3"/>
  <c r="BD68" i="3"/>
  <c r="BB68" i="3"/>
  <c r="AX68" i="3"/>
  <c r="AT68" i="3"/>
  <c r="BA68" i="3"/>
  <c r="AW68" i="3"/>
  <c r="AZ68" i="3"/>
  <c r="AV68" i="3"/>
  <c r="BC68" i="3"/>
  <c r="AY68" i="3"/>
  <c r="AU68" i="3"/>
  <c r="AS68" i="3"/>
  <c r="AR68" i="3"/>
  <c r="AQ68" i="3"/>
  <c r="BO72" i="3"/>
  <c r="BS72" i="3"/>
  <c r="BW72" i="3"/>
  <c r="CA72" i="3"/>
  <c r="CE72" i="3"/>
  <c r="CI72" i="3"/>
  <c r="CM72" i="3"/>
  <c r="BP72" i="3"/>
  <c r="BT72" i="3"/>
  <c r="BX72" i="3"/>
  <c r="CB72" i="3"/>
  <c r="CF72" i="3"/>
  <c r="CJ72" i="3"/>
  <c r="CN72" i="3"/>
  <c r="BM72" i="3"/>
  <c r="BQ72" i="3"/>
  <c r="BU72" i="3"/>
  <c r="BY72" i="3"/>
  <c r="CC72" i="3"/>
  <c r="CG72" i="3"/>
  <c r="CK72" i="3"/>
  <c r="CO72" i="3"/>
  <c r="BN72" i="3"/>
  <c r="CD72" i="3"/>
  <c r="BR72" i="3"/>
  <c r="CH72" i="3"/>
  <c r="CL72" i="3"/>
  <c r="CP72" i="3"/>
  <c r="BV72" i="3"/>
  <c r="BZ72" i="3"/>
  <c r="BL72" i="3"/>
  <c r="BJ72" i="3"/>
  <c r="BF72" i="3"/>
  <c r="BK72" i="3"/>
  <c r="BI72" i="3"/>
  <c r="BG72" i="3"/>
  <c r="BH72" i="3"/>
  <c r="BE72" i="3"/>
  <c r="AZ72" i="3"/>
  <c r="AV72" i="3"/>
  <c r="BC72" i="3"/>
  <c r="AY72" i="3"/>
  <c r="AU72" i="3"/>
  <c r="BB72" i="3"/>
  <c r="AX72" i="3"/>
  <c r="AT72" i="3"/>
  <c r="BD72" i="3"/>
  <c r="BA72" i="3"/>
  <c r="AW72" i="3"/>
  <c r="AS72" i="3"/>
  <c r="AQ72" i="3"/>
  <c r="AR72" i="3"/>
  <c r="BM76" i="3"/>
  <c r="BQ76" i="3"/>
  <c r="BU76" i="3"/>
  <c r="BN76" i="3"/>
  <c r="BR76" i="3"/>
  <c r="BV76" i="3"/>
  <c r="BO76" i="3"/>
  <c r="BS76" i="3"/>
  <c r="BW76" i="3"/>
  <c r="CA76" i="3"/>
  <c r="CE76" i="3"/>
  <c r="CI76" i="3"/>
  <c r="CM76" i="3"/>
  <c r="BP76" i="3"/>
  <c r="BZ76" i="3"/>
  <c r="CF76" i="3"/>
  <c r="CK76" i="3"/>
  <c r="CP76" i="3"/>
  <c r="BY76" i="3"/>
  <c r="BT76" i="3"/>
  <c r="CB76" i="3"/>
  <c r="CG76" i="3"/>
  <c r="CL76" i="3"/>
  <c r="CC76" i="3"/>
  <c r="CH76" i="3"/>
  <c r="CO76" i="3"/>
  <c r="BX76" i="3"/>
  <c r="CN76" i="3"/>
  <c r="CD76" i="3"/>
  <c r="CJ76" i="3"/>
  <c r="BI76" i="3"/>
  <c r="BE76" i="3"/>
  <c r="BJ76" i="3"/>
  <c r="BF76" i="3"/>
  <c r="BK76" i="3"/>
  <c r="BG76" i="3"/>
  <c r="BL76" i="3"/>
  <c r="BH76" i="3"/>
  <c r="BB76" i="3"/>
  <c r="AX76" i="3"/>
  <c r="AT76" i="3"/>
  <c r="BA76" i="3"/>
  <c r="AW76" i="3"/>
  <c r="BD76" i="3"/>
  <c r="AZ76" i="3"/>
  <c r="AV76" i="3"/>
  <c r="BC76" i="3"/>
  <c r="AY76" i="3"/>
  <c r="AU76" i="3"/>
  <c r="AS76" i="3"/>
  <c r="AQ76" i="3"/>
  <c r="AR76" i="3"/>
  <c r="BP17" i="3"/>
  <c r="BT17" i="3"/>
  <c r="BX17" i="3"/>
  <c r="CB17" i="3"/>
  <c r="CF17" i="3"/>
  <c r="CJ17" i="3"/>
  <c r="CN17" i="3"/>
  <c r="BN17" i="3"/>
  <c r="BS17" i="3"/>
  <c r="BO17" i="3"/>
  <c r="BU17" i="3"/>
  <c r="BZ17" i="3"/>
  <c r="CE17" i="3"/>
  <c r="CK17" i="3"/>
  <c r="CP17" i="3"/>
  <c r="BQ17" i="3"/>
  <c r="BV17" i="3"/>
  <c r="CA17" i="3"/>
  <c r="CG17" i="3"/>
  <c r="CL17" i="3"/>
  <c r="BM17" i="3"/>
  <c r="CC17" i="3"/>
  <c r="CM17" i="3"/>
  <c r="BR17" i="3"/>
  <c r="CD17" i="3"/>
  <c r="CO17" i="3"/>
  <c r="BW17" i="3"/>
  <c r="CH17" i="3"/>
  <c r="CI17" i="3"/>
  <c r="BY17" i="3"/>
  <c r="BI17" i="3"/>
  <c r="BE17" i="3"/>
  <c r="BJ17" i="3"/>
  <c r="BF17" i="3"/>
  <c r="BK17" i="3"/>
  <c r="BG17" i="3"/>
  <c r="BL17" i="3"/>
  <c r="BH17" i="3"/>
  <c r="AX17" i="3"/>
  <c r="BA17" i="3"/>
  <c r="BA6" i="3" s="1"/>
  <c r="AW17" i="3"/>
  <c r="AW6" i="3" s="1"/>
  <c r="AV17" i="3"/>
  <c r="BD17" i="3"/>
  <c r="AZ17" i="3"/>
  <c r="BC17" i="3"/>
  <c r="BC6" i="3" s="1"/>
  <c r="AY17" i="3"/>
  <c r="AU17" i="3"/>
  <c r="BB17" i="3"/>
  <c r="AT17" i="3"/>
  <c r="AS17" i="3"/>
  <c r="AQ17" i="3"/>
  <c r="AR17" i="3"/>
  <c r="BN21" i="3"/>
  <c r="BR21" i="3"/>
  <c r="BV21" i="3"/>
  <c r="BZ21" i="3"/>
  <c r="CD21" i="3"/>
  <c r="CH21" i="3"/>
  <c r="CL21" i="3"/>
  <c r="CP21" i="3"/>
  <c r="BQ21" i="3"/>
  <c r="BW21" i="3"/>
  <c r="CB21" i="3"/>
  <c r="CG21" i="3"/>
  <c r="CM21" i="3"/>
  <c r="BM21" i="3"/>
  <c r="BS21" i="3"/>
  <c r="BX21" i="3"/>
  <c r="CC21" i="3"/>
  <c r="CI21" i="3"/>
  <c r="CN21" i="3"/>
  <c r="BT21" i="3"/>
  <c r="CE21" i="3"/>
  <c r="CO21" i="3"/>
  <c r="BU21" i="3"/>
  <c r="CF21" i="3"/>
  <c r="BO21" i="3"/>
  <c r="BY21" i="3"/>
  <c r="CJ21" i="3"/>
  <c r="BP21" i="3"/>
  <c r="CA21" i="3"/>
  <c r="CK21" i="3"/>
  <c r="BH21" i="3"/>
  <c r="BE21" i="3"/>
  <c r="BL21" i="3"/>
  <c r="BJ21" i="3"/>
  <c r="BF21" i="3"/>
  <c r="BK21" i="3"/>
  <c r="BI21" i="3"/>
  <c r="BG21" i="3"/>
  <c r="AV21" i="3"/>
  <c r="BD21" i="3"/>
  <c r="BC21" i="3"/>
  <c r="AY21" i="3"/>
  <c r="AU21" i="3"/>
  <c r="AX21" i="3"/>
  <c r="AT21" i="3"/>
  <c r="BB21" i="3"/>
  <c r="BA21" i="3"/>
  <c r="AW21" i="3"/>
  <c r="AZ21" i="3"/>
  <c r="AS21" i="3"/>
  <c r="AQ21" i="3"/>
  <c r="AR21" i="3"/>
  <c r="BN41" i="3"/>
  <c r="DG69" i="11" s="1"/>
  <c r="BR41" i="3"/>
  <c r="DK69" i="11" s="1"/>
  <c r="BV41" i="3"/>
  <c r="DO69" i="11" s="1"/>
  <c r="BZ41" i="3"/>
  <c r="DS69" i="11" s="1"/>
  <c r="CD41" i="3"/>
  <c r="DW69" i="11" s="1"/>
  <c r="CH41" i="3"/>
  <c r="EA69" i="11" s="1"/>
  <c r="CL41" i="3"/>
  <c r="EE69" i="11" s="1"/>
  <c r="CP41" i="3"/>
  <c r="EI69" i="11" s="1"/>
  <c r="BO41" i="3"/>
  <c r="DH69" i="11" s="1"/>
  <c r="BT41" i="3"/>
  <c r="DM69" i="11" s="1"/>
  <c r="BY41" i="3"/>
  <c r="DR69" i="11" s="1"/>
  <c r="CE41" i="3"/>
  <c r="DX69" i="11" s="1"/>
  <c r="CJ41" i="3"/>
  <c r="EC69" i="11" s="1"/>
  <c r="CO41" i="3"/>
  <c r="EH69" i="11" s="1"/>
  <c r="BP41" i="3"/>
  <c r="DI69" i="11" s="1"/>
  <c r="BU41" i="3"/>
  <c r="DN69" i="11" s="1"/>
  <c r="CA41" i="3"/>
  <c r="DT69" i="11" s="1"/>
  <c r="CF41" i="3"/>
  <c r="DY69" i="11" s="1"/>
  <c r="CK41" i="3"/>
  <c r="ED69" i="11" s="1"/>
  <c r="BQ41" i="3"/>
  <c r="DJ69" i="11" s="1"/>
  <c r="CB41" i="3"/>
  <c r="DU69" i="11" s="1"/>
  <c r="CM41" i="3"/>
  <c r="EF69" i="11" s="1"/>
  <c r="BS41" i="3"/>
  <c r="DL69" i="11" s="1"/>
  <c r="CC41" i="3"/>
  <c r="DV69" i="11" s="1"/>
  <c r="CN41" i="3"/>
  <c r="EG69" i="11" s="1"/>
  <c r="BW41" i="3"/>
  <c r="DP69" i="11" s="1"/>
  <c r="CG41" i="3"/>
  <c r="DZ69" i="11" s="1"/>
  <c r="BM41" i="3"/>
  <c r="DF69" i="11" s="1"/>
  <c r="DF58" i="11" s="1"/>
  <c r="BX41" i="3"/>
  <c r="DQ69" i="11" s="1"/>
  <c r="CI41" i="3"/>
  <c r="EB69" i="11" s="1"/>
  <c r="BH41" i="3"/>
  <c r="BE41" i="3"/>
  <c r="BL41" i="3"/>
  <c r="DE69" i="11" s="1"/>
  <c r="DE58" i="11" s="1"/>
  <c r="DE13" i="11" s="1"/>
  <c r="DE5" i="11" s="1"/>
  <c r="BJ41" i="3"/>
  <c r="BF41" i="3"/>
  <c r="BK41" i="3"/>
  <c r="BI41" i="3"/>
  <c r="BG41" i="3"/>
  <c r="AZ41" i="3"/>
  <c r="BD41" i="3"/>
  <c r="BC41" i="3"/>
  <c r="AY41" i="3"/>
  <c r="AU41" i="3"/>
  <c r="BB41" i="3"/>
  <c r="AX41" i="3"/>
  <c r="AT41" i="3"/>
  <c r="BA41" i="3"/>
  <c r="AW41" i="3"/>
  <c r="AV41" i="3"/>
  <c r="AS41" i="3"/>
  <c r="AO41" i="3"/>
  <c r="AQ41" i="3"/>
  <c r="AR41" i="3"/>
  <c r="BP57" i="3"/>
  <c r="DI97" i="11" s="1"/>
  <c r="BT57" i="3"/>
  <c r="DM97" i="11" s="1"/>
  <c r="BX57" i="3"/>
  <c r="DQ97" i="11" s="1"/>
  <c r="CB57" i="3"/>
  <c r="DU97" i="11" s="1"/>
  <c r="BM57" i="3"/>
  <c r="DF97" i="11" s="1"/>
  <c r="BR57" i="3"/>
  <c r="DK97" i="11" s="1"/>
  <c r="BW57" i="3"/>
  <c r="DP97" i="11" s="1"/>
  <c r="CC57" i="3"/>
  <c r="DV97" i="11" s="1"/>
  <c r="CG57" i="3"/>
  <c r="DZ97" i="11" s="1"/>
  <c r="CK57" i="3"/>
  <c r="ED97" i="11" s="1"/>
  <c r="CO57" i="3"/>
  <c r="EH97" i="11" s="1"/>
  <c r="BN57" i="3"/>
  <c r="DG97" i="11" s="1"/>
  <c r="BS57" i="3"/>
  <c r="DL97" i="11" s="1"/>
  <c r="BY57" i="3"/>
  <c r="DR97" i="11" s="1"/>
  <c r="CD57" i="3"/>
  <c r="DW97" i="11" s="1"/>
  <c r="CH57" i="3"/>
  <c r="EA97" i="11" s="1"/>
  <c r="CL57" i="3"/>
  <c r="EE97" i="11" s="1"/>
  <c r="CP57" i="3"/>
  <c r="EI97" i="11" s="1"/>
  <c r="BO57" i="3"/>
  <c r="DH97" i="11" s="1"/>
  <c r="BU57" i="3"/>
  <c r="DN97" i="11" s="1"/>
  <c r="BZ57" i="3"/>
  <c r="DS97" i="11" s="1"/>
  <c r="CE57" i="3"/>
  <c r="DX97" i="11" s="1"/>
  <c r="CI57" i="3"/>
  <c r="EB97" i="11" s="1"/>
  <c r="CM57" i="3"/>
  <c r="EF97" i="11" s="1"/>
  <c r="BQ57" i="3"/>
  <c r="DJ97" i="11" s="1"/>
  <c r="CJ57" i="3"/>
  <c r="EC97" i="11" s="1"/>
  <c r="BV57" i="3"/>
  <c r="DO97" i="11" s="1"/>
  <c r="CN57" i="3"/>
  <c r="EG97" i="11" s="1"/>
  <c r="CF57" i="3"/>
  <c r="DY97" i="11" s="1"/>
  <c r="CA57" i="3"/>
  <c r="DT97" i="11" s="1"/>
  <c r="BK57" i="3"/>
  <c r="BG57" i="3"/>
  <c r="BL57" i="3"/>
  <c r="BH57" i="3"/>
  <c r="BI57" i="3"/>
  <c r="BE57" i="3"/>
  <c r="BJ57" i="3"/>
  <c r="BF57" i="3"/>
  <c r="BD57" i="3"/>
  <c r="BB57" i="3"/>
  <c r="AX57" i="3"/>
  <c r="AT57" i="3"/>
  <c r="BA57" i="3"/>
  <c r="AW57" i="3"/>
  <c r="AZ57" i="3"/>
  <c r="AV57" i="3"/>
  <c r="BC57" i="3"/>
  <c r="AY57" i="3"/>
  <c r="AU57" i="3"/>
  <c r="AS57" i="3"/>
  <c r="AQ57" i="3"/>
  <c r="AR57" i="3"/>
  <c r="BO65" i="3"/>
  <c r="BS65" i="3"/>
  <c r="BW65" i="3"/>
  <c r="CA65" i="3"/>
  <c r="CE65" i="3"/>
  <c r="CI65" i="3"/>
  <c r="CM65" i="3"/>
  <c r="BP65" i="3"/>
  <c r="BT65" i="3"/>
  <c r="BX65" i="3"/>
  <c r="CB65" i="3"/>
  <c r="CF65" i="3"/>
  <c r="CJ65" i="3"/>
  <c r="CN65" i="3"/>
  <c r="BM65" i="3"/>
  <c r="BQ65" i="3"/>
  <c r="BU65" i="3"/>
  <c r="BY65" i="3"/>
  <c r="CC65" i="3"/>
  <c r="CG65" i="3"/>
  <c r="CK65" i="3"/>
  <c r="CO65" i="3"/>
  <c r="BZ65" i="3"/>
  <c r="CP65" i="3"/>
  <c r="CL65" i="3"/>
  <c r="BN65" i="3"/>
  <c r="CD65" i="3"/>
  <c r="CH65" i="3"/>
  <c r="BR65" i="3"/>
  <c r="BV65" i="3"/>
  <c r="BH65" i="3"/>
  <c r="BE65" i="3"/>
  <c r="BL65" i="3"/>
  <c r="BJ65" i="3"/>
  <c r="BF65" i="3"/>
  <c r="BK65" i="3"/>
  <c r="BI65" i="3"/>
  <c r="BG65" i="3"/>
  <c r="AZ65" i="3"/>
  <c r="AV65" i="3"/>
  <c r="BD65" i="3"/>
  <c r="BC65" i="3"/>
  <c r="AY65" i="3"/>
  <c r="AU65" i="3"/>
  <c r="BB65" i="3"/>
  <c r="AX65" i="3"/>
  <c r="AT65" i="3"/>
  <c r="BA65" i="3"/>
  <c r="AW65" i="3"/>
  <c r="AS65" i="3"/>
  <c r="AQ65" i="3"/>
  <c r="AR65" i="3"/>
  <c r="AX6" i="3"/>
  <c r="AX97" i="3" s="1"/>
  <c r="AY6" i="3"/>
  <c r="AS6" i="3"/>
  <c r="AH15" i="6"/>
  <c r="AG15" i="6"/>
  <c r="AF15" i="6"/>
  <c r="AE15" i="6"/>
  <c r="AC15" i="6"/>
  <c r="AD15" i="6"/>
  <c r="AB15" i="6"/>
  <c r="AA15" i="6"/>
  <c r="Y15" i="6"/>
  <c r="Z15" i="6"/>
  <c r="U15" i="6"/>
  <c r="W15" i="6"/>
  <c r="V15" i="6"/>
  <c r="X15" i="6"/>
  <c r="T15" i="6"/>
  <c r="S15" i="6"/>
  <c r="Q15" i="6"/>
  <c r="R15" i="6"/>
  <c r="O15" i="6"/>
  <c r="P15" i="6"/>
  <c r="N15" i="6"/>
  <c r="M15" i="6"/>
  <c r="L15" i="6"/>
  <c r="K15" i="6"/>
  <c r="AH27" i="6"/>
  <c r="AG27" i="6"/>
  <c r="AF27" i="6"/>
  <c r="AC27" i="6"/>
  <c r="AD27" i="6"/>
  <c r="AE27" i="6"/>
  <c r="AB27" i="6"/>
  <c r="AA27" i="6"/>
  <c r="Y27" i="6"/>
  <c r="Z27" i="6"/>
  <c r="U27" i="6"/>
  <c r="W27" i="6"/>
  <c r="X27" i="6"/>
  <c r="V27" i="6"/>
  <c r="T27" i="6"/>
  <c r="S27" i="6"/>
  <c r="Q27" i="6"/>
  <c r="R27" i="6"/>
  <c r="O27" i="6"/>
  <c r="P27" i="6"/>
  <c r="N27" i="6"/>
  <c r="M27" i="6"/>
  <c r="L27" i="6"/>
  <c r="K27" i="6"/>
  <c r="AH31" i="6"/>
  <c r="AG31" i="6"/>
  <c r="AF31" i="6"/>
  <c r="AC31" i="6"/>
  <c r="AD31" i="6"/>
  <c r="AE31" i="6"/>
  <c r="AB31" i="6"/>
  <c r="Y31" i="6"/>
  <c r="Z31" i="6"/>
  <c r="AA31" i="6"/>
  <c r="V31" i="6"/>
  <c r="X31" i="6"/>
  <c r="U31" i="6"/>
  <c r="W31" i="6"/>
  <c r="T31" i="6"/>
  <c r="S31" i="6"/>
  <c r="Q31" i="6"/>
  <c r="R31" i="6"/>
  <c r="N31" i="6"/>
  <c r="O31" i="6"/>
  <c r="P31" i="6"/>
  <c r="M31" i="6"/>
  <c r="K31" i="6"/>
  <c r="L31" i="6"/>
  <c r="AH47" i="6"/>
  <c r="AG47" i="6"/>
  <c r="AF47" i="6"/>
  <c r="AC47" i="6"/>
  <c r="AD47" i="6"/>
  <c r="AE47" i="6"/>
  <c r="AB47" i="6"/>
  <c r="AA47" i="6"/>
  <c r="Y47" i="6"/>
  <c r="Z47" i="6"/>
  <c r="U47" i="6"/>
  <c r="V47" i="6"/>
  <c r="W47" i="6"/>
  <c r="X47" i="6"/>
  <c r="T47" i="6"/>
  <c r="S47" i="6"/>
  <c r="Q47" i="6"/>
  <c r="R47" i="6"/>
  <c r="O47" i="6"/>
  <c r="P47" i="6"/>
  <c r="M47" i="6"/>
  <c r="L47" i="6"/>
  <c r="K47" i="6"/>
  <c r="N47" i="6"/>
  <c r="AG55" i="6"/>
  <c r="AH55" i="6"/>
  <c r="AF55" i="6"/>
  <c r="AD55" i="6"/>
  <c r="AE55" i="6"/>
  <c r="AC55" i="6"/>
  <c r="AB55" i="6"/>
  <c r="Z55" i="6"/>
  <c r="AA55" i="6"/>
  <c r="Y55" i="6"/>
  <c r="X55" i="6"/>
  <c r="W55" i="6"/>
  <c r="V55" i="6"/>
  <c r="U55" i="6"/>
  <c r="T55" i="6"/>
  <c r="S55" i="6"/>
  <c r="R55" i="6"/>
  <c r="Q55" i="6"/>
  <c r="P55" i="6"/>
  <c r="O55" i="6"/>
  <c r="K55" i="6"/>
  <c r="N55" i="6"/>
  <c r="M55" i="6"/>
  <c r="L55" i="6"/>
  <c r="AH63" i="6"/>
  <c r="AG63" i="6"/>
  <c r="AF63" i="6"/>
  <c r="AC63" i="6"/>
  <c r="AD63" i="6"/>
  <c r="AE63" i="6"/>
  <c r="AB63" i="6"/>
  <c r="Y63" i="6"/>
  <c r="Z63" i="6"/>
  <c r="AA63" i="6"/>
  <c r="V63" i="6"/>
  <c r="X63" i="6"/>
  <c r="U63" i="6"/>
  <c r="W63" i="6"/>
  <c r="T63" i="6"/>
  <c r="S63" i="6"/>
  <c r="R63" i="6"/>
  <c r="Q63" i="6"/>
  <c r="P63" i="6"/>
  <c r="O63" i="6"/>
  <c r="M63" i="6"/>
  <c r="K63" i="6"/>
  <c r="N63" i="6"/>
  <c r="L63" i="6"/>
  <c r="AG8" i="6"/>
  <c r="AH8" i="6"/>
  <c r="AF8" i="6"/>
  <c r="AD8" i="6"/>
  <c r="AE8" i="6"/>
  <c r="AC8" i="6"/>
  <c r="AB8" i="6"/>
  <c r="Z8" i="6"/>
  <c r="Y8" i="6"/>
  <c r="AA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AG44" i="6"/>
  <c r="AH44" i="6"/>
  <c r="AF44" i="6"/>
  <c r="AE44" i="6"/>
  <c r="AD44" i="6"/>
  <c r="AC44" i="6"/>
  <c r="AB44" i="6"/>
  <c r="AA44" i="6"/>
  <c r="Z44" i="6"/>
  <c r="Y44" i="6"/>
  <c r="W44" i="6"/>
  <c r="X44" i="6"/>
  <c r="U44" i="6"/>
  <c r="V44" i="6"/>
  <c r="T44" i="6"/>
  <c r="S44" i="6"/>
  <c r="R44" i="6"/>
  <c r="Q44" i="6"/>
  <c r="O44" i="6"/>
  <c r="P44" i="6"/>
  <c r="N44" i="6"/>
  <c r="L44" i="6"/>
  <c r="M44" i="6"/>
  <c r="K44" i="6"/>
  <c r="AH60" i="6"/>
  <c r="AG60" i="6"/>
  <c r="AF60" i="6"/>
  <c r="AE60" i="6"/>
  <c r="AC60" i="6"/>
  <c r="AD60" i="6"/>
  <c r="AB60" i="6"/>
  <c r="AA60" i="6"/>
  <c r="Y60" i="6"/>
  <c r="Z60" i="6"/>
  <c r="U60" i="6"/>
  <c r="V60" i="6"/>
  <c r="X60" i="6"/>
  <c r="W60" i="6"/>
  <c r="T60" i="6"/>
  <c r="S60" i="6"/>
  <c r="Q60" i="6"/>
  <c r="R60" i="6"/>
  <c r="P60" i="6"/>
  <c r="O60" i="6"/>
  <c r="M60" i="6"/>
  <c r="L60" i="6"/>
  <c r="K60" i="6"/>
  <c r="N60" i="6"/>
  <c r="AG84" i="6"/>
  <c r="AH84" i="6"/>
  <c r="AF84" i="6"/>
  <c r="AD84" i="6"/>
  <c r="AC84" i="6"/>
  <c r="AE84" i="6"/>
  <c r="AB84" i="6"/>
  <c r="Z84" i="6"/>
  <c r="Y84" i="6"/>
  <c r="AA84" i="6"/>
  <c r="X84" i="6"/>
  <c r="W84" i="6"/>
  <c r="V84" i="6"/>
  <c r="U84" i="6"/>
  <c r="T84" i="6"/>
  <c r="S84" i="6"/>
  <c r="R84" i="6"/>
  <c r="Q84" i="6"/>
  <c r="P84" i="6"/>
  <c r="O84" i="6"/>
  <c r="K84" i="6"/>
  <c r="N84" i="6"/>
  <c r="M84" i="6"/>
  <c r="L84" i="6"/>
  <c r="AG88" i="6"/>
  <c r="AH88" i="6"/>
  <c r="AF88" i="6"/>
  <c r="AE88" i="6"/>
  <c r="AD88" i="6"/>
  <c r="AC88" i="6"/>
  <c r="AB88" i="6"/>
  <c r="AA88" i="6"/>
  <c r="Y88" i="6"/>
  <c r="Z88" i="6"/>
  <c r="W88" i="6"/>
  <c r="X88" i="6"/>
  <c r="U88" i="6"/>
  <c r="V88" i="6"/>
  <c r="T88" i="6"/>
  <c r="S88" i="6"/>
  <c r="R88" i="6"/>
  <c r="Q88" i="6"/>
  <c r="O88" i="6"/>
  <c r="P88" i="6"/>
  <c r="N88" i="6"/>
  <c r="L88" i="6"/>
  <c r="M88" i="6"/>
  <c r="K88" i="6"/>
  <c r="AH92" i="6"/>
  <c r="AG92" i="6"/>
  <c r="AF92" i="6"/>
  <c r="AC92" i="6"/>
  <c r="AD92" i="6"/>
  <c r="AE92" i="6"/>
  <c r="AB92" i="6"/>
  <c r="AA92" i="6"/>
  <c r="Y92" i="6"/>
  <c r="Z92" i="6"/>
  <c r="U92" i="6"/>
  <c r="W92" i="6"/>
  <c r="X92" i="6"/>
  <c r="V92" i="6"/>
  <c r="T92" i="6"/>
  <c r="S92" i="6"/>
  <c r="Q92" i="6"/>
  <c r="R92" i="6"/>
  <c r="O92" i="6"/>
  <c r="P92" i="6"/>
  <c r="M92" i="6"/>
  <c r="L92" i="6"/>
  <c r="K92" i="6"/>
  <c r="N92" i="6"/>
  <c r="AG13" i="6"/>
  <c r="AH13" i="6"/>
  <c r="AF13" i="6"/>
  <c r="AE13" i="6"/>
  <c r="AD13" i="6"/>
  <c r="AC13" i="6"/>
  <c r="AB13" i="6"/>
  <c r="AA13" i="6"/>
  <c r="Y13" i="6"/>
  <c r="Z13" i="6"/>
  <c r="W13" i="6"/>
  <c r="X13" i="6"/>
  <c r="U13" i="6"/>
  <c r="V13" i="6"/>
  <c r="T13" i="6"/>
  <c r="S13" i="6"/>
  <c r="R13" i="6"/>
  <c r="Q13" i="6"/>
  <c r="O13" i="6"/>
  <c r="P13" i="6"/>
  <c r="L13" i="6"/>
  <c r="N13" i="6"/>
  <c r="M13" i="6"/>
  <c r="K13" i="6"/>
  <c r="AG25" i="6"/>
  <c r="AH25" i="6"/>
  <c r="AF25" i="6"/>
  <c r="AE25" i="6"/>
  <c r="AD25" i="6"/>
  <c r="AC25" i="6"/>
  <c r="AB25" i="6"/>
  <c r="AA25" i="6"/>
  <c r="Z25" i="6"/>
  <c r="Y25" i="6"/>
  <c r="W25" i="6"/>
  <c r="X25" i="6"/>
  <c r="U25" i="6"/>
  <c r="V25" i="6"/>
  <c r="T25" i="6"/>
  <c r="S25" i="6"/>
  <c r="R25" i="6"/>
  <c r="Q25" i="6"/>
  <c r="O25" i="6"/>
  <c r="P25" i="6"/>
  <c r="N25" i="6"/>
  <c r="L25" i="6"/>
  <c r="M25" i="6"/>
  <c r="K25" i="6"/>
  <c r="AH49" i="6"/>
  <c r="AG49" i="6"/>
  <c r="AF49" i="6"/>
  <c r="AC49" i="6"/>
  <c r="AD49" i="6"/>
  <c r="AE49" i="6"/>
  <c r="AB49" i="6"/>
  <c r="Y49" i="6"/>
  <c r="AA49" i="6"/>
  <c r="Z49" i="6"/>
  <c r="V49" i="6"/>
  <c r="U49" i="6"/>
  <c r="X49" i="6"/>
  <c r="W49" i="6"/>
  <c r="T49" i="6"/>
  <c r="S49" i="6"/>
  <c r="Q49" i="6"/>
  <c r="R49" i="6"/>
  <c r="P49" i="6"/>
  <c r="O49" i="6"/>
  <c r="M49" i="6"/>
  <c r="K49" i="6"/>
  <c r="N49" i="6"/>
  <c r="L49" i="6"/>
  <c r="AG69" i="6"/>
  <c r="AH69" i="6"/>
  <c r="AF69" i="6"/>
  <c r="AE69" i="6"/>
  <c r="AD69" i="6"/>
  <c r="AC69" i="6"/>
  <c r="AB69" i="6"/>
  <c r="Z69" i="6"/>
  <c r="AA69" i="6"/>
  <c r="Y69" i="6"/>
  <c r="W69" i="6"/>
  <c r="X69" i="6"/>
  <c r="U69" i="6"/>
  <c r="V69" i="6"/>
  <c r="T69" i="6"/>
  <c r="S69" i="6"/>
  <c r="R69" i="6"/>
  <c r="Q69" i="6"/>
  <c r="O69" i="6"/>
  <c r="P69" i="6"/>
  <c r="N69" i="6"/>
  <c r="L69" i="6"/>
  <c r="M69" i="6"/>
  <c r="K69" i="6"/>
  <c r="AH73" i="6"/>
  <c r="AG73" i="6"/>
  <c r="AF73" i="6"/>
  <c r="AC73" i="6"/>
  <c r="AE73" i="6"/>
  <c r="AD73" i="6"/>
  <c r="AB73" i="6"/>
  <c r="AA73" i="6"/>
  <c r="Y73" i="6"/>
  <c r="Z73" i="6"/>
  <c r="U73" i="6"/>
  <c r="W73" i="6"/>
  <c r="V73" i="6"/>
  <c r="X73" i="6"/>
  <c r="T73" i="6"/>
  <c r="S73" i="6"/>
  <c r="Q73" i="6"/>
  <c r="R73" i="6"/>
  <c r="P73" i="6"/>
  <c r="O73" i="6"/>
  <c r="M73" i="6"/>
  <c r="L73" i="6"/>
  <c r="K73" i="6"/>
  <c r="N73" i="6"/>
  <c r="AG77" i="6"/>
  <c r="AH77" i="6"/>
  <c r="AF77" i="6"/>
  <c r="AC77" i="6"/>
  <c r="AD77" i="6"/>
  <c r="AE77" i="6"/>
  <c r="AB77" i="6"/>
  <c r="Y77" i="6"/>
  <c r="Z77" i="6"/>
  <c r="AA77" i="6"/>
  <c r="V77" i="6"/>
  <c r="W77" i="6"/>
  <c r="X77" i="6"/>
  <c r="U77" i="6"/>
  <c r="T77" i="6"/>
  <c r="S77" i="6"/>
  <c r="Q77" i="6"/>
  <c r="R77" i="6"/>
  <c r="P77" i="6"/>
  <c r="O77" i="6"/>
  <c r="M77" i="6"/>
  <c r="K77" i="6"/>
  <c r="N77" i="6"/>
  <c r="L77" i="6"/>
  <c r="AG18" i="6"/>
  <c r="AH18" i="6"/>
  <c r="AF18" i="6"/>
  <c r="AC18" i="6"/>
  <c r="AD18" i="6"/>
  <c r="AE18" i="6"/>
  <c r="AB18" i="6"/>
  <c r="Y18" i="6"/>
  <c r="AA18" i="6"/>
  <c r="Z18" i="6"/>
  <c r="V18" i="6"/>
  <c r="U18" i="6"/>
  <c r="W18" i="6"/>
  <c r="X18" i="6"/>
  <c r="T18" i="6"/>
  <c r="S18" i="6"/>
  <c r="R18" i="6"/>
  <c r="Q18" i="6"/>
  <c r="P18" i="6"/>
  <c r="O18" i="6"/>
  <c r="M18" i="6"/>
  <c r="L18" i="6"/>
  <c r="N18" i="6"/>
  <c r="K18" i="6"/>
  <c r="AG22" i="6"/>
  <c r="AH22" i="6"/>
  <c r="AF22" i="6"/>
  <c r="AD22" i="6"/>
  <c r="AC22" i="6"/>
  <c r="AE22" i="6"/>
  <c r="AB22" i="6"/>
  <c r="Z22" i="6"/>
  <c r="Y22" i="6"/>
  <c r="AA22" i="6"/>
  <c r="X22" i="6"/>
  <c r="W22" i="6"/>
  <c r="V22" i="6"/>
  <c r="U22" i="6"/>
  <c r="T22" i="6"/>
  <c r="S22" i="6"/>
  <c r="Q22" i="6"/>
  <c r="R22" i="6"/>
  <c r="P22" i="6"/>
  <c r="O22" i="6"/>
  <c r="K22" i="6"/>
  <c r="N22" i="6"/>
  <c r="M22" i="6"/>
  <c r="L22" i="6"/>
  <c r="AG42" i="6"/>
  <c r="AH42" i="6"/>
  <c r="AF42" i="6"/>
  <c r="AD42" i="6"/>
  <c r="AE42" i="6"/>
  <c r="AC42" i="6"/>
  <c r="AB42" i="6"/>
  <c r="Z42" i="6"/>
  <c r="Y42" i="6"/>
  <c r="AA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AG58" i="6"/>
  <c r="AH58" i="6"/>
  <c r="AF58" i="6"/>
  <c r="AE58" i="6"/>
  <c r="AC58" i="6"/>
  <c r="AD58" i="6"/>
  <c r="AB58" i="6"/>
  <c r="AA58" i="6"/>
  <c r="Z58" i="6"/>
  <c r="Y58" i="6"/>
  <c r="W58" i="6"/>
  <c r="X58" i="6"/>
  <c r="U58" i="6"/>
  <c r="V58" i="6"/>
  <c r="T58" i="6"/>
  <c r="S58" i="6"/>
  <c r="R58" i="6"/>
  <c r="Q58" i="6"/>
  <c r="O58" i="6"/>
  <c r="P58" i="6"/>
  <c r="N58" i="6"/>
  <c r="L58" i="6"/>
  <c r="M58" i="6"/>
  <c r="K58" i="6"/>
  <c r="AG66" i="6"/>
  <c r="AH66" i="6"/>
  <c r="AF66" i="6"/>
  <c r="AD66" i="6"/>
  <c r="AE66" i="6"/>
  <c r="AC66" i="6"/>
  <c r="AB66" i="6"/>
  <c r="Z66" i="6"/>
  <c r="Y66" i="6"/>
  <c r="AA66" i="6"/>
  <c r="X66" i="6"/>
  <c r="W66" i="6"/>
  <c r="V66" i="6"/>
  <c r="U66" i="6"/>
  <c r="T66" i="6"/>
  <c r="S66" i="6"/>
  <c r="R66" i="6"/>
  <c r="Q66" i="6"/>
  <c r="P66" i="6"/>
  <c r="O66" i="6"/>
  <c r="K66" i="6"/>
  <c r="N66" i="6"/>
  <c r="M66" i="6"/>
  <c r="L66" i="6"/>
  <c r="AN14" i="3"/>
  <c r="AO14" i="3"/>
  <c r="AP14" i="3"/>
  <c r="AN26" i="3"/>
  <c r="AP26" i="3"/>
  <c r="AO26" i="3"/>
  <c r="AP62" i="3"/>
  <c r="AN62" i="3"/>
  <c r="AO62" i="3"/>
  <c r="AO7" i="3"/>
  <c r="AP7" i="3"/>
  <c r="AN7" i="3"/>
  <c r="AN43" i="3"/>
  <c r="AO43" i="3"/>
  <c r="AP43" i="3"/>
  <c r="AP59" i="3"/>
  <c r="AN59" i="3"/>
  <c r="AO59" i="3"/>
  <c r="AO83" i="3"/>
  <c r="AP83" i="3"/>
  <c r="AM83" i="3"/>
  <c r="AN83" i="3"/>
  <c r="AP87" i="3"/>
  <c r="AO87" i="3"/>
  <c r="AL87" i="3"/>
  <c r="AK87" i="3"/>
  <c r="AM87" i="3"/>
  <c r="AN87" i="3"/>
  <c r="AO91" i="3"/>
  <c r="AP91" i="3"/>
  <c r="AN91" i="3"/>
  <c r="AP46" i="3"/>
  <c r="AN46" i="3"/>
  <c r="AO46" i="3"/>
  <c r="AN12" i="3"/>
  <c r="AO12" i="3"/>
  <c r="AP12" i="3"/>
  <c r="AN24" i="3"/>
  <c r="AO24" i="3"/>
  <c r="AP24" i="3"/>
  <c r="AP48" i="3"/>
  <c r="AN48" i="3"/>
  <c r="AO48" i="3"/>
  <c r="AN68" i="3"/>
  <c r="AO68" i="3"/>
  <c r="AP68" i="3"/>
  <c r="AN72" i="3"/>
  <c r="AO72" i="3"/>
  <c r="AP72" i="3"/>
  <c r="AP76" i="3"/>
  <c r="AO76" i="3"/>
  <c r="AN76" i="3"/>
  <c r="AP30" i="3"/>
  <c r="AO30" i="3"/>
  <c r="AN30" i="3"/>
  <c r="AO54" i="3"/>
  <c r="AP54" i="3"/>
  <c r="AN54" i="3"/>
  <c r="AN17" i="3"/>
  <c r="AO17" i="3"/>
  <c r="AP17" i="3"/>
  <c r="AP21" i="3"/>
  <c r="AO21" i="3"/>
  <c r="AN21" i="3"/>
  <c r="AN41" i="3"/>
  <c r="AP41" i="3"/>
  <c r="AN57" i="3"/>
  <c r="AO57" i="3"/>
  <c r="AP57" i="3"/>
  <c r="AP65" i="3"/>
  <c r="AO65" i="3"/>
  <c r="AN65" i="3"/>
  <c r="BC106" i="2"/>
  <c r="BC138" i="2"/>
  <c r="BC59" i="2"/>
  <c r="BC134" i="2"/>
  <c r="BC123" i="2"/>
  <c r="BC18" i="2"/>
  <c r="BC44" i="2"/>
  <c r="BC130" i="2"/>
  <c r="BC35" i="2"/>
  <c r="BC75" i="2"/>
  <c r="BC109" i="2"/>
  <c r="BC27" i="2"/>
  <c r="BC99" i="2"/>
  <c r="BC119" i="2"/>
  <c r="BC115" i="2"/>
  <c r="BC39" i="2"/>
  <c r="BC112" i="2"/>
  <c r="BC89" i="2"/>
  <c r="BK6" i="3" l="1"/>
  <c r="BE6" i="3"/>
  <c r="BW6" i="3"/>
  <c r="CF6" i="3"/>
  <c r="CO6" i="3"/>
  <c r="BT6" i="3"/>
  <c r="CC6" i="3"/>
  <c r="CP6" i="3"/>
  <c r="BZ6" i="3"/>
  <c r="AQ45" i="3"/>
  <c r="AQ98" i="6" s="1"/>
  <c r="BA45" i="3"/>
  <c r="BA98" i="6" s="1"/>
  <c r="BB45" i="3"/>
  <c r="AV45" i="3"/>
  <c r="BG45" i="3"/>
  <c r="BG98" i="6" s="1"/>
  <c r="BJ45" i="3"/>
  <c r="CK45" i="3"/>
  <c r="CO45" i="3"/>
  <c r="CF45" i="3"/>
  <c r="CE45" i="3"/>
  <c r="CP45" i="3"/>
  <c r="CP99" i="3" s="1"/>
  <c r="BX45" i="3"/>
  <c r="BZ45" i="3"/>
  <c r="BZ99" i="3" s="1"/>
  <c r="BF6" i="3"/>
  <c r="BH6" i="3"/>
  <c r="CM6" i="3"/>
  <c r="CA6" i="3"/>
  <c r="CJ6" i="3"/>
  <c r="BO6" i="3"/>
  <c r="BX6" i="3"/>
  <c r="CL6" i="3"/>
  <c r="BV6" i="3"/>
  <c r="AR45" i="3"/>
  <c r="BD45" i="3"/>
  <c r="AU45" i="3"/>
  <c r="AU98" i="6" s="1"/>
  <c r="AZ45" i="3"/>
  <c r="BI45" i="3"/>
  <c r="BI98" i="6" s="1"/>
  <c r="BL45" i="3"/>
  <c r="CJ45" i="3"/>
  <c r="CG45" i="3"/>
  <c r="BU45" i="3"/>
  <c r="BY45" i="3"/>
  <c r="CL45" i="3"/>
  <c r="CL99" i="3" s="1"/>
  <c r="BS45" i="3"/>
  <c r="BV45" i="3"/>
  <c r="BV99" i="3" s="1"/>
  <c r="BG6" i="3"/>
  <c r="BJ6" i="3"/>
  <c r="CG6" i="3"/>
  <c r="CG5" i="3" s="1"/>
  <c r="BQ6" i="3"/>
  <c r="BU6" i="3"/>
  <c r="CE6" i="3"/>
  <c r="CE5" i="3" s="1"/>
  <c r="CN6" i="3"/>
  <c r="BS6" i="3"/>
  <c r="BS5" i="3" s="1"/>
  <c r="CH6" i="3"/>
  <c r="BR6" i="3"/>
  <c r="AS45" i="3"/>
  <c r="AS98" i="6" s="1"/>
  <c r="AT45" i="3"/>
  <c r="AY45" i="3"/>
  <c r="AY98" i="6" s="1"/>
  <c r="BE45" i="3"/>
  <c r="BE98" i="6" s="1"/>
  <c r="BK45" i="3"/>
  <c r="BK98" i="6" s="1"/>
  <c r="CB45" i="3"/>
  <c r="CA45" i="3"/>
  <c r="BW45" i="3"/>
  <c r="CM45" i="3"/>
  <c r="BT45" i="3"/>
  <c r="CH45" i="3"/>
  <c r="CH99" i="3" s="1"/>
  <c r="BM45" i="3"/>
  <c r="BR45" i="3"/>
  <c r="BR99" i="3" s="1"/>
  <c r="DE143" i="11"/>
  <c r="DE144" i="2"/>
  <c r="DE2" i="11"/>
  <c r="DE144" i="11"/>
  <c r="BI6" i="3"/>
  <c r="BL6" i="3"/>
  <c r="CB6" i="3"/>
  <c r="CK6" i="3"/>
  <c r="CK5" i="3" s="1"/>
  <c r="BP6" i="3"/>
  <c r="BY6" i="3"/>
  <c r="BY5" i="3" s="1"/>
  <c r="CI6" i="3"/>
  <c r="BM6" i="3"/>
  <c r="CD6" i="3"/>
  <c r="BN6" i="3"/>
  <c r="AW45" i="3"/>
  <c r="AW98" i="6" s="1"/>
  <c r="AX45" i="3"/>
  <c r="BC45" i="3"/>
  <c r="BC98" i="6" s="1"/>
  <c r="BH45" i="3"/>
  <c r="BF45" i="3"/>
  <c r="BQ45" i="3"/>
  <c r="BP45" i="3"/>
  <c r="CN45" i="3"/>
  <c r="CI45" i="3"/>
  <c r="BO45" i="3"/>
  <c r="CC45" i="3"/>
  <c r="CD45" i="3"/>
  <c r="CD99" i="3" s="1"/>
  <c r="BN45" i="3"/>
  <c r="BN99" i="3" s="1"/>
  <c r="AV97" i="3"/>
  <c r="AV98" i="3"/>
  <c r="BD97" i="3"/>
  <c r="BD98" i="3"/>
  <c r="AZ97" i="3"/>
  <c r="AZ98" i="3"/>
  <c r="AR97" i="3"/>
  <c r="AR98" i="3"/>
  <c r="AS5" i="3"/>
  <c r="AS96" i="6" s="1"/>
  <c r="AS97" i="6"/>
  <c r="AX5" i="3"/>
  <c r="AX97" i="6"/>
  <c r="AX109" i="6" s="1"/>
  <c r="AT5" i="3"/>
  <c r="AT97" i="6"/>
  <c r="AT109" i="6" s="1"/>
  <c r="AV5" i="3"/>
  <c r="AV97" i="6"/>
  <c r="AU5" i="3"/>
  <c r="AU96" i="6" s="1"/>
  <c r="AU97" i="6"/>
  <c r="AQ5" i="3"/>
  <c r="AQ96" i="6" s="1"/>
  <c r="AQ97" i="6"/>
  <c r="BB5" i="3"/>
  <c r="BB97" i="6"/>
  <c r="BB109" i="6" s="1"/>
  <c r="BD5" i="3"/>
  <c r="BD97" i="6"/>
  <c r="AZ5" i="3"/>
  <c r="AZ97" i="6"/>
  <c r="AY5" i="3"/>
  <c r="AY96" i="6" s="1"/>
  <c r="AY97" i="6"/>
  <c r="AR5" i="3"/>
  <c r="AR97" i="6"/>
  <c r="BC5" i="3"/>
  <c r="BC96" i="6" s="1"/>
  <c r="BC97" i="6"/>
  <c r="AW5" i="3"/>
  <c r="AW96" i="6" s="1"/>
  <c r="AW97" i="6"/>
  <c r="BA5" i="3"/>
  <c r="BA96" i="6" s="1"/>
  <c r="BA97" i="6"/>
  <c r="K7" i="6"/>
  <c r="O7" i="6"/>
  <c r="S7" i="6"/>
  <c r="W7" i="6"/>
  <c r="Z7" i="6"/>
  <c r="AD7" i="6"/>
  <c r="N46" i="6"/>
  <c r="P46" i="6"/>
  <c r="P118" i="6" s="1"/>
  <c r="S46" i="6"/>
  <c r="V46" i="6"/>
  <c r="AA46" i="6"/>
  <c r="AC46" i="6"/>
  <c r="L7" i="6"/>
  <c r="P7" i="6"/>
  <c r="T7" i="6"/>
  <c r="X7" i="6"/>
  <c r="AB7" i="6"/>
  <c r="AF7" i="6"/>
  <c r="K46" i="6"/>
  <c r="O46" i="6"/>
  <c r="T46" i="6"/>
  <c r="T118" i="6" s="1"/>
  <c r="U46" i="6"/>
  <c r="AB46" i="6"/>
  <c r="AB118" i="6" s="1"/>
  <c r="AF46" i="6"/>
  <c r="AF118" i="6" s="1"/>
  <c r="M7" i="6"/>
  <c r="Q7" i="6"/>
  <c r="U7" i="6"/>
  <c r="AA7" i="6"/>
  <c r="AC7" i="6"/>
  <c r="AH7" i="6"/>
  <c r="L46" i="6"/>
  <c r="L118" i="6" s="1"/>
  <c r="R46" i="6"/>
  <c r="X46" i="6"/>
  <c r="X118" i="6" s="1"/>
  <c r="Z46" i="6"/>
  <c r="AE46" i="6"/>
  <c r="AG46" i="6"/>
  <c r="N7" i="6"/>
  <c r="R7" i="6"/>
  <c r="V7" i="6"/>
  <c r="Y7" i="6"/>
  <c r="AE7" i="6"/>
  <c r="AG7" i="6"/>
  <c r="M46" i="6"/>
  <c r="Q46" i="6"/>
  <c r="W46" i="6"/>
  <c r="Y46" i="6"/>
  <c r="AD46" i="6"/>
  <c r="AH46" i="6"/>
  <c r="AP45" i="3"/>
  <c r="AP6" i="3"/>
  <c r="AO45" i="3"/>
  <c r="AO98" i="6" s="1"/>
  <c r="AO6" i="3"/>
  <c r="AO97" i="6" s="1"/>
  <c r="AN6" i="3"/>
  <c r="AN45" i="3"/>
  <c r="BC79" i="2"/>
  <c r="BC14" i="2"/>
  <c r="BB141" i="2"/>
  <c r="BB137" i="2"/>
  <c r="BB136" i="2"/>
  <c r="BB135" i="2"/>
  <c r="BB133" i="2"/>
  <c r="BB132" i="2"/>
  <c r="BB131" i="2"/>
  <c r="BB129" i="2"/>
  <c r="BB128" i="2"/>
  <c r="BB127" i="2"/>
  <c r="BB126" i="2"/>
  <c r="BB125" i="2"/>
  <c r="BB124" i="2"/>
  <c r="BB122" i="2"/>
  <c r="BB121" i="2"/>
  <c r="BB120" i="2"/>
  <c r="BB118" i="2"/>
  <c r="BB117" i="2"/>
  <c r="BB116" i="2"/>
  <c r="BB114" i="2"/>
  <c r="BB113" i="2"/>
  <c r="BB111" i="2"/>
  <c r="BB110" i="2"/>
  <c r="BB108" i="2"/>
  <c r="BB107" i="2"/>
  <c r="BB105" i="2"/>
  <c r="BB103" i="2"/>
  <c r="BB102" i="2"/>
  <c r="BB97" i="2"/>
  <c r="BB96" i="2"/>
  <c r="BB94" i="2"/>
  <c r="BB93" i="2"/>
  <c r="BB90" i="2"/>
  <c r="BB83" i="2"/>
  <c r="BB78" i="2"/>
  <c r="BB77" i="2"/>
  <c r="BB76" i="2"/>
  <c r="BB74" i="2"/>
  <c r="BB71" i="2"/>
  <c r="BB70" i="2"/>
  <c r="BB69" i="2"/>
  <c r="BB68" i="2"/>
  <c r="BB67" i="2"/>
  <c r="BB64" i="2"/>
  <c r="BB63" i="2"/>
  <c r="BB62" i="2"/>
  <c r="BB61" i="2"/>
  <c r="BB60" i="2"/>
  <c r="BB48" i="2"/>
  <c r="BB47" i="2"/>
  <c r="BB46" i="2"/>
  <c r="BB43" i="2"/>
  <c r="BB41" i="2"/>
  <c r="BB40" i="2"/>
  <c r="BB38" i="2"/>
  <c r="BB37" i="2"/>
  <c r="BB36" i="2"/>
  <c r="BB32" i="2"/>
  <c r="BB31" i="2"/>
  <c r="BB26" i="2"/>
  <c r="BB24" i="2"/>
  <c r="BB23" i="2"/>
  <c r="BB22" i="2"/>
  <c r="BB21" i="2"/>
  <c r="CC137" i="11"/>
  <c r="BZ137" i="11"/>
  <c r="BY137" i="11"/>
  <c r="BV137" i="11"/>
  <c r="BU137" i="11"/>
  <c r="BR137" i="11"/>
  <c r="BQ137" i="11"/>
  <c r="BN137" i="11"/>
  <c r="BM137" i="11"/>
  <c r="BJ137" i="11"/>
  <c r="BI137" i="11"/>
  <c r="BF137" i="11"/>
  <c r="BE137" i="11"/>
  <c r="CD137" i="11"/>
  <c r="CE136" i="11"/>
  <c r="EI136" i="11" s="1"/>
  <c r="CD136" i="11"/>
  <c r="EH136" i="11" s="1"/>
  <c r="CC136" i="11"/>
  <c r="EG136" i="11" s="1"/>
  <c r="CB136" i="11"/>
  <c r="EF136" i="11" s="1"/>
  <c r="CA136" i="11"/>
  <c r="EE136" i="11" s="1"/>
  <c r="BZ136" i="11"/>
  <c r="ED136" i="11" s="1"/>
  <c r="BY136" i="11"/>
  <c r="EC136" i="11" s="1"/>
  <c r="BX136" i="11"/>
  <c r="EB136" i="11" s="1"/>
  <c r="BW136" i="11"/>
  <c r="EA136" i="11" s="1"/>
  <c r="BV136" i="11"/>
  <c r="DZ136" i="11" s="1"/>
  <c r="BU136" i="11"/>
  <c r="DY136" i="11" s="1"/>
  <c r="BT136" i="11"/>
  <c r="DX136" i="11" s="1"/>
  <c r="BS136" i="11"/>
  <c r="DW136" i="11" s="1"/>
  <c r="BR136" i="11"/>
  <c r="DV136" i="11" s="1"/>
  <c r="BQ136" i="11"/>
  <c r="DU136" i="11" s="1"/>
  <c r="BP136" i="11"/>
  <c r="DT136" i="11" s="1"/>
  <c r="BO136" i="11"/>
  <c r="DS136" i="11" s="1"/>
  <c r="BN136" i="11"/>
  <c r="DR136" i="11" s="1"/>
  <c r="BM136" i="11"/>
  <c r="DQ136" i="11" s="1"/>
  <c r="BL136" i="11"/>
  <c r="DP136" i="11" s="1"/>
  <c r="BK136" i="11"/>
  <c r="DO136" i="11" s="1"/>
  <c r="BJ136" i="11"/>
  <c r="DN136" i="11" s="1"/>
  <c r="BI136" i="11"/>
  <c r="DM136" i="11" s="1"/>
  <c r="BH136" i="11"/>
  <c r="DL136" i="11" s="1"/>
  <c r="BG136" i="11"/>
  <c r="DK136" i="11" s="1"/>
  <c r="BF136" i="11"/>
  <c r="DJ136" i="11" s="1"/>
  <c r="BE136" i="11"/>
  <c r="DI136" i="11" s="1"/>
  <c r="BD136" i="11"/>
  <c r="DH136" i="11" s="1"/>
  <c r="BC136" i="11"/>
  <c r="DG136" i="11" s="1"/>
  <c r="CE135" i="11"/>
  <c r="EI135" i="11" s="1"/>
  <c r="CD135" i="11"/>
  <c r="EH135" i="11" s="1"/>
  <c r="CC135" i="11"/>
  <c r="EG135" i="11" s="1"/>
  <c r="CB135" i="11"/>
  <c r="EF135" i="11" s="1"/>
  <c r="CA135" i="11"/>
  <c r="EE135" i="11" s="1"/>
  <c r="BZ135" i="11"/>
  <c r="ED135" i="11" s="1"/>
  <c r="BY135" i="11"/>
  <c r="EC135" i="11" s="1"/>
  <c r="BX135" i="11"/>
  <c r="EB135" i="11" s="1"/>
  <c r="BW135" i="11"/>
  <c r="EA135" i="11" s="1"/>
  <c r="BV135" i="11"/>
  <c r="DZ135" i="11" s="1"/>
  <c r="BU135" i="11"/>
  <c r="DY135" i="11" s="1"/>
  <c r="BT135" i="11"/>
  <c r="DX135" i="11" s="1"/>
  <c r="BS135" i="11"/>
  <c r="DW135" i="11" s="1"/>
  <c r="BR135" i="11"/>
  <c r="DV135" i="11" s="1"/>
  <c r="BQ135" i="11"/>
  <c r="DU135" i="11" s="1"/>
  <c r="BP135" i="11"/>
  <c r="DT135" i="11" s="1"/>
  <c r="BO135" i="11"/>
  <c r="DS135" i="11" s="1"/>
  <c r="BN135" i="11"/>
  <c r="DR135" i="11" s="1"/>
  <c r="BM135" i="11"/>
  <c r="DQ135" i="11" s="1"/>
  <c r="BL135" i="11"/>
  <c r="DP135" i="11" s="1"/>
  <c r="BK135" i="11"/>
  <c r="DO135" i="11" s="1"/>
  <c r="BJ135" i="11"/>
  <c r="DN135" i="11" s="1"/>
  <c r="BI135" i="11"/>
  <c r="DM135" i="11" s="1"/>
  <c r="BH135" i="11"/>
  <c r="DL135" i="11" s="1"/>
  <c r="BG135" i="11"/>
  <c r="DK135" i="11" s="1"/>
  <c r="BF135" i="11"/>
  <c r="DJ135" i="11" s="1"/>
  <c r="BE135" i="11"/>
  <c r="DI135" i="11" s="1"/>
  <c r="BD135" i="11"/>
  <c r="DH135" i="11" s="1"/>
  <c r="BC135" i="11"/>
  <c r="DG135" i="11" s="1"/>
  <c r="CE134" i="11"/>
  <c r="EI134" i="11" s="1"/>
  <c r="CD134" i="11"/>
  <c r="EH134" i="11" s="1"/>
  <c r="CC134" i="11"/>
  <c r="EG134" i="11" s="1"/>
  <c r="EG133" i="11" s="1"/>
  <c r="CB134" i="11"/>
  <c r="EF134" i="11" s="1"/>
  <c r="CA134" i="11"/>
  <c r="EE134" i="11" s="1"/>
  <c r="BZ134" i="11"/>
  <c r="ED134" i="11" s="1"/>
  <c r="BY134" i="11"/>
  <c r="EC134" i="11" s="1"/>
  <c r="EC133" i="11" s="1"/>
  <c r="BX134" i="11"/>
  <c r="EB134" i="11" s="1"/>
  <c r="BW134" i="11"/>
  <c r="EA134" i="11" s="1"/>
  <c r="BV134" i="11"/>
  <c r="DZ134" i="11" s="1"/>
  <c r="BU134" i="11"/>
  <c r="DY134" i="11" s="1"/>
  <c r="DY133" i="11" s="1"/>
  <c r="BT134" i="11"/>
  <c r="DX134" i="11" s="1"/>
  <c r="BS134" i="11"/>
  <c r="DW134" i="11" s="1"/>
  <c r="BR134" i="11"/>
  <c r="DV134" i="11" s="1"/>
  <c r="BQ134" i="11"/>
  <c r="DU134" i="11" s="1"/>
  <c r="DU133" i="11" s="1"/>
  <c r="BP134" i="11"/>
  <c r="DT134" i="11" s="1"/>
  <c r="BO134" i="11"/>
  <c r="DS134" i="11" s="1"/>
  <c r="BN134" i="11"/>
  <c r="DR134" i="11" s="1"/>
  <c r="BM134" i="11"/>
  <c r="DQ134" i="11" s="1"/>
  <c r="DQ133" i="11" s="1"/>
  <c r="BL134" i="11"/>
  <c r="DP134" i="11" s="1"/>
  <c r="BK134" i="11"/>
  <c r="DO134" i="11" s="1"/>
  <c r="BJ134" i="11"/>
  <c r="DN134" i="11" s="1"/>
  <c r="BI134" i="11"/>
  <c r="DM134" i="11" s="1"/>
  <c r="DM133" i="11" s="1"/>
  <c r="BH134" i="11"/>
  <c r="DL134" i="11" s="1"/>
  <c r="BG134" i="11"/>
  <c r="DK134" i="11" s="1"/>
  <c r="BF134" i="11"/>
  <c r="DJ134" i="11" s="1"/>
  <c r="BE134" i="11"/>
  <c r="DI134" i="11" s="1"/>
  <c r="DI133" i="11" s="1"/>
  <c r="BD134" i="11"/>
  <c r="DH134" i="11" s="1"/>
  <c r="BC134" i="11"/>
  <c r="DG134" i="11" s="1"/>
  <c r="CE132" i="11"/>
  <c r="EI132" i="11" s="1"/>
  <c r="CD132" i="11"/>
  <c r="EH132" i="11" s="1"/>
  <c r="CC132" i="11"/>
  <c r="EG132" i="11" s="1"/>
  <c r="CB132" i="11"/>
  <c r="EF132" i="11" s="1"/>
  <c r="CA132" i="11"/>
  <c r="EE132" i="11" s="1"/>
  <c r="BZ132" i="11"/>
  <c r="ED132" i="11" s="1"/>
  <c r="BY132" i="11"/>
  <c r="EC132" i="11" s="1"/>
  <c r="BX132" i="11"/>
  <c r="EB132" i="11" s="1"/>
  <c r="BW132" i="11"/>
  <c r="EA132" i="11" s="1"/>
  <c r="BV132" i="11"/>
  <c r="DZ132" i="11" s="1"/>
  <c r="BU132" i="11"/>
  <c r="DY132" i="11" s="1"/>
  <c r="BT132" i="11"/>
  <c r="DX132" i="11" s="1"/>
  <c r="BS132" i="11"/>
  <c r="DW132" i="11" s="1"/>
  <c r="BR132" i="11"/>
  <c r="DV132" i="11" s="1"/>
  <c r="BQ132" i="11"/>
  <c r="DU132" i="11" s="1"/>
  <c r="BP132" i="11"/>
  <c r="DT132" i="11" s="1"/>
  <c r="BO132" i="11"/>
  <c r="DS132" i="11" s="1"/>
  <c r="BN132" i="11"/>
  <c r="DR132" i="11" s="1"/>
  <c r="BM132" i="11"/>
  <c r="DQ132" i="11" s="1"/>
  <c r="BL132" i="11"/>
  <c r="DP132" i="11" s="1"/>
  <c r="BK132" i="11"/>
  <c r="DO132" i="11" s="1"/>
  <c r="BJ132" i="11"/>
  <c r="DN132" i="11" s="1"/>
  <c r="BI132" i="11"/>
  <c r="DM132" i="11" s="1"/>
  <c r="BH132" i="11"/>
  <c r="DL132" i="11" s="1"/>
  <c r="BG132" i="11"/>
  <c r="DK132" i="11" s="1"/>
  <c r="BF132" i="11"/>
  <c r="DJ132" i="11" s="1"/>
  <c r="BE132" i="11"/>
  <c r="DI132" i="11" s="1"/>
  <c r="BD132" i="11"/>
  <c r="DH132" i="11" s="1"/>
  <c r="BC132" i="11"/>
  <c r="DG132" i="11" s="1"/>
  <c r="CE131" i="11"/>
  <c r="EI131" i="11" s="1"/>
  <c r="CD131" i="11"/>
  <c r="EH131" i="11" s="1"/>
  <c r="CC131" i="11"/>
  <c r="EG131" i="11" s="1"/>
  <c r="CB131" i="11"/>
  <c r="EF131" i="11" s="1"/>
  <c r="CA131" i="11"/>
  <c r="EE131" i="11" s="1"/>
  <c r="BZ131" i="11"/>
  <c r="ED131" i="11" s="1"/>
  <c r="BY131" i="11"/>
  <c r="EC131" i="11" s="1"/>
  <c r="BX131" i="11"/>
  <c r="EB131" i="11" s="1"/>
  <c r="BW131" i="11"/>
  <c r="EA131" i="11" s="1"/>
  <c r="BV131" i="11"/>
  <c r="DZ131" i="11" s="1"/>
  <c r="BU131" i="11"/>
  <c r="DY131" i="11" s="1"/>
  <c r="BT131" i="11"/>
  <c r="DX131" i="11" s="1"/>
  <c r="BS131" i="11"/>
  <c r="DW131" i="11" s="1"/>
  <c r="BR131" i="11"/>
  <c r="DV131" i="11" s="1"/>
  <c r="BQ131" i="11"/>
  <c r="DU131" i="11" s="1"/>
  <c r="BP131" i="11"/>
  <c r="DT131" i="11" s="1"/>
  <c r="BO131" i="11"/>
  <c r="DS131" i="11" s="1"/>
  <c r="BN131" i="11"/>
  <c r="DR131" i="11" s="1"/>
  <c r="BM131" i="11"/>
  <c r="DQ131" i="11" s="1"/>
  <c r="BL131" i="11"/>
  <c r="DP131" i="11" s="1"/>
  <c r="BK131" i="11"/>
  <c r="DO131" i="11" s="1"/>
  <c r="BJ131" i="11"/>
  <c r="DN131" i="11" s="1"/>
  <c r="BI131" i="11"/>
  <c r="DM131" i="11" s="1"/>
  <c r="BH131" i="11"/>
  <c r="DL131" i="11" s="1"/>
  <c r="BG131" i="11"/>
  <c r="DK131" i="11" s="1"/>
  <c r="BF131" i="11"/>
  <c r="DJ131" i="11" s="1"/>
  <c r="BE131" i="11"/>
  <c r="DI131" i="11" s="1"/>
  <c r="BD131" i="11"/>
  <c r="DH131" i="11" s="1"/>
  <c r="BC131" i="11"/>
  <c r="DG131" i="11" s="1"/>
  <c r="CE130" i="11"/>
  <c r="EI130" i="11" s="1"/>
  <c r="CD130" i="11"/>
  <c r="EH130" i="11" s="1"/>
  <c r="CC130" i="11"/>
  <c r="EG130" i="11" s="1"/>
  <c r="CB130" i="11"/>
  <c r="EF130" i="11" s="1"/>
  <c r="EF129" i="11" s="1"/>
  <c r="CA130" i="11"/>
  <c r="EE130" i="11" s="1"/>
  <c r="BZ130" i="11"/>
  <c r="ED130" i="11" s="1"/>
  <c r="BY130" i="11"/>
  <c r="EC130" i="11" s="1"/>
  <c r="BX130" i="11"/>
  <c r="EB130" i="11" s="1"/>
  <c r="EB129" i="11" s="1"/>
  <c r="BW130" i="11"/>
  <c r="EA130" i="11" s="1"/>
  <c r="BV130" i="11"/>
  <c r="DZ130" i="11" s="1"/>
  <c r="BU130" i="11"/>
  <c r="DY130" i="11" s="1"/>
  <c r="BT130" i="11"/>
  <c r="DX130" i="11" s="1"/>
  <c r="DX129" i="11" s="1"/>
  <c r="BS130" i="11"/>
  <c r="DW130" i="11" s="1"/>
  <c r="BR130" i="11"/>
  <c r="DV130" i="11" s="1"/>
  <c r="BQ130" i="11"/>
  <c r="DU130" i="11" s="1"/>
  <c r="BP130" i="11"/>
  <c r="DT130" i="11" s="1"/>
  <c r="DT129" i="11" s="1"/>
  <c r="BO130" i="11"/>
  <c r="DS130" i="11" s="1"/>
  <c r="BN130" i="11"/>
  <c r="DR130" i="11" s="1"/>
  <c r="BM130" i="11"/>
  <c r="DQ130" i="11" s="1"/>
  <c r="BL130" i="11"/>
  <c r="DP130" i="11" s="1"/>
  <c r="DP129" i="11" s="1"/>
  <c r="BK130" i="11"/>
  <c r="DO130" i="11" s="1"/>
  <c r="BJ130" i="11"/>
  <c r="DN130" i="11" s="1"/>
  <c r="BI130" i="11"/>
  <c r="DM130" i="11" s="1"/>
  <c r="BH130" i="11"/>
  <c r="DL130" i="11" s="1"/>
  <c r="DL129" i="11" s="1"/>
  <c r="BG130" i="11"/>
  <c r="DK130" i="11" s="1"/>
  <c r="BF130" i="11"/>
  <c r="DJ130" i="11" s="1"/>
  <c r="BE130" i="11"/>
  <c r="DI130" i="11" s="1"/>
  <c r="BD130" i="11"/>
  <c r="DH130" i="11" s="1"/>
  <c r="DH129" i="11" s="1"/>
  <c r="BC130" i="11"/>
  <c r="DG130" i="11" s="1"/>
  <c r="CE128" i="11"/>
  <c r="EI128" i="11" s="1"/>
  <c r="CD128" i="11"/>
  <c r="EH128" i="11" s="1"/>
  <c r="CC128" i="11"/>
  <c r="EG128" i="11" s="1"/>
  <c r="CB128" i="11"/>
  <c r="EF128" i="11" s="1"/>
  <c r="CA128" i="11"/>
  <c r="EE128" i="11" s="1"/>
  <c r="BZ128" i="11"/>
  <c r="ED128" i="11" s="1"/>
  <c r="BY128" i="11"/>
  <c r="EC128" i="11" s="1"/>
  <c r="BX128" i="11"/>
  <c r="EB128" i="11" s="1"/>
  <c r="BW128" i="11"/>
  <c r="EA128" i="11" s="1"/>
  <c r="BV128" i="11"/>
  <c r="DZ128" i="11" s="1"/>
  <c r="BU128" i="11"/>
  <c r="DY128" i="11" s="1"/>
  <c r="BT128" i="11"/>
  <c r="DX128" i="11" s="1"/>
  <c r="BS128" i="11"/>
  <c r="DW128" i="11" s="1"/>
  <c r="BR128" i="11"/>
  <c r="DV128" i="11" s="1"/>
  <c r="BQ128" i="11"/>
  <c r="DU128" i="11" s="1"/>
  <c r="BP128" i="11"/>
  <c r="DT128" i="11" s="1"/>
  <c r="BO128" i="11"/>
  <c r="DS128" i="11" s="1"/>
  <c r="BN128" i="11"/>
  <c r="DR128" i="11" s="1"/>
  <c r="BM128" i="11"/>
  <c r="DQ128" i="11" s="1"/>
  <c r="BL128" i="11"/>
  <c r="DP128" i="11" s="1"/>
  <c r="BK128" i="11"/>
  <c r="DO128" i="11" s="1"/>
  <c r="BJ128" i="11"/>
  <c r="DN128" i="11" s="1"/>
  <c r="BI128" i="11"/>
  <c r="DM128" i="11" s="1"/>
  <c r="BH128" i="11"/>
  <c r="DL128" i="11" s="1"/>
  <c r="BG128" i="11"/>
  <c r="DK128" i="11" s="1"/>
  <c r="BF128" i="11"/>
  <c r="DJ128" i="11" s="1"/>
  <c r="BE128" i="11"/>
  <c r="DI128" i="11" s="1"/>
  <c r="BD128" i="11"/>
  <c r="DH128" i="11" s="1"/>
  <c r="BC128" i="11"/>
  <c r="DG128" i="11" s="1"/>
  <c r="CE127" i="11"/>
  <c r="EI127" i="11" s="1"/>
  <c r="CD127" i="11"/>
  <c r="EH127" i="11" s="1"/>
  <c r="CC127" i="11"/>
  <c r="EG127" i="11" s="1"/>
  <c r="CB127" i="11"/>
  <c r="EF127" i="11" s="1"/>
  <c r="CA127" i="11"/>
  <c r="EE127" i="11" s="1"/>
  <c r="BZ127" i="11"/>
  <c r="ED127" i="11" s="1"/>
  <c r="BY127" i="11"/>
  <c r="EC127" i="11" s="1"/>
  <c r="BX127" i="11"/>
  <c r="EB127" i="11" s="1"/>
  <c r="BW127" i="11"/>
  <c r="EA127" i="11" s="1"/>
  <c r="BV127" i="11"/>
  <c r="DZ127" i="11" s="1"/>
  <c r="BU127" i="11"/>
  <c r="DY127" i="11" s="1"/>
  <c r="BT127" i="11"/>
  <c r="DX127" i="11" s="1"/>
  <c r="BS127" i="11"/>
  <c r="DW127" i="11" s="1"/>
  <c r="BR127" i="11"/>
  <c r="DV127" i="11" s="1"/>
  <c r="BQ127" i="11"/>
  <c r="DU127" i="11" s="1"/>
  <c r="BP127" i="11"/>
  <c r="DT127" i="11" s="1"/>
  <c r="BO127" i="11"/>
  <c r="DS127" i="11" s="1"/>
  <c r="BN127" i="11"/>
  <c r="DR127" i="11" s="1"/>
  <c r="BM127" i="11"/>
  <c r="DQ127" i="11" s="1"/>
  <c r="BL127" i="11"/>
  <c r="DP127" i="11" s="1"/>
  <c r="BK127" i="11"/>
  <c r="DO127" i="11" s="1"/>
  <c r="BJ127" i="11"/>
  <c r="DN127" i="11" s="1"/>
  <c r="BI127" i="11"/>
  <c r="DM127" i="11" s="1"/>
  <c r="BH127" i="11"/>
  <c r="DL127" i="11" s="1"/>
  <c r="BG127" i="11"/>
  <c r="DK127" i="11" s="1"/>
  <c r="BF127" i="11"/>
  <c r="DJ127" i="11" s="1"/>
  <c r="BE127" i="11"/>
  <c r="DI127" i="11" s="1"/>
  <c r="BD127" i="11"/>
  <c r="DH127" i="11" s="1"/>
  <c r="BC127" i="11"/>
  <c r="DG127" i="11" s="1"/>
  <c r="CE126" i="11"/>
  <c r="EI126" i="11" s="1"/>
  <c r="CD126" i="11"/>
  <c r="EH126" i="11" s="1"/>
  <c r="CC126" i="11"/>
  <c r="EG126" i="11" s="1"/>
  <c r="CB126" i="11"/>
  <c r="EF126" i="11" s="1"/>
  <c r="CA126" i="11"/>
  <c r="EE126" i="11" s="1"/>
  <c r="BZ126" i="11"/>
  <c r="ED126" i="11" s="1"/>
  <c r="BY126" i="11"/>
  <c r="EC126" i="11" s="1"/>
  <c r="BX126" i="11"/>
  <c r="EB126" i="11" s="1"/>
  <c r="BW126" i="11"/>
  <c r="EA126" i="11" s="1"/>
  <c r="BV126" i="11"/>
  <c r="DZ126" i="11" s="1"/>
  <c r="BU126" i="11"/>
  <c r="DY126" i="11" s="1"/>
  <c r="BT126" i="11"/>
  <c r="DX126" i="11" s="1"/>
  <c r="BS126" i="11"/>
  <c r="DW126" i="11" s="1"/>
  <c r="BR126" i="11"/>
  <c r="DV126" i="11" s="1"/>
  <c r="BQ126" i="11"/>
  <c r="DU126" i="11" s="1"/>
  <c r="BP126" i="11"/>
  <c r="DT126" i="11" s="1"/>
  <c r="BO126" i="11"/>
  <c r="DS126" i="11" s="1"/>
  <c r="BN126" i="11"/>
  <c r="DR126" i="11" s="1"/>
  <c r="BM126" i="11"/>
  <c r="DQ126" i="11" s="1"/>
  <c r="BL126" i="11"/>
  <c r="DP126" i="11" s="1"/>
  <c r="BK126" i="11"/>
  <c r="DO126" i="11" s="1"/>
  <c r="BJ126" i="11"/>
  <c r="DN126" i="11" s="1"/>
  <c r="BI126" i="11"/>
  <c r="DM126" i="11" s="1"/>
  <c r="BH126" i="11"/>
  <c r="DL126" i="11" s="1"/>
  <c r="BG126" i="11"/>
  <c r="DK126" i="11" s="1"/>
  <c r="BF126" i="11"/>
  <c r="DJ126" i="11" s="1"/>
  <c r="BE126" i="11"/>
  <c r="DI126" i="11" s="1"/>
  <c r="BD126" i="11"/>
  <c r="DH126" i="11" s="1"/>
  <c r="BC126" i="11"/>
  <c r="DG126" i="11" s="1"/>
  <c r="CE125" i="11"/>
  <c r="EI125" i="11" s="1"/>
  <c r="CD125" i="11"/>
  <c r="EH125" i="11" s="1"/>
  <c r="CC125" i="11"/>
  <c r="EG125" i="11" s="1"/>
  <c r="CB125" i="11"/>
  <c r="EF125" i="11" s="1"/>
  <c r="CA125" i="11"/>
  <c r="EE125" i="11" s="1"/>
  <c r="BZ125" i="11"/>
  <c r="ED125" i="11" s="1"/>
  <c r="BY125" i="11"/>
  <c r="EC125" i="11" s="1"/>
  <c r="BX125" i="11"/>
  <c r="EB125" i="11" s="1"/>
  <c r="BW125" i="11"/>
  <c r="EA125" i="11" s="1"/>
  <c r="BV125" i="11"/>
  <c r="DZ125" i="11" s="1"/>
  <c r="BU125" i="11"/>
  <c r="DY125" i="11" s="1"/>
  <c r="BT125" i="11"/>
  <c r="DX125" i="11" s="1"/>
  <c r="BS125" i="11"/>
  <c r="DW125" i="11" s="1"/>
  <c r="BR125" i="11"/>
  <c r="DV125" i="11" s="1"/>
  <c r="BQ125" i="11"/>
  <c r="DU125" i="11" s="1"/>
  <c r="BP125" i="11"/>
  <c r="DT125" i="11" s="1"/>
  <c r="BO125" i="11"/>
  <c r="DS125" i="11" s="1"/>
  <c r="BN125" i="11"/>
  <c r="DR125" i="11" s="1"/>
  <c r="BM125" i="11"/>
  <c r="DQ125" i="11" s="1"/>
  <c r="BL125" i="11"/>
  <c r="DP125" i="11" s="1"/>
  <c r="BK125" i="11"/>
  <c r="DO125" i="11" s="1"/>
  <c r="BJ125" i="11"/>
  <c r="DN125" i="11" s="1"/>
  <c r="BI125" i="11"/>
  <c r="DM125" i="11" s="1"/>
  <c r="BH125" i="11"/>
  <c r="DL125" i="11" s="1"/>
  <c r="BG125" i="11"/>
  <c r="DK125" i="11" s="1"/>
  <c r="BF125" i="11"/>
  <c r="DJ125" i="11" s="1"/>
  <c r="BE125" i="11"/>
  <c r="DI125" i="11" s="1"/>
  <c r="BD125" i="11"/>
  <c r="DH125" i="11" s="1"/>
  <c r="BC125" i="11"/>
  <c r="DG125" i="11" s="1"/>
  <c r="CE124" i="11"/>
  <c r="EI124" i="11" s="1"/>
  <c r="CD124" i="11"/>
  <c r="EH124" i="11" s="1"/>
  <c r="CC124" i="11"/>
  <c r="EG124" i="11" s="1"/>
  <c r="CB124" i="11"/>
  <c r="EF124" i="11" s="1"/>
  <c r="CA124" i="11"/>
  <c r="EE124" i="11" s="1"/>
  <c r="BZ124" i="11"/>
  <c r="ED124" i="11" s="1"/>
  <c r="BY124" i="11"/>
  <c r="EC124" i="11" s="1"/>
  <c r="BX124" i="11"/>
  <c r="EB124" i="11" s="1"/>
  <c r="BW124" i="11"/>
  <c r="EA124" i="11" s="1"/>
  <c r="BV124" i="11"/>
  <c r="DZ124" i="11" s="1"/>
  <c r="BU124" i="11"/>
  <c r="DY124" i="11" s="1"/>
  <c r="BT124" i="11"/>
  <c r="DX124" i="11" s="1"/>
  <c r="BS124" i="11"/>
  <c r="DW124" i="11" s="1"/>
  <c r="BR124" i="11"/>
  <c r="DV124" i="11" s="1"/>
  <c r="BQ124" i="11"/>
  <c r="DU124" i="11" s="1"/>
  <c r="BP124" i="11"/>
  <c r="DT124" i="11" s="1"/>
  <c r="BO124" i="11"/>
  <c r="DS124" i="11" s="1"/>
  <c r="BN124" i="11"/>
  <c r="DR124" i="11" s="1"/>
  <c r="BM124" i="11"/>
  <c r="DQ124" i="11" s="1"/>
  <c r="BL124" i="11"/>
  <c r="DP124" i="11" s="1"/>
  <c r="BK124" i="11"/>
  <c r="DO124" i="11" s="1"/>
  <c r="BJ124" i="11"/>
  <c r="DN124" i="11" s="1"/>
  <c r="BI124" i="11"/>
  <c r="DM124" i="11" s="1"/>
  <c r="BH124" i="11"/>
  <c r="DL124" i="11" s="1"/>
  <c r="BG124" i="11"/>
  <c r="DK124" i="11" s="1"/>
  <c r="BF124" i="11"/>
  <c r="DJ124" i="11" s="1"/>
  <c r="BE124" i="11"/>
  <c r="DI124" i="11" s="1"/>
  <c r="BD124" i="11"/>
  <c r="DH124" i="11" s="1"/>
  <c r="BC124" i="11"/>
  <c r="DG124" i="11" s="1"/>
  <c r="CE123" i="11"/>
  <c r="EI123" i="11" s="1"/>
  <c r="CD123" i="11"/>
  <c r="EH123" i="11" s="1"/>
  <c r="CC123" i="11"/>
  <c r="EG123" i="11" s="1"/>
  <c r="CB123" i="11"/>
  <c r="EF123" i="11" s="1"/>
  <c r="CA123" i="11"/>
  <c r="EE123" i="11" s="1"/>
  <c r="BZ123" i="11"/>
  <c r="ED123" i="11" s="1"/>
  <c r="BY123" i="11"/>
  <c r="EC123" i="11" s="1"/>
  <c r="BX123" i="11"/>
  <c r="EB123" i="11" s="1"/>
  <c r="BW123" i="11"/>
  <c r="EA123" i="11" s="1"/>
  <c r="BV123" i="11"/>
  <c r="DZ123" i="11" s="1"/>
  <c r="BU123" i="11"/>
  <c r="DY123" i="11" s="1"/>
  <c r="BT123" i="11"/>
  <c r="DX123" i="11" s="1"/>
  <c r="BS123" i="11"/>
  <c r="DW123" i="11" s="1"/>
  <c r="BR123" i="11"/>
  <c r="DV123" i="11" s="1"/>
  <c r="BQ123" i="11"/>
  <c r="DU123" i="11" s="1"/>
  <c r="BP123" i="11"/>
  <c r="DT123" i="11" s="1"/>
  <c r="BO123" i="11"/>
  <c r="DS123" i="11" s="1"/>
  <c r="BN123" i="11"/>
  <c r="DR123" i="11" s="1"/>
  <c r="BM123" i="11"/>
  <c r="DQ123" i="11" s="1"/>
  <c r="BL123" i="11"/>
  <c r="DP123" i="11" s="1"/>
  <c r="BK123" i="11"/>
  <c r="DO123" i="11" s="1"/>
  <c r="BJ123" i="11"/>
  <c r="DN123" i="11" s="1"/>
  <c r="BI123" i="11"/>
  <c r="DM123" i="11" s="1"/>
  <c r="BH123" i="11"/>
  <c r="DL123" i="11" s="1"/>
  <c r="BG123" i="11"/>
  <c r="DK123" i="11" s="1"/>
  <c r="BF123" i="11"/>
  <c r="DJ123" i="11" s="1"/>
  <c r="BE123" i="11"/>
  <c r="DI123" i="11" s="1"/>
  <c r="BD123" i="11"/>
  <c r="DH123" i="11" s="1"/>
  <c r="BC123" i="11"/>
  <c r="DG123" i="11" s="1"/>
  <c r="CE121" i="11"/>
  <c r="EI121" i="11" s="1"/>
  <c r="CD121" i="11"/>
  <c r="EH121" i="11" s="1"/>
  <c r="CC121" i="11"/>
  <c r="EG121" i="11" s="1"/>
  <c r="CB121" i="11"/>
  <c r="EF121" i="11" s="1"/>
  <c r="CA121" i="11"/>
  <c r="EE121" i="11" s="1"/>
  <c r="BZ121" i="11"/>
  <c r="ED121" i="11" s="1"/>
  <c r="BY121" i="11"/>
  <c r="EC121" i="11" s="1"/>
  <c r="BX121" i="11"/>
  <c r="EB121" i="11" s="1"/>
  <c r="BW121" i="11"/>
  <c r="EA121" i="11" s="1"/>
  <c r="BV121" i="11"/>
  <c r="DZ121" i="11" s="1"/>
  <c r="BU121" i="11"/>
  <c r="DY121" i="11" s="1"/>
  <c r="BT121" i="11"/>
  <c r="DX121" i="11" s="1"/>
  <c r="BS121" i="11"/>
  <c r="DW121" i="11" s="1"/>
  <c r="BR121" i="11"/>
  <c r="DV121" i="11" s="1"/>
  <c r="BQ121" i="11"/>
  <c r="DU121" i="11" s="1"/>
  <c r="BP121" i="11"/>
  <c r="DT121" i="11" s="1"/>
  <c r="BO121" i="11"/>
  <c r="DS121" i="11" s="1"/>
  <c r="BN121" i="11"/>
  <c r="DR121" i="11" s="1"/>
  <c r="BM121" i="11"/>
  <c r="DQ121" i="11" s="1"/>
  <c r="BL121" i="11"/>
  <c r="DP121" i="11" s="1"/>
  <c r="BK121" i="11"/>
  <c r="DO121" i="11" s="1"/>
  <c r="BJ121" i="11"/>
  <c r="DN121" i="11" s="1"/>
  <c r="BI121" i="11"/>
  <c r="DM121" i="11" s="1"/>
  <c r="BH121" i="11"/>
  <c r="DL121" i="11" s="1"/>
  <c r="BG121" i="11"/>
  <c r="DK121" i="11" s="1"/>
  <c r="BF121" i="11"/>
  <c r="DJ121" i="11" s="1"/>
  <c r="BE121" i="11"/>
  <c r="DI121" i="11" s="1"/>
  <c r="BD121" i="11"/>
  <c r="DH121" i="11" s="1"/>
  <c r="BC121" i="11"/>
  <c r="DG121" i="11" s="1"/>
  <c r="CE120" i="11"/>
  <c r="EI120" i="11" s="1"/>
  <c r="CD120" i="11"/>
  <c r="EH120" i="11" s="1"/>
  <c r="CC120" i="11"/>
  <c r="EG120" i="11" s="1"/>
  <c r="CB120" i="11"/>
  <c r="EF120" i="11" s="1"/>
  <c r="CA120" i="11"/>
  <c r="EE120" i="11" s="1"/>
  <c r="BZ120" i="11"/>
  <c r="ED120" i="11" s="1"/>
  <c r="BY120" i="11"/>
  <c r="EC120" i="11" s="1"/>
  <c r="BX120" i="11"/>
  <c r="EB120" i="11" s="1"/>
  <c r="BW120" i="11"/>
  <c r="EA120" i="11" s="1"/>
  <c r="BV120" i="11"/>
  <c r="DZ120" i="11" s="1"/>
  <c r="BU120" i="11"/>
  <c r="DY120" i="11" s="1"/>
  <c r="BT120" i="11"/>
  <c r="DX120" i="11" s="1"/>
  <c r="BS120" i="11"/>
  <c r="DW120" i="11" s="1"/>
  <c r="BR120" i="11"/>
  <c r="DV120" i="11" s="1"/>
  <c r="BQ120" i="11"/>
  <c r="DU120" i="11" s="1"/>
  <c r="BP120" i="11"/>
  <c r="DT120" i="11" s="1"/>
  <c r="BO120" i="11"/>
  <c r="DS120" i="11" s="1"/>
  <c r="BN120" i="11"/>
  <c r="DR120" i="11" s="1"/>
  <c r="BM120" i="11"/>
  <c r="DQ120" i="11" s="1"/>
  <c r="BL120" i="11"/>
  <c r="DP120" i="11" s="1"/>
  <c r="BK120" i="11"/>
  <c r="DO120" i="11" s="1"/>
  <c r="BJ120" i="11"/>
  <c r="DN120" i="11" s="1"/>
  <c r="BI120" i="11"/>
  <c r="DM120" i="11" s="1"/>
  <c r="BH120" i="11"/>
  <c r="DL120" i="11" s="1"/>
  <c r="BG120" i="11"/>
  <c r="DK120" i="11" s="1"/>
  <c r="BF120" i="11"/>
  <c r="DJ120" i="11" s="1"/>
  <c r="BE120" i="11"/>
  <c r="DI120" i="11" s="1"/>
  <c r="BD120" i="11"/>
  <c r="DH120" i="11" s="1"/>
  <c r="BC120" i="11"/>
  <c r="DG120" i="11" s="1"/>
  <c r="CE119" i="11"/>
  <c r="EI119" i="11" s="1"/>
  <c r="CD119" i="11"/>
  <c r="EH119" i="11" s="1"/>
  <c r="CC119" i="11"/>
  <c r="EG119" i="11" s="1"/>
  <c r="CB119" i="11"/>
  <c r="EF119" i="11" s="1"/>
  <c r="CA119" i="11"/>
  <c r="EE119" i="11" s="1"/>
  <c r="BZ119" i="11"/>
  <c r="ED119" i="11" s="1"/>
  <c r="BY119" i="11"/>
  <c r="EC119" i="11" s="1"/>
  <c r="BX119" i="11"/>
  <c r="EB119" i="11" s="1"/>
  <c r="BW119" i="11"/>
  <c r="EA119" i="11" s="1"/>
  <c r="BV119" i="11"/>
  <c r="DZ119" i="11" s="1"/>
  <c r="BU119" i="11"/>
  <c r="DY119" i="11" s="1"/>
  <c r="BT119" i="11"/>
  <c r="DX119" i="11" s="1"/>
  <c r="BS119" i="11"/>
  <c r="DW119" i="11" s="1"/>
  <c r="BR119" i="11"/>
  <c r="DV119" i="11" s="1"/>
  <c r="BQ119" i="11"/>
  <c r="DU119" i="11" s="1"/>
  <c r="BP119" i="11"/>
  <c r="DT119" i="11" s="1"/>
  <c r="BO119" i="11"/>
  <c r="DS119" i="11" s="1"/>
  <c r="BN119" i="11"/>
  <c r="DR119" i="11" s="1"/>
  <c r="BM119" i="11"/>
  <c r="DQ119" i="11" s="1"/>
  <c r="BL119" i="11"/>
  <c r="DP119" i="11" s="1"/>
  <c r="BK119" i="11"/>
  <c r="DO119" i="11" s="1"/>
  <c r="BJ119" i="11"/>
  <c r="DN119" i="11" s="1"/>
  <c r="BI119" i="11"/>
  <c r="DM119" i="11" s="1"/>
  <c r="BH119" i="11"/>
  <c r="DL119" i="11" s="1"/>
  <c r="BG119" i="11"/>
  <c r="DK119" i="11" s="1"/>
  <c r="BF119" i="11"/>
  <c r="DJ119" i="11" s="1"/>
  <c r="BE119" i="11"/>
  <c r="DI119" i="11" s="1"/>
  <c r="BD119" i="11"/>
  <c r="DH119" i="11" s="1"/>
  <c r="BC119" i="11"/>
  <c r="DG119" i="11" s="1"/>
  <c r="CE117" i="11"/>
  <c r="EI117" i="11" s="1"/>
  <c r="CD117" i="11"/>
  <c r="EH117" i="11" s="1"/>
  <c r="CC117" i="11"/>
  <c r="EG117" i="11" s="1"/>
  <c r="CB117" i="11"/>
  <c r="EF117" i="11" s="1"/>
  <c r="CA117" i="11"/>
  <c r="EE117" i="11" s="1"/>
  <c r="BZ117" i="11"/>
  <c r="ED117" i="11" s="1"/>
  <c r="BY117" i="11"/>
  <c r="EC117" i="11" s="1"/>
  <c r="BX117" i="11"/>
  <c r="EB117" i="11" s="1"/>
  <c r="BW117" i="11"/>
  <c r="EA117" i="11" s="1"/>
  <c r="BV117" i="11"/>
  <c r="DZ117" i="11" s="1"/>
  <c r="BU117" i="11"/>
  <c r="DY117" i="11" s="1"/>
  <c r="BT117" i="11"/>
  <c r="DX117" i="11" s="1"/>
  <c r="BS117" i="11"/>
  <c r="DW117" i="11" s="1"/>
  <c r="BR117" i="11"/>
  <c r="DV117" i="11" s="1"/>
  <c r="BQ117" i="11"/>
  <c r="DU117" i="11" s="1"/>
  <c r="BP117" i="11"/>
  <c r="DT117" i="11" s="1"/>
  <c r="BO117" i="11"/>
  <c r="DS117" i="11" s="1"/>
  <c r="BN117" i="11"/>
  <c r="DR117" i="11" s="1"/>
  <c r="BM117" i="11"/>
  <c r="DQ117" i="11" s="1"/>
  <c r="BL117" i="11"/>
  <c r="DP117" i="11" s="1"/>
  <c r="BK117" i="11"/>
  <c r="DO117" i="11" s="1"/>
  <c r="BJ117" i="11"/>
  <c r="DN117" i="11" s="1"/>
  <c r="BI117" i="11"/>
  <c r="DM117" i="11" s="1"/>
  <c r="BH117" i="11"/>
  <c r="DL117" i="11" s="1"/>
  <c r="BG117" i="11"/>
  <c r="DK117" i="11" s="1"/>
  <c r="BF117" i="11"/>
  <c r="DJ117" i="11" s="1"/>
  <c r="BE117" i="11"/>
  <c r="DI117" i="11" s="1"/>
  <c r="BD117" i="11"/>
  <c r="DH117" i="11" s="1"/>
  <c r="BC117" i="11"/>
  <c r="DG117" i="11" s="1"/>
  <c r="CE116" i="11"/>
  <c r="EI116" i="11" s="1"/>
  <c r="CD116" i="11"/>
  <c r="EH116" i="11" s="1"/>
  <c r="CC116" i="11"/>
  <c r="EG116" i="11" s="1"/>
  <c r="CB116" i="11"/>
  <c r="EF116" i="11" s="1"/>
  <c r="CA116" i="11"/>
  <c r="EE116" i="11" s="1"/>
  <c r="BZ116" i="11"/>
  <c r="ED116" i="11" s="1"/>
  <c r="BY116" i="11"/>
  <c r="EC116" i="11" s="1"/>
  <c r="BX116" i="11"/>
  <c r="EB116" i="11" s="1"/>
  <c r="BW116" i="11"/>
  <c r="EA116" i="11" s="1"/>
  <c r="BV116" i="11"/>
  <c r="DZ116" i="11" s="1"/>
  <c r="BU116" i="11"/>
  <c r="DY116" i="11" s="1"/>
  <c r="BT116" i="11"/>
  <c r="DX116" i="11" s="1"/>
  <c r="BS116" i="11"/>
  <c r="DW116" i="11" s="1"/>
  <c r="BR116" i="11"/>
  <c r="DV116" i="11" s="1"/>
  <c r="BQ116" i="11"/>
  <c r="DU116" i="11" s="1"/>
  <c r="BP116" i="11"/>
  <c r="DT116" i="11" s="1"/>
  <c r="BO116" i="11"/>
  <c r="DS116" i="11" s="1"/>
  <c r="BN116" i="11"/>
  <c r="DR116" i="11" s="1"/>
  <c r="BM116" i="11"/>
  <c r="DQ116" i="11" s="1"/>
  <c r="BL116" i="11"/>
  <c r="DP116" i="11" s="1"/>
  <c r="BK116" i="11"/>
  <c r="DO116" i="11" s="1"/>
  <c r="BJ116" i="11"/>
  <c r="DN116" i="11" s="1"/>
  <c r="BI116" i="11"/>
  <c r="DM116" i="11" s="1"/>
  <c r="BH116" i="11"/>
  <c r="DL116" i="11" s="1"/>
  <c r="BG116" i="11"/>
  <c r="DK116" i="11" s="1"/>
  <c r="BF116" i="11"/>
  <c r="DJ116" i="11" s="1"/>
  <c r="BE116" i="11"/>
  <c r="DI116" i="11" s="1"/>
  <c r="BD116" i="11"/>
  <c r="DH116" i="11" s="1"/>
  <c r="BC116" i="11"/>
  <c r="DG116" i="11" s="1"/>
  <c r="CE115" i="11"/>
  <c r="EI115" i="11" s="1"/>
  <c r="CD115" i="11"/>
  <c r="EH115" i="11" s="1"/>
  <c r="CC115" i="11"/>
  <c r="EG115" i="11" s="1"/>
  <c r="CB115" i="11"/>
  <c r="EF115" i="11" s="1"/>
  <c r="CA115" i="11"/>
  <c r="EE115" i="11" s="1"/>
  <c r="BZ115" i="11"/>
  <c r="ED115" i="11" s="1"/>
  <c r="BY115" i="11"/>
  <c r="EC115" i="11" s="1"/>
  <c r="BX115" i="11"/>
  <c r="EB115" i="11" s="1"/>
  <c r="BW115" i="11"/>
  <c r="EA115" i="11" s="1"/>
  <c r="BV115" i="11"/>
  <c r="DZ115" i="11" s="1"/>
  <c r="BU115" i="11"/>
  <c r="DY115" i="11" s="1"/>
  <c r="BT115" i="11"/>
  <c r="DX115" i="11" s="1"/>
  <c r="BS115" i="11"/>
  <c r="DW115" i="11" s="1"/>
  <c r="BR115" i="11"/>
  <c r="DV115" i="11" s="1"/>
  <c r="BQ115" i="11"/>
  <c r="DU115" i="11" s="1"/>
  <c r="BP115" i="11"/>
  <c r="DT115" i="11" s="1"/>
  <c r="BO115" i="11"/>
  <c r="DS115" i="11" s="1"/>
  <c r="BN115" i="11"/>
  <c r="DR115" i="11" s="1"/>
  <c r="BM115" i="11"/>
  <c r="DQ115" i="11" s="1"/>
  <c r="BL115" i="11"/>
  <c r="DP115" i="11" s="1"/>
  <c r="BK115" i="11"/>
  <c r="DO115" i="11" s="1"/>
  <c r="BJ115" i="11"/>
  <c r="DN115" i="11" s="1"/>
  <c r="BI115" i="11"/>
  <c r="DM115" i="11" s="1"/>
  <c r="BH115" i="11"/>
  <c r="DL115" i="11" s="1"/>
  <c r="BG115" i="11"/>
  <c r="DK115" i="11" s="1"/>
  <c r="BF115" i="11"/>
  <c r="DJ115" i="11" s="1"/>
  <c r="BE115" i="11"/>
  <c r="DI115" i="11" s="1"/>
  <c r="BD115" i="11"/>
  <c r="DH115" i="11" s="1"/>
  <c r="BC115" i="11"/>
  <c r="DG115" i="11" s="1"/>
  <c r="CE113" i="11"/>
  <c r="EI113" i="11" s="1"/>
  <c r="CD113" i="11"/>
  <c r="EH113" i="11" s="1"/>
  <c r="CC113" i="11"/>
  <c r="EG113" i="11" s="1"/>
  <c r="CB113" i="11"/>
  <c r="EF113" i="11" s="1"/>
  <c r="CA113" i="11"/>
  <c r="EE113" i="11" s="1"/>
  <c r="BZ113" i="11"/>
  <c r="ED113" i="11" s="1"/>
  <c r="BY113" i="11"/>
  <c r="EC113" i="11" s="1"/>
  <c r="BX113" i="11"/>
  <c r="EB113" i="11" s="1"/>
  <c r="BW113" i="11"/>
  <c r="EA113" i="11" s="1"/>
  <c r="BV113" i="11"/>
  <c r="DZ113" i="11" s="1"/>
  <c r="BU113" i="11"/>
  <c r="DY113" i="11" s="1"/>
  <c r="BT113" i="11"/>
  <c r="DX113" i="11" s="1"/>
  <c r="BS113" i="11"/>
  <c r="DW113" i="11" s="1"/>
  <c r="BR113" i="11"/>
  <c r="DV113" i="11" s="1"/>
  <c r="BQ113" i="11"/>
  <c r="DU113" i="11" s="1"/>
  <c r="BP113" i="11"/>
  <c r="DT113" i="11" s="1"/>
  <c r="BO113" i="11"/>
  <c r="DS113" i="11" s="1"/>
  <c r="BN113" i="11"/>
  <c r="DR113" i="11" s="1"/>
  <c r="BM113" i="11"/>
  <c r="DQ113" i="11" s="1"/>
  <c r="BL113" i="11"/>
  <c r="DP113" i="11" s="1"/>
  <c r="BK113" i="11"/>
  <c r="DO113" i="11" s="1"/>
  <c r="BJ113" i="11"/>
  <c r="DN113" i="11" s="1"/>
  <c r="BI113" i="11"/>
  <c r="DM113" i="11" s="1"/>
  <c r="BH113" i="11"/>
  <c r="DL113" i="11" s="1"/>
  <c r="BG113" i="11"/>
  <c r="DK113" i="11" s="1"/>
  <c r="BF113" i="11"/>
  <c r="DJ113" i="11" s="1"/>
  <c r="BE113" i="11"/>
  <c r="DI113" i="11" s="1"/>
  <c r="BD113" i="11"/>
  <c r="DH113" i="11" s="1"/>
  <c r="BC113" i="11"/>
  <c r="DG113" i="11" s="1"/>
  <c r="CE112" i="11"/>
  <c r="EI112" i="11" s="1"/>
  <c r="CD112" i="11"/>
  <c r="EH112" i="11" s="1"/>
  <c r="EH111" i="11" s="1"/>
  <c r="CC112" i="11"/>
  <c r="EG112" i="11" s="1"/>
  <c r="CB112" i="11"/>
  <c r="EF112" i="11" s="1"/>
  <c r="CA112" i="11"/>
  <c r="EE112" i="11" s="1"/>
  <c r="BZ112" i="11"/>
  <c r="ED112" i="11" s="1"/>
  <c r="ED111" i="11" s="1"/>
  <c r="BY112" i="11"/>
  <c r="EC112" i="11" s="1"/>
  <c r="BX112" i="11"/>
  <c r="EB112" i="11" s="1"/>
  <c r="BW112" i="11"/>
  <c r="EA112" i="11" s="1"/>
  <c r="BV112" i="11"/>
  <c r="DZ112" i="11" s="1"/>
  <c r="DZ111" i="11" s="1"/>
  <c r="BU112" i="11"/>
  <c r="DY112" i="11" s="1"/>
  <c r="BT112" i="11"/>
  <c r="DX112" i="11" s="1"/>
  <c r="BS112" i="11"/>
  <c r="DW112" i="11" s="1"/>
  <c r="BR112" i="11"/>
  <c r="DV112" i="11" s="1"/>
  <c r="DV111" i="11" s="1"/>
  <c r="BQ112" i="11"/>
  <c r="DU112" i="11" s="1"/>
  <c r="BP112" i="11"/>
  <c r="DT112" i="11" s="1"/>
  <c r="BO112" i="11"/>
  <c r="DS112" i="11" s="1"/>
  <c r="BN112" i="11"/>
  <c r="DR112" i="11" s="1"/>
  <c r="DR111" i="11" s="1"/>
  <c r="BM112" i="11"/>
  <c r="DQ112" i="11" s="1"/>
  <c r="BL112" i="11"/>
  <c r="DP112" i="11" s="1"/>
  <c r="BK112" i="11"/>
  <c r="DO112" i="11" s="1"/>
  <c r="BJ112" i="11"/>
  <c r="DN112" i="11" s="1"/>
  <c r="DN111" i="11" s="1"/>
  <c r="BI112" i="11"/>
  <c r="DM112" i="11" s="1"/>
  <c r="BH112" i="11"/>
  <c r="DL112" i="11" s="1"/>
  <c r="BG112" i="11"/>
  <c r="DK112" i="11" s="1"/>
  <c r="BF112" i="11"/>
  <c r="DJ112" i="11" s="1"/>
  <c r="DJ111" i="11" s="1"/>
  <c r="BE112" i="11"/>
  <c r="DI112" i="11" s="1"/>
  <c r="BD112" i="11"/>
  <c r="DH112" i="11" s="1"/>
  <c r="BC112" i="11"/>
  <c r="DG112" i="11" s="1"/>
  <c r="CE110" i="11"/>
  <c r="EI110" i="11" s="1"/>
  <c r="CD110" i="11"/>
  <c r="EH110" i="11" s="1"/>
  <c r="CC110" i="11"/>
  <c r="EG110" i="11" s="1"/>
  <c r="CB110" i="11"/>
  <c r="EF110" i="11" s="1"/>
  <c r="CA110" i="11"/>
  <c r="EE110" i="11" s="1"/>
  <c r="BZ110" i="11"/>
  <c r="ED110" i="11" s="1"/>
  <c r="BY110" i="11"/>
  <c r="EC110" i="11" s="1"/>
  <c r="BX110" i="11"/>
  <c r="EB110" i="11" s="1"/>
  <c r="BW110" i="11"/>
  <c r="EA110" i="11" s="1"/>
  <c r="BV110" i="11"/>
  <c r="DZ110" i="11" s="1"/>
  <c r="BU110" i="11"/>
  <c r="DY110" i="11" s="1"/>
  <c r="BT110" i="11"/>
  <c r="DX110" i="11" s="1"/>
  <c r="BS110" i="11"/>
  <c r="DW110" i="11" s="1"/>
  <c r="BR110" i="11"/>
  <c r="DV110" i="11" s="1"/>
  <c r="BQ110" i="11"/>
  <c r="DU110" i="11" s="1"/>
  <c r="BP110" i="11"/>
  <c r="DT110" i="11" s="1"/>
  <c r="BO110" i="11"/>
  <c r="DS110" i="11" s="1"/>
  <c r="BN110" i="11"/>
  <c r="DR110" i="11" s="1"/>
  <c r="BM110" i="11"/>
  <c r="DQ110" i="11" s="1"/>
  <c r="BL110" i="11"/>
  <c r="DP110" i="11" s="1"/>
  <c r="BK110" i="11"/>
  <c r="DO110" i="11" s="1"/>
  <c r="BJ110" i="11"/>
  <c r="DN110" i="11" s="1"/>
  <c r="BI110" i="11"/>
  <c r="DM110" i="11" s="1"/>
  <c r="BH110" i="11"/>
  <c r="DL110" i="11" s="1"/>
  <c r="BG110" i="11"/>
  <c r="DK110" i="11" s="1"/>
  <c r="BF110" i="11"/>
  <c r="DJ110" i="11" s="1"/>
  <c r="BE110" i="11"/>
  <c r="DI110" i="11" s="1"/>
  <c r="BD110" i="11"/>
  <c r="DH110" i="11" s="1"/>
  <c r="BC110" i="11"/>
  <c r="DG110" i="11" s="1"/>
  <c r="CE109" i="11"/>
  <c r="EI109" i="11" s="1"/>
  <c r="CD109" i="11"/>
  <c r="EH109" i="11" s="1"/>
  <c r="CC109" i="11"/>
  <c r="EG109" i="11" s="1"/>
  <c r="CB109" i="11"/>
  <c r="EF109" i="11" s="1"/>
  <c r="EF108" i="11" s="1"/>
  <c r="CA109" i="11"/>
  <c r="EE109" i="11" s="1"/>
  <c r="BZ109" i="11"/>
  <c r="ED109" i="11" s="1"/>
  <c r="BY109" i="11"/>
  <c r="EC109" i="11" s="1"/>
  <c r="BX109" i="11"/>
  <c r="EB109" i="11" s="1"/>
  <c r="EB108" i="11" s="1"/>
  <c r="BW109" i="11"/>
  <c r="EA109" i="11" s="1"/>
  <c r="BV109" i="11"/>
  <c r="DZ109" i="11" s="1"/>
  <c r="BU109" i="11"/>
  <c r="DY109" i="11" s="1"/>
  <c r="BT109" i="11"/>
  <c r="DX109" i="11" s="1"/>
  <c r="DX108" i="11" s="1"/>
  <c r="BS109" i="11"/>
  <c r="DW109" i="11" s="1"/>
  <c r="BR109" i="11"/>
  <c r="DV109" i="11" s="1"/>
  <c r="BQ109" i="11"/>
  <c r="DU109" i="11" s="1"/>
  <c r="BP109" i="11"/>
  <c r="DT109" i="11" s="1"/>
  <c r="DT108" i="11" s="1"/>
  <c r="BO109" i="11"/>
  <c r="DS109" i="11" s="1"/>
  <c r="BN109" i="11"/>
  <c r="DR109" i="11" s="1"/>
  <c r="BM109" i="11"/>
  <c r="DQ109" i="11" s="1"/>
  <c r="BL109" i="11"/>
  <c r="DP109" i="11" s="1"/>
  <c r="DP108" i="11" s="1"/>
  <c r="BK109" i="11"/>
  <c r="DO109" i="11" s="1"/>
  <c r="BJ109" i="11"/>
  <c r="DN109" i="11" s="1"/>
  <c r="BI109" i="11"/>
  <c r="DM109" i="11" s="1"/>
  <c r="BH109" i="11"/>
  <c r="DL109" i="11" s="1"/>
  <c r="DL108" i="11" s="1"/>
  <c r="BG109" i="11"/>
  <c r="DK109" i="11" s="1"/>
  <c r="BF109" i="11"/>
  <c r="DJ109" i="11" s="1"/>
  <c r="BE109" i="11"/>
  <c r="DI109" i="11" s="1"/>
  <c r="BD109" i="11"/>
  <c r="DH109" i="11" s="1"/>
  <c r="DH108" i="11" s="1"/>
  <c r="BC109" i="11"/>
  <c r="DG109" i="11" s="1"/>
  <c r="CE107" i="11"/>
  <c r="EI107" i="11" s="1"/>
  <c r="CD107" i="11"/>
  <c r="EH107" i="11" s="1"/>
  <c r="CC107" i="11"/>
  <c r="EG107" i="11" s="1"/>
  <c r="CB107" i="11"/>
  <c r="EF107" i="11" s="1"/>
  <c r="CA107" i="11"/>
  <c r="EE107" i="11" s="1"/>
  <c r="BZ107" i="11"/>
  <c r="ED107" i="11" s="1"/>
  <c r="BY107" i="11"/>
  <c r="EC107" i="11" s="1"/>
  <c r="BX107" i="11"/>
  <c r="EB107" i="11" s="1"/>
  <c r="BW107" i="11"/>
  <c r="EA107" i="11" s="1"/>
  <c r="BV107" i="11"/>
  <c r="DZ107" i="11" s="1"/>
  <c r="BU107" i="11"/>
  <c r="DY107" i="11" s="1"/>
  <c r="BT107" i="11"/>
  <c r="DX107" i="11" s="1"/>
  <c r="BS107" i="11"/>
  <c r="DW107" i="11" s="1"/>
  <c r="BR107" i="11"/>
  <c r="DV107" i="11" s="1"/>
  <c r="BQ107" i="11"/>
  <c r="DU107" i="11" s="1"/>
  <c r="BP107" i="11"/>
  <c r="DT107" i="11" s="1"/>
  <c r="BO107" i="11"/>
  <c r="DS107" i="11" s="1"/>
  <c r="BN107" i="11"/>
  <c r="DR107" i="11" s="1"/>
  <c r="BM107" i="11"/>
  <c r="DQ107" i="11" s="1"/>
  <c r="BL107" i="11"/>
  <c r="DP107" i="11" s="1"/>
  <c r="BK107" i="11"/>
  <c r="DO107" i="11" s="1"/>
  <c r="BJ107" i="11"/>
  <c r="DN107" i="11" s="1"/>
  <c r="BI107" i="11"/>
  <c r="DM107" i="11" s="1"/>
  <c r="BH107" i="11"/>
  <c r="DL107" i="11" s="1"/>
  <c r="BG107" i="11"/>
  <c r="DK107" i="11" s="1"/>
  <c r="BF107" i="11"/>
  <c r="DJ107" i="11" s="1"/>
  <c r="BE107" i="11"/>
  <c r="DI107" i="11" s="1"/>
  <c r="BD107" i="11"/>
  <c r="DH107" i="11" s="1"/>
  <c r="BC107" i="11"/>
  <c r="DG107" i="11" s="1"/>
  <c r="CE106" i="11"/>
  <c r="EI106" i="11" s="1"/>
  <c r="CD106" i="11"/>
  <c r="EH106" i="11" s="1"/>
  <c r="EH105" i="11" s="1"/>
  <c r="CC106" i="11"/>
  <c r="EG106" i="11" s="1"/>
  <c r="CB106" i="11"/>
  <c r="EF106" i="11" s="1"/>
  <c r="CA106" i="11"/>
  <c r="EE106" i="11" s="1"/>
  <c r="BZ106" i="11"/>
  <c r="ED106" i="11" s="1"/>
  <c r="ED105" i="11" s="1"/>
  <c r="BY106" i="11"/>
  <c r="EC106" i="11" s="1"/>
  <c r="BX106" i="11"/>
  <c r="EB106" i="11" s="1"/>
  <c r="BW106" i="11"/>
  <c r="EA106" i="11" s="1"/>
  <c r="BV106" i="11"/>
  <c r="DZ106" i="11" s="1"/>
  <c r="DZ105" i="11" s="1"/>
  <c r="BU106" i="11"/>
  <c r="DY106" i="11" s="1"/>
  <c r="BT106" i="11"/>
  <c r="DX106" i="11" s="1"/>
  <c r="BS106" i="11"/>
  <c r="DW106" i="11" s="1"/>
  <c r="BR106" i="11"/>
  <c r="DV106" i="11" s="1"/>
  <c r="DV105" i="11" s="1"/>
  <c r="BQ106" i="11"/>
  <c r="DU106" i="11" s="1"/>
  <c r="BP106" i="11"/>
  <c r="DT106" i="11" s="1"/>
  <c r="BO106" i="11"/>
  <c r="DS106" i="11" s="1"/>
  <c r="BN106" i="11"/>
  <c r="DR106" i="11" s="1"/>
  <c r="DR105" i="11" s="1"/>
  <c r="BM106" i="11"/>
  <c r="DQ106" i="11" s="1"/>
  <c r="BL106" i="11"/>
  <c r="DP106" i="11" s="1"/>
  <c r="BK106" i="11"/>
  <c r="DO106" i="11" s="1"/>
  <c r="BJ106" i="11"/>
  <c r="DN106" i="11" s="1"/>
  <c r="DN105" i="11" s="1"/>
  <c r="BI106" i="11"/>
  <c r="DM106" i="11" s="1"/>
  <c r="BH106" i="11"/>
  <c r="DL106" i="11" s="1"/>
  <c r="BG106" i="11"/>
  <c r="DK106" i="11" s="1"/>
  <c r="BF106" i="11"/>
  <c r="DJ106" i="11" s="1"/>
  <c r="DJ105" i="11" s="1"/>
  <c r="BE106" i="11"/>
  <c r="DI106" i="11" s="1"/>
  <c r="BD106" i="11"/>
  <c r="DH106" i="11" s="1"/>
  <c r="BC106" i="11"/>
  <c r="DG106" i="11" s="1"/>
  <c r="CE104" i="11"/>
  <c r="CD104" i="11"/>
  <c r="CC104" i="11"/>
  <c r="CB104" i="11"/>
  <c r="CA104" i="11"/>
  <c r="BZ104" i="11"/>
  <c r="BY104" i="11"/>
  <c r="BX104" i="11"/>
  <c r="BW104" i="11"/>
  <c r="BV104" i="11"/>
  <c r="BU104" i="11"/>
  <c r="BT104" i="11"/>
  <c r="BS104" i="11"/>
  <c r="BR104" i="11"/>
  <c r="BQ104" i="11"/>
  <c r="BP104" i="11"/>
  <c r="BO104" i="11"/>
  <c r="BN104" i="11"/>
  <c r="BM104" i="11"/>
  <c r="BL104" i="11"/>
  <c r="BK104" i="11"/>
  <c r="BJ104" i="11"/>
  <c r="BI104" i="11"/>
  <c r="BH104" i="11"/>
  <c r="BG104" i="11"/>
  <c r="BF104" i="11"/>
  <c r="BE104" i="11"/>
  <c r="BD104" i="11"/>
  <c r="BC104" i="11"/>
  <c r="CE102" i="11"/>
  <c r="EI102" i="11" s="1"/>
  <c r="CD102" i="11"/>
  <c r="EH102" i="11" s="1"/>
  <c r="CC102" i="11"/>
  <c r="EG102" i="11" s="1"/>
  <c r="CB102" i="11"/>
  <c r="EF102" i="11" s="1"/>
  <c r="CA102" i="11"/>
  <c r="EE102" i="11" s="1"/>
  <c r="BZ102" i="11"/>
  <c r="ED102" i="11" s="1"/>
  <c r="BY102" i="11"/>
  <c r="EC102" i="11" s="1"/>
  <c r="BX102" i="11"/>
  <c r="EB102" i="11" s="1"/>
  <c r="BW102" i="11"/>
  <c r="EA102" i="11" s="1"/>
  <c r="BV102" i="11"/>
  <c r="DZ102" i="11" s="1"/>
  <c r="BU102" i="11"/>
  <c r="DY102" i="11" s="1"/>
  <c r="BT102" i="11"/>
  <c r="DX102" i="11" s="1"/>
  <c r="BS102" i="11"/>
  <c r="DW102" i="11" s="1"/>
  <c r="BR102" i="11"/>
  <c r="DV102" i="11" s="1"/>
  <c r="BQ102" i="11"/>
  <c r="DU102" i="11" s="1"/>
  <c r="BP102" i="11"/>
  <c r="DT102" i="11" s="1"/>
  <c r="BO102" i="11"/>
  <c r="DS102" i="11" s="1"/>
  <c r="BN102" i="11"/>
  <c r="DR102" i="11" s="1"/>
  <c r="BM102" i="11"/>
  <c r="DQ102" i="11" s="1"/>
  <c r="BL102" i="11"/>
  <c r="DP102" i="11" s="1"/>
  <c r="BK102" i="11"/>
  <c r="DO102" i="11" s="1"/>
  <c r="BJ102" i="11"/>
  <c r="DN102" i="11" s="1"/>
  <c r="BI102" i="11"/>
  <c r="DM102" i="11" s="1"/>
  <c r="BH102" i="11"/>
  <c r="DL102" i="11" s="1"/>
  <c r="BG102" i="11"/>
  <c r="DK102" i="11" s="1"/>
  <c r="BF102" i="11"/>
  <c r="DJ102" i="11" s="1"/>
  <c r="BE102" i="11"/>
  <c r="DI102" i="11" s="1"/>
  <c r="BD102" i="11"/>
  <c r="DH102" i="11" s="1"/>
  <c r="BC102" i="11"/>
  <c r="DG102" i="11" s="1"/>
  <c r="CE101" i="11"/>
  <c r="EI101" i="11" s="1"/>
  <c r="CD101" i="11"/>
  <c r="EH101" i="11" s="1"/>
  <c r="CC101" i="11"/>
  <c r="EG101" i="11" s="1"/>
  <c r="EG98" i="11" s="1"/>
  <c r="CB101" i="11"/>
  <c r="EF101" i="11" s="1"/>
  <c r="CA101" i="11"/>
  <c r="EE101" i="11" s="1"/>
  <c r="BZ101" i="11"/>
  <c r="ED101" i="11" s="1"/>
  <c r="BY101" i="11"/>
  <c r="EC101" i="11" s="1"/>
  <c r="BX101" i="11"/>
  <c r="EB101" i="11" s="1"/>
  <c r="BW101" i="11"/>
  <c r="EA101" i="11" s="1"/>
  <c r="BV101" i="11"/>
  <c r="DZ101" i="11" s="1"/>
  <c r="BU101" i="11"/>
  <c r="DY101" i="11" s="1"/>
  <c r="DY98" i="11" s="1"/>
  <c r="BT101" i="11"/>
  <c r="DX101" i="11" s="1"/>
  <c r="BS101" i="11"/>
  <c r="DW101" i="11" s="1"/>
  <c r="BR101" i="11"/>
  <c r="DV101" i="11" s="1"/>
  <c r="BQ101" i="11"/>
  <c r="DU101" i="11" s="1"/>
  <c r="DU98" i="11" s="1"/>
  <c r="BP101" i="11"/>
  <c r="DT101" i="11" s="1"/>
  <c r="BO101" i="11"/>
  <c r="DS101" i="11" s="1"/>
  <c r="BN101" i="11"/>
  <c r="DR101" i="11" s="1"/>
  <c r="BM101" i="11"/>
  <c r="DQ101" i="11" s="1"/>
  <c r="DQ98" i="11" s="1"/>
  <c r="BL101" i="11"/>
  <c r="DP101" i="11" s="1"/>
  <c r="BK101" i="11"/>
  <c r="DO101" i="11" s="1"/>
  <c r="BJ101" i="11"/>
  <c r="DN101" i="11" s="1"/>
  <c r="BI101" i="11"/>
  <c r="DM101" i="11" s="1"/>
  <c r="DM98" i="11" s="1"/>
  <c r="BH101" i="11"/>
  <c r="DL101" i="11" s="1"/>
  <c r="BG101" i="11"/>
  <c r="DK101" i="11" s="1"/>
  <c r="BF101" i="11"/>
  <c r="DJ101" i="11" s="1"/>
  <c r="BE101" i="11"/>
  <c r="DI101" i="11" s="1"/>
  <c r="DI98" i="11" s="1"/>
  <c r="BD101" i="11"/>
  <c r="DH101" i="11" s="1"/>
  <c r="BC101" i="11"/>
  <c r="DG101" i="11" s="1"/>
  <c r="CE96" i="11"/>
  <c r="CD96" i="11"/>
  <c r="CC96" i="11"/>
  <c r="CB96" i="11"/>
  <c r="CA96" i="11"/>
  <c r="BZ96" i="11"/>
  <c r="BY96" i="11"/>
  <c r="BX96" i="11"/>
  <c r="BW96" i="11"/>
  <c r="BV96" i="11"/>
  <c r="BU96" i="11"/>
  <c r="BT96" i="11"/>
  <c r="BS96" i="11"/>
  <c r="BR96" i="11"/>
  <c r="BQ96" i="11"/>
  <c r="BP96" i="11"/>
  <c r="BO96" i="11"/>
  <c r="BN96" i="11"/>
  <c r="BM96" i="11"/>
  <c r="BL96" i="11"/>
  <c r="BK96" i="11"/>
  <c r="BJ96" i="11"/>
  <c r="BI96" i="11"/>
  <c r="BH96" i="11"/>
  <c r="BG96" i="11"/>
  <c r="BF96" i="11"/>
  <c r="BE96" i="11"/>
  <c r="BD96" i="11"/>
  <c r="BC96" i="11"/>
  <c r="CE95" i="11"/>
  <c r="CD95" i="11"/>
  <c r="CC95" i="11"/>
  <c r="CB95" i="11"/>
  <c r="CA95" i="11"/>
  <c r="BZ95" i="11"/>
  <c r="BY95" i="11"/>
  <c r="BX95" i="11"/>
  <c r="BW95" i="11"/>
  <c r="BV95" i="11"/>
  <c r="BU95" i="11"/>
  <c r="BT95" i="11"/>
  <c r="BS95" i="11"/>
  <c r="BR95" i="11"/>
  <c r="BQ95" i="11"/>
  <c r="BP95" i="11"/>
  <c r="BO95" i="11"/>
  <c r="BN95" i="11"/>
  <c r="BM95" i="11"/>
  <c r="BL95" i="11"/>
  <c r="BK95" i="11"/>
  <c r="BJ95" i="11"/>
  <c r="BI95" i="11"/>
  <c r="BH95" i="11"/>
  <c r="BG95" i="11"/>
  <c r="BF95" i="11"/>
  <c r="BE95" i="11"/>
  <c r="BD95" i="11"/>
  <c r="BC95" i="11"/>
  <c r="CE93" i="11"/>
  <c r="CD93" i="11"/>
  <c r="CC93" i="11"/>
  <c r="CB93" i="11"/>
  <c r="CA93" i="11"/>
  <c r="BZ93" i="11"/>
  <c r="BY93" i="11"/>
  <c r="BX93" i="11"/>
  <c r="BW93" i="11"/>
  <c r="BV93" i="11"/>
  <c r="BU93" i="11"/>
  <c r="BT93" i="11"/>
  <c r="BS93" i="11"/>
  <c r="BR93" i="11"/>
  <c r="BQ93" i="11"/>
  <c r="BP93" i="11"/>
  <c r="BO93" i="11"/>
  <c r="BN93" i="11"/>
  <c r="BM93" i="11"/>
  <c r="BL93" i="11"/>
  <c r="BK93" i="11"/>
  <c r="BJ93" i="11"/>
  <c r="BI93" i="11"/>
  <c r="BH93" i="11"/>
  <c r="BG93" i="11"/>
  <c r="BF93" i="11"/>
  <c r="BE93" i="11"/>
  <c r="BD93" i="11"/>
  <c r="BC93" i="11"/>
  <c r="CE92" i="11"/>
  <c r="CD92" i="11"/>
  <c r="CC92" i="11"/>
  <c r="CB92" i="11"/>
  <c r="CA92" i="11"/>
  <c r="BZ92" i="11"/>
  <c r="BY92" i="11"/>
  <c r="BX92" i="11"/>
  <c r="BW92" i="11"/>
  <c r="BV92" i="11"/>
  <c r="BU92" i="11"/>
  <c r="BT92" i="11"/>
  <c r="BS92" i="11"/>
  <c r="BR92" i="11"/>
  <c r="BQ92" i="11"/>
  <c r="BP92" i="11"/>
  <c r="BO92" i="11"/>
  <c r="BN92" i="11"/>
  <c r="BM92" i="11"/>
  <c r="BL92" i="11"/>
  <c r="BK92" i="11"/>
  <c r="BJ92" i="11"/>
  <c r="BI92" i="11"/>
  <c r="BH92" i="11"/>
  <c r="BG92" i="11"/>
  <c r="BF92" i="11"/>
  <c r="BE92" i="11"/>
  <c r="BD92" i="11"/>
  <c r="BC92" i="11"/>
  <c r="CE89" i="11"/>
  <c r="CD89" i="11"/>
  <c r="CC89" i="11"/>
  <c r="CB89" i="11"/>
  <c r="CA89" i="11"/>
  <c r="BZ89" i="11"/>
  <c r="BY89" i="11"/>
  <c r="BX89" i="11"/>
  <c r="BW89" i="11"/>
  <c r="BV89" i="11"/>
  <c r="BU89" i="11"/>
  <c r="BT89" i="11"/>
  <c r="BS89" i="11"/>
  <c r="BR89" i="11"/>
  <c r="BQ89" i="11"/>
  <c r="BP89" i="11"/>
  <c r="BO89" i="11"/>
  <c r="BN89" i="11"/>
  <c r="BM89" i="11"/>
  <c r="BL89" i="11"/>
  <c r="BK89" i="11"/>
  <c r="BJ89" i="11"/>
  <c r="BI89" i="11"/>
  <c r="BH89" i="11"/>
  <c r="BG89" i="11"/>
  <c r="BF89" i="11"/>
  <c r="BE89" i="11"/>
  <c r="BD89" i="11"/>
  <c r="BC89" i="11"/>
  <c r="CE86" i="11"/>
  <c r="CD86" i="11"/>
  <c r="CC86" i="11"/>
  <c r="CB86" i="11"/>
  <c r="CA86" i="11"/>
  <c r="BZ86" i="11"/>
  <c r="BY86" i="11"/>
  <c r="BX86" i="11"/>
  <c r="BW86" i="11"/>
  <c r="BV86" i="11"/>
  <c r="BU86" i="11"/>
  <c r="BT86" i="11"/>
  <c r="BS86" i="11"/>
  <c r="BR86" i="11"/>
  <c r="BQ86" i="11"/>
  <c r="BP86" i="11"/>
  <c r="BO86" i="11"/>
  <c r="BN86" i="11"/>
  <c r="BM86" i="11"/>
  <c r="BL86" i="11"/>
  <c r="BK86" i="11"/>
  <c r="BJ86" i="11"/>
  <c r="BI86" i="11"/>
  <c r="BH86" i="11"/>
  <c r="BG86" i="11"/>
  <c r="BF86" i="11"/>
  <c r="BE86" i="11"/>
  <c r="BD86" i="11"/>
  <c r="BC86" i="11"/>
  <c r="CE82" i="11"/>
  <c r="CD82" i="11"/>
  <c r="CC82" i="11"/>
  <c r="CB82" i="11"/>
  <c r="CA82" i="11"/>
  <c r="BZ82" i="11"/>
  <c r="BY82" i="11"/>
  <c r="BX82" i="11"/>
  <c r="BW82" i="11"/>
  <c r="BV82" i="11"/>
  <c r="BU82" i="11"/>
  <c r="BT82" i="11"/>
  <c r="BS82" i="11"/>
  <c r="BR82" i="11"/>
  <c r="BQ82" i="11"/>
  <c r="BP82" i="11"/>
  <c r="BO82" i="11"/>
  <c r="BN82" i="11"/>
  <c r="BM82" i="11"/>
  <c r="BL82" i="11"/>
  <c r="BK82" i="11"/>
  <c r="BJ82" i="11"/>
  <c r="BI82" i="11"/>
  <c r="BH82" i="11"/>
  <c r="BG82" i="11"/>
  <c r="BF82" i="11"/>
  <c r="BE82" i="11"/>
  <c r="BD82" i="11"/>
  <c r="BC82" i="11"/>
  <c r="BB136" i="11"/>
  <c r="DF136" i="11" s="1"/>
  <c r="BB135" i="11"/>
  <c r="DF135" i="11" s="1"/>
  <c r="BB134" i="11"/>
  <c r="DF134" i="11" s="1"/>
  <c r="BB132" i="11"/>
  <c r="DF132" i="11" s="1"/>
  <c r="BB131" i="11"/>
  <c r="DF131" i="11" s="1"/>
  <c r="BB130" i="11"/>
  <c r="DF130" i="11" s="1"/>
  <c r="BB128" i="11"/>
  <c r="DF128" i="11" s="1"/>
  <c r="BB127" i="11"/>
  <c r="DF127" i="11" s="1"/>
  <c r="BB126" i="11"/>
  <c r="DF126" i="11" s="1"/>
  <c r="BB125" i="11"/>
  <c r="DF125" i="11" s="1"/>
  <c r="BB124" i="11"/>
  <c r="DF124" i="11" s="1"/>
  <c r="BB123" i="11"/>
  <c r="DF123" i="11" s="1"/>
  <c r="BB121" i="11"/>
  <c r="DF121" i="11" s="1"/>
  <c r="BB120" i="11"/>
  <c r="DF120" i="11" s="1"/>
  <c r="BB119" i="11"/>
  <c r="DF119" i="11" s="1"/>
  <c r="BB117" i="11"/>
  <c r="DF117" i="11" s="1"/>
  <c r="BB116" i="11"/>
  <c r="DF116" i="11" s="1"/>
  <c r="BB115" i="11"/>
  <c r="DF115" i="11" s="1"/>
  <c r="BB113" i="11"/>
  <c r="DF113" i="11" s="1"/>
  <c r="BB112" i="11"/>
  <c r="DF112" i="11" s="1"/>
  <c r="BB110" i="11"/>
  <c r="DF110" i="11" s="1"/>
  <c r="BB109" i="11"/>
  <c r="DF109" i="11" s="1"/>
  <c r="BB107" i="11"/>
  <c r="DF107" i="11" s="1"/>
  <c r="BB106" i="11"/>
  <c r="DF106" i="11" s="1"/>
  <c r="BB104" i="11"/>
  <c r="BB102" i="11"/>
  <c r="DF102" i="11" s="1"/>
  <c r="BB101" i="11"/>
  <c r="DF101" i="11" s="1"/>
  <c r="DF98" i="11" s="1"/>
  <c r="BB96" i="11"/>
  <c r="BB95" i="11"/>
  <c r="BB93" i="11"/>
  <c r="BB92" i="11"/>
  <c r="BB89" i="11"/>
  <c r="BB82" i="11"/>
  <c r="CE77" i="11"/>
  <c r="EI77" i="11" s="1"/>
  <c r="CD77" i="11"/>
  <c r="EH77" i="11" s="1"/>
  <c r="CC77" i="11"/>
  <c r="EG77" i="11" s="1"/>
  <c r="CB77" i="11"/>
  <c r="EF77" i="11" s="1"/>
  <c r="CA77" i="11"/>
  <c r="EE77" i="11" s="1"/>
  <c r="BZ77" i="11"/>
  <c r="ED77" i="11" s="1"/>
  <c r="BY77" i="11"/>
  <c r="EC77" i="11" s="1"/>
  <c r="BX77" i="11"/>
  <c r="EB77" i="11" s="1"/>
  <c r="BW77" i="11"/>
  <c r="EA77" i="11" s="1"/>
  <c r="BV77" i="11"/>
  <c r="DZ77" i="11" s="1"/>
  <c r="BU77" i="11"/>
  <c r="DY77" i="11" s="1"/>
  <c r="BT77" i="11"/>
  <c r="DX77" i="11" s="1"/>
  <c r="BS77" i="11"/>
  <c r="DW77" i="11" s="1"/>
  <c r="BR77" i="11"/>
  <c r="DV77" i="11" s="1"/>
  <c r="BQ77" i="11"/>
  <c r="DU77" i="11" s="1"/>
  <c r="BP77" i="11"/>
  <c r="DT77" i="11" s="1"/>
  <c r="BO77" i="11"/>
  <c r="DS77" i="11" s="1"/>
  <c r="BN77" i="11"/>
  <c r="DR77" i="11" s="1"/>
  <c r="BM77" i="11"/>
  <c r="DQ77" i="11" s="1"/>
  <c r="BL77" i="11"/>
  <c r="DP77" i="11" s="1"/>
  <c r="BK77" i="11"/>
  <c r="DO77" i="11" s="1"/>
  <c r="BJ77" i="11"/>
  <c r="DN77" i="11" s="1"/>
  <c r="BI77" i="11"/>
  <c r="DM77" i="11" s="1"/>
  <c r="BH77" i="11"/>
  <c r="DL77" i="11" s="1"/>
  <c r="BG77" i="11"/>
  <c r="DK77" i="11" s="1"/>
  <c r="BF77" i="11"/>
  <c r="DJ77" i="11" s="1"/>
  <c r="BE77" i="11"/>
  <c r="DI77" i="11" s="1"/>
  <c r="BD77" i="11"/>
  <c r="DH77" i="11" s="1"/>
  <c r="BC77" i="11"/>
  <c r="DG77" i="11" s="1"/>
  <c r="CE76" i="11"/>
  <c r="EI76" i="11" s="1"/>
  <c r="CD76" i="11"/>
  <c r="EH76" i="11" s="1"/>
  <c r="CC76" i="11"/>
  <c r="EG76" i="11" s="1"/>
  <c r="CB76" i="11"/>
  <c r="EF76" i="11" s="1"/>
  <c r="CA76" i="11"/>
  <c r="EE76" i="11" s="1"/>
  <c r="BZ76" i="11"/>
  <c r="ED76" i="11" s="1"/>
  <c r="BY76" i="11"/>
  <c r="EC76" i="11" s="1"/>
  <c r="BX76" i="11"/>
  <c r="EB76" i="11" s="1"/>
  <c r="BW76" i="11"/>
  <c r="EA76" i="11" s="1"/>
  <c r="BV76" i="11"/>
  <c r="DZ76" i="11" s="1"/>
  <c r="BU76" i="11"/>
  <c r="DY76" i="11" s="1"/>
  <c r="BT76" i="11"/>
  <c r="DX76" i="11" s="1"/>
  <c r="BS76" i="11"/>
  <c r="DW76" i="11" s="1"/>
  <c r="BR76" i="11"/>
  <c r="DV76" i="11" s="1"/>
  <c r="BQ76" i="11"/>
  <c r="DU76" i="11" s="1"/>
  <c r="BP76" i="11"/>
  <c r="DT76" i="11" s="1"/>
  <c r="BO76" i="11"/>
  <c r="DS76" i="11" s="1"/>
  <c r="BN76" i="11"/>
  <c r="DR76" i="11" s="1"/>
  <c r="BM76" i="11"/>
  <c r="DQ76" i="11" s="1"/>
  <c r="BL76" i="11"/>
  <c r="DP76" i="11" s="1"/>
  <c r="BK76" i="11"/>
  <c r="DO76" i="11" s="1"/>
  <c r="BJ76" i="11"/>
  <c r="DN76" i="11" s="1"/>
  <c r="BI76" i="11"/>
  <c r="DM76" i="11" s="1"/>
  <c r="BH76" i="11"/>
  <c r="DL76" i="11" s="1"/>
  <c r="BG76" i="11"/>
  <c r="DK76" i="11" s="1"/>
  <c r="BF76" i="11"/>
  <c r="DJ76" i="11" s="1"/>
  <c r="BE76" i="11"/>
  <c r="DI76" i="11" s="1"/>
  <c r="BD76" i="11"/>
  <c r="DH76" i="11" s="1"/>
  <c r="BC76" i="11"/>
  <c r="DG76" i="11" s="1"/>
  <c r="CE75" i="11"/>
  <c r="EI75" i="11" s="1"/>
  <c r="CD75" i="11"/>
  <c r="EH75" i="11" s="1"/>
  <c r="CC75" i="11"/>
  <c r="EG75" i="11" s="1"/>
  <c r="CB75" i="11"/>
  <c r="EF75" i="11" s="1"/>
  <c r="CA75" i="11"/>
  <c r="EE75" i="11" s="1"/>
  <c r="BZ75" i="11"/>
  <c r="ED75" i="11" s="1"/>
  <c r="BY75" i="11"/>
  <c r="EC75" i="11" s="1"/>
  <c r="BX75" i="11"/>
  <c r="EB75" i="11" s="1"/>
  <c r="BW75" i="11"/>
  <c r="EA75" i="11" s="1"/>
  <c r="BV75" i="11"/>
  <c r="DZ75" i="11" s="1"/>
  <c r="BU75" i="11"/>
  <c r="DY75" i="11" s="1"/>
  <c r="BT75" i="11"/>
  <c r="DX75" i="11" s="1"/>
  <c r="BS75" i="11"/>
  <c r="DW75" i="11" s="1"/>
  <c r="BR75" i="11"/>
  <c r="DV75" i="11" s="1"/>
  <c r="BQ75" i="11"/>
  <c r="DU75" i="11" s="1"/>
  <c r="BP75" i="11"/>
  <c r="DT75" i="11" s="1"/>
  <c r="BO75" i="11"/>
  <c r="DS75" i="11" s="1"/>
  <c r="BN75" i="11"/>
  <c r="DR75" i="11" s="1"/>
  <c r="BM75" i="11"/>
  <c r="DQ75" i="11" s="1"/>
  <c r="BL75" i="11"/>
  <c r="DP75" i="11" s="1"/>
  <c r="BK75" i="11"/>
  <c r="DO75" i="11" s="1"/>
  <c r="BJ75" i="11"/>
  <c r="DN75" i="11" s="1"/>
  <c r="BI75" i="11"/>
  <c r="DM75" i="11" s="1"/>
  <c r="BH75" i="11"/>
  <c r="DL75" i="11" s="1"/>
  <c r="BG75" i="11"/>
  <c r="DK75" i="11" s="1"/>
  <c r="BF75" i="11"/>
  <c r="DJ75" i="11" s="1"/>
  <c r="BE75" i="11"/>
  <c r="DI75" i="11" s="1"/>
  <c r="BD75" i="11"/>
  <c r="DH75" i="11" s="1"/>
  <c r="BC75" i="11"/>
  <c r="DG75" i="11" s="1"/>
  <c r="BB77" i="11"/>
  <c r="DF77" i="11" s="1"/>
  <c r="BB76" i="11"/>
  <c r="DF76" i="11" s="1"/>
  <c r="BB75" i="11"/>
  <c r="DF75" i="11" s="1"/>
  <c r="CE73" i="11"/>
  <c r="CD73" i="11"/>
  <c r="CC73" i="11"/>
  <c r="CB73" i="11"/>
  <c r="CA73" i="11"/>
  <c r="BZ73" i="11"/>
  <c r="BY73" i="11"/>
  <c r="BX73" i="11"/>
  <c r="BW73" i="11"/>
  <c r="BV73" i="11"/>
  <c r="BU73" i="11"/>
  <c r="BT73" i="11"/>
  <c r="BS73" i="11"/>
  <c r="BR73" i="11"/>
  <c r="BQ73" i="11"/>
  <c r="BP73" i="11"/>
  <c r="BO73" i="11"/>
  <c r="BN73" i="11"/>
  <c r="BM73" i="11"/>
  <c r="BL73" i="11"/>
  <c r="BK73" i="11"/>
  <c r="BJ73" i="11"/>
  <c r="BI73" i="11"/>
  <c r="BH73" i="11"/>
  <c r="BG73" i="11"/>
  <c r="BF73" i="11"/>
  <c r="BE73" i="11"/>
  <c r="BD73" i="11"/>
  <c r="BC73" i="11"/>
  <c r="CE70" i="11"/>
  <c r="CD70" i="11"/>
  <c r="CC70" i="11"/>
  <c r="CB70" i="11"/>
  <c r="CA70" i="11"/>
  <c r="BZ70" i="11"/>
  <c r="BY70" i="11"/>
  <c r="BX70" i="11"/>
  <c r="BW70" i="11"/>
  <c r="BV70" i="11"/>
  <c r="BU70" i="11"/>
  <c r="BT70" i="11"/>
  <c r="BS70" i="11"/>
  <c r="BR70" i="11"/>
  <c r="BQ70" i="11"/>
  <c r="BP70" i="11"/>
  <c r="BO70" i="11"/>
  <c r="BN70" i="11"/>
  <c r="BM70" i="11"/>
  <c r="BL70" i="11"/>
  <c r="BK70" i="11"/>
  <c r="BJ70" i="11"/>
  <c r="BI70" i="11"/>
  <c r="BH70" i="11"/>
  <c r="BG70" i="11"/>
  <c r="BF70" i="11"/>
  <c r="BE70" i="11"/>
  <c r="BD70" i="11"/>
  <c r="BC70" i="11"/>
  <c r="CE69" i="11"/>
  <c r="CD69" i="11"/>
  <c r="CC69" i="11"/>
  <c r="CB69" i="11"/>
  <c r="CA69" i="11"/>
  <c r="BZ69" i="11"/>
  <c r="BY69" i="11"/>
  <c r="BX69" i="11"/>
  <c r="BW69" i="11"/>
  <c r="BV69" i="11"/>
  <c r="BU69" i="11"/>
  <c r="BT69" i="11"/>
  <c r="BS69" i="11"/>
  <c r="BR69" i="11"/>
  <c r="BQ69" i="11"/>
  <c r="BP69" i="11"/>
  <c r="BO69" i="11"/>
  <c r="BN69" i="11"/>
  <c r="BM69" i="11"/>
  <c r="BL69" i="11"/>
  <c r="BK69" i="11"/>
  <c r="BJ69" i="11"/>
  <c r="BI69" i="11"/>
  <c r="BH69" i="11"/>
  <c r="BG69" i="11"/>
  <c r="BF69" i="11"/>
  <c r="BE69" i="11"/>
  <c r="BD69" i="11"/>
  <c r="BC69" i="11"/>
  <c r="CE68" i="11"/>
  <c r="CD68" i="11"/>
  <c r="CC68" i="11"/>
  <c r="CB68" i="11"/>
  <c r="CA68" i="11"/>
  <c r="BZ68" i="11"/>
  <c r="BY68" i="11"/>
  <c r="BX68" i="11"/>
  <c r="BW68" i="11"/>
  <c r="BV68" i="11"/>
  <c r="BU68" i="11"/>
  <c r="BT68" i="11"/>
  <c r="BS68" i="11"/>
  <c r="BR68" i="11"/>
  <c r="BQ68" i="11"/>
  <c r="BP68" i="11"/>
  <c r="BO68" i="11"/>
  <c r="BN68" i="11"/>
  <c r="BM68" i="11"/>
  <c r="BL68" i="11"/>
  <c r="BK68" i="11"/>
  <c r="BJ68" i="11"/>
  <c r="BI68" i="11"/>
  <c r="BH68" i="11"/>
  <c r="BG68" i="11"/>
  <c r="BF68" i="11"/>
  <c r="BE68" i="11"/>
  <c r="BD68" i="11"/>
  <c r="BC68" i="11"/>
  <c r="CE67" i="11"/>
  <c r="CD67" i="11"/>
  <c r="CC67" i="11"/>
  <c r="CB67" i="11"/>
  <c r="CA67" i="11"/>
  <c r="BZ67" i="11"/>
  <c r="BY67" i="11"/>
  <c r="BX67" i="11"/>
  <c r="BW67" i="11"/>
  <c r="BV67" i="11"/>
  <c r="BU67" i="11"/>
  <c r="BT67" i="11"/>
  <c r="BS67" i="11"/>
  <c r="BR67" i="11"/>
  <c r="BQ67" i="11"/>
  <c r="BP67" i="11"/>
  <c r="BO67" i="11"/>
  <c r="BN67" i="11"/>
  <c r="BM67" i="11"/>
  <c r="BL67" i="11"/>
  <c r="BK67" i="11"/>
  <c r="BJ67" i="11"/>
  <c r="BI67" i="11"/>
  <c r="BH67" i="11"/>
  <c r="BG67" i="11"/>
  <c r="BF67" i="11"/>
  <c r="BE67" i="11"/>
  <c r="BD67" i="11"/>
  <c r="BC67" i="11"/>
  <c r="CE66" i="11"/>
  <c r="CD66" i="11"/>
  <c r="CC66" i="11"/>
  <c r="CB66" i="11"/>
  <c r="CA66" i="11"/>
  <c r="BZ66" i="11"/>
  <c r="BY66" i="11"/>
  <c r="BX66" i="11"/>
  <c r="BW66" i="11"/>
  <c r="BV66" i="11"/>
  <c r="BU66" i="11"/>
  <c r="BT66" i="11"/>
  <c r="BS66" i="11"/>
  <c r="BR66" i="11"/>
  <c r="BQ66" i="11"/>
  <c r="BP66" i="11"/>
  <c r="BO66" i="11"/>
  <c r="BN66" i="11"/>
  <c r="BM66" i="11"/>
  <c r="BL66" i="11"/>
  <c r="BK66" i="11"/>
  <c r="BJ66" i="11"/>
  <c r="BI66" i="11"/>
  <c r="BH66" i="11"/>
  <c r="BG66" i="11"/>
  <c r="BF66" i="11"/>
  <c r="BE66" i="11"/>
  <c r="BD66" i="11"/>
  <c r="BC66" i="11"/>
  <c r="CE63" i="11"/>
  <c r="CD63" i="11"/>
  <c r="CC63" i="11"/>
  <c r="CB63" i="11"/>
  <c r="CA63" i="11"/>
  <c r="BZ63" i="11"/>
  <c r="BY63" i="11"/>
  <c r="BX63" i="11"/>
  <c r="BW63" i="11"/>
  <c r="BV63" i="11"/>
  <c r="BU63" i="11"/>
  <c r="BT63" i="11"/>
  <c r="BS63" i="11"/>
  <c r="BR63" i="11"/>
  <c r="BQ63" i="11"/>
  <c r="BP63" i="11"/>
  <c r="BO63" i="11"/>
  <c r="BN63" i="11"/>
  <c r="BM63" i="11"/>
  <c r="BL63" i="11"/>
  <c r="BK63" i="11"/>
  <c r="BJ63" i="11"/>
  <c r="BI63" i="11"/>
  <c r="BH63" i="11"/>
  <c r="BG63" i="11"/>
  <c r="BF63" i="11"/>
  <c r="BE63" i="11"/>
  <c r="BD63" i="11"/>
  <c r="BC63" i="11"/>
  <c r="CE62" i="11"/>
  <c r="CD62" i="11"/>
  <c r="CC62" i="11"/>
  <c r="CB62" i="11"/>
  <c r="CA62" i="11"/>
  <c r="BZ62" i="11"/>
  <c r="BY62" i="11"/>
  <c r="BX62" i="11"/>
  <c r="BW62" i="11"/>
  <c r="BV62" i="11"/>
  <c r="BU62" i="11"/>
  <c r="BT62" i="11"/>
  <c r="BS62" i="11"/>
  <c r="BR62" i="11"/>
  <c r="BQ62" i="11"/>
  <c r="BP62" i="11"/>
  <c r="BO62" i="11"/>
  <c r="BN62" i="11"/>
  <c r="BM62" i="11"/>
  <c r="BL62" i="11"/>
  <c r="BK62" i="11"/>
  <c r="BJ62" i="11"/>
  <c r="BI62" i="11"/>
  <c r="BH62" i="11"/>
  <c r="BG62" i="11"/>
  <c r="BF62" i="11"/>
  <c r="BE62" i="11"/>
  <c r="BD62" i="11"/>
  <c r="BC62" i="11"/>
  <c r="CE61" i="11"/>
  <c r="CD61" i="11"/>
  <c r="CC61" i="11"/>
  <c r="CB61" i="11"/>
  <c r="CA61" i="11"/>
  <c r="BZ61" i="11"/>
  <c r="BY61" i="11"/>
  <c r="BX61" i="11"/>
  <c r="BW61" i="11"/>
  <c r="BV61" i="11"/>
  <c r="BU61" i="11"/>
  <c r="BT61" i="11"/>
  <c r="BS61" i="11"/>
  <c r="BR61" i="11"/>
  <c r="BQ61" i="11"/>
  <c r="BP61" i="11"/>
  <c r="BO61" i="11"/>
  <c r="BN61" i="11"/>
  <c r="BM61" i="11"/>
  <c r="BL61" i="11"/>
  <c r="BK61" i="11"/>
  <c r="BJ61" i="11"/>
  <c r="BI61" i="11"/>
  <c r="BH61" i="11"/>
  <c r="BG61" i="11"/>
  <c r="BF61" i="11"/>
  <c r="BE61" i="11"/>
  <c r="BD61" i="11"/>
  <c r="BC61" i="11"/>
  <c r="CE60" i="11"/>
  <c r="CD60" i="11"/>
  <c r="CC60" i="11"/>
  <c r="CB60" i="11"/>
  <c r="CA60" i="11"/>
  <c r="BZ60" i="11"/>
  <c r="BY60" i="11"/>
  <c r="BX60" i="11"/>
  <c r="BW60" i="11"/>
  <c r="BV60" i="11"/>
  <c r="BU60" i="11"/>
  <c r="BT60" i="11"/>
  <c r="BS60" i="11"/>
  <c r="BR60" i="11"/>
  <c r="BQ60" i="11"/>
  <c r="BP60" i="11"/>
  <c r="BO60" i="11"/>
  <c r="BN60" i="11"/>
  <c r="BM60" i="11"/>
  <c r="BL60" i="11"/>
  <c r="BK60" i="11"/>
  <c r="BJ60" i="11"/>
  <c r="BI60" i="11"/>
  <c r="BH60" i="11"/>
  <c r="BG60" i="11"/>
  <c r="BF60" i="11"/>
  <c r="BE60" i="11"/>
  <c r="BD60" i="11"/>
  <c r="BC60" i="11"/>
  <c r="CE59" i="11"/>
  <c r="CD59" i="11"/>
  <c r="CC59" i="11"/>
  <c r="EG58" i="11" s="1"/>
  <c r="CB59" i="11"/>
  <c r="CA59" i="11"/>
  <c r="BZ59" i="11"/>
  <c r="BY59" i="11"/>
  <c r="EC58" i="11" s="1"/>
  <c r="BX59" i="11"/>
  <c r="BW59" i="11"/>
  <c r="BV59" i="11"/>
  <c r="BU59" i="11"/>
  <c r="DY58" i="11" s="1"/>
  <c r="BT59" i="11"/>
  <c r="BS59" i="11"/>
  <c r="BR59" i="11"/>
  <c r="BQ59" i="11"/>
  <c r="DU58" i="11" s="1"/>
  <c r="BP59" i="11"/>
  <c r="BO59" i="11"/>
  <c r="BN59" i="11"/>
  <c r="BM59" i="11"/>
  <c r="DQ58" i="11" s="1"/>
  <c r="BL59" i="11"/>
  <c r="BK59" i="11"/>
  <c r="BJ59" i="11"/>
  <c r="BI59" i="11"/>
  <c r="DM58" i="11" s="1"/>
  <c r="BH59" i="11"/>
  <c r="BG59" i="11"/>
  <c r="BF59" i="11"/>
  <c r="BE59" i="11"/>
  <c r="DI58" i="11" s="1"/>
  <c r="BD59" i="11"/>
  <c r="BC59" i="11"/>
  <c r="CE48" i="11"/>
  <c r="CD48" i="11"/>
  <c r="CC48" i="11"/>
  <c r="CB48" i="11"/>
  <c r="CA48" i="11"/>
  <c r="BZ48" i="11"/>
  <c r="BY48" i="11"/>
  <c r="BX48" i="11"/>
  <c r="BW48" i="11"/>
  <c r="BV48" i="11"/>
  <c r="BU48" i="11"/>
  <c r="BT48" i="11"/>
  <c r="BS48" i="11"/>
  <c r="BR48" i="11"/>
  <c r="BQ48" i="11"/>
  <c r="BP48" i="11"/>
  <c r="BO48" i="11"/>
  <c r="BN48" i="11"/>
  <c r="BM48" i="11"/>
  <c r="BL48" i="11"/>
  <c r="BK48" i="11"/>
  <c r="BJ48" i="11"/>
  <c r="BI48" i="11"/>
  <c r="BH48" i="11"/>
  <c r="BG48" i="11"/>
  <c r="BF48" i="11"/>
  <c r="BE48" i="11"/>
  <c r="BD48" i="11"/>
  <c r="BC48" i="11"/>
  <c r="CE47" i="11"/>
  <c r="CD47" i="11"/>
  <c r="CC47" i="11"/>
  <c r="CB47" i="11"/>
  <c r="CA47" i="11"/>
  <c r="BZ47" i="11"/>
  <c r="BY47" i="11"/>
  <c r="BX47" i="11"/>
  <c r="BW47" i="11"/>
  <c r="BV47" i="11"/>
  <c r="BU47" i="11"/>
  <c r="BT47" i="11"/>
  <c r="BS47" i="11"/>
  <c r="BR47" i="11"/>
  <c r="BQ47" i="11"/>
  <c r="BP47" i="11"/>
  <c r="BO47" i="11"/>
  <c r="BN47" i="11"/>
  <c r="BM47" i="11"/>
  <c r="BL47" i="11"/>
  <c r="BK47" i="11"/>
  <c r="BJ47" i="11"/>
  <c r="BI47" i="11"/>
  <c r="BH47" i="11"/>
  <c r="BG47" i="11"/>
  <c r="BF47" i="11"/>
  <c r="BE47" i="11"/>
  <c r="BD47" i="11"/>
  <c r="BC47" i="11"/>
  <c r="CE46" i="11"/>
  <c r="CD46" i="11"/>
  <c r="CC46" i="11"/>
  <c r="CB46" i="11"/>
  <c r="CA46" i="11"/>
  <c r="BZ46" i="11"/>
  <c r="BY46" i="11"/>
  <c r="BX46" i="11"/>
  <c r="BW46" i="11"/>
  <c r="BV46" i="11"/>
  <c r="BU46" i="11"/>
  <c r="BT46" i="11"/>
  <c r="BS46" i="11"/>
  <c r="BR46" i="11"/>
  <c r="BQ46" i="11"/>
  <c r="BP46" i="11"/>
  <c r="BO46" i="11"/>
  <c r="BN46" i="11"/>
  <c r="BM46" i="11"/>
  <c r="BL46" i="11"/>
  <c r="BK46" i="11"/>
  <c r="BJ46" i="11"/>
  <c r="BI46" i="11"/>
  <c r="BH46" i="11"/>
  <c r="BG46" i="11"/>
  <c r="BF46" i="11"/>
  <c r="BE46" i="11"/>
  <c r="BD46" i="11"/>
  <c r="BC46" i="11"/>
  <c r="CE45" i="11"/>
  <c r="CD45" i="11"/>
  <c r="EH43" i="11" s="1"/>
  <c r="CC45" i="11"/>
  <c r="EG43" i="11" s="1"/>
  <c r="CB45" i="11"/>
  <c r="CA45" i="11"/>
  <c r="BZ45" i="11"/>
  <c r="ED43" i="11" s="1"/>
  <c r="BY45" i="11"/>
  <c r="EC43" i="11" s="1"/>
  <c r="BX45" i="11"/>
  <c r="BW45" i="11"/>
  <c r="BV45" i="11"/>
  <c r="DZ43" i="11" s="1"/>
  <c r="BU45" i="11"/>
  <c r="DY43" i="11" s="1"/>
  <c r="BT45" i="11"/>
  <c r="BS45" i="11"/>
  <c r="BR45" i="11"/>
  <c r="DV43" i="11" s="1"/>
  <c r="BQ45" i="11"/>
  <c r="DU43" i="11" s="1"/>
  <c r="BP45" i="11"/>
  <c r="BO45" i="11"/>
  <c r="BN45" i="11"/>
  <c r="DR43" i="11" s="1"/>
  <c r="BM45" i="11"/>
  <c r="DQ43" i="11" s="1"/>
  <c r="BL45" i="11"/>
  <c r="BK45" i="11"/>
  <c r="BJ45" i="11"/>
  <c r="DN43" i="11" s="1"/>
  <c r="BI45" i="11"/>
  <c r="DM43" i="11" s="1"/>
  <c r="BH45" i="11"/>
  <c r="BG45" i="11"/>
  <c r="BF45" i="11"/>
  <c r="DJ43" i="11" s="1"/>
  <c r="BE45" i="11"/>
  <c r="DI43" i="11" s="1"/>
  <c r="BD45" i="11"/>
  <c r="BC45" i="11"/>
  <c r="CE42" i="11"/>
  <c r="CD42" i="11"/>
  <c r="CC42" i="11"/>
  <c r="CB42" i="11"/>
  <c r="CA42" i="11"/>
  <c r="BZ42" i="11"/>
  <c r="BY42" i="11"/>
  <c r="BX42" i="11"/>
  <c r="BW42" i="11"/>
  <c r="BV42" i="11"/>
  <c r="BU42" i="11"/>
  <c r="BT42" i="11"/>
  <c r="BS42" i="11"/>
  <c r="BR42" i="11"/>
  <c r="BQ42" i="11"/>
  <c r="BP42" i="11"/>
  <c r="BO42" i="11"/>
  <c r="BN42" i="11"/>
  <c r="BM42" i="11"/>
  <c r="BL42" i="11"/>
  <c r="BK42" i="11"/>
  <c r="BJ42" i="11"/>
  <c r="BI42" i="11"/>
  <c r="BH42" i="11"/>
  <c r="BG42" i="11"/>
  <c r="BF42" i="11"/>
  <c r="BE42" i="11"/>
  <c r="BD42" i="11"/>
  <c r="BC42" i="11"/>
  <c r="CE40" i="11"/>
  <c r="EI40" i="11" s="1"/>
  <c r="CD40" i="11"/>
  <c r="EH40" i="11" s="1"/>
  <c r="CC40" i="11"/>
  <c r="EG40" i="11" s="1"/>
  <c r="CB40" i="11"/>
  <c r="EF40" i="11" s="1"/>
  <c r="CA40" i="11"/>
  <c r="EE40" i="11" s="1"/>
  <c r="BZ40" i="11"/>
  <c r="ED40" i="11" s="1"/>
  <c r="BY40" i="11"/>
  <c r="EC40" i="11" s="1"/>
  <c r="BX40" i="11"/>
  <c r="EB40" i="11" s="1"/>
  <c r="BW40" i="11"/>
  <c r="EA40" i="11" s="1"/>
  <c r="BV40" i="11"/>
  <c r="DZ40" i="11" s="1"/>
  <c r="BU40" i="11"/>
  <c r="DY40" i="11" s="1"/>
  <c r="BT40" i="11"/>
  <c r="DX40" i="11" s="1"/>
  <c r="BS40" i="11"/>
  <c r="DW40" i="11" s="1"/>
  <c r="BR40" i="11"/>
  <c r="DV40" i="11" s="1"/>
  <c r="BQ40" i="11"/>
  <c r="DU40" i="11" s="1"/>
  <c r="BP40" i="11"/>
  <c r="DT40" i="11" s="1"/>
  <c r="BO40" i="11"/>
  <c r="DS40" i="11" s="1"/>
  <c r="BN40" i="11"/>
  <c r="DR40" i="11" s="1"/>
  <c r="BM40" i="11"/>
  <c r="DQ40" i="11" s="1"/>
  <c r="BL40" i="11"/>
  <c r="DP40" i="11" s="1"/>
  <c r="BK40" i="11"/>
  <c r="DO40" i="11" s="1"/>
  <c r="BJ40" i="11"/>
  <c r="DN40" i="11" s="1"/>
  <c r="BI40" i="11"/>
  <c r="DM40" i="11" s="1"/>
  <c r="BH40" i="11"/>
  <c r="DL40" i="11" s="1"/>
  <c r="BG40" i="11"/>
  <c r="DK40" i="11" s="1"/>
  <c r="BF40" i="11"/>
  <c r="DJ40" i="11" s="1"/>
  <c r="BE40" i="11"/>
  <c r="DI40" i="11" s="1"/>
  <c r="BD40" i="11"/>
  <c r="DH40" i="11" s="1"/>
  <c r="BC40" i="11"/>
  <c r="DG40" i="11" s="1"/>
  <c r="CE39" i="11"/>
  <c r="EI39" i="11" s="1"/>
  <c r="CD39" i="11"/>
  <c r="EH39" i="11" s="1"/>
  <c r="CC39" i="11"/>
  <c r="EG39" i="11" s="1"/>
  <c r="CB39" i="11"/>
  <c r="EF39" i="11" s="1"/>
  <c r="CA39" i="11"/>
  <c r="EE39" i="11" s="1"/>
  <c r="BZ39" i="11"/>
  <c r="ED39" i="11" s="1"/>
  <c r="BY39" i="11"/>
  <c r="EC39" i="11" s="1"/>
  <c r="BX39" i="11"/>
  <c r="EB39" i="11" s="1"/>
  <c r="BW39" i="11"/>
  <c r="EA39" i="11" s="1"/>
  <c r="BV39" i="11"/>
  <c r="DZ39" i="11" s="1"/>
  <c r="BU39" i="11"/>
  <c r="DY39" i="11" s="1"/>
  <c r="BT39" i="11"/>
  <c r="DX39" i="11" s="1"/>
  <c r="BS39" i="11"/>
  <c r="DW39" i="11" s="1"/>
  <c r="BR39" i="11"/>
  <c r="DV39" i="11" s="1"/>
  <c r="BQ39" i="11"/>
  <c r="DU39" i="11" s="1"/>
  <c r="BP39" i="11"/>
  <c r="DT39" i="11" s="1"/>
  <c r="BO39" i="11"/>
  <c r="DS39" i="11" s="1"/>
  <c r="BN39" i="11"/>
  <c r="DR39" i="11" s="1"/>
  <c r="BM39" i="11"/>
  <c r="DQ39" i="11" s="1"/>
  <c r="BL39" i="11"/>
  <c r="DP39" i="11" s="1"/>
  <c r="BK39" i="11"/>
  <c r="DO39" i="11" s="1"/>
  <c r="BJ39" i="11"/>
  <c r="DN39" i="11" s="1"/>
  <c r="BI39" i="11"/>
  <c r="DM39" i="11" s="1"/>
  <c r="BH39" i="11"/>
  <c r="DL39" i="11" s="1"/>
  <c r="BG39" i="11"/>
  <c r="DK39" i="11" s="1"/>
  <c r="BF39" i="11"/>
  <c r="DJ39" i="11" s="1"/>
  <c r="BE39" i="11"/>
  <c r="DI39" i="11" s="1"/>
  <c r="BD39" i="11"/>
  <c r="DH39" i="11" s="1"/>
  <c r="BC39" i="11"/>
  <c r="DG39" i="11" s="1"/>
  <c r="CE37" i="11"/>
  <c r="EI37" i="11" s="1"/>
  <c r="CD37" i="11"/>
  <c r="EH37" i="11" s="1"/>
  <c r="CC37" i="11"/>
  <c r="EG37" i="11" s="1"/>
  <c r="CB37" i="11"/>
  <c r="EF37" i="11" s="1"/>
  <c r="CA37" i="11"/>
  <c r="EE37" i="11" s="1"/>
  <c r="BZ37" i="11"/>
  <c r="ED37" i="11" s="1"/>
  <c r="BY37" i="11"/>
  <c r="EC37" i="11" s="1"/>
  <c r="BX37" i="11"/>
  <c r="EB37" i="11" s="1"/>
  <c r="BW37" i="11"/>
  <c r="EA37" i="11" s="1"/>
  <c r="BV37" i="11"/>
  <c r="DZ37" i="11" s="1"/>
  <c r="BU37" i="11"/>
  <c r="DY37" i="11" s="1"/>
  <c r="BT37" i="11"/>
  <c r="DX37" i="11" s="1"/>
  <c r="BS37" i="11"/>
  <c r="DW37" i="11" s="1"/>
  <c r="BR37" i="11"/>
  <c r="DV37" i="11" s="1"/>
  <c r="BQ37" i="11"/>
  <c r="DU37" i="11" s="1"/>
  <c r="BP37" i="11"/>
  <c r="DT37" i="11" s="1"/>
  <c r="BO37" i="11"/>
  <c r="DS37" i="11" s="1"/>
  <c r="BN37" i="11"/>
  <c r="DR37" i="11" s="1"/>
  <c r="BM37" i="11"/>
  <c r="DQ37" i="11" s="1"/>
  <c r="BL37" i="11"/>
  <c r="DP37" i="11" s="1"/>
  <c r="BK37" i="11"/>
  <c r="DO37" i="11" s="1"/>
  <c r="BJ37" i="11"/>
  <c r="DN37" i="11" s="1"/>
  <c r="BI37" i="11"/>
  <c r="DM37" i="11" s="1"/>
  <c r="BH37" i="11"/>
  <c r="DL37" i="11" s="1"/>
  <c r="BG37" i="11"/>
  <c r="DK37" i="11" s="1"/>
  <c r="BF37" i="11"/>
  <c r="DJ37" i="11" s="1"/>
  <c r="BE37" i="11"/>
  <c r="DI37" i="11" s="1"/>
  <c r="BD37" i="11"/>
  <c r="DH37" i="11" s="1"/>
  <c r="BC37" i="11"/>
  <c r="DG37" i="11" s="1"/>
  <c r="CE36" i="11"/>
  <c r="EI36" i="11" s="1"/>
  <c r="CD36" i="11"/>
  <c r="EH36" i="11" s="1"/>
  <c r="CC36" i="11"/>
  <c r="EG36" i="11" s="1"/>
  <c r="CB36" i="11"/>
  <c r="EF36" i="11" s="1"/>
  <c r="CA36" i="11"/>
  <c r="EE36" i="11" s="1"/>
  <c r="BZ36" i="11"/>
  <c r="ED36" i="11" s="1"/>
  <c r="BY36" i="11"/>
  <c r="EC36" i="11" s="1"/>
  <c r="BX36" i="11"/>
  <c r="EB36" i="11" s="1"/>
  <c r="BW36" i="11"/>
  <c r="EA36" i="11" s="1"/>
  <c r="BV36" i="11"/>
  <c r="DZ36" i="11" s="1"/>
  <c r="BU36" i="11"/>
  <c r="DY36" i="11" s="1"/>
  <c r="BT36" i="11"/>
  <c r="DX36" i="11" s="1"/>
  <c r="BS36" i="11"/>
  <c r="DW36" i="11" s="1"/>
  <c r="BR36" i="11"/>
  <c r="DV36" i="11" s="1"/>
  <c r="BQ36" i="11"/>
  <c r="DU36" i="11" s="1"/>
  <c r="BP36" i="11"/>
  <c r="DT36" i="11" s="1"/>
  <c r="BO36" i="11"/>
  <c r="DS36" i="11" s="1"/>
  <c r="BN36" i="11"/>
  <c r="DR36" i="11" s="1"/>
  <c r="BM36" i="11"/>
  <c r="DQ36" i="11" s="1"/>
  <c r="BL36" i="11"/>
  <c r="DP36" i="11" s="1"/>
  <c r="BK36" i="11"/>
  <c r="DO36" i="11" s="1"/>
  <c r="BJ36" i="11"/>
  <c r="DN36" i="11" s="1"/>
  <c r="BI36" i="11"/>
  <c r="DM36" i="11" s="1"/>
  <c r="BH36" i="11"/>
  <c r="DL36" i="11" s="1"/>
  <c r="BG36" i="11"/>
  <c r="DK36" i="11" s="1"/>
  <c r="BF36" i="11"/>
  <c r="DJ36" i="11" s="1"/>
  <c r="BE36" i="11"/>
  <c r="DI36" i="11" s="1"/>
  <c r="BD36" i="11"/>
  <c r="DH36" i="11" s="1"/>
  <c r="BC36" i="11"/>
  <c r="DG36" i="11" s="1"/>
  <c r="CE35" i="11"/>
  <c r="EI35" i="11" s="1"/>
  <c r="CD35" i="11"/>
  <c r="EH35" i="11" s="1"/>
  <c r="CC35" i="11"/>
  <c r="EG35" i="11" s="1"/>
  <c r="CB35" i="11"/>
  <c r="EF35" i="11" s="1"/>
  <c r="CA35" i="11"/>
  <c r="EE35" i="11" s="1"/>
  <c r="BZ35" i="11"/>
  <c r="ED35" i="11" s="1"/>
  <c r="BY35" i="11"/>
  <c r="EC35" i="11" s="1"/>
  <c r="BX35" i="11"/>
  <c r="EB35" i="11" s="1"/>
  <c r="BW35" i="11"/>
  <c r="EA35" i="11" s="1"/>
  <c r="BV35" i="11"/>
  <c r="DZ35" i="11" s="1"/>
  <c r="BU35" i="11"/>
  <c r="DY35" i="11" s="1"/>
  <c r="BT35" i="11"/>
  <c r="DX35" i="11" s="1"/>
  <c r="BS35" i="11"/>
  <c r="DW35" i="11" s="1"/>
  <c r="BR35" i="11"/>
  <c r="DV35" i="11" s="1"/>
  <c r="BQ35" i="11"/>
  <c r="DU35" i="11" s="1"/>
  <c r="BP35" i="11"/>
  <c r="DT35" i="11" s="1"/>
  <c r="BO35" i="11"/>
  <c r="DS35" i="11" s="1"/>
  <c r="BN35" i="11"/>
  <c r="DR35" i="11" s="1"/>
  <c r="BM35" i="11"/>
  <c r="DQ35" i="11" s="1"/>
  <c r="BL35" i="11"/>
  <c r="DP35" i="11" s="1"/>
  <c r="BK35" i="11"/>
  <c r="DO35" i="11" s="1"/>
  <c r="BJ35" i="11"/>
  <c r="DN35" i="11" s="1"/>
  <c r="BI35" i="11"/>
  <c r="DM35" i="11" s="1"/>
  <c r="BH35" i="11"/>
  <c r="DL35" i="11" s="1"/>
  <c r="BG35" i="11"/>
  <c r="DK35" i="11" s="1"/>
  <c r="BF35" i="11"/>
  <c r="DJ35" i="11" s="1"/>
  <c r="BE35" i="11"/>
  <c r="DI35" i="11" s="1"/>
  <c r="BD35" i="11"/>
  <c r="DH35" i="11" s="1"/>
  <c r="BC35" i="11"/>
  <c r="DG35" i="11" s="1"/>
  <c r="CE31" i="11"/>
  <c r="EI31" i="11" s="1"/>
  <c r="CD31" i="11"/>
  <c r="EH31" i="11" s="1"/>
  <c r="CC31" i="11"/>
  <c r="EG31" i="11" s="1"/>
  <c r="CB31" i="11"/>
  <c r="EF31" i="11" s="1"/>
  <c r="CA31" i="11"/>
  <c r="EE31" i="11" s="1"/>
  <c r="BZ31" i="11"/>
  <c r="ED31" i="11" s="1"/>
  <c r="BY31" i="11"/>
  <c r="EC31" i="11" s="1"/>
  <c r="BX31" i="11"/>
  <c r="EB31" i="11" s="1"/>
  <c r="BW31" i="11"/>
  <c r="EA31" i="11" s="1"/>
  <c r="BV31" i="11"/>
  <c r="DZ31" i="11" s="1"/>
  <c r="BU31" i="11"/>
  <c r="DY31" i="11" s="1"/>
  <c r="BT31" i="11"/>
  <c r="DX31" i="11" s="1"/>
  <c r="BS31" i="11"/>
  <c r="DW31" i="11" s="1"/>
  <c r="BR31" i="11"/>
  <c r="DV31" i="11" s="1"/>
  <c r="BQ31" i="11"/>
  <c r="DU31" i="11" s="1"/>
  <c r="BP31" i="11"/>
  <c r="DT31" i="11" s="1"/>
  <c r="BO31" i="11"/>
  <c r="DS31" i="11" s="1"/>
  <c r="BN31" i="11"/>
  <c r="DR31" i="11" s="1"/>
  <c r="BM31" i="11"/>
  <c r="DQ31" i="11" s="1"/>
  <c r="BL31" i="11"/>
  <c r="DP31" i="11" s="1"/>
  <c r="BK31" i="11"/>
  <c r="DO31" i="11" s="1"/>
  <c r="BJ31" i="11"/>
  <c r="DN31" i="11" s="1"/>
  <c r="BI31" i="11"/>
  <c r="DM31" i="11" s="1"/>
  <c r="BH31" i="11"/>
  <c r="DL31" i="11" s="1"/>
  <c r="BG31" i="11"/>
  <c r="DK31" i="11" s="1"/>
  <c r="BF31" i="11"/>
  <c r="DJ31" i="11" s="1"/>
  <c r="BE31" i="11"/>
  <c r="DI31" i="11" s="1"/>
  <c r="BD31" i="11"/>
  <c r="DH31" i="11" s="1"/>
  <c r="BC31" i="11"/>
  <c r="DG31" i="11" s="1"/>
  <c r="CE30" i="11"/>
  <c r="EI30" i="11" s="1"/>
  <c r="CD30" i="11"/>
  <c r="EH30" i="11" s="1"/>
  <c r="CC30" i="11"/>
  <c r="EG30" i="11" s="1"/>
  <c r="CB30" i="11"/>
  <c r="EF30" i="11" s="1"/>
  <c r="CA30" i="11"/>
  <c r="EE30" i="11" s="1"/>
  <c r="BZ30" i="11"/>
  <c r="ED30" i="11" s="1"/>
  <c r="BY30" i="11"/>
  <c r="EC30" i="11" s="1"/>
  <c r="BX30" i="11"/>
  <c r="EB30" i="11" s="1"/>
  <c r="BW30" i="11"/>
  <c r="EA30" i="11" s="1"/>
  <c r="BV30" i="11"/>
  <c r="DZ30" i="11" s="1"/>
  <c r="BU30" i="11"/>
  <c r="DY30" i="11" s="1"/>
  <c r="BT30" i="11"/>
  <c r="DX30" i="11" s="1"/>
  <c r="BS30" i="11"/>
  <c r="DW30" i="11" s="1"/>
  <c r="BR30" i="11"/>
  <c r="DV30" i="11" s="1"/>
  <c r="BQ30" i="11"/>
  <c r="DU30" i="11" s="1"/>
  <c r="BP30" i="11"/>
  <c r="DT30" i="11" s="1"/>
  <c r="BO30" i="11"/>
  <c r="DS30" i="11" s="1"/>
  <c r="BN30" i="11"/>
  <c r="DR30" i="11" s="1"/>
  <c r="BM30" i="11"/>
  <c r="DQ30" i="11" s="1"/>
  <c r="BL30" i="11"/>
  <c r="DP30" i="11" s="1"/>
  <c r="BK30" i="11"/>
  <c r="DO30" i="11" s="1"/>
  <c r="BJ30" i="11"/>
  <c r="DN30" i="11" s="1"/>
  <c r="BI30" i="11"/>
  <c r="DM30" i="11" s="1"/>
  <c r="BH30" i="11"/>
  <c r="DL30" i="11" s="1"/>
  <c r="BG30" i="11"/>
  <c r="DK30" i="11" s="1"/>
  <c r="BF30" i="11"/>
  <c r="DJ30" i="11" s="1"/>
  <c r="BE30" i="11"/>
  <c r="DI30" i="11" s="1"/>
  <c r="BD30" i="11"/>
  <c r="DH30" i="11" s="1"/>
  <c r="BC30" i="11"/>
  <c r="DG30" i="11" s="1"/>
  <c r="CE25" i="11"/>
  <c r="CD25" i="11"/>
  <c r="EH24" i="11" s="1"/>
  <c r="CC25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CD24" i="11"/>
  <c r="CE23" i="11"/>
  <c r="CD23" i="11"/>
  <c r="CC23" i="11"/>
  <c r="CB23" i="11"/>
  <c r="CA23" i="11"/>
  <c r="BZ23" i="11"/>
  <c r="BY23" i="11"/>
  <c r="BX23" i="11"/>
  <c r="BW23" i="11"/>
  <c r="BV23" i="11"/>
  <c r="BU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G23" i="11"/>
  <c r="BF23" i="11"/>
  <c r="BE23" i="11"/>
  <c r="BD23" i="11"/>
  <c r="BC23" i="11"/>
  <c r="CE22" i="11"/>
  <c r="CD22" i="11"/>
  <c r="CC22" i="11"/>
  <c r="CB22" i="11"/>
  <c r="CA22" i="11"/>
  <c r="BZ22" i="11"/>
  <c r="BY22" i="11"/>
  <c r="BX22" i="11"/>
  <c r="BW22" i="11"/>
  <c r="BV22" i="11"/>
  <c r="BU22" i="11"/>
  <c r="BT22" i="11"/>
  <c r="BS22" i="11"/>
  <c r="BR22" i="11"/>
  <c r="BQ22" i="11"/>
  <c r="BP22" i="11"/>
  <c r="BO22" i="11"/>
  <c r="BN22" i="11"/>
  <c r="BM22" i="11"/>
  <c r="BL22" i="11"/>
  <c r="BK22" i="11"/>
  <c r="BJ22" i="11"/>
  <c r="BI22" i="11"/>
  <c r="BH22" i="11"/>
  <c r="BG22" i="11"/>
  <c r="BF22" i="11"/>
  <c r="BE22" i="11"/>
  <c r="BD22" i="11"/>
  <c r="BC22" i="11"/>
  <c r="CE21" i="11"/>
  <c r="CD21" i="11"/>
  <c r="CC21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DG17" i="11" s="1"/>
  <c r="CE14" i="11"/>
  <c r="CD14" i="11"/>
  <c r="CC14" i="11"/>
  <c r="CB14" i="11"/>
  <c r="CA14" i="11"/>
  <c r="BZ14" i="11"/>
  <c r="BY14" i="11"/>
  <c r="BX14" i="11"/>
  <c r="BW14" i="11"/>
  <c r="BV14" i="11"/>
  <c r="BU14" i="11"/>
  <c r="BT14" i="11"/>
  <c r="BS14" i="11"/>
  <c r="BR14" i="11"/>
  <c r="BQ14" i="11"/>
  <c r="BP14" i="11"/>
  <c r="BO14" i="11"/>
  <c r="BN14" i="11"/>
  <c r="BM14" i="11"/>
  <c r="BL14" i="11"/>
  <c r="BK14" i="11"/>
  <c r="BJ14" i="11"/>
  <c r="BI14" i="11"/>
  <c r="BH14" i="11"/>
  <c r="BG14" i="11"/>
  <c r="BF14" i="11"/>
  <c r="BE14" i="11"/>
  <c r="BD14" i="11"/>
  <c r="BC14" i="11"/>
  <c r="CE7" i="11"/>
  <c r="CE6" i="11" s="1"/>
  <c r="CD7" i="11"/>
  <c r="CD6" i="11" s="1"/>
  <c r="CC7" i="11"/>
  <c r="CC6" i="11" s="1"/>
  <c r="CB7" i="11"/>
  <c r="CB6" i="11" s="1"/>
  <c r="CA7" i="11"/>
  <c r="CA6" i="11" s="1"/>
  <c r="BZ7" i="11"/>
  <c r="BZ6" i="11" s="1"/>
  <c r="BY7" i="11"/>
  <c r="BY6" i="11" s="1"/>
  <c r="BX7" i="11"/>
  <c r="BX6" i="11" s="1"/>
  <c r="BW7" i="11"/>
  <c r="BW6" i="11" s="1"/>
  <c r="BV7" i="11"/>
  <c r="BV6" i="11" s="1"/>
  <c r="BU7" i="11"/>
  <c r="BU6" i="11" s="1"/>
  <c r="BT7" i="11"/>
  <c r="BT6" i="11" s="1"/>
  <c r="BS7" i="11"/>
  <c r="BS6" i="11" s="1"/>
  <c r="BR7" i="11"/>
  <c r="BR6" i="11" s="1"/>
  <c r="BQ7" i="11"/>
  <c r="BQ6" i="11" s="1"/>
  <c r="BP7" i="11"/>
  <c r="BP6" i="11" s="1"/>
  <c r="BO7" i="11"/>
  <c r="BO6" i="11" s="1"/>
  <c r="BN7" i="11"/>
  <c r="BN6" i="11" s="1"/>
  <c r="BM7" i="11"/>
  <c r="BM6" i="11" s="1"/>
  <c r="BL7" i="11"/>
  <c r="BL6" i="11" s="1"/>
  <c r="BK7" i="11"/>
  <c r="BK6" i="11" s="1"/>
  <c r="BJ7" i="11"/>
  <c r="BJ6" i="11" s="1"/>
  <c r="BI7" i="11"/>
  <c r="BI6" i="11" s="1"/>
  <c r="BH7" i="11"/>
  <c r="BH6" i="11" s="1"/>
  <c r="BG7" i="11"/>
  <c r="BG6" i="11" s="1"/>
  <c r="BF7" i="11"/>
  <c r="BF6" i="11" s="1"/>
  <c r="BE7" i="11"/>
  <c r="BE6" i="11" s="1"/>
  <c r="BD7" i="11"/>
  <c r="BD6" i="11" s="1"/>
  <c r="BC7" i="11"/>
  <c r="BC6" i="11" s="1"/>
  <c r="BB73" i="11"/>
  <c r="BB72" i="11" s="1"/>
  <c r="BB70" i="11"/>
  <c r="BB69" i="11"/>
  <c r="BB68" i="11"/>
  <c r="BB67" i="11"/>
  <c r="BB66" i="11"/>
  <c r="BB63" i="11"/>
  <c r="BB62" i="11"/>
  <c r="BB61" i="11"/>
  <c r="BB60" i="11"/>
  <c r="BB59" i="11"/>
  <c r="BB47" i="11"/>
  <c r="BB46" i="11"/>
  <c r="BB45" i="11"/>
  <c r="BB42" i="11"/>
  <c r="BB41" i="11" s="1"/>
  <c r="BB40" i="11"/>
  <c r="BB39" i="11"/>
  <c r="BB37" i="11"/>
  <c r="BB36" i="11"/>
  <c r="BB35" i="11"/>
  <c r="BB31" i="11"/>
  <c r="BB30" i="11"/>
  <c r="BB25" i="11"/>
  <c r="BB24" i="11" s="1"/>
  <c r="BB23" i="11"/>
  <c r="BB22" i="11"/>
  <c r="BB21" i="11"/>
  <c r="BB20" i="11"/>
  <c r="BA137" i="11"/>
  <c r="AZ137" i="11"/>
  <c r="AY137" i="11"/>
  <c r="AX137" i="11"/>
  <c r="AW137" i="11"/>
  <c r="AV137" i="11"/>
  <c r="AU137" i="11"/>
  <c r="AT137" i="11"/>
  <c r="AS137" i="11"/>
  <c r="AR137" i="11"/>
  <c r="AQ137" i="11"/>
  <c r="AP137" i="11"/>
  <c r="AO137" i="11"/>
  <c r="AN137" i="11"/>
  <c r="AM137" i="11"/>
  <c r="AL137" i="11"/>
  <c r="AK137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F137" i="11"/>
  <c r="BA133" i="11"/>
  <c r="AZ133" i="11"/>
  <c r="AY133" i="11"/>
  <c r="AX133" i="11"/>
  <c r="AW133" i="11"/>
  <c r="AV133" i="11"/>
  <c r="AU133" i="11"/>
  <c r="AT133" i="11"/>
  <c r="AS133" i="11"/>
  <c r="AR133" i="11"/>
  <c r="AQ133" i="11"/>
  <c r="AP133" i="11"/>
  <c r="AO133" i="11"/>
  <c r="AN133" i="11"/>
  <c r="AM133" i="11"/>
  <c r="AL133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F133" i="11"/>
  <c r="BA129" i="11"/>
  <c r="AZ129" i="11"/>
  <c r="AY129" i="11"/>
  <c r="AX129" i="11"/>
  <c r="AW129" i="11"/>
  <c r="AV129" i="11"/>
  <c r="AU129" i="11"/>
  <c r="AT129" i="11"/>
  <c r="AS129" i="11"/>
  <c r="AR129" i="11"/>
  <c r="AQ129" i="11"/>
  <c r="AP129" i="11"/>
  <c r="AO129" i="11"/>
  <c r="AN129" i="11"/>
  <c r="AM129" i="11"/>
  <c r="AL129" i="11"/>
  <c r="AK129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F129" i="11"/>
  <c r="BA122" i="11"/>
  <c r="AZ122" i="11"/>
  <c r="AY122" i="11"/>
  <c r="AX122" i="11"/>
  <c r="AW122" i="11"/>
  <c r="AV122" i="11"/>
  <c r="AU122" i="11"/>
  <c r="AT122" i="11"/>
  <c r="AS122" i="11"/>
  <c r="AR122" i="11"/>
  <c r="AQ122" i="11"/>
  <c r="AP122" i="11"/>
  <c r="AO122" i="11"/>
  <c r="AN122" i="11"/>
  <c r="AM122" i="11"/>
  <c r="AL122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F122" i="11"/>
  <c r="BA118" i="11"/>
  <c r="AZ118" i="11"/>
  <c r="AY118" i="11"/>
  <c r="AX118" i="11"/>
  <c r="AW118" i="11"/>
  <c r="AV118" i="11"/>
  <c r="AU118" i="11"/>
  <c r="AT118" i="11"/>
  <c r="AS118" i="11"/>
  <c r="AR118" i="11"/>
  <c r="AQ118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F118" i="11"/>
  <c r="BA114" i="11"/>
  <c r="AZ114" i="11"/>
  <c r="AY114" i="11"/>
  <c r="AX114" i="11"/>
  <c r="AW114" i="11"/>
  <c r="AV114" i="11"/>
  <c r="AU114" i="11"/>
  <c r="AT114" i="11"/>
  <c r="AS114" i="11"/>
  <c r="AR114" i="11"/>
  <c r="AQ114" i="11"/>
  <c r="AP114" i="11"/>
  <c r="AO114" i="11"/>
  <c r="AN114" i="11"/>
  <c r="AM114" i="11"/>
  <c r="AL114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F114" i="11"/>
  <c r="BA111" i="11"/>
  <c r="AZ111" i="11"/>
  <c r="AY111" i="11"/>
  <c r="AX111" i="11"/>
  <c r="AW111" i="11"/>
  <c r="AV111" i="11"/>
  <c r="AU111" i="11"/>
  <c r="AT111" i="11"/>
  <c r="AS111" i="11"/>
  <c r="AR111" i="11"/>
  <c r="AQ111" i="11"/>
  <c r="AP111" i="11"/>
  <c r="AO111" i="11"/>
  <c r="AN111" i="11"/>
  <c r="AM111" i="11"/>
  <c r="AL111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F111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F108" i="11"/>
  <c r="BA105" i="11"/>
  <c r="AZ105" i="11"/>
  <c r="AY105" i="11"/>
  <c r="AX105" i="11"/>
  <c r="AW105" i="11"/>
  <c r="AV105" i="11"/>
  <c r="AU105" i="11"/>
  <c r="AT105" i="11"/>
  <c r="AS105" i="11"/>
  <c r="AR105" i="11"/>
  <c r="AQ105" i="11"/>
  <c r="AP105" i="11"/>
  <c r="AO105" i="11"/>
  <c r="AN105" i="11"/>
  <c r="AM105" i="11"/>
  <c r="AL105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F105" i="11"/>
  <c r="BA103" i="11"/>
  <c r="AZ103" i="11"/>
  <c r="AY103" i="11"/>
  <c r="AX103" i="11"/>
  <c r="AW103" i="11"/>
  <c r="AV103" i="11"/>
  <c r="AU103" i="11"/>
  <c r="AT103" i="11"/>
  <c r="AS103" i="11"/>
  <c r="AR103" i="11"/>
  <c r="AQ103" i="11"/>
  <c r="AP103" i="11"/>
  <c r="AO103" i="1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F103" i="11"/>
  <c r="BA98" i="11"/>
  <c r="AZ98" i="11"/>
  <c r="AY98" i="11"/>
  <c r="AX98" i="11"/>
  <c r="AW98" i="11"/>
  <c r="AV98" i="11"/>
  <c r="AU98" i="11"/>
  <c r="AT98" i="11"/>
  <c r="AS98" i="11"/>
  <c r="AR98" i="11"/>
  <c r="AQ98" i="11"/>
  <c r="AP98" i="11"/>
  <c r="AO98" i="11"/>
  <c r="AN98" i="11"/>
  <c r="AM98" i="11"/>
  <c r="AL98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F98" i="11"/>
  <c r="BA88" i="11"/>
  <c r="AZ88" i="11"/>
  <c r="AY88" i="11"/>
  <c r="AX88" i="11"/>
  <c r="AW88" i="11"/>
  <c r="AV88" i="11"/>
  <c r="AU88" i="11"/>
  <c r="AT88" i="11"/>
  <c r="AS88" i="11"/>
  <c r="AR88" i="11"/>
  <c r="AQ88" i="11"/>
  <c r="AP88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F88" i="11"/>
  <c r="BB86" i="11"/>
  <c r="BA86" i="11"/>
  <c r="AZ86" i="11"/>
  <c r="AY86" i="11"/>
  <c r="AX86" i="11"/>
  <c r="AW86" i="11"/>
  <c r="AV86" i="11"/>
  <c r="AU86" i="11"/>
  <c r="AT86" i="11"/>
  <c r="AS86" i="11"/>
  <c r="AR86" i="11"/>
  <c r="AQ86" i="11"/>
  <c r="AP86" i="11"/>
  <c r="AO86" i="11"/>
  <c r="AN86" i="11"/>
  <c r="AM86" i="11"/>
  <c r="AL86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F86" i="11"/>
  <c r="Y80" i="11"/>
  <c r="Y79" i="11" s="1"/>
  <c r="X80" i="11"/>
  <c r="X79" i="11" s="1"/>
  <c r="W80" i="11"/>
  <c r="BA79" i="11"/>
  <c r="AZ79" i="11"/>
  <c r="AY79" i="11"/>
  <c r="AX79" i="11"/>
  <c r="AW79" i="11"/>
  <c r="AV79" i="11"/>
  <c r="AU79" i="11"/>
  <c r="AT79" i="11"/>
  <c r="AS79" i="11"/>
  <c r="AR79" i="11"/>
  <c r="AQ79" i="11"/>
  <c r="AP79" i="11"/>
  <c r="AO79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F79" i="11"/>
  <c r="BA74" i="11"/>
  <c r="AZ74" i="11"/>
  <c r="AY74" i="11"/>
  <c r="AX74" i="11"/>
  <c r="AW74" i="11"/>
  <c r="AV74" i="11"/>
  <c r="AU74" i="11"/>
  <c r="AT74" i="11"/>
  <c r="AS74" i="11"/>
  <c r="AR74" i="11"/>
  <c r="AQ74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F74" i="11"/>
  <c r="BA72" i="11"/>
  <c r="AZ72" i="11"/>
  <c r="AY72" i="11"/>
  <c r="AX72" i="11"/>
  <c r="AW72" i="11"/>
  <c r="AV72" i="11"/>
  <c r="AU72" i="11"/>
  <c r="AT72" i="11"/>
  <c r="AS72" i="11"/>
  <c r="AR72" i="11"/>
  <c r="AQ72" i="11"/>
  <c r="AP72" i="11"/>
  <c r="AO72" i="11"/>
  <c r="AN72" i="11"/>
  <c r="AM72" i="11"/>
  <c r="AL72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F72" i="11"/>
  <c r="BA58" i="11"/>
  <c r="AZ58" i="11"/>
  <c r="AY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F5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F48" i="11"/>
  <c r="BA43" i="11"/>
  <c r="AZ43" i="11"/>
  <c r="AY43" i="11"/>
  <c r="AX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F43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F41" i="11"/>
  <c r="BA38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F38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F34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F26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F24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F17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F14" i="11"/>
  <c r="BB7" i="11"/>
  <c r="BB6" i="11" s="1"/>
  <c r="BA7" i="11"/>
  <c r="BA6" i="11" s="1"/>
  <c r="AZ7" i="11"/>
  <c r="AZ6" i="11" s="1"/>
  <c r="AY7" i="11"/>
  <c r="AY6" i="11" s="1"/>
  <c r="AX7" i="11"/>
  <c r="AX6" i="11" s="1"/>
  <c r="AW7" i="11"/>
  <c r="AW6" i="11" s="1"/>
  <c r="AV7" i="11"/>
  <c r="AV6" i="11" s="1"/>
  <c r="AU7" i="11"/>
  <c r="AU6" i="11" s="1"/>
  <c r="AT7" i="11"/>
  <c r="AT6" i="11" s="1"/>
  <c r="AS7" i="11"/>
  <c r="AS6" i="11" s="1"/>
  <c r="AR7" i="11"/>
  <c r="AR6" i="11" s="1"/>
  <c r="AQ7" i="11"/>
  <c r="AQ6" i="11" s="1"/>
  <c r="AP7" i="11"/>
  <c r="AP6" i="11" s="1"/>
  <c r="AO7" i="11"/>
  <c r="AO6" i="11" s="1"/>
  <c r="AN7" i="11"/>
  <c r="AN6" i="11" s="1"/>
  <c r="AM7" i="11"/>
  <c r="AM6" i="11" s="1"/>
  <c r="AL7" i="11"/>
  <c r="AL6" i="11" s="1"/>
  <c r="AK7" i="11"/>
  <c r="AK6" i="11" s="1"/>
  <c r="AJ7" i="11"/>
  <c r="AJ6" i="11" s="1"/>
  <c r="AI7" i="11"/>
  <c r="AI6" i="11" s="1"/>
  <c r="AH7" i="11"/>
  <c r="AH6" i="11" s="1"/>
  <c r="AG7" i="11"/>
  <c r="AG6" i="11" s="1"/>
  <c r="AF7" i="11"/>
  <c r="AF6" i="11" s="1"/>
  <c r="AE7" i="11"/>
  <c r="AE6" i="11" s="1"/>
  <c r="AD7" i="11"/>
  <c r="AD6" i="11" s="1"/>
  <c r="AC7" i="11"/>
  <c r="AC6" i="11" s="1"/>
  <c r="AB7" i="11"/>
  <c r="AB6" i="11" s="1"/>
  <c r="AA7" i="11"/>
  <c r="AA6" i="11" s="1"/>
  <c r="Z7" i="11"/>
  <c r="Z6" i="11" s="1"/>
  <c r="Y7" i="11"/>
  <c r="Y6" i="11" s="1"/>
  <c r="X7" i="11"/>
  <c r="X6" i="11" s="1"/>
  <c r="W7" i="11"/>
  <c r="W6" i="11" s="1"/>
  <c r="V7" i="11"/>
  <c r="V6" i="11" s="1"/>
  <c r="U7" i="11"/>
  <c r="U6" i="11" s="1"/>
  <c r="T7" i="11"/>
  <c r="T6" i="11" s="1"/>
  <c r="S7" i="11"/>
  <c r="S6" i="11" s="1"/>
  <c r="R7" i="11"/>
  <c r="R6" i="11" s="1"/>
  <c r="Q7" i="11"/>
  <c r="Q6" i="11" s="1"/>
  <c r="P7" i="11"/>
  <c r="P6" i="11" s="1"/>
  <c r="O7" i="11"/>
  <c r="O6" i="11" s="1"/>
  <c r="N7" i="11"/>
  <c r="N6" i="11" s="1"/>
  <c r="M7" i="11"/>
  <c r="M6" i="11" s="1"/>
  <c r="L7" i="11"/>
  <c r="L6" i="11" s="1"/>
  <c r="K7" i="11"/>
  <c r="K6" i="11" s="1"/>
  <c r="J7" i="11"/>
  <c r="J6" i="11" s="1"/>
  <c r="I7" i="11"/>
  <c r="I6" i="11" s="1"/>
  <c r="F7" i="11"/>
  <c r="F6" i="11" s="1"/>
  <c r="J3" i="1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AH3" i="11" s="1"/>
  <c r="AI3" i="11" s="1"/>
  <c r="AJ3" i="11" s="1"/>
  <c r="AK3" i="11" s="1"/>
  <c r="AL3" i="11" s="1"/>
  <c r="AM3" i="11" s="1"/>
  <c r="AN3" i="11" s="1"/>
  <c r="AO3" i="11" s="1"/>
  <c r="AP3" i="11" s="1"/>
  <c r="AQ3" i="11" s="1"/>
  <c r="AR3" i="11" s="1"/>
  <c r="AS3" i="11" s="1"/>
  <c r="AT3" i="11" s="1"/>
  <c r="AU3" i="11" s="1"/>
  <c r="AV3" i="11" s="1"/>
  <c r="AW3" i="11" s="1"/>
  <c r="AX3" i="11" s="1"/>
  <c r="AY3" i="11" s="1"/>
  <c r="AZ3" i="11" s="1"/>
  <c r="BA3" i="11" s="1"/>
  <c r="BB3" i="11" s="1"/>
  <c r="BC3" i="11" s="1"/>
  <c r="BD3" i="11" s="1"/>
  <c r="BE3" i="11" s="1"/>
  <c r="BF3" i="11" s="1"/>
  <c r="BG3" i="11" s="1"/>
  <c r="BH3" i="11" s="1"/>
  <c r="BI3" i="11" s="1"/>
  <c r="BJ3" i="11" s="1"/>
  <c r="BK3" i="11" s="1"/>
  <c r="BL3" i="11" s="1"/>
  <c r="BM3" i="11" s="1"/>
  <c r="BN3" i="11" s="1"/>
  <c r="BO3" i="11" s="1"/>
  <c r="BP3" i="11" s="1"/>
  <c r="BQ3" i="11" s="1"/>
  <c r="BR3" i="11" s="1"/>
  <c r="BS3" i="11" s="1"/>
  <c r="BT3" i="11" s="1"/>
  <c r="BU3" i="11" s="1"/>
  <c r="BV3" i="11" s="1"/>
  <c r="BW3" i="11" s="1"/>
  <c r="BX3" i="11" s="1"/>
  <c r="BY3" i="11" s="1"/>
  <c r="BZ3" i="11" s="1"/>
  <c r="CA3" i="11" s="1"/>
  <c r="CB3" i="11" s="1"/>
  <c r="CC3" i="11" s="1"/>
  <c r="CD3" i="11" s="1"/>
  <c r="CE3" i="11" s="1"/>
  <c r="CF3" i="11" s="1"/>
  <c r="CG3" i="11" s="1"/>
  <c r="CH3" i="11" s="1"/>
  <c r="CI3" i="11" s="1"/>
  <c r="CJ3" i="11" s="1"/>
  <c r="CK3" i="11" s="1"/>
  <c r="CL3" i="11" s="1"/>
  <c r="CM3" i="11" s="1"/>
  <c r="CN3" i="11" s="1"/>
  <c r="CO3" i="11" s="1"/>
  <c r="CP3" i="11" s="1"/>
  <c r="CQ3" i="11" s="1"/>
  <c r="CR3" i="11" s="1"/>
  <c r="CS3" i="11" s="1"/>
  <c r="CT3" i="11" s="1"/>
  <c r="CU3" i="11" s="1"/>
  <c r="CV3" i="11" s="1"/>
  <c r="CW3" i="11" s="1"/>
  <c r="CX3" i="11" s="1"/>
  <c r="CY3" i="11" s="1"/>
  <c r="CZ3" i="11" s="1"/>
  <c r="DA3" i="11" s="1"/>
  <c r="DB3" i="11" s="1"/>
  <c r="DC3" i="11" s="1"/>
  <c r="DD3" i="11" s="1"/>
  <c r="DE3" i="11" s="1"/>
  <c r="B60" i="13"/>
  <c r="H47" i="9"/>
  <c r="R12" i="13"/>
  <c r="R21" i="13"/>
  <c r="J69" i="10"/>
  <c r="B30" i="13"/>
  <c r="N60" i="13"/>
  <c r="N42" i="10"/>
  <c r="F21" i="10"/>
  <c r="J21" i="13"/>
  <c r="B69" i="13"/>
  <c r="S3" i="10"/>
  <c r="U5" i="10"/>
  <c r="R42" i="13"/>
  <c r="R51" i="13"/>
  <c r="F69" i="13"/>
  <c r="R30" i="13"/>
  <c r="B69" i="10"/>
  <c r="B21" i="13"/>
  <c r="B60" i="10"/>
  <c r="J60" i="13"/>
  <c r="R3" i="13"/>
  <c r="F30" i="13"/>
  <c r="N21" i="13"/>
  <c r="D53" i="10"/>
  <c r="N30" i="13"/>
  <c r="F30" i="10"/>
  <c r="D15" i="10"/>
  <c r="N12" i="10"/>
  <c r="F60" i="10"/>
  <c r="N3" i="10"/>
  <c r="H19" i="9"/>
  <c r="J69" i="13"/>
  <c r="N21" i="10"/>
  <c r="B47" i="9"/>
  <c r="F60" i="13"/>
  <c r="W3" i="13"/>
  <c r="J21" i="10"/>
  <c r="N60" i="10"/>
  <c r="B19" i="9"/>
  <c r="B21" i="10"/>
  <c r="J60" i="10"/>
  <c r="J30" i="13"/>
  <c r="J30" i="10"/>
  <c r="B30" i="10"/>
  <c r="D54" i="10"/>
  <c r="R69" i="13"/>
  <c r="N51" i="10"/>
  <c r="F69" i="10"/>
  <c r="N69" i="13"/>
  <c r="F21" i="13"/>
  <c r="R60" i="13"/>
  <c r="D16" i="10"/>
  <c r="DH98" i="11" l="1"/>
  <c r="DL98" i="11"/>
  <c r="DP98" i="11"/>
  <c r="DT98" i="11"/>
  <c r="DX98" i="11"/>
  <c r="EB98" i="11"/>
  <c r="EF98" i="11"/>
  <c r="DI105" i="11"/>
  <c r="DG108" i="11"/>
  <c r="DK108" i="11"/>
  <c r="DO108" i="11"/>
  <c r="DS108" i="11"/>
  <c r="DW108" i="11"/>
  <c r="EA108" i="11"/>
  <c r="EE108" i="11"/>
  <c r="EI108" i="11"/>
  <c r="DI111" i="11"/>
  <c r="DM111" i="11"/>
  <c r="DQ111" i="11"/>
  <c r="DU111" i="11"/>
  <c r="DY111" i="11"/>
  <c r="EC111" i="11"/>
  <c r="EG111" i="11"/>
  <c r="DK114" i="11"/>
  <c r="DO114" i="11"/>
  <c r="DS114" i="11"/>
  <c r="DW114" i="11"/>
  <c r="EA114" i="11"/>
  <c r="EE114" i="11"/>
  <c r="EI114" i="11"/>
  <c r="DH114" i="11"/>
  <c r="DL114" i="11"/>
  <c r="DP114" i="11"/>
  <c r="DT114" i="11"/>
  <c r="DX114" i="11"/>
  <c r="EB114" i="11"/>
  <c r="EF114" i="11"/>
  <c r="DI118" i="11"/>
  <c r="DM118" i="11"/>
  <c r="DQ118" i="11"/>
  <c r="DU118" i="11"/>
  <c r="DY118" i="11"/>
  <c r="EC118" i="11"/>
  <c r="EG118" i="11"/>
  <c r="DE145" i="2"/>
  <c r="DE146" i="2"/>
  <c r="DI26" i="11"/>
  <c r="DM26" i="11"/>
  <c r="DQ26" i="11"/>
  <c r="DU26" i="11"/>
  <c r="DY26" i="11"/>
  <c r="EC26" i="11"/>
  <c r="EG26" i="11"/>
  <c r="DH38" i="11"/>
  <c r="DL38" i="11"/>
  <c r="DP38" i="11"/>
  <c r="DT38" i="11"/>
  <c r="BP99" i="3"/>
  <c r="BP100" i="3"/>
  <c r="CD97" i="3"/>
  <c r="CD5" i="3"/>
  <c r="CD95" i="3" s="1"/>
  <c r="BP5" i="3"/>
  <c r="BP97" i="3"/>
  <c r="BP98" i="3"/>
  <c r="BI5" i="3"/>
  <c r="BI96" i="6" s="1"/>
  <c r="BI97" i="6"/>
  <c r="BT99" i="3"/>
  <c r="BT100" i="3"/>
  <c r="CB99" i="3"/>
  <c r="CB100" i="3"/>
  <c r="AT99" i="3"/>
  <c r="AT98" i="6"/>
  <c r="AT115" i="6" s="1"/>
  <c r="BQ5" i="3"/>
  <c r="AR100" i="3"/>
  <c r="AR99" i="3"/>
  <c r="AR98" i="6"/>
  <c r="BO5" i="3"/>
  <c r="BH97" i="3"/>
  <c r="BH98" i="3"/>
  <c r="BH5" i="3"/>
  <c r="BH97" i="6"/>
  <c r="BB99" i="3"/>
  <c r="BB98" i="6"/>
  <c r="BB115" i="6" s="1"/>
  <c r="CP97" i="3"/>
  <c r="CP5" i="3"/>
  <c r="CP95" i="3" s="1"/>
  <c r="CF97" i="3"/>
  <c r="CF98" i="3"/>
  <c r="CF5" i="3"/>
  <c r="AX99" i="3"/>
  <c r="AX98" i="6"/>
  <c r="AX115" i="6" s="1"/>
  <c r="BM5" i="3"/>
  <c r="CN5" i="3"/>
  <c r="CN97" i="3"/>
  <c r="CN98" i="3"/>
  <c r="AZ99" i="3"/>
  <c r="AZ100" i="3"/>
  <c r="AZ98" i="6"/>
  <c r="BV97" i="3"/>
  <c r="BV5" i="3"/>
  <c r="BV95" i="3" s="1"/>
  <c r="CJ97" i="3"/>
  <c r="CJ98" i="3"/>
  <c r="CJ5" i="3"/>
  <c r="BF97" i="3"/>
  <c r="BF5" i="3"/>
  <c r="BF97" i="6"/>
  <c r="BF109" i="6" s="1"/>
  <c r="BJ99" i="3"/>
  <c r="BJ98" i="6"/>
  <c r="BJ115" i="6" s="1"/>
  <c r="CC5" i="3"/>
  <c r="BW5" i="3"/>
  <c r="BF99" i="3"/>
  <c r="BF98" i="6"/>
  <c r="BF115" i="6" s="1"/>
  <c r="CI5" i="3"/>
  <c r="CB97" i="3"/>
  <c r="CB98" i="3"/>
  <c r="CB5" i="3"/>
  <c r="BR97" i="3"/>
  <c r="BR5" i="3"/>
  <c r="BR95" i="3" s="1"/>
  <c r="BJ97" i="3"/>
  <c r="BJ5" i="3"/>
  <c r="BJ97" i="6"/>
  <c r="BJ109" i="6" s="1"/>
  <c r="CJ100" i="3"/>
  <c r="CJ99" i="3"/>
  <c r="CL97" i="3"/>
  <c r="CL5" i="3"/>
  <c r="CL95" i="3" s="1"/>
  <c r="CA5" i="3"/>
  <c r="CF99" i="3"/>
  <c r="CF100" i="3"/>
  <c r="BT97" i="3"/>
  <c r="BT98" i="3"/>
  <c r="BT5" i="3"/>
  <c r="BE5" i="3"/>
  <c r="BE96" i="6" s="1"/>
  <c r="BE97" i="6"/>
  <c r="CN99" i="3"/>
  <c r="CN100" i="3"/>
  <c r="BH99" i="3"/>
  <c r="BH100" i="3"/>
  <c r="BH98" i="6"/>
  <c r="BN97" i="3"/>
  <c r="BN5" i="3"/>
  <c r="BN95" i="3" s="1"/>
  <c r="BL97" i="3"/>
  <c r="BL5" i="3"/>
  <c r="BL98" i="3"/>
  <c r="BL97" i="6"/>
  <c r="CH97" i="3"/>
  <c r="CH5" i="3"/>
  <c r="CH95" i="3" s="1"/>
  <c r="BU5" i="3"/>
  <c r="BG5" i="3"/>
  <c r="BG96" i="6" s="1"/>
  <c r="BG97" i="6"/>
  <c r="BL99" i="3"/>
  <c r="BL100" i="3"/>
  <c r="BL98" i="6"/>
  <c r="BD99" i="3"/>
  <c r="BD100" i="3"/>
  <c r="BD98" i="6"/>
  <c r="BX5" i="3"/>
  <c r="BX97" i="3"/>
  <c r="BX98" i="3"/>
  <c r="CM5" i="3"/>
  <c r="BX100" i="3"/>
  <c r="BX99" i="3"/>
  <c r="AV99" i="3"/>
  <c r="AV100" i="3"/>
  <c r="AV98" i="6"/>
  <c r="BZ97" i="3"/>
  <c r="BZ5" i="3"/>
  <c r="BZ95" i="3" s="1"/>
  <c r="CO5" i="3"/>
  <c r="BK5" i="3"/>
  <c r="BK96" i="6" s="1"/>
  <c r="BK97" i="6"/>
  <c r="DG26" i="11"/>
  <c r="DK26" i="11"/>
  <c r="DO26" i="11"/>
  <c r="DS26" i="11"/>
  <c r="DW26" i="11"/>
  <c r="EA26" i="11"/>
  <c r="EE26" i="11"/>
  <c r="EI26" i="11"/>
  <c r="DJ38" i="11"/>
  <c r="DN38" i="11"/>
  <c r="DR38" i="11"/>
  <c r="DV38" i="11"/>
  <c r="DZ38" i="11"/>
  <c r="DJ98" i="11"/>
  <c r="DN98" i="11"/>
  <c r="DR98" i="11"/>
  <c r="DV98" i="11"/>
  <c r="DZ98" i="11"/>
  <c r="ED98" i="11"/>
  <c r="EH98" i="11"/>
  <c r="DG105" i="11"/>
  <c r="DK105" i="11"/>
  <c r="DO105" i="11"/>
  <c r="DS105" i="11"/>
  <c r="DW105" i="11"/>
  <c r="DI108" i="11"/>
  <c r="DQ108" i="11"/>
  <c r="DU108" i="11"/>
  <c r="DG111" i="11"/>
  <c r="DW111" i="11"/>
  <c r="EI111" i="11"/>
  <c r="BD96" i="6"/>
  <c r="BD104" i="6" s="1"/>
  <c r="BD95" i="3"/>
  <c r="BD96" i="3"/>
  <c r="AV96" i="6"/>
  <c r="AV104" i="6" s="1"/>
  <c r="AV95" i="3"/>
  <c r="AV96" i="3"/>
  <c r="AX96" i="6"/>
  <c r="AX103" i="6" s="1"/>
  <c r="AX95" i="3"/>
  <c r="AN98" i="6"/>
  <c r="AN116" i="6" s="1"/>
  <c r="AN99" i="3"/>
  <c r="AN100" i="3"/>
  <c r="AP97" i="6"/>
  <c r="AP109" i="6" s="1"/>
  <c r="AP97" i="3"/>
  <c r="AN97" i="6"/>
  <c r="AN109" i="6" s="1"/>
  <c r="AN97" i="3"/>
  <c r="AN98" i="3"/>
  <c r="AP98" i="6"/>
  <c r="AP115" i="6" s="1"/>
  <c r="AP99" i="3"/>
  <c r="AR96" i="6"/>
  <c r="AR103" i="6" s="1"/>
  <c r="AR95" i="3"/>
  <c r="AR96" i="3"/>
  <c r="AZ96" i="6"/>
  <c r="AZ104" i="6" s="1"/>
  <c r="AZ95" i="3"/>
  <c r="AZ96" i="3"/>
  <c r="BB96" i="6"/>
  <c r="BB103" i="6" s="1"/>
  <c r="BB95" i="3"/>
  <c r="AT96" i="6"/>
  <c r="AT103" i="6" s="1"/>
  <c r="AT95" i="3"/>
  <c r="DG34" i="11"/>
  <c r="DK34" i="11"/>
  <c r="DO34" i="11"/>
  <c r="DS34" i="11"/>
  <c r="DW34" i="11"/>
  <c r="EA34" i="11"/>
  <c r="EE34" i="11"/>
  <c r="EI34" i="11"/>
  <c r="DJ26" i="11"/>
  <c r="DN26" i="11"/>
  <c r="DR26" i="11"/>
  <c r="DV26" i="11"/>
  <c r="DZ26" i="11"/>
  <c r="ED26" i="11"/>
  <c r="EH26" i="11"/>
  <c r="DH34" i="11"/>
  <c r="DL34" i="11"/>
  <c r="DI38" i="11"/>
  <c r="DM38" i="11"/>
  <c r="DQ38" i="11"/>
  <c r="DU38" i="11"/>
  <c r="DY38" i="11"/>
  <c r="EC38" i="11"/>
  <c r="EG38" i="11"/>
  <c r="DF118" i="11"/>
  <c r="DF133" i="11"/>
  <c r="DG118" i="11"/>
  <c r="DJ122" i="11"/>
  <c r="DN122" i="11"/>
  <c r="DR122" i="11"/>
  <c r="DV122" i="11"/>
  <c r="DZ122" i="11"/>
  <c r="ED122" i="11"/>
  <c r="EH122" i="11"/>
  <c r="EA133" i="11"/>
  <c r="DF108" i="11"/>
  <c r="DI114" i="11"/>
  <c r="DM114" i="11"/>
  <c r="DJ118" i="11"/>
  <c r="DI129" i="11"/>
  <c r="DM129" i="11"/>
  <c r="DQ129" i="11"/>
  <c r="DU129" i="11"/>
  <c r="DY129" i="11"/>
  <c r="EC129" i="11"/>
  <c r="EG129" i="11"/>
  <c r="DJ133" i="11"/>
  <c r="DN133" i="11"/>
  <c r="DR133" i="11"/>
  <c r="DV133" i="11"/>
  <c r="DZ133" i="11"/>
  <c r="ED133" i="11"/>
  <c r="EH133" i="11"/>
  <c r="EC108" i="11"/>
  <c r="EE133" i="11"/>
  <c r="DX38" i="11"/>
  <c r="EB38" i="11"/>
  <c r="EF38" i="11"/>
  <c r="DG74" i="11"/>
  <c r="DK74" i="11"/>
  <c r="DO74" i="11"/>
  <c r="DS74" i="11"/>
  <c r="DW74" i="11"/>
  <c r="EA74" i="11"/>
  <c r="EE74" i="11"/>
  <c r="EI74" i="11"/>
  <c r="DF105" i="11"/>
  <c r="DF111" i="11"/>
  <c r="DF122" i="11"/>
  <c r="DH118" i="11"/>
  <c r="DL118" i="11"/>
  <c r="DP118" i="11"/>
  <c r="DT118" i="11"/>
  <c r="DX118" i="11"/>
  <c r="EB118" i="11"/>
  <c r="EF118" i="11"/>
  <c r="DI122" i="11"/>
  <c r="DM122" i="11"/>
  <c r="DQ122" i="11"/>
  <c r="DU122" i="11"/>
  <c r="DY122" i="11"/>
  <c r="EC122" i="11"/>
  <c r="EG122" i="11"/>
  <c r="DG129" i="11"/>
  <c r="DK129" i="11"/>
  <c r="DO129" i="11"/>
  <c r="DS129" i="11"/>
  <c r="DW129" i="11"/>
  <c r="EA129" i="11"/>
  <c r="EE129" i="11"/>
  <c r="EI129" i="11"/>
  <c r="DH133" i="11"/>
  <c r="DL133" i="11"/>
  <c r="DP133" i="11"/>
  <c r="DT133" i="11"/>
  <c r="DX133" i="11"/>
  <c r="EB133" i="11"/>
  <c r="EF133" i="11"/>
  <c r="DS133" i="11"/>
  <c r="EI133" i="11"/>
  <c r="DM105" i="11"/>
  <c r="DQ105" i="11"/>
  <c r="DU105" i="11"/>
  <c r="DY105" i="11"/>
  <c r="EC105" i="11"/>
  <c r="EG105" i="11"/>
  <c r="DF114" i="11"/>
  <c r="DF129" i="11"/>
  <c r="EC98" i="11"/>
  <c r="EA105" i="11"/>
  <c r="EE105" i="11"/>
  <c r="EI105" i="11"/>
  <c r="DY108" i="11"/>
  <c r="EG108" i="11"/>
  <c r="DQ114" i="11"/>
  <c r="DU114" i="11"/>
  <c r="DY114" i="11"/>
  <c r="EC114" i="11"/>
  <c r="EG114" i="11"/>
  <c r="DG114" i="11"/>
  <c r="DN118" i="11"/>
  <c r="DR118" i="11"/>
  <c r="DV118" i="11"/>
  <c r="DZ118" i="11"/>
  <c r="ED118" i="11"/>
  <c r="EH118" i="11"/>
  <c r="DG122" i="11"/>
  <c r="DK122" i="11"/>
  <c r="DO122" i="11"/>
  <c r="DS122" i="11"/>
  <c r="DW122" i="11"/>
  <c r="EA122" i="11"/>
  <c r="EE122" i="11"/>
  <c r="EI122" i="11"/>
  <c r="DF3" i="11"/>
  <c r="DG3" i="11" s="1"/>
  <c r="DH3" i="11" s="1"/>
  <c r="DI3" i="11" s="1"/>
  <c r="DJ3" i="11" s="1"/>
  <c r="DK3" i="11" s="1"/>
  <c r="DL3" i="11" s="1"/>
  <c r="DM3" i="11" s="1"/>
  <c r="DN3" i="11" s="1"/>
  <c r="DO3" i="11" s="1"/>
  <c r="DP3" i="11" s="1"/>
  <c r="DQ3" i="11" s="1"/>
  <c r="DR3" i="11" s="1"/>
  <c r="DS3" i="11" s="1"/>
  <c r="DT3" i="11" s="1"/>
  <c r="DU3" i="11" s="1"/>
  <c r="DV3" i="11" s="1"/>
  <c r="DW3" i="11" s="1"/>
  <c r="DX3" i="11" s="1"/>
  <c r="DY3" i="11" s="1"/>
  <c r="DZ3" i="11" s="1"/>
  <c r="EA3" i="11" s="1"/>
  <c r="EB3" i="11" s="1"/>
  <c r="EC3" i="11" s="1"/>
  <c r="ED3" i="11" s="1"/>
  <c r="EE3" i="11" s="1"/>
  <c r="EF3" i="11" s="1"/>
  <c r="EG3" i="11" s="1"/>
  <c r="EH3" i="11" s="1"/>
  <c r="EI3" i="11" s="1"/>
  <c r="DG98" i="11"/>
  <c r="DK98" i="11"/>
  <c r="DO98" i="11"/>
  <c r="DS98" i="11"/>
  <c r="DW98" i="11"/>
  <c r="EA98" i="11"/>
  <c r="EE98" i="11"/>
  <c r="EI98" i="11"/>
  <c r="DH105" i="11"/>
  <c r="DL105" i="11"/>
  <c r="DP105" i="11"/>
  <c r="DT105" i="11"/>
  <c r="DX105" i="11"/>
  <c r="EB105" i="11"/>
  <c r="EF105" i="11"/>
  <c r="DJ108" i="11"/>
  <c r="DN108" i="11"/>
  <c r="DR108" i="11"/>
  <c r="DV108" i="11"/>
  <c r="DZ108" i="11"/>
  <c r="ED108" i="11"/>
  <c r="EH108" i="11"/>
  <c r="DM108" i="11"/>
  <c r="DH111" i="11"/>
  <c r="DL111" i="11"/>
  <c r="DP111" i="11"/>
  <c r="DT111" i="11"/>
  <c r="DX111" i="11"/>
  <c r="EB111" i="11"/>
  <c r="EF111" i="11"/>
  <c r="DK111" i="11"/>
  <c r="DO111" i="11"/>
  <c r="DS111" i="11"/>
  <c r="EA111" i="11"/>
  <c r="EE111" i="11"/>
  <c r="DJ114" i="11"/>
  <c r="DN114" i="11"/>
  <c r="DR114" i="11"/>
  <c r="DV114" i="11"/>
  <c r="DZ114" i="11"/>
  <c r="ED114" i="11"/>
  <c r="EH114" i="11"/>
  <c r="DK118" i="11"/>
  <c r="DO118" i="11"/>
  <c r="DS118" i="11"/>
  <c r="DW118" i="11"/>
  <c r="EA118" i="11"/>
  <c r="EE118" i="11"/>
  <c r="EI118" i="11"/>
  <c r="DH122" i="11"/>
  <c r="DL122" i="11"/>
  <c r="DP122" i="11"/>
  <c r="DT122" i="11"/>
  <c r="DX122" i="11"/>
  <c r="EB122" i="11"/>
  <c r="EF122" i="11"/>
  <c r="DJ129" i="11"/>
  <c r="DN129" i="11"/>
  <c r="DR129" i="11"/>
  <c r="DV129" i="11"/>
  <c r="DZ129" i="11"/>
  <c r="ED129" i="11"/>
  <c r="EH129" i="11"/>
  <c r="DG133" i="11"/>
  <c r="DK133" i="11"/>
  <c r="DO133" i="11"/>
  <c r="DW133" i="11"/>
  <c r="AH117" i="6"/>
  <c r="AH113" i="6"/>
  <c r="R117" i="6"/>
  <c r="R113" i="6"/>
  <c r="AF113" i="6"/>
  <c r="AF114" i="6"/>
  <c r="AF117" i="6"/>
  <c r="P113" i="6"/>
  <c r="P114" i="6"/>
  <c r="P117" i="6"/>
  <c r="AD117" i="6"/>
  <c r="AD113" i="6"/>
  <c r="L113" i="6"/>
  <c r="L114" i="6"/>
  <c r="L117" i="6"/>
  <c r="AB113" i="6"/>
  <c r="AB114" i="6"/>
  <c r="AB117" i="6"/>
  <c r="N117" i="6"/>
  <c r="N113" i="6"/>
  <c r="Z117" i="6"/>
  <c r="Z113" i="6"/>
  <c r="V117" i="6"/>
  <c r="V113" i="6"/>
  <c r="X113" i="6"/>
  <c r="X114" i="6"/>
  <c r="X117" i="6"/>
  <c r="T113" i="6"/>
  <c r="T114" i="6"/>
  <c r="T117" i="6"/>
  <c r="X112" i="6"/>
  <c r="X111" i="6"/>
  <c r="BD109" i="6"/>
  <c r="BD110" i="6"/>
  <c r="AV109" i="6"/>
  <c r="AV110" i="6"/>
  <c r="V107" i="6"/>
  <c r="V111" i="6"/>
  <c r="T112" i="6"/>
  <c r="T111" i="6"/>
  <c r="R107" i="6"/>
  <c r="R111" i="6"/>
  <c r="AH107" i="6"/>
  <c r="AH111" i="6"/>
  <c r="AF112" i="6"/>
  <c r="AF111" i="6"/>
  <c r="P112" i="6"/>
  <c r="P111" i="6"/>
  <c r="AD107" i="6"/>
  <c r="AD111" i="6"/>
  <c r="AR109" i="6"/>
  <c r="AR110" i="6"/>
  <c r="AZ109" i="6"/>
  <c r="AZ110" i="6"/>
  <c r="N107" i="6"/>
  <c r="N111" i="6"/>
  <c r="AB112" i="6"/>
  <c r="AB111" i="6"/>
  <c r="L112" i="6"/>
  <c r="L111" i="6"/>
  <c r="Z107" i="6"/>
  <c r="Z111" i="6"/>
  <c r="X108" i="6"/>
  <c r="X107" i="6"/>
  <c r="T108" i="6"/>
  <c r="T107" i="6"/>
  <c r="AF108" i="6"/>
  <c r="AF107" i="6"/>
  <c r="P108" i="6"/>
  <c r="P107" i="6"/>
  <c r="AB108" i="6"/>
  <c r="AB107" i="6"/>
  <c r="L108" i="6"/>
  <c r="L107" i="6"/>
  <c r="DF89" i="11"/>
  <c r="DJ89" i="11"/>
  <c r="DN89" i="11"/>
  <c r="DR89" i="11"/>
  <c r="DV89" i="11"/>
  <c r="DZ89" i="11"/>
  <c r="ED89" i="11"/>
  <c r="EH89" i="11"/>
  <c r="DI89" i="11"/>
  <c r="DU89" i="11"/>
  <c r="DG89" i="11"/>
  <c r="DK89" i="11"/>
  <c r="DO89" i="11"/>
  <c r="DS89" i="11"/>
  <c r="DW89" i="11"/>
  <c r="EA89" i="11"/>
  <c r="EE89" i="11"/>
  <c r="EI89" i="11"/>
  <c r="DM89" i="11"/>
  <c r="DY89" i="11"/>
  <c r="DH89" i="11"/>
  <c r="DL89" i="11"/>
  <c r="DP89" i="11"/>
  <c r="DT89" i="11"/>
  <c r="DX89" i="11"/>
  <c r="EB89" i="11"/>
  <c r="EF89" i="11"/>
  <c r="DQ89" i="11"/>
  <c r="EC89" i="11"/>
  <c r="EG89" i="11"/>
  <c r="DH96" i="11"/>
  <c r="DL96" i="11"/>
  <c r="DP96" i="11"/>
  <c r="DT96" i="11"/>
  <c r="DX96" i="11"/>
  <c r="EB96" i="11"/>
  <c r="EF96" i="11"/>
  <c r="DO96" i="11"/>
  <c r="EA96" i="11"/>
  <c r="DI96" i="11"/>
  <c r="DM96" i="11"/>
  <c r="DQ96" i="11"/>
  <c r="DU96" i="11"/>
  <c r="DY96" i="11"/>
  <c r="EC96" i="11"/>
  <c r="EG96" i="11"/>
  <c r="DG96" i="11"/>
  <c r="DS96" i="11"/>
  <c r="EE96" i="11"/>
  <c r="DF96" i="11"/>
  <c r="DJ96" i="11"/>
  <c r="DN96" i="11"/>
  <c r="DR96" i="11"/>
  <c r="DV96" i="11"/>
  <c r="DZ96" i="11"/>
  <c r="ED96" i="11"/>
  <c r="EH96" i="11"/>
  <c r="DK96" i="11"/>
  <c r="DW96" i="11"/>
  <c r="EI96" i="11"/>
  <c r="DH92" i="11"/>
  <c r="DL92" i="11"/>
  <c r="DP92" i="11"/>
  <c r="DT92" i="11"/>
  <c r="DX92" i="11"/>
  <c r="EB92" i="11"/>
  <c r="EF92" i="11"/>
  <c r="DO92" i="11"/>
  <c r="EA92" i="11"/>
  <c r="DI92" i="11"/>
  <c r="DM92" i="11"/>
  <c r="DQ92" i="11"/>
  <c r="DU92" i="11"/>
  <c r="DU88" i="11" s="1"/>
  <c r="DY92" i="11"/>
  <c r="EC92" i="11"/>
  <c r="EG92" i="11"/>
  <c r="DG92" i="11"/>
  <c r="DS92" i="11"/>
  <c r="EE92" i="11"/>
  <c r="DF92" i="11"/>
  <c r="DJ92" i="11"/>
  <c r="DN92" i="11"/>
  <c r="DR92" i="11"/>
  <c r="DV92" i="11"/>
  <c r="DZ92" i="11"/>
  <c r="ED92" i="11"/>
  <c r="EH92" i="11"/>
  <c r="DK92" i="11"/>
  <c r="DW92" i="11"/>
  <c r="EI92" i="11"/>
  <c r="DF93" i="11"/>
  <c r="DJ93" i="11"/>
  <c r="DN93" i="11"/>
  <c r="DR93" i="11"/>
  <c r="DV93" i="11"/>
  <c r="DZ93" i="11"/>
  <c r="ED93" i="11"/>
  <c r="EH93" i="11"/>
  <c r="DI93" i="11"/>
  <c r="DU93" i="11"/>
  <c r="EG93" i="11"/>
  <c r="DG93" i="11"/>
  <c r="DK93" i="11"/>
  <c r="DO93" i="11"/>
  <c r="DS93" i="11"/>
  <c r="DW93" i="11"/>
  <c r="EA93" i="11"/>
  <c r="EE93" i="11"/>
  <c r="EI93" i="11"/>
  <c r="DM93" i="11"/>
  <c r="DY93" i="11"/>
  <c r="DH93" i="11"/>
  <c r="DL93" i="11"/>
  <c r="DP93" i="11"/>
  <c r="DT93" i="11"/>
  <c r="DX93" i="11"/>
  <c r="EB93" i="11"/>
  <c r="EF93" i="11"/>
  <c r="DQ93" i="11"/>
  <c r="EC93" i="11"/>
  <c r="DF95" i="11"/>
  <c r="DJ95" i="11"/>
  <c r="DN95" i="11"/>
  <c r="DR95" i="11"/>
  <c r="DV95" i="11"/>
  <c r="DZ95" i="11"/>
  <c r="ED95" i="11"/>
  <c r="EH95" i="11"/>
  <c r="DI95" i="11"/>
  <c r="DU95" i="11"/>
  <c r="EG95" i="11"/>
  <c r="DG95" i="11"/>
  <c r="DK95" i="11"/>
  <c r="DO95" i="11"/>
  <c r="DS95" i="11"/>
  <c r="DW95" i="11"/>
  <c r="EA95" i="11"/>
  <c r="EE95" i="11"/>
  <c r="EI95" i="11"/>
  <c r="DQ95" i="11"/>
  <c r="DY95" i="11"/>
  <c r="DH95" i="11"/>
  <c r="DL95" i="11"/>
  <c r="DP95" i="11"/>
  <c r="DT95" i="11"/>
  <c r="DX95" i="11"/>
  <c r="EB95" i="11"/>
  <c r="EF95" i="11"/>
  <c r="DM95" i="11"/>
  <c r="EC95" i="11"/>
  <c r="DP34" i="11"/>
  <c r="DT34" i="11"/>
  <c r="DX34" i="11"/>
  <c r="EB34" i="11"/>
  <c r="EF34" i="11"/>
  <c r="BF103" i="11"/>
  <c r="DJ104" i="11"/>
  <c r="DJ103" i="11" s="1"/>
  <c r="BR103" i="11"/>
  <c r="DV104" i="11"/>
  <c r="DV103" i="11" s="1"/>
  <c r="CD103" i="11"/>
  <c r="EH104" i="11"/>
  <c r="EH103" i="11" s="1"/>
  <c r="BC103" i="11"/>
  <c r="DG104" i="11"/>
  <c r="DG103" i="11" s="1"/>
  <c r="BG103" i="11"/>
  <c r="DK104" i="11"/>
  <c r="DK103" i="11" s="1"/>
  <c r="BK103" i="11"/>
  <c r="DO104" i="11"/>
  <c r="DO103" i="11" s="1"/>
  <c r="BO103" i="11"/>
  <c r="DS104" i="11"/>
  <c r="DS103" i="11" s="1"/>
  <c r="BS103" i="11"/>
  <c r="DW104" i="11"/>
  <c r="DW103" i="11" s="1"/>
  <c r="BW103" i="11"/>
  <c r="EA104" i="11"/>
  <c r="EA103" i="11" s="1"/>
  <c r="CA103" i="11"/>
  <c r="EE104" i="11"/>
  <c r="EE103" i="11" s="1"/>
  <c r="CE103" i="11"/>
  <c r="EI104" i="11"/>
  <c r="EI103" i="11" s="1"/>
  <c r="BJ103" i="11"/>
  <c r="DN104" i="11"/>
  <c r="DN103" i="11" s="1"/>
  <c r="BV103" i="11"/>
  <c r="DZ104" i="11"/>
  <c r="DZ103" i="11" s="1"/>
  <c r="BD103" i="11"/>
  <c r="DH104" i="11"/>
  <c r="DH103" i="11" s="1"/>
  <c r="BH103" i="11"/>
  <c r="DL104" i="11"/>
  <c r="DL103" i="11" s="1"/>
  <c r="BL103" i="11"/>
  <c r="DP104" i="11"/>
  <c r="DP103" i="11" s="1"/>
  <c r="BP103" i="11"/>
  <c r="DT104" i="11"/>
  <c r="DT103" i="11" s="1"/>
  <c r="BT103" i="11"/>
  <c r="DX104" i="11"/>
  <c r="DX103" i="11" s="1"/>
  <c r="BX103" i="11"/>
  <c r="EB104" i="11"/>
  <c r="EB103" i="11" s="1"/>
  <c r="CB103" i="11"/>
  <c r="EF104" i="11"/>
  <c r="EF103" i="11" s="1"/>
  <c r="BN103" i="11"/>
  <c r="DR104" i="11"/>
  <c r="DR103" i="11" s="1"/>
  <c r="BZ103" i="11"/>
  <c r="ED104" i="11"/>
  <c r="ED103" i="11" s="1"/>
  <c r="BB103" i="11"/>
  <c r="DF104" i="11"/>
  <c r="DF103" i="11" s="1"/>
  <c r="BE103" i="11"/>
  <c r="DI104" i="11"/>
  <c r="DI103" i="11" s="1"/>
  <c r="BI103" i="11"/>
  <c r="DM104" i="11"/>
  <c r="DM103" i="11" s="1"/>
  <c r="BM103" i="11"/>
  <c r="DQ104" i="11"/>
  <c r="DQ103" i="11" s="1"/>
  <c r="BQ103" i="11"/>
  <c r="DU104" i="11"/>
  <c r="DU103" i="11" s="1"/>
  <c r="BU103" i="11"/>
  <c r="DY104" i="11"/>
  <c r="DY103" i="11" s="1"/>
  <c r="BY103" i="11"/>
  <c r="EC104" i="11"/>
  <c r="EC103" i="11" s="1"/>
  <c r="CC103" i="11"/>
  <c r="EG104" i="11"/>
  <c r="EG103" i="11" s="1"/>
  <c r="BC79" i="11"/>
  <c r="DG82" i="11"/>
  <c r="DG79" i="11" s="1"/>
  <c r="BG79" i="11"/>
  <c r="DK82" i="11"/>
  <c r="DK79" i="11" s="1"/>
  <c r="BK79" i="11"/>
  <c r="DO82" i="11"/>
  <c r="DO79" i="11" s="1"/>
  <c r="BO79" i="11"/>
  <c r="DS82" i="11"/>
  <c r="DS79" i="11" s="1"/>
  <c r="BS79" i="11"/>
  <c r="DW82" i="11"/>
  <c r="DW79" i="11" s="1"/>
  <c r="BW79" i="11"/>
  <c r="EA82" i="11"/>
  <c r="EA79" i="11" s="1"/>
  <c r="CA79" i="11"/>
  <c r="EE82" i="11"/>
  <c r="EE79" i="11" s="1"/>
  <c r="CE79" i="11"/>
  <c r="EI82" i="11"/>
  <c r="EI79" i="11" s="1"/>
  <c r="BD79" i="11"/>
  <c r="DH82" i="11"/>
  <c r="DH79" i="11" s="1"/>
  <c r="BH79" i="11"/>
  <c r="DL82" i="11"/>
  <c r="DL79" i="11" s="1"/>
  <c r="BL79" i="11"/>
  <c r="DP82" i="11"/>
  <c r="DP79" i="11" s="1"/>
  <c r="BP79" i="11"/>
  <c r="DT82" i="11"/>
  <c r="DT79" i="11" s="1"/>
  <c r="BT79" i="11"/>
  <c r="DX82" i="11"/>
  <c r="DX79" i="11" s="1"/>
  <c r="BX79" i="11"/>
  <c r="EB82" i="11"/>
  <c r="EB79" i="11" s="1"/>
  <c r="CB79" i="11"/>
  <c r="EF82" i="11"/>
  <c r="EF79" i="11" s="1"/>
  <c r="BE79" i="11"/>
  <c r="DI82" i="11"/>
  <c r="DI79" i="11" s="1"/>
  <c r="BI79" i="11"/>
  <c r="DM82" i="11"/>
  <c r="DM79" i="11" s="1"/>
  <c r="BM79" i="11"/>
  <c r="DQ82" i="11"/>
  <c r="DQ79" i="11" s="1"/>
  <c r="BQ79" i="11"/>
  <c r="DU82" i="11"/>
  <c r="DU79" i="11" s="1"/>
  <c r="BU79" i="11"/>
  <c r="DY82" i="11"/>
  <c r="DY79" i="11" s="1"/>
  <c r="BY79" i="11"/>
  <c r="EC82" i="11"/>
  <c r="EC79" i="11" s="1"/>
  <c r="CC79" i="11"/>
  <c r="EG82" i="11"/>
  <c r="EG79" i="11" s="1"/>
  <c r="BB79" i="11"/>
  <c r="DF82" i="11"/>
  <c r="DF79" i="11" s="1"/>
  <c r="BF79" i="11"/>
  <c r="DJ82" i="11"/>
  <c r="DJ79" i="11" s="1"/>
  <c r="BJ79" i="11"/>
  <c r="DN82" i="11"/>
  <c r="DN79" i="11" s="1"/>
  <c r="BN79" i="11"/>
  <c r="DR82" i="11"/>
  <c r="DR79" i="11" s="1"/>
  <c r="BR79" i="11"/>
  <c r="DV82" i="11"/>
  <c r="DV79" i="11" s="1"/>
  <c r="BV79" i="11"/>
  <c r="DZ82" i="11"/>
  <c r="DZ79" i="11" s="1"/>
  <c r="BZ79" i="11"/>
  <c r="ED82" i="11"/>
  <c r="ED79" i="11" s="1"/>
  <c r="CD79" i="11"/>
  <c r="EH82" i="11"/>
  <c r="EH79" i="11" s="1"/>
  <c r="DI74" i="11"/>
  <c r="DM74" i="11"/>
  <c r="DQ74" i="11"/>
  <c r="DU74" i="11"/>
  <c r="DY74" i="11"/>
  <c r="EC74" i="11"/>
  <c r="DX74" i="11"/>
  <c r="DF74" i="11"/>
  <c r="DF13" i="11" s="1"/>
  <c r="DH74" i="11"/>
  <c r="DL74" i="11"/>
  <c r="DP74" i="11"/>
  <c r="DT74" i="11"/>
  <c r="EB74" i="11"/>
  <c r="EF74" i="11"/>
  <c r="EG74" i="11"/>
  <c r="DJ74" i="11"/>
  <c r="DN74" i="11"/>
  <c r="DR74" i="11"/>
  <c r="DV74" i="11"/>
  <c r="DZ74" i="11"/>
  <c r="ED74" i="11"/>
  <c r="EH74" i="11"/>
  <c r="DI34" i="11"/>
  <c r="DM34" i="11"/>
  <c r="DQ34" i="11"/>
  <c r="DU34" i="11"/>
  <c r="DY34" i="11"/>
  <c r="EC34" i="11"/>
  <c r="ED38" i="11"/>
  <c r="EH38" i="11"/>
  <c r="DH26" i="11"/>
  <c r="DL26" i="11"/>
  <c r="DP26" i="11"/>
  <c r="DT26" i="11"/>
  <c r="DX26" i="11"/>
  <c r="EB26" i="11"/>
  <c r="EF26" i="11"/>
  <c r="DH43" i="11"/>
  <c r="DL43" i="11"/>
  <c r="DP43" i="11"/>
  <c r="DT43" i="11"/>
  <c r="DX43" i="11"/>
  <c r="EB43" i="11"/>
  <c r="EF43" i="11"/>
  <c r="BC72" i="11"/>
  <c r="DG73" i="11"/>
  <c r="DG72" i="11" s="1"/>
  <c r="BK72" i="11"/>
  <c r="DO73" i="11"/>
  <c r="DO72" i="11" s="1"/>
  <c r="BW72" i="11"/>
  <c r="EA73" i="11"/>
  <c r="EA72" i="11" s="1"/>
  <c r="CA72" i="11"/>
  <c r="EE73" i="11"/>
  <c r="EE72" i="11" s="1"/>
  <c r="BD72" i="11"/>
  <c r="DH73" i="11"/>
  <c r="DH72" i="11" s="1"/>
  <c r="BH72" i="11"/>
  <c r="DL73" i="11"/>
  <c r="DL72" i="11" s="1"/>
  <c r="BL72" i="11"/>
  <c r="DP73" i="11"/>
  <c r="DP72" i="11" s="1"/>
  <c r="BP72" i="11"/>
  <c r="DT73" i="11"/>
  <c r="DT72" i="11" s="1"/>
  <c r="BT72" i="11"/>
  <c r="DX73" i="11"/>
  <c r="DX72" i="11" s="1"/>
  <c r="BX72" i="11"/>
  <c r="EB73" i="11"/>
  <c r="EB72" i="11" s="1"/>
  <c r="CB72" i="11"/>
  <c r="EF73" i="11"/>
  <c r="EF72" i="11" s="1"/>
  <c r="BG72" i="11"/>
  <c r="DK73" i="11"/>
  <c r="DK72" i="11" s="1"/>
  <c r="BS72" i="11"/>
  <c r="DW73" i="11"/>
  <c r="DW72" i="11" s="1"/>
  <c r="CE72" i="11"/>
  <c r="EI73" i="11"/>
  <c r="EI72" i="11" s="1"/>
  <c r="BE72" i="11"/>
  <c r="DI73" i="11"/>
  <c r="DI72" i="11" s="1"/>
  <c r="BI72" i="11"/>
  <c r="DM73" i="11"/>
  <c r="DM72" i="11" s="1"/>
  <c r="BM72" i="11"/>
  <c r="DQ73" i="11"/>
  <c r="DQ72" i="11" s="1"/>
  <c r="BQ72" i="11"/>
  <c r="DU73" i="11"/>
  <c r="DU72" i="11" s="1"/>
  <c r="BU72" i="11"/>
  <c r="DY73" i="11"/>
  <c r="DY72" i="11" s="1"/>
  <c r="BY72" i="11"/>
  <c r="EC73" i="11"/>
  <c r="EC72" i="11" s="1"/>
  <c r="CC72" i="11"/>
  <c r="EG73" i="11"/>
  <c r="EG72" i="11" s="1"/>
  <c r="BO72" i="11"/>
  <c r="DS73" i="11"/>
  <c r="DS72" i="11" s="1"/>
  <c r="BF72" i="11"/>
  <c r="DJ73" i="11"/>
  <c r="DJ72" i="11" s="1"/>
  <c r="BJ72" i="11"/>
  <c r="DN73" i="11"/>
  <c r="DN72" i="11" s="1"/>
  <c r="BN72" i="11"/>
  <c r="DR73" i="11"/>
  <c r="DR72" i="11" s="1"/>
  <c r="BR72" i="11"/>
  <c r="DV73" i="11"/>
  <c r="DV72" i="11" s="1"/>
  <c r="BV72" i="11"/>
  <c r="DZ73" i="11"/>
  <c r="DZ72" i="11" s="1"/>
  <c r="BZ72" i="11"/>
  <c r="ED73" i="11"/>
  <c r="ED72" i="11" s="1"/>
  <c r="CD72" i="11"/>
  <c r="EH73" i="11"/>
  <c r="EH72" i="11" s="1"/>
  <c r="DJ58" i="11"/>
  <c r="DG58" i="11"/>
  <c r="DO58" i="11"/>
  <c r="DW58" i="11"/>
  <c r="EE58" i="11"/>
  <c r="DH58" i="11"/>
  <c r="DK58" i="11"/>
  <c r="DS58" i="11"/>
  <c r="EA58" i="11"/>
  <c r="EI58" i="11"/>
  <c r="DL58" i="11"/>
  <c r="DP58" i="11"/>
  <c r="DT58" i="11"/>
  <c r="DX58" i="11"/>
  <c r="EB58" i="11"/>
  <c r="EF58" i="11"/>
  <c r="DN58" i="11"/>
  <c r="DR58" i="11"/>
  <c r="DV58" i="11"/>
  <c r="DZ58" i="11"/>
  <c r="ED58" i="11"/>
  <c r="EH58" i="11"/>
  <c r="DK43" i="11"/>
  <c r="DO43" i="11"/>
  <c r="DS43" i="11"/>
  <c r="DW43" i="11"/>
  <c r="EA43" i="11"/>
  <c r="EE43" i="11"/>
  <c r="EI43" i="11"/>
  <c r="DG43" i="11"/>
  <c r="BF41" i="11"/>
  <c r="DJ42" i="11"/>
  <c r="DJ41" i="11" s="1"/>
  <c r="BR41" i="11"/>
  <c r="DV42" i="11"/>
  <c r="DV41" i="11" s="1"/>
  <c r="CD41" i="11"/>
  <c r="EH42" i="11"/>
  <c r="EH41" i="11" s="1"/>
  <c r="BC41" i="11"/>
  <c r="DG42" i="11"/>
  <c r="DG41" i="11" s="1"/>
  <c r="BG41" i="11"/>
  <c r="DK42" i="11"/>
  <c r="DK41" i="11" s="1"/>
  <c r="BK41" i="11"/>
  <c r="DO42" i="11"/>
  <c r="DO41" i="11" s="1"/>
  <c r="BO41" i="11"/>
  <c r="DS42" i="11"/>
  <c r="DS41" i="11" s="1"/>
  <c r="BS41" i="11"/>
  <c r="DW42" i="11"/>
  <c r="DW41" i="11" s="1"/>
  <c r="BW41" i="11"/>
  <c r="EA42" i="11"/>
  <c r="EA41" i="11" s="1"/>
  <c r="CA41" i="11"/>
  <c r="EE42" i="11"/>
  <c r="EE41" i="11" s="1"/>
  <c r="CE41" i="11"/>
  <c r="EI42" i="11"/>
  <c r="EI41" i="11" s="1"/>
  <c r="BJ41" i="11"/>
  <c r="DN42" i="11"/>
  <c r="DN41" i="11" s="1"/>
  <c r="BN41" i="11"/>
  <c r="DR42" i="11"/>
  <c r="DR41" i="11" s="1"/>
  <c r="BV41" i="11"/>
  <c r="DZ42" i="11"/>
  <c r="DZ41" i="11" s="1"/>
  <c r="BD41" i="11"/>
  <c r="DH42" i="11"/>
  <c r="DH41" i="11" s="1"/>
  <c r="BH41" i="11"/>
  <c r="DL42" i="11"/>
  <c r="DL41" i="11" s="1"/>
  <c r="BL41" i="11"/>
  <c r="DP42" i="11"/>
  <c r="DP41" i="11" s="1"/>
  <c r="BP41" i="11"/>
  <c r="DT42" i="11"/>
  <c r="DT41" i="11" s="1"/>
  <c r="BT41" i="11"/>
  <c r="DX42" i="11"/>
  <c r="DX41" i="11" s="1"/>
  <c r="BX41" i="11"/>
  <c r="EB42" i="11"/>
  <c r="EB41" i="11" s="1"/>
  <c r="CB41" i="11"/>
  <c r="EF42" i="11"/>
  <c r="EF41" i="11" s="1"/>
  <c r="BZ41" i="11"/>
  <c r="ED42" i="11"/>
  <c r="ED41" i="11" s="1"/>
  <c r="BE41" i="11"/>
  <c r="DI42" i="11"/>
  <c r="DI41" i="11" s="1"/>
  <c r="BI41" i="11"/>
  <c r="DM42" i="11"/>
  <c r="DM41" i="11" s="1"/>
  <c r="BM41" i="11"/>
  <c r="DQ42" i="11"/>
  <c r="DQ41" i="11" s="1"/>
  <c r="BQ41" i="11"/>
  <c r="DU42" i="11"/>
  <c r="DU41" i="11" s="1"/>
  <c r="BU41" i="11"/>
  <c r="DY42" i="11"/>
  <c r="DY41" i="11" s="1"/>
  <c r="BY41" i="11"/>
  <c r="EC42" i="11"/>
  <c r="EC41" i="11" s="1"/>
  <c r="CC41" i="11"/>
  <c r="EG42" i="11"/>
  <c r="EG41" i="11" s="1"/>
  <c r="DG38" i="11"/>
  <c r="DK38" i="11"/>
  <c r="DO38" i="11"/>
  <c r="DS38" i="11"/>
  <c r="DW38" i="11"/>
  <c r="EA38" i="11"/>
  <c r="EE38" i="11"/>
  <c r="EI38" i="11"/>
  <c r="EG34" i="11"/>
  <c r="DJ34" i="11"/>
  <c r="DN34" i="11"/>
  <c r="DR34" i="11"/>
  <c r="DV34" i="11"/>
  <c r="DZ34" i="11"/>
  <c r="ED34" i="11"/>
  <c r="EH34" i="11"/>
  <c r="BF24" i="11"/>
  <c r="DJ24" i="11"/>
  <c r="BJ24" i="11"/>
  <c r="DN24" i="11"/>
  <c r="BN24" i="11"/>
  <c r="DR24" i="11"/>
  <c r="BR24" i="11"/>
  <c r="DV24" i="11"/>
  <c r="BV24" i="11"/>
  <c r="DZ24" i="11"/>
  <c r="BZ24" i="11"/>
  <c r="ED24" i="11"/>
  <c r="BC24" i="11"/>
  <c r="DG24" i="11"/>
  <c r="BG24" i="11"/>
  <c r="DK24" i="11"/>
  <c r="BK24" i="11"/>
  <c r="DO24" i="11"/>
  <c r="BO24" i="11"/>
  <c r="DS24" i="11"/>
  <c r="BS24" i="11"/>
  <c r="DW24" i="11"/>
  <c r="BW24" i="11"/>
  <c r="EA24" i="11"/>
  <c r="CA24" i="11"/>
  <c r="EE24" i="11"/>
  <c r="CE24" i="11"/>
  <c r="EI24" i="11"/>
  <c r="BD24" i="11"/>
  <c r="DH24" i="11"/>
  <c r="BH24" i="11"/>
  <c r="DL24" i="11"/>
  <c r="BL24" i="11"/>
  <c r="DP24" i="11"/>
  <c r="BP24" i="11"/>
  <c r="DT24" i="11"/>
  <c r="BT24" i="11"/>
  <c r="DX24" i="11"/>
  <c r="BX24" i="11"/>
  <c r="EB24" i="11"/>
  <c r="CB24" i="11"/>
  <c r="EF24" i="11"/>
  <c r="BE24" i="11"/>
  <c r="DI24" i="11"/>
  <c r="BI24" i="11"/>
  <c r="DM24" i="11"/>
  <c r="BM24" i="11"/>
  <c r="DQ24" i="11"/>
  <c r="BQ24" i="11"/>
  <c r="DU24" i="11"/>
  <c r="BU24" i="11"/>
  <c r="DY24" i="11"/>
  <c r="BY24" i="11"/>
  <c r="EC24" i="11"/>
  <c r="CC24" i="11"/>
  <c r="EG24" i="11"/>
  <c r="DH17" i="11"/>
  <c r="DI17" i="11"/>
  <c r="DJ17" i="11"/>
  <c r="AA6" i="6"/>
  <c r="AE6" i="6"/>
  <c r="AJ1" i="6" s="1"/>
  <c r="N6" i="6"/>
  <c r="V6" i="6"/>
  <c r="U6" i="6"/>
  <c r="P6" i="6"/>
  <c r="AC6" i="6"/>
  <c r="R6" i="6"/>
  <c r="Y6" i="6"/>
  <c r="X6" i="6"/>
  <c r="W6" i="6"/>
  <c r="T6" i="6"/>
  <c r="S6" i="6"/>
  <c r="AG6" i="6"/>
  <c r="AL1" i="6" s="1"/>
  <c r="AH6" i="6"/>
  <c r="AH105" i="6" s="1"/>
  <c r="Q6" i="6"/>
  <c r="AF6" i="6"/>
  <c r="AF106" i="6" s="1"/>
  <c r="AD6" i="6"/>
  <c r="O6" i="6"/>
  <c r="M6" i="6"/>
  <c r="AB6" i="6"/>
  <c r="L6" i="6"/>
  <c r="Z6" i="6"/>
  <c r="K6" i="6"/>
  <c r="AP5" i="3"/>
  <c r="AO5" i="3"/>
  <c r="AO96" i="6" s="1"/>
  <c r="AN5" i="3"/>
  <c r="BC6" i="2"/>
  <c r="BT34" i="11"/>
  <c r="BG118" i="11"/>
  <c r="BK118" i="11"/>
  <c r="BG26" i="11"/>
  <c r="BH38" i="11"/>
  <c r="BL38" i="11"/>
  <c r="BE98" i="11"/>
  <c r="BQ98" i="11"/>
  <c r="BY98" i="11"/>
  <c r="AU78" i="11"/>
  <c r="BT108" i="11"/>
  <c r="BL114" i="11"/>
  <c r="BP114" i="11"/>
  <c r="CB114" i="11"/>
  <c r="BT26" i="11"/>
  <c r="BJ26" i="11"/>
  <c r="BK34" i="11"/>
  <c r="BO34" i="11"/>
  <c r="BS34" i="11"/>
  <c r="BW34" i="11"/>
  <c r="BC105" i="11"/>
  <c r="BN108" i="11"/>
  <c r="BR108" i="11"/>
  <c r="BB105" i="11"/>
  <c r="BB111" i="11"/>
  <c r="BB114" i="11"/>
  <c r="BB129" i="11"/>
  <c r="BO129" i="11"/>
  <c r="BY133" i="11"/>
  <c r="BM122" i="11"/>
  <c r="BQ122" i="11"/>
  <c r="BY122" i="11"/>
  <c r="BB108" i="11"/>
  <c r="BN105" i="11"/>
  <c r="BG43" i="11"/>
  <c r="BK43" i="11"/>
  <c r="BO43" i="11"/>
  <c r="BW43" i="11"/>
  <c r="CA43" i="11"/>
  <c r="CE43" i="11"/>
  <c r="BB38" i="11"/>
  <c r="BI34" i="11"/>
  <c r="BY34" i="11"/>
  <c r="BN58" i="11"/>
  <c r="BD108" i="11"/>
  <c r="BL108" i="11"/>
  <c r="BL88" i="11"/>
  <c r="BX88" i="11"/>
  <c r="BF98" i="11"/>
  <c r="BP98" i="11"/>
  <c r="BD105" i="11"/>
  <c r="BH105" i="11"/>
  <c r="BL105" i="11"/>
  <c r="BP105" i="11"/>
  <c r="BT105" i="11"/>
  <c r="BX105" i="11"/>
  <c r="CB105" i="11"/>
  <c r="BF105" i="11"/>
  <c r="BJ105" i="11"/>
  <c r="BR105" i="11"/>
  <c r="BV105" i="11"/>
  <c r="BZ105" i="11"/>
  <c r="CD105" i="11"/>
  <c r="BC114" i="11"/>
  <c r="BG114" i="11"/>
  <c r="BK114" i="11"/>
  <c r="BO114" i="11"/>
  <c r="BS114" i="11"/>
  <c r="BW114" i="11"/>
  <c r="CA114" i="11"/>
  <c r="CE114" i="11"/>
  <c r="BE114" i="11"/>
  <c r="BM114" i="11"/>
  <c r="BQ114" i="11"/>
  <c r="BU114" i="11"/>
  <c r="BY114" i="11"/>
  <c r="CC114" i="11"/>
  <c r="BP122" i="11"/>
  <c r="BJ133" i="11"/>
  <c r="BR133" i="11"/>
  <c r="CD133" i="11"/>
  <c r="BC137" i="11"/>
  <c r="BG137" i="11"/>
  <c r="BK137" i="11"/>
  <c r="BO137" i="11"/>
  <c r="BS137" i="11"/>
  <c r="BW137" i="11"/>
  <c r="K13" i="11"/>
  <c r="BB26" i="11"/>
  <c r="BB43" i="11"/>
  <c r="BS74" i="11"/>
  <c r="BO108" i="11"/>
  <c r="BS108" i="11"/>
  <c r="BC111" i="11"/>
  <c r="BG111" i="11"/>
  <c r="BO111" i="11"/>
  <c r="BW111" i="11"/>
  <c r="CE111" i="11"/>
  <c r="BO118" i="11"/>
  <c r="BI118" i="11"/>
  <c r="BM118" i="11"/>
  <c r="BW133" i="11"/>
  <c r="K78" i="11"/>
  <c r="BL17" i="11"/>
  <c r="BD38" i="11"/>
  <c r="BL43" i="11"/>
  <c r="BJ111" i="11"/>
  <c r="BD118" i="11"/>
  <c r="BH118" i="11"/>
  <c r="BL118" i="11"/>
  <c r="BP118" i="11"/>
  <c r="BT118" i="11"/>
  <c r="BX118" i="11"/>
  <c r="CB118" i="11"/>
  <c r="BL122" i="11"/>
  <c r="BT122" i="11"/>
  <c r="BJ129" i="11"/>
  <c r="S78" i="11"/>
  <c r="AG13" i="11"/>
  <c r="BB34" i="11"/>
  <c r="BN26" i="11"/>
  <c r="CD26" i="11"/>
  <c r="BJ17" i="11"/>
  <c r="BQ26" i="11"/>
  <c r="BU26" i="11"/>
  <c r="BK26" i="11"/>
  <c r="BO26" i="11"/>
  <c r="BQ34" i="11"/>
  <c r="BP38" i="11"/>
  <c r="BT38" i="11"/>
  <c r="BX38" i="11"/>
  <c r="CB38" i="11"/>
  <c r="BF58" i="11"/>
  <c r="BJ58" i="11"/>
  <c r="BR58" i="11"/>
  <c r="BV58" i="11"/>
  <c r="BZ58" i="11"/>
  <c r="CD58" i="11"/>
  <c r="BL58" i="11"/>
  <c r="BT58" i="11"/>
  <c r="BB74" i="11"/>
  <c r="BD74" i="11"/>
  <c r="BH74" i="11"/>
  <c r="BL74" i="11"/>
  <c r="BP74" i="11"/>
  <c r="BT74" i="11"/>
  <c r="BX74" i="11"/>
  <c r="CB74" i="11"/>
  <c r="BV74" i="11"/>
  <c r="BB88" i="11"/>
  <c r="BB122" i="11"/>
  <c r="BB133" i="11"/>
  <c r="BB137" i="11"/>
  <c r="BH88" i="11"/>
  <c r="BP88" i="11"/>
  <c r="CB88" i="11"/>
  <c r="BF88" i="11"/>
  <c r="BJ88" i="11"/>
  <c r="BR88" i="11"/>
  <c r="BV88" i="11"/>
  <c r="BC98" i="11"/>
  <c r="BG98" i="11"/>
  <c r="BK98" i="11"/>
  <c r="BI98" i="11"/>
  <c r="BS105" i="11"/>
  <c r="BH108" i="11"/>
  <c r="BP108" i="11"/>
  <c r="BX108" i="11"/>
  <c r="CB108" i="11"/>
  <c r="BF108" i="11"/>
  <c r="BJ108" i="11"/>
  <c r="BJ122" i="11"/>
  <c r="BI129" i="11"/>
  <c r="BM129" i="11"/>
  <c r="BZ133" i="11"/>
  <c r="BK17" i="11"/>
  <c r="BF26" i="11"/>
  <c r="BR26" i="11"/>
  <c r="BV26" i="11"/>
  <c r="BZ26" i="11"/>
  <c r="BF34" i="11"/>
  <c r="BJ34" i="11"/>
  <c r="BN34" i="11"/>
  <c r="BR34" i="11"/>
  <c r="BV34" i="11"/>
  <c r="BZ34" i="11"/>
  <c r="CD34" i="11"/>
  <c r="BD34" i="11"/>
  <c r="BL34" i="11"/>
  <c r="BI38" i="11"/>
  <c r="BQ38" i="11"/>
  <c r="BY38" i="11"/>
  <c r="CC58" i="11"/>
  <c r="BM88" i="11"/>
  <c r="BD98" i="11"/>
  <c r="BH98" i="11"/>
  <c r="BJ98" i="11"/>
  <c r="BM108" i="11"/>
  <c r="BY108" i="11"/>
  <c r="BF111" i="11"/>
  <c r="BN111" i="11"/>
  <c r="BR111" i="11"/>
  <c r="BV111" i="11"/>
  <c r="BZ111" i="11"/>
  <c r="CD111" i="11"/>
  <c r="BD114" i="11"/>
  <c r="BX114" i="11"/>
  <c r="BF118" i="11"/>
  <c r="BJ118" i="11"/>
  <c r="BN118" i="11"/>
  <c r="BC122" i="11"/>
  <c r="BG122" i="11"/>
  <c r="BK122" i="11"/>
  <c r="BO122" i="11"/>
  <c r="BS122" i="11"/>
  <c r="BW122" i="11"/>
  <c r="BE122" i="11"/>
  <c r="BI122" i="11"/>
  <c r="BU122" i="11"/>
  <c r="CC122" i="11"/>
  <c r="BF129" i="11"/>
  <c r="BN129" i="11"/>
  <c r="BR129" i="11"/>
  <c r="BV129" i="11"/>
  <c r="BZ129" i="11"/>
  <c r="CD129" i="11"/>
  <c r="BG133" i="11"/>
  <c r="CE133" i="11"/>
  <c r="BH34" i="11"/>
  <c r="CB34" i="11"/>
  <c r="BE43" i="11"/>
  <c r="BI43" i="11"/>
  <c r="BD58" i="11"/>
  <c r="BH58" i="11"/>
  <c r="BP58" i="11"/>
  <c r="CB58" i="11"/>
  <c r="BN88" i="11"/>
  <c r="BZ88" i="11"/>
  <c r="CD88" i="11"/>
  <c r="BE105" i="11"/>
  <c r="BI105" i="11"/>
  <c r="BM105" i="11"/>
  <c r="BQ105" i="11"/>
  <c r="BU105" i="11"/>
  <c r="BY105" i="11"/>
  <c r="CC105" i="11"/>
  <c r="BK105" i="11"/>
  <c r="BO105" i="11"/>
  <c r="CA105" i="11"/>
  <c r="BY118" i="11"/>
  <c r="BD122" i="11"/>
  <c r="BH122" i="11"/>
  <c r="BX122" i="11"/>
  <c r="CB122" i="11"/>
  <c r="BG129" i="11"/>
  <c r="BW129" i="11"/>
  <c r="CE129" i="11"/>
  <c r="BF133" i="11"/>
  <c r="BN133" i="11"/>
  <c r="BV133" i="11"/>
  <c r="BD17" i="11"/>
  <c r="BH17" i="11"/>
  <c r="BP17" i="11"/>
  <c r="BT17" i="11"/>
  <c r="BX17" i="11"/>
  <c r="CB17" i="11"/>
  <c r="BN17" i="11"/>
  <c r="BE26" i="11"/>
  <c r="BI26" i="11"/>
  <c r="BM26" i="11"/>
  <c r="BY26" i="11"/>
  <c r="CC26" i="11"/>
  <c r="BC26" i="11"/>
  <c r="BF43" i="11"/>
  <c r="BJ43" i="11"/>
  <c r="BN43" i="11"/>
  <c r="BR43" i="11"/>
  <c r="BV43" i="11"/>
  <c r="BZ43" i="11"/>
  <c r="CD43" i="11"/>
  <c r="BD43" i="11"/>
  <c r="BI58" i="11"/>
  <c r="BQ58" i="11"/>
  <c r="BY58" i="11"/>
  <c r="BM58" i="11"/>
  <c r="BG74" i="11"/>
  <c r="BK74" i="11"/>
  <c r="BW74" i="11"/>
  <c r="CA74" i="11"/>
  <c r="CE74" i="11"/>
  <c r="BC88" i="11"/>
  <c r="BG88" i="11"/>
  <c r="BK88" i="11"/>
  <c r="BO88" i="11"/>
  <c r="BS88" i="11"/>
  <c r="BW88" i="11"/>
  <c r="CA88" i="11"/>
  <c r="CE88" i="11"/>
  <c r="BE88" i="11"/>
  <c r="BU88" i="11"/>
  <c r="BY88" i="11"/>
  <c r="CC88" i="11"/>
  <c r="BL98" i="11"/>
  <c r="BT98" i="11"/>
  <c r="BX98" i="11"/>
  <c r="CB98" i="11"/>
  <c r="BE111" i="11"/>
  <c r="BI111" i="11"/>
  <c r="BM111" i="11"/>
  <c r="BF74" i="11"/>
  <c r="BJ74" i="11"/>
  <c r="BZ74" i="11"/>
  <c r="CD74" i="11"/>
  <c r="BX43" i="11"/>
  <c r="BC17" i="11"/>
  <c r="BG17" i="11"/>
  <c r="BO17" i="11"/>
  <c r="BS17" i="11"/>
  <c r="BW17" i="11"/>
  <c r="CA17" i="11"/>
  <c r="CE17" i="11"/>
  <c r="BD26" i="11"/>
  <c r="BH26" i="11"/>
  <c r="BL26" i="11"/>
  <c r="BP26" i="11"/>
  <c r="BP34" i="11"/>
  <c r="BX34" i="11"/>
  <c r="BX58" i="11"/>
  <c r="BV108" i="11"/>
  <c r="BZ108" i="11"/>
  <c r="CD108" i="11"/>
  <c r="BH114" i="11"/>
  <c r="BT114" i="11"/>
  <c r="BR118" i="11"/>
  <c r="BV118" i="11"/>
  <c r="BZ118" i="11"/>
  <c r="CD118" i="11"/>
  <c r="BC34" i="11"/>
  <c r="BG34" i="11"/>
  <c r="CA34" i="11"/>
  <c r="CE34" i="11"/>
  <c r="BC58" i="11"/>
  <c r="BG58" i="11"/>
  <c r="BK58" i="11"/>
  <c r="BO58" i="11"/>
  <c r="BS58" i="11"/>
  <c r="BW58" i="11"/>
  <c r="CA58" i="11"/>
  <c r="CE58" i="11"/>
  <c r="BI88" i="11"/>
  <c r="BQ88" i="11"/>
  <c r="BG105" i="11"/>
  <c r="BW105" i="11"/>
  <c r="CE105" i="11"/>
  <c r="BC108" i="11"/>
  <c r="BG108" i="11"/>
  <c r="BK108" i="11"/>
  <c r="BW108" i="11"/>
  <c r="CA108" i="11"/>
  <c r="CE108" i="11"/>
  <c r="BE108" i="11"/>
  <c r="BI108" i="11"/>
  <c r="BQ108" i="11"/>
  <c r="BU108" i="11"/>
  <c r="CC108" i="11"/>
  <c r="BD111" i="11"/>
  <c r="BI114" i="11"/>
  <c r="BC118" i="11"/>
  <c r="BS118" i="11"/>
  <c r="BW118" i="11"/>
  <c r="CA118" i="11"/>
  <c r="CE118" i="11"/>
  <c r="BE118" i="11"/>
  <c r="BQ118" i="11"/>
  <c r="BU118" i="11"/>
  <c r="CC118" i="11"/>
  <c r="BF122" i="11"/>
  <c r="BN122" i="11"/>
  <c r="BR122" i="11"/>
  <c r="BV122" i="11"/>
  <c r="BZ122" i="11"/>
  <c r="CD122" i="11"/>
  <c r="BE129" i="11"/>
  <c r="BQ129" i="11"/>
  <c r="BE133" i="11"/>
  <c r="BI133" i="11"/>
  <c r="BM133" i="11"/>
  <c r="BQ133" i="11"/>
  <c r="BU133" i="11"/>
  <c r="CC133" i="11"/>
  <c r="BC133" i="11"/>
  <c r="BK133" i="11"/>
  <c r="BO133" i="11"/>
  <c r="BS133" i="11"/>
  <c r="CA133" i="11"/>
  <c r="BD137" i="11"/>
  <c r="BH137" i="11"/>
  <c r="BL137" i="11"/>
  <c r="BP137" i="11"/>
  <c r="BT137" i="11"/>
  <c r="BX137" i="11"/>
  <c r="CB137" i="11"/>
  <c r="BS26" i="11"/>
  <c r="BW26" i="11"/>
  <c r="CA26" i="11"/>
  <c r="CE26" i="11"/>
  <c r="BD88" i="11"/>
  <c r="BT88" i="11"/>
  <c r="BO98" i="11"/>
  <c r="BS98" i="11"/>
  <c r="BW98" i="11"/>
  <c r="CA98" i="11"/>
  <c r="CE98" i="11"/>
  <c r="BM98" i="11"/>
  <c r="BU98" i="11"/>
  <c r="CC98" i="11"/>
  <c r="CA137" i="11"/>
  <c r="BE17" i="11"/>
  <c r="BF17" i="11"/>
  <c r="BR17" i="11"/>
  <c r="BV17" i="11"/>
  <c r="BZ17" i="11"/>
  <c r="CD17" i="11"/>
  <c r="BI17" i="11"/>
  <c r="BM17" i="11"/>
  <c r="BQ17" i="11"/>
  <c r="BU17" i="11"/>
  <c r="BY17" i="11"/>
  <c r="CC17" i="11"/>
  <c r="N5" i="12"/>
  <c r="M5" i="12"/>
  <c r="O5" i="12"/>
  <c r="N10" i="12"/>
  <c r="P4" i="12"/>
  <c r="E29" i="12" s="1"/>
  <c r="O10" i="12"/>
  <c r="Q13" i="11"/>
  <c r="AW13" i="11"/>
  <c r="Y78" i="11"/>
  <c r="L78" i="11"/>
  <c r="T78" i="11"/>
  <c r="BX26" i="11"/>
  <c r="CB26" i="11"/>
  <c r="V13" i="11"/>
  <c r="AL13" i="11"/>
  <c r="AA13" i="11"/>
  <c r="AQ13" i="11"/>
  <c r="BB17" i="11"/>
  <c r="BE34" i="11"/>
  <c r="BM34" i="11"/>
  <c r="BU34" i="11"/>
  <c r="CC34" i="11"/>
  <c r="BF38" i="11"/>
  <c r="BJ38" i="11"/>
  <c r="BN38" i="11"/>
  <c r="BR38" i="11"/>
  <c r="BV38" i="11"/>
  <c r="BZ38" i="11"/>
  <c r="CD38" i="11"/>
  <c r="AE78" i="11"/>
  <c r="BC38" i="11"/>
  <c r="BG38" i="11"/>
  <c r="BK38" i="11"/>
  <c r="BO38" i="11"/>
  <c r="BS38" i="11"/>
  <c r="BW38" i="11"/>
  <c r="CA38" i="11"/>
  <c r="CE38" i="11"/>
  <c r="BE38" i="11"/>
  <c r="BM38" i="11"/>
  <c r="BU38" i="11"/>
  <c r="CC38" i="11"/>
  <c r="BH43" i="11"/>
  <c r="BP43" i="11"/>
  <c r="BT43" i="11"/>
  <c r="CB43" i="11"/>
  <c r="BE58" i="11"/>
  <c r="BU58" i="11"/>
  <c r="BN74" i="11"/>
  <c r="BR74" i="11"/>
  <c r="CE137" i="11"/>
  <c r="BE74" i="11"/>
  <c r="BI74" i="11"/>
  <c r="BM74" i="11"/>
  <c r="BQ74" i="11"/>
  <c r="BU74" i="11"/>
  <c r="BY74" i="11"/>
  <c r="CC74" i="11"/>
  <c r="BC74" i="11"/>
  <c r="BO74" i="11"/>
  <c r="BB118" i="11"/>
  <c r="BN98" i="11"/>
  <c r="BR98" i="11"/>
  <c r="BV98" i="11"/>
  <c r="BZ98" i="11"/>
  <c r="CD98" i="11"/>
  <c r="BH111" i="11"/>
  <c r="BL111" i="11"/>
  <c r="BP111" i="11"/>
  <c r="BT111" i="11"/>
  <c r="BX111" i="11"/>
  <c r="CB111" i="11"/>
  <c r="CA122" i="11"/>
  <c r="CE122" i="11"/>
  <c r="BD129" i="11"/>
  <c r="BH129" i="11"/>
  <c r="BL129" i="11"/>
  <c r="BP129" i="11"/>
  <c r="BT129" i="11"/>
  <c r="BX129" i="11"/>
  <c r="CB129" i="11"/>
  <c r="BM43" i="11"/>
  <c r="BQ43" i="11"/>
  <c r="BU43" i="11"/>
  <c r="BY43" i="11"/>
  <c r="CC43" i="11"/>
  <c r="BC43" i="11"/>
  <c r="BS43" i="11"/>
  <c r="BQ111" i="11"/>
  <c r="BU111" i="11"/>
  <c r="BY111" i="11"/>
  <c r="CC111" i="11"/>
  <c r="BK111" i="11"/>
  <c r="BS111" i="11"/>
  <c r="CA111" i="11"/>
  <c r="BF114" i="11"/>
  <c r="BJ114" i="11"/>
  <c r="BN114" i="11"/>
  <c r="BR114" i="11"/>
  <c r="BV114" i="11"/>
  <c r="BZ114" i="11"/>
  <c r="CD114" i="11"/>
  <c r="BU129" i="11"/>
  <c r="BY129" i="11"/>
  <c r="CC129" i="11"/>
  <c r="BC129" i="11"/>
  <c r="BK129" i="11"/>
  <c r="BS129" i="11"/>
  <c r="CA129" i="11"/>
  <c r="BD133" i="11"/>
  <c r="BH133" i="11"/>
  <c r="BL133" i="11"/>
  <c r="BP133" i="11"/>
  <c r="BT133" i="11"/>
  <c r="BX133" i="11"/>
  <c r="CB133" i="11"/>
  <c r="BB98" i="11"/>
  <c r="BB58" i="11"/>
  <c r="O13" i="11"/>
  <c r="AE13" i="11"/>
  <c r="M13" i="11"/>
  <c r="U13" i="11"/>
  <c r="AC13" i="11"/>
  <c r="AK13" i="11"/>
  <c r="AS13" i="11"/>
  <c r="BA13" i="11"/>
  <c r="Z78" i="11"/>
  <c r="AD78" i="11"/>
  <c r="AH78" i="11"/>
  <c r="AL78" i="11"/>
  <c r="AP78" i="11"/>
  <c r="AT78" i="11"/>
  <c r="AX78" i="11"/>
  <c r="AI78" i="11"/>
  <c r="AY78" i="11"/>
  <c r="W13" i="11"/>
  <c r="AU13" i="11"/>
  <c r="AU5" i="11" s="1"/>
  <c r="AU143" i="11" s="1"/>
  <c r="I13" i="11"/>
  <c r="Y13" i="11"/>
  <c r="AO13" i="11"/>
  <c r="S13" i="11"/>
  <c r="AI13" i="11"/>
  <c r="AY13" i="11"/>
  <c r="I78" i="11"/>
  <c r="M78" i="11"/>
  <c r="Q78" i="11"/>
  <c r="U78" i="11"/>
  <c r="O78" i="11"/>
  <c r="W78" i="11"/>
  <c r="AA78" i="11"/>
  <c r="AM78" i="11"/>
  <c r="AQ78" i="11"/>
  <c r="F78" i="11"/>
  <c r="P78" i="11"/>
  <c r="AM13" i="11"/>
  <c r="J13" i="11"/>
  <c r="N13" i="11"/>
  <c r="R13" i="11"/>
  <c r="Z13" i="11"/>
  <c r="AD13" i="11"/>
  <c r="AH13" i="11"/>
  <c r="AP13" i="11"/>
  <c r="AT13" i="11"/>
  <c r="AX13" i="11"/>
  <c r="F13" i="11"/>
  <c r="L13" i="11"/>
  <c r="P13" i="11"/>
  <c r="T13" i="11"/>
  <c r="X13" i="11"/>
  <c r="AB13" i="11"/>
  <c r="AF13" i="11"/>
  <c r="AJ13" i="11"/>
  <c r="AN13" i="11"/>
  <c r="AR13" i="11"/>
  <c r="AV13" i="11"/>
  <c r="AZ13" i="11"/>
  <c r="J78" i="11"/>
  <c r="N78" i="11"/>
  <c r="R78" i="11"/>
  <c r="V78" i="11"/>
  <c r="AC78" i="11"/>
  <c r="AG78" i="11"/>
  <c r="AK78" i="11"/>
  <c r="AO78" i="11"/>
  <c r="AO5" i="11" s="1"/>
  <c r="AS78" i="11"/>
  <c r="AW78" i="11"/>
  <c r="BA78" i="11"/>
  <c r="X78" i="11"/>
  <c r="AB78" i="11"/>
  <c r="AF78" i="11"/>
  <c r="AJ78" i="11"/>
  <c r="AN78" i="11"/>
  <c r="AR78" i="11"/>
  <c r="AV78" i="11"/>
  <c r="AZ78" i="11"/>
  <c r="U11" i="10"/>
  <c r="U6" i="10"/>
  <c r="T11" i="10"/>
  <c r="G141" i="8"/>
  <c r="G102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G47" i="8" s="1"/>
  <c r="G67" i="8" s="1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G8" i="8" s="1"/>
  <c r="F7" i="8"/>
  <c r="I3" i="3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BB3" i="3" s="1"/>
  <c r="BC3" i="3" s="1"/>
  <c r="BD3" i="3" s="1"/>
  <c r="BE3" i="3" s="1"/>
  <c r="BF3" i="3" s="1"/>
  <c r="BG3" i="3" s="1"/>
  <c r="BH3" i="3" s="1"/>
  <c r="BI3" i="3" s="1"/>
  <c r="BJ3" i="3" s="1"/>
  <c r="BK3" i="3" s="1"/>
  <c r="BL3" i="3" s="1"/>
  <c r="BM3" i="3" s="1"/>
  <c r="BN3" i="3" s="1"/>
  <c r="BO3" i="3" s="1"/>
  <c r="BP3" i="3" s="1"/>
  <c r="BQ3" i="3" s="1"/>
  <c r="BR3" i="3" s="1"/>
  <c r="BS3" i="3" s="1"/>
  <c r="BT3" i="3" s="1"/>
  <c r="BU3" i="3" s="1"/>
  <c r="BV3" i="3" s="1"/>
  <c r="BW3" i="3" s="1"/>
  <c r="BX3" i="3" s="1"/>
  <c r="BY3" i="3" s="1"/>
  <c r="BZ3" i="3" s="1"/>
  <c r="CA3" i="3" s="1"/>
  <c r="CB3" i="3" s="1"/>
  <c r="CC3" i="3" s="1"/>
  <c r="CD3" i="3" s="1"/>
  <c r="CE3" i="3" s="1"/>
  <c r="CF3" i="3" s="1"/>
  <c r="CG3" i="3" s="1"/>
  <c r="CH3" i="3" s="1"/>
  <c r="CI3" i="3" s="1"/>
  <c r="CJ3" i="3" s="1"/>
  <c r="CK3" i="3" s="1"/>
  <c r="CL3" i="3" s="1"/>
  <c r="CM3" i="3" s="1"/>
  <c r="CN3" i="3" s="1"/>
  <c r="CO3" i="3" s="1"/>
  <c r="CP3" i="3" s="1"/>
  <c r="G45" i="4"/>
  <c r="G91" i="4" s="1"/>
  <c r="G92" i="4" s="1"/>
  <c r="G6" i="4"/>
  <c r="G26" i="4" s="1"/>
  <c r="G29" i="4" s="1"/>
  <c r="T105" i="6" l="1"/>
  <c r="T106" i="6"/>
  <c r="L105" i="6"/>
  <c r="L106" i="6"/>
  <c r="X105" i="6"/>
  <c r="X106" i="6"/>
  <c r="P105" i="6"/>
  <c r="P106" i="6"/>
  <c r="AB105" i="6"/>
  <c r="AB106" i="6"/>
  <c r="AV103" i="6"/>
  <c r="AR104" i="6"/>
  <c r="BD103" i="6"/>
  <c r="AN115" i="6"/>
  <c r="AZ103" i="6"/>
  <c r="BL95" i="3"/>
  <c r="BL96" i="3"/>
  <c r="BL96" i="6"/>
  <c r="BH115" i="6"/>
  <c r="BH116" i="6"/>
  <c r="AZ116" i="6"/>
  <c r="AZ115" i="6"/>
  <c r="BH109" i="6"/>
  <c r="BH110" i="6"/>
  <c r="BF95" i="3"/>
  <c r="BF96" i="6"/>
  <c r="BF103" i="6" s="1"/>
  <c r="CN95" i="3"/>
  <c r="CN96" i="3"/>
  <c r="CF95" i="3"/>
  <c r="CF96" i="3"/>
  <c r="BH96" i="3"/>
  <c r="BH95" i="3"/>
  <c r="BH96" i="6"/>
  <c r="AR115" i="6"/>
  <c r="AR116" i="6"/>
  <c r="AV116" i="6"/>
  <c r="AV115" i="6"/>
  <c r="BX95" i="3"/>
  <c r="BX96" i="3"/>
  <c r="BL116" i="6"/>
  <c r="BL115" i="6"/>
  <c r="BL109" i="6"/>
  <c r="BL110" i="6"/>
  <c r="BJ95" i="3"/>
  <c r="BJ96" i="6"/>
  <c r="BJ103" i="6" s="1"/>
  <c r="CB95" i="3"/>
  <c r="CB96" i="3"/>
  <c r="BD115" i="6"/>
  <c r="BD116" i="6"/>
  <c r="BT95" i="3"/>
  <c r="BT96" i="3"/>
  <c r="CJ95" i="3"/>
  <c r="CJ96" i="3"/>
  <c r="BP95" i="3"/>
  <c r="BP96" i="3"/>
  <c r="AN110" i="6"/>
  <c r="AP96" i="6"/>
  <c r="AP103" i="6" s="1"/>
  <c r="AP95" i="3"/>
  <c r="AN96" i="6"/>
  <c r="AN103" i="6" s="1"/>
  <c r="AN95" i="3"/>
  <c r="AN96" i="3"/>
  <c r="EA88" i="11"/>
  <c r="DL88" i="11"/>
  <c r="DL78" i="11" s="1"/>
  <c r="DF88" i="11"/>
  <c r="DF78" i="11" s="1"/>
  <c r="DF5" i="11" s="1"/>
  <c r="DF144" i="2" s="1"/>
  <c r="DY13" i="11"/>
  <c r="EI88" i="11"/>
  <c r="DS88" i="11"/>
  <c r="ED88" i="11"/>
  <c r="EC88" i="11"/>
  <c r="EC78" i="11" s="1"/>
  <c r="DX88" i="11"/>
  <c r="DH88" i="11"/>
  <c r="DH78" i="11" s="1"/>
  <c r="EE88" i="11"/>
  <c r="EE78" i="11" s="1"/>
  <c r="DZ88" i="11"/>
  <c r="DZ78" i="11" s="1"/>
  <c r="DK88" i="11"/>
  <c r="DV88" i="11"/>
  <c r="DO88" i="11"/>
  <c r="DM13" i="11"/>
  <c r="EC13" i="11"/>
  <c r="DU13" i="11"/>
  <c r="DP88" i="11"/>
  <c r="DM88" i="11"/>
  <c r="DM78" i="11" s="1"/>
  <c r="DM5" i="11" s="1"/>
  <c r="DW88" i="11"/>
  <c r="DG88" i="11"/>
  <c r="DG78" i="11" s="1"/>
  <c r="DN88" i="11"/>
  <c r="DN78" i="11" s="1"/>
  <c r="EG88" i="11"/>
  <c r="EG78" i="11" s="1"/>
  <c r="DQ88" i="11"/>
  <c r="DT88" i="11"/>
  <c r="DY88" i="11"/>
  <c r="DY78" i="11" s="1"/>
  <c r="EH88" i="11"/>
  <c r="EH78" i="11" s="1"/>
  <c r="DR88" i="11"/>
  <c r="EG13" i="11"/>
  <c r="EH13" i="11"/>
  <c r="DJ88" i="11"/>
  <c r="DJ78" i="11" s="1"/>
  <c r="DI88" i="11"/>
  <c r="EB88" i="11"/>
  <c r="EB78" i="11" s="1"/>
  <c r="EF88" i="11"/>
  <c r="EF78" i="11" s="1"/>
  <c r="AD101" i="6"/>
  <c r="AD105" i="6"/>
  <c r="AF102" i="6"/>
  <c r="AF105" i="6"/>
  <c r="R101" i="6"/>
  <c r="R105" i="6"/>
  <c r="V101" i="6"/>
  <c r="V105" i="6"/>
  <c r="Z101" i="6"/>
  <c r="Z105" i="6"/>
  <c r="N101" i="6"/>
  <c r="N105" i="6"/>
  <c r="X101" i="6"/>
  <c r="X102" i="6"/>
  <c r="AB101" i="6"/>
  <c r="AB102" i="6"/>
  <c r="L101" i="6"/>
  <c r="L102" i="6"/>
  <c r="P101" i="6"/>
  <c r="P102" i="6"/>
  <c r="T101" i="6"/>
  <c r="T102" i="6"/>
  <c r="AM1" i="6"/>
  <c r="AH101" i="6"/>
  <c r="AK1" i="6"/>
  <c r="AF101" i="6"/>
  <c r="DI78" i="11"/>
  <c r="DQ78" i="11"/>
  <c r="DU78" i="11"/>
  <c r="DQ13" i="11"/>
  <c r="DV78" i="11"/>
  <c r="DX78" i="11"/>
  <c r="DP78" i="11"/>
  <c r="DW78" i="11"/>
  <c r="DO78" i="11"/>
  <c r="ED78" i="11"/>
  <c r="DR78" i="11"/>
  <c r="DT78" i="11"/>
  <c r="EI78" i="11"/>
  <c r="EA78" i="11"/>
  <c r="DS78" i="11"/>
  <c r="DK78" i="11"/>
  <c r="EF13" i="11"/>
  <c r="DP13" i="11"/>
  <c r="DW13" i="11"/>
  <c r="DO13" i="11"/>
  <c r="DZ13" i="11"/>
  <c r="DI13" i="11"/>
  <c r="DX13" i="11"/>
  <c r="EE13" i="11"/>
  <c r="DG13" i="11"/>
  <c r="DR13" i="11"/>
  <c r="DJ13" i="11"/>
  <c r="EI13" i="11"/>
  <c r="EA13" i="11"/>
  <c r="DS13" i="11"/>
  <c r="DK13" i="11"/>
  <c r="EB13" i="11"/>
  <c r="DT13" i="11"/>
  <c r="DL13" i="11"/>
  <c r="ED13" i="11"/>
  <c r="DV13" i="11"/>
  <c r="DN13" i="11"/>
  <c r="DH13" i="11"/>
  <c r="AO143" i="11"/>
  <c r="AO144" i="11"/>
  <c r="BC149" i="2"/>
  <c r="BC151" i="2"/>
  <c r="AT5" i="11"/>
  <c r="AU2" i="11" s="1"/>
  <c r="K5" i="11"/>
  <c r="K143" i="11" s="1"/>
  <c r="AW5" i="11"/>
  <c r="AK5" i="11"/>
  <c r="AA3" i="6"/>
  <c r="AA1" i="6"/>
  <c r="AI3" i="6"/>
  <c r="AJ2" i="6"/>
  <c r="AF3" i="6"/>
  <c r="AF1" i="6"/>
  <c r="Y1" i="6"/>
  <c r="Y3" i="6"/>
  <c r="Q1" i="6"/>
  <c r="Q3" i="6"/>
  <c r="R2" i="6"/>
  <c r="R3" i="6"/>
  <c r="R1" i="6"/>
  <c r="Z3" i="6"/>
  <c r="Z1" i="6"/>
  <c r="O3" i="6"/>
  <c r="O1" i="6"/>
  <c r="W3" i="6"/>
  <c r="W1" i="6"/>
  <c r="AC2" i="6"/>
  <c r="AC1" i="6"/>
  <c r="AC3" i="6"/>
  <c r="P2" i="6"/>
  <c r="N3" i="6"/>
  <c r="AB3" i="6"/>
  <c r="AB1" i="6"/>
  <c r="S3" i="6"/>
  <c r="S1" i="6"/>
  <c r="U1" i="6"/>
  <c r="U3" i="6"/>
  <c r="M3" i="6"/>
  <c r="T3" i="6"/>
  <c r="T1" i="6"/>
  <c r="V1" i="6"/>
  <c r="V3" i="6"/>
  <c r="L3" i="6"/>
  <c r="AD3" i="6"/>
  <c r="AD1" i="6"/>
  <c r="AI1" i="6"/>
  <c r="AG2" i="6"/>
  <c r="AG1" i="6"/>
  <c r="AG3" i="6"/>
  <c r="AI2" i="6"/>
  <c r="X3" i="6"/>
  <c r="X1" i="6"/>
  <c r="P3" i="6"/>
  <c r="P1" i="6"/>
  <c r="AE3" i="6"/>
  <c r="AE1" i="6"/>
  <c r="AH1" i="6"/>
  <c r="AH3" i="6"/>
  <c r="N2" i="6"/>
  <c r="W2" i="6"/>
  <c r="AE2" i="6"/>
  <c r="T2" i="6"/>
  <c r="Q2" i="6"/>
  <c r="AB2" i="6"/>
  <c r="AD2" i="6"/>
  <c r="V2" i="6"/>
  <c r="S2" i="6"/>
  <c r="AH2" i="6"/>
  <c r="Z2" i="6"/>
  <c r="X2" i="6"/>
  <c r="Y2" i="6"/>
  <c r="M2" i="6"/>
  <c r="O2" i="6"/>
  <c r="AF2" i="6"/>
  <c r="U2" i="6"/>
  <c r="AA2" i="6"/>
  <c r="BG1" i="2"/>
  <c r="BE2" i="2"/>
  <c r="Y5" i="11"/>
  <c r="S5" i="11"/>
  <c r="S143" i="11" s="1"/>
  <c r="AM5" i="11"/>
  <c r="AM143" i="11" s="1"/>
  <c r="J57" i="12"/>
  <c r="AA5" i="11"/>
  <c r="AA143" i="11" s="1"/>
  <c r="AL5" i="11"/>
  <c r="V5" i="11"/>
  <c r="T5" i="11"/>
  <c r="BA5" i="11"/>
  <c r="BG13" i="11"/>
  <c r="P5" i="11"/>
  <c r="AY5" i="11"/>
  <c r="AY143" i="11" s="1"/>
  <c r="AS5" i="11"/>
  <c r="W5" i="11"/>
  <c r="W143" i="11" s="1"/>
  <c r="M5" i="11"/>
  <c r="AI5" i="11"/>
  <c r="AI143" i="11" s="1"/>
  <c r="AG5" i="11"/>
  <c r="BT13" i="11"/>
  <c r="CA13" i="11"/>
  <c r="BK13" i="11"/>
  <c r="CD13" i="11"/>
  <c r="AE5" i="11"/>
  <c r="AE143" i="11" s="1"/>
  <c r="BJ78" i="11"/>
  <c r="BL13" i="11"/>
  <c r="J5" i="11"/>
  <c r="J2" i="11" s="1"/>
  <c r="Q5" i="11"/>
  <c r="G45" i="8"/>
  <c r="G140" i="8" s="1"/>
  <c r="BO78" i="11"/>
  <c r="BX13" i="11"/>
  <c r="L5" i="11"/>
  <c r="AQ5" i="11"/>
  <c r="AQ143" i="11" s="1"/>
  <c r="O5" i="11"/>
  <c r="O143" i="11" s="1"/>
  <c r="AD5" i="11"/>
  <c r="F5" i="11"/>
  <c r="AH5" i="11"/>
  <c r="BR78" i="11"/>
  <c r="CC13" i="11"/>
  <c r="BF13" i="11"/>
  <c r="BM78" i="11"/>
  <c r="BS78" i="11"/>
  <c r="CE78" i="11"/>
  <c r="BE78" i="11"/>
  <c r="R5" i="11"/>
  <c r="AX5" i="11"/>
  <c r="CD78" i="11"/>
  <c r="BC13" i="11"/>
  <c r="BP13" i="11"/>
  <c r="BQ13" i="11"/>
  <c r="BI78" i="11"/>
  <c r="BN13" i="11"/>
  <c r="BN78" i="11"/>
  <c r="BD13" i="11"/>
  <c r="CB13" i="11"/>
  <c r="BH13" i="11"/>
  <c r="BS13" i="11"/>
  <c r="BW78" i="11"/>
  <c r="BV78" i="11"/>
  <c r="BF78" i="11"/>
  <c r="BY13" i="11"/>
  <c r="BR13" i="11"/>
  <c r="BZ78" i="11"/>
  <c r="BK78" i="11"/>
  <c r="BQ78" i="11"/>
  <c r="BD78" i="11"/>
  <c r="BL78" i="11"/>
  <c r="BE13" i="11"/>
  <c r="BZ13" i="11"/>
  <c r="BJ13" i="11"/>
  <c r="BB78" i="11"/>
  <c r="BX78" i="11"/>
  <c r="BI13" i="11"/>
  <c r="CA78" i="11"/>
  <c r="BW13" i="11"/>
  <c r="BC78" i="11"/>
  <c r="BG78" i="11"/>
  <c r="CE13" i="11"/>
  <c r="BO13" i="11"/>
  <c r="CB78" i="11"/>
  <c r="CC78" i="11"/>
  <c r="BH78" i="11"/>
  <c r="BU13" i="11"/>
  <c r="BY78" i="11"/>
  <c r="BT78" i="11"/>
  <c r="BU78" i="11"/>
  <c r="BP78" i="11"/>
  <c r="BM13" i="11"/>
  <c r="BV13" i="11"/>
  <c r="BB13" i="11"/>
  <c r="AR5" i="11"/>
  <c r="I5" i="11"/>
  <c r="AN5" i="11"/>
  <c r="X5" i="11"/>
  <c r="AC5" i="11"/>
  <c r="AZ5" i="11"/>
  <c r="AJ5" i="11"/>
  <c r="U5" i="11"/>
  <c r="AV5" i="11"/>
  <c r="AV2" i="11" s="1"/>
  <c r="AF5" i="11"/>
  <c r="Z5" i="11"/>
  <c r="N5" i="11"/>
  <c r="AB5" i="11"/>
  <c r="AP5" i="11"/>
  <c r="G103" i="8"/>
  <c r="G139" i="8"/>
  <c r="G12" i="4"/>
  <c r="G13" i="4" s="1"/>
  <c r="G27" i="4"/>
  <c r="G108" i="8"/>
  <c r="G109" i="8" s="1"/>
  <c r="G120" i="8"/>
  <c r="G121" i="8" s="1"/>
  <c r="G155" i="8"/>
  <c r="G163" i="8"/>
  <c r="G179" i="8"/>
  <c r="G187" i="8"/>
  <c r="G17" i="4"/>
  <c r="G28" i="4"/>
  <c r="G113" i="8"/>
  <c r="G117" i="8"/>
  <c r="G137" i="8"/>
  <c r="G138" i="8" s="1"/>
  <c r="G30" i="4"/>
  <c r="G126" i="8"/>
  <c r="G153" i="8"/>
  <c r="G161" i="8"/>
  <c r="G158" i="8"/>
  <c r="G110" i="8"/>
  <c r="G164" i="8"/>
  <c r="G172" i="8"/>
  <c r="G144" i="8"/>
  <c r="G168" i="8"/>
  <c r="G142" i="8"/>
  <c r="G150" i="8"/>
  <c r="G122" i="8"/>
  <c r="G162" i="8"/>
  <c r="G183" i="8"/>
  <c r="G50" i="8"/>
  <c r="G70" i="8"/>
  <c r="G23" i="8"/>
  <c r="G118" i="8" s="1"/>
  <c r="G19" i="8"/>
  <c r="G20" i="8" s="1"/>
  <c r="G43" i="8"/>
  <c r="G44" i="8" s="1"/>
  <c r="G74" i="8"/>
  <c r="G75" i="8" s="1"/>
  <c r="G14" i="8"/>
  <c r="G15" i="8" s="1"/>
  <c r="G26" i="8"/>
  <c r="G27" i="8" s="1"/>
  <c r="G78" i="8"/>
  <c r="G82" i="8" s="1"/>
  <c r="G69" i="8"/>
  <c r="G68" i="8"/>
  <c r="G16" i="8"/>
  <c r="G111" i="8" s="1"/>
  <c r="G28" i="8"/>
  <c r="G125" i="8" s="1"/>
  <c r="G32" i="8"/>
  <c r="G133" i="8" s="1"/>
  <c r="G48" i="8"/>
  <c r="G49" i="8" s="1"/>
  <c r="G56" i="8"/>
  <c r="G152" i="8" s="1"/>
  <c r="G64" i="8"/>
  <c r="G160" i="8" s="1"/>
  <c r="G9" i="8"/>
  <c r="G105" i="8" s="1"/>
  <c r="G61" i="8"/>
  <c r="G157" i="8" s="1"/>
  <c r="G85" i="8"/>
  <c r="G181" i="8" s="1"/>
  <c r="G89" i="8"/>
  <c r="G186" i="8" s="1"/>
  <c r="G93" i="8"/>
  <c r="G59" i="8"/>
  <c r="G60" i="8" s="1"/>
  <c r="G48" i="4"/>
  <c r="G62" i="4"/>
  <c r="G76" i="4"/>
  <c r="G7" i="4"/>
  <c r="G21" i="4"/>
  <c r="G41" i="4"/>
  <c r="G42" i="4" s="1"/>
  <c r="G54" i="4"/>
  <c r="G65" i="4"/>
  <c r="G83" i="4"/>
  <c r="G24" i="4"/>
  <c r="G25" i="4" s="1"/>
  <c r="G43" i="4"/>
  <c r="G44" i="4" s="1"/>
  <c r="G57" i="4"/>
  <c r="G58" i="4" s="1"/>
  <c r="G68" i="4"/>
  <c r="G87" i="4"/>
  <c r="G14" i="4"/>
  <c r="G46" i="4"/>
  <c r="G47" i="4" s="1"/>
  <c r="G59" i="4"/>
  <c r="G72" i="4"/>
  <c r="H72" i="13"/>
  <c r="T24" i="13"/>
  <c r="D66" i="13"/>
  <c r="L66" i="10"/>
  <c r="L66" i="13"/>
  <c r="H33" i="13"/>
  <c r="H27" i="10"/>
  <c r="L73" i="10"/>
  <c r="D72" i="13"/>
  <c r="D73" i="13"/>
  <c r="L63" i="10"/>
  <c r="D51" i="9"/>
  <c r="J63" i="12"/>
  <c r="J50" i="9"/>
  <c r="H24" i="10"/>
  <c r="D36" i="13"/>
  <c r="L33" i="13"/>
  <c r="H63" i="10"/>
  <c r="D25" i="13"/>
  <c r="H64" i="10"/>
  <c r="L64" i="13"/>
  <c r="T6" i="13"/>
  <c r="T64" i="13"/>
  <c r="H73" i="10"/>
  <c r="Y5" i="13"/>
  <c r="P64" i="13"/>
  <c r="T46" i="13"/>
  <c r="P27" i="10"/>
  <c r="L75" i="10"/>
  <c r="T72" i="13"/>
  <c r="P16" i="10"/>
  <c r="H25" i="13"/>
  <c r="L63" i="13"/>
  <c r="P18" i="10"/>
  <c r="D24" i="9"/>
  <c r="D34" i="13"/>
  <c r="T54" i="13"/>
  <c r="P24" i="13"/>
  <c r="L25" i="10"/>
  <c r="P36" i="13"/>
  <c r="T45" i="13"/>
  <c r="H73" i="13"/>
  <c r="D34" i="10"/>
  <c r="H36" i="10"/>
  <c r="H75" i="13"/>
  <c r="T9" i="13"/>
  <c r="T55" i="13"/>
  <c r="D25" i="9"/>
  <c r="P48" i="10"/>
  <c r="T57" i="13"/>
  <c r="J62" i="12"/>
  <c r="P25" i="13"/>
  <c r="T33" i="13"/>
  <c r="J24" i="9"/>
  <c r="P15" i="10"/>
  <c r="T15" i="13"/>
  <c r="D27" i="13"/>
  <c r="H33" i="10"/>
  <c r="P24" i="10"/>
  <c r="P54" i="10"/>
  <c r="T34" i="13"/>
  <c r="L73" i="13"/>
  <c r="J22" i="9"/>
  <c r="H63" i="13"/>
  <c r="D24" i="13"/>
  <c r="P72" i="13"/>
  <c r="L24" i="13"/>
  <c r="D33" i="10"/>
  <c r="H25" i="10"/>
  <c r="D64" i="13"/>
  <c r="T27" i="13"/>
  <c r="H75" i="10"/>
  <c r="L75" i="13"/>
  <c r="D33" i="13"/>
  <c r="H34" i="10"/>
  <c r="D75" i="13"/>
  <c r="L33" i="10"/>
  <c r="T66" i="13"/>
  <c r="P73" i="13"/>
  <c r="D23" i="9"/>
  <c r="T7" i="13"/>
  <c r="J51" i="9"/>
  <c r="P46" i="10"/>
  <c r="L64" i="10"/>
  <c r="D53" i="9"/>
  <c r="P4" i="9"/>
  <c r="H27" i="13"/>
  <c r="D17" i="13"/>
  <c r="J23" i="9"/>
  <c r="P55" i="10"/>
  <c r="T18" i="13"/>
  <c r="P66" i="13"/>
  <c r="L36" i="13"/>
  <c r="P57" i="10"/>
  <c r="P7" i="10"/>
  <c r="D27" i="10"/>
  <c r="J52" i="9"/>
  <c r="L27" i="13"/>
  <c r="D24" i="10"/>
  <c r="P45" i="10"/>
  <c r="P33" i="13"/>
  <c r="P63" i="10"/>
  <c r="H36" i="13"/>
  <c r="H34" i="13"/>
  <c r="P66" i="10"/>
  <c r="J25" i="9"/>
  <c r="T75" i="13"/>
  <c r="H66" i="13"/>
  <c r="D72" i="10"/>
  <c r="L34" i="13"/>
  <c r="P75" i="13"/>
  <c r="D66" i="10"/>
  <c r="L34" i="10"/>
  <c r="T5" i="10"/>
  <c r="D63" i="10"/>
  <c r="H72" i="10"/>
  <c r="J53" i="9"/>
  <c r="P63" i="13"/>
  <c r="Q4" i="9"/>
  <c r="L72" i="13"/>
  <c r="T36" i="13"/>
  <c r="P25" i="10"/>
  <c r="P64" i="10"/>
  <c r="D56" i="13"/>
  <c r="T63" i="13"/>
  <c r="D63" i="13"/>
  <c r="D75" i="10"/>
  <c r="P34" i="13"/>
  <c r="H66" i="10"/>
  <c r="D64" i="10"/>
  <c r="D57" i="13"/>
  <c r="D73" i="10"/>
  <c r="L72" i="10"/>
  <c r="L36" i="10"/>
  <c r="P9" i="10"/>
  <c r="P6" i="10"/>
  <c r="T73" i="13"/>
  <c r="T48" i="13"/>
  <c r="D18" i="13"/>
  <c r="D22" i="9"/>
  <c r="H24" i="13"/>
  <c r="D25" i="10"/>
  <c r="T25" i="13"/>
  <c r="H64" i="13"/>
  <c r="D36" i="10"/>
  <c r="T16" i="13"/>
  <c r="P27" i="13"/>
  <c r="L25" i="13"/>
  <c r="L27" i="10"/>
  <c r="X5" i="13"/>
  <c r="L24" i="10"/>
  <c r="D52" i="9"/>
  <c r="D50" i="9"/>
  <c r="P65" i="13" l="1"/>
  <c r="P26" i="13"/>
  <c r="L65" i="13"/>
  <c r="D26" i="13"/>
  <c r="T65" i="13"/>
  <c r="L35" i="13"/>
  <c r="H65" i="10"/>
  <c r="D74" i="13"/>
  <c r="D65" i="10"/>
  <c r="L65" i="10"/>
  <c r="H35" i="10"/>
  <c r="V5" i="10"/>
  <c r="D52" i="10" s="1"/>
  <c r="S6" i="10"/>
  <c r="T6" i="10"/>
  <c r="D35" i="10"/>
  <c r="L26" i="10"/>
  <c r="H65" i="13"/>
  <c r="P47" i="10"/>
  <c r="T17" i="13"/>
  <c r="H74" i="10"/>
  <c r="D35" i="13"/>
  <c r="L74" i="13"/>
  <c r="H26" i="10"/>
  <c r="T56" i="13"/>
  <c r="T35" i="13"/>
  <c r="P65" i="10"/>
  <c r="R4" i="9"/>
  <c r="D42" i="9" s="1"/>
  <c r="P10" i="9"/>
  <c r="Q5" i="9"/>
  <c r="Q10" i="9"/>
  <c r="J64" i="12"/>
  <c r="P17" i="10"/>
  <c r="P26" i="10"/>
  <c r="H35" i="13"/>
  <c r="D65" i="13"/>
  <c r="X11" i="13"/>
  <c r="Y6" i="13"/>
  <c r="Z5" i="13"/>
  <c r="D55" i="13" s="1"/>
  <c r="Y11" i="13"/>
  <c r="T47" i="13"/>
  <c r="D74" i="10"/>
  <c r="W6" i="13"/>
  <c r="X6" i="13"/>
  <c r="H74" i="13"/>
  <c r="L26" i="13"/>
  <c r="L35" i="10"/>
  <c r="P8" i="10"/>
  <c r="L74" i="10"/>
  <c r="P74" i="13"/>
  <c r="P35" i="13"/>
  <c r="T74" i="13"/>
  <c r="O5" i="9"/>
  <c r="P5" i="9"/>
  <c r="H26" i="13"/>
  <c r="T8" i="13"/>
  <c r="P56" i="10"/>
  <c r="D26" i="10"/>
  <c r="T26" i="13"/>
  <c r="EH5" i="11"/>
  <c r="DY5" i="11"/>
  <c r="BL103" i="6"/>
  <c r="BL104" i="6"/>
  <c r="BH103" i="6"/>
  <c r="BH104" i="6"/>
  <c r="EC5" i="11"/>
  <c r="EC144" i="11" s="1"/>
  <c r="AN104" i="6"/>
  <c r="DU5" i="11"/>
  <c r="EG5" i="11"/>
  <c r="EG144" i="11"/>
  <c r="EG143" i="11"/>
  <c r="DM144" i="11"/>
  <c r="DM143" i="11"/>
  <c r="DU144" i="11"/>
  <c r="DU143" i="11"/>
  <c r="DY144" i="11"/>
  <c r="DY143" i="11"/>
  <c r="DI5" i="11"/>
  <c r="DQ5" i="11"/>
  <c r="DV5" i="11"/>
  <c r="ED5" i="11"/>
  <c r="DK5" i="11"/>
  <c r="DK143" i="11" s="1"/>
  <c r="DH5" i="11"/>
  <c r="DL5" i="11"/>
  <c r="DR5" i="11"/>
  <c r="DP5" i="11"/>
  <c r="DJ5" i="11"/>
  <c r="DN5" i="11"/>
  <c r="EA5" i="11"/>
  <c r="EA143" i="11" s="1"/>
  <c r="DG5" i="11"/>
  <c r="EF5" i="11"/>
  <c r="EE5" i="11"/>
  <c r="EE143" i="11" s="1"/>
  <c r="EI5" i="11"/>
  <c r="EI143" i="11" s="1"/>
  <c r="DS5" i="11"/>
  <c r="DS143" i="11" s="1"/>
  <c r="EB5" i="11"/>
  <c r="DO5" i="11"/>
  <c r="DO143" i="11" s="1"/>
  <c r="DX5" i="11"/>
  <c r="DW5" i="11"/>
  <c r="DW143" i="11" s="1"/>
  <c r="DT5" i="11"/>
  <c r="DZ5" i="11"/>
  <c r="U143" i="11"/>
  <c r="U144" i="11"/>
  <c r="Q143" i="11"/>
  <c r="Q144" i="11"/>
  <c r="AK143" i="11"/>
  <c r="AK144" i="11"/>
  <c r="AG143" i="11"/>
  <c r="AG144" i="11"/>
  <c r="AS143" i="11"/>
  <c r="AS144" i="11"/>
  <c r="BA143" i="11"/>
  <c r="BA144" i="11"/>
  <c r="AW2" i="11"/>
  <c r="AW143" i="11"/>
  <c r="AW144" i="11"/>
  <c r="I143" i="11"/>
  <c r="I144" i="11"/>
  <c r="Y143" i="11"/>
  <c r="Y144" i="11"/>
  <c r="AC143" i="11"/>
  <c r="AC144" i="11"/>
  <c r="M143" i="11"/>
  <c r="M144" i="11"/>
  <c r="K2" i="11"/>
  <c r="AT2" i="11"/>
  <c r="M2" i="11"/>
  <c r="AC2" i="11"/>
  <c r="S2" i="11"/>
  <c r="AY2" i="11"/>
  <c r="Y2" i="11"/>
  <c r="AA2" i="11"/>
  <c r="AM2" i="11"/>
  <c r="AN2" i="11"/>
  <c r="AJ2" i="11"/>
  <c r="G46" i="8"/>
  <c r="L2" i="11"/>
  <c r="AE2" i="11"/>
  <c r="AQ2" i="11"/>
  <c r="X2" i="11"/>
  <c r="AO2" i="11"/>
  <c r="BO5" i="11"/>
  <c r="BO143" i="11" s="1"/>
  <c r="BL5" i="11"/>
  <c r="CA5" i="11"/>
  <c r="CA143" i="11" s="1"/>
  <c r="W2" i="11"/>
  <c r="BT5" i="11"/>
  <c r="AI2" i="11"/>
  <c r="BA2" i="11"/>
  <c r="U2" i="11"/>
  <c r="AL2" i="11"/>
  <c r="N2" i="11"/>
  <c r="BG5" i="11"/>
  <c r="BG143" i="11" s="1"/>
  <c r="BR5" i="11"/>
  <c r="R2" i="11"/>
  <c r="CD5" i="11"/>
  <c r="BJ5" i="11"/>
  <c r="AZ2" i="11"/>
  <c r="BP5" i="11"/>
  <c r="CE5" i="11"/>
  <c r="CE143" i="11" s="1"/>
  <c r="AX2" i="11"/>
  <c r="BX5" i="11"/>
  <c r="AG2" i="11"/>
  <c r="BC5" i="11"/>
  <c r="BC143" i="11" s="1"/>
  <c r="T2" i="11"/>
  <c r="V2" i="11"/>
  <c r="AF2" i="11"/>
  <c r="AD2" i="11"/>
  <c r="AR2" i="11"/>
  <c r="Q2" i="11"/>
  <c r="O2" i="11"/>
  <c r="Z2" i="11"/>
  <c r="AB2" i="11"/>
  <c r="BS5" i="11"/>
  <c r="BS143" i="11" s="1"/>
  <c r="BK5" i="11"/>
  <c r="BK143" i="11" s="1"/>
  <c r="BF5" i="11"/>
  <c r="G94" i="8"/>
  <c r="BN5" i="11"/>
  <c r="BD5" i="11"/>
  <c r="BU5" i="11"/>
  <c r="CC5" i="11"/>
  <c r="BH5" i="11"/>
  <c r="BY5" i="11"/>
  <c r="BM5" i="11"/>
  <c r="BB5" i="11"/>
  <c r="BZ5" i="11"/>
  <c r="AP2" i="11"/>
  <c r="BQ5" i="11"/>
  <c r="BV5" i="11"/>
  <c r="CB5" i="11"/>
  <c r="BI5" i="11"/>
  <c r="AS2" i="11"/>
  <c r="BE5" i="11"/>
  <c r="BW5" i="11"/>
  <c r="BW143" i="11" s="1"/>
  <c r="P2" i="11"/>
  <c r="AH2" i="11"/>
  <c r="AK2" i="11"/>
  <c r="G151" i="8"/>
  <c r="G188" i="8"/>
  <c r="G106" i="8"/>
  <c r="G84" i="4"/>
  <c r="G85" i="4"/>
  <c r="G86" i="4"/>
  <c r="G51" i="4"/>
  <c r="G50" i="4"/>
  <c r="G52" i="4"/>
  <c r="G53" i="4"/>
  <c r="G49" i="4"/>
  <c r="G67" i="4"/>
  <c r="G66" i="4"/>
  <c r="G11" i="4"/>
  <c r="G10" i="4"/>
  <c r="G9" i="4"/>
  <c r="G8" i="4"/>
  <c r="G116" i="8"/>
  <c r="G112" i="8"/>
  <c r="G38" i="4"/>
  <c r="G34" i="4"/>
  <c r="G39" i="4"/>
  <c r="G37" i="4"/>
  <c r="G33" i="4"/>
  <c r="G31" i="4"/>
  <c r="G40" i="4"/>
  <c r="G36" i="4"/>
  <c r="G32" i="4"/>
  <c r="G35" i="4"/>
  <c r="G69" i="4"/>
  <c r="G70" i="4"/>
  <c r="G71" i="4"/>
  <c r="G23" i="4"/>
  <c r="G22" i="4"/>
  <c r="G16" i="4"/>
  <c r="G15" i="4"/>
  <c r="G56" i="4"/>
  <c r="G55" i="4"/>
  <c r="G79" i="4"/>
  <c r="G82" i="4"/>
  <c r="G78" i="4"/>
  <c r="G81" i="4"/>
  <c r="G77" i="4"/>
  <c r="G80" i="4"/>
  <c r="G104" i="8"/>
  <c r="G159" i="8"/>
  <c r="G18" i="4"/>
  <c r="G20" i="4"/>
  <c r="G19" i="4"/>
  <c r="G61" i="4"/>
  <c r="G60" i="4"/>
  <c r="G74" i="4"/>
  <c r="G75" i="4"/>
  <c r="G73" i="4"/>
  <c r="G89" i="4"/>
  <c r="G88" i="4"/>
  <c r="G90" i="4"/>
  <c r="G63" i="4"/>
  <c r="G64" i="4"/>
  <c r="G154" i="8"/>
  <c r="G156" i="8"/>
  <c r="G115" i="8"/>
  <c r="G71" i="8"/>
  <c r="G167" i="8"/>
  <c r="G165" i="8"/>
  <c r="G83" i="8"/>
  <c r="G175" i="8"/>
  <c r="G173" i="8"/>
  <c r="G55" i="8"/>
  <c r="G149" i="8"/>
  <c r="G146" i="8"/>
  <c r="G147" i="8"/>
  <c r="G131" i="8"/>
  <c r="G54" i="8"/>
  <c r="G170" i="8"/>
  <c r="G130" i="8"/>
  <c r="G184" i="8"/>
  <c r="G180" i="8"/>
  <c r="G148" i="8"/>
  <c r="G182" i="8"/>
  <c r="G169" i="8"/>
  <c r="G143" i="8"/>
  <c r="G129" i="8"/>
  <c r="G123" i="8"/>
  <c r="G134" i="8"/>
  <c r="G128" i="8"/>
  <c r="G132" i="8"/>
  <c r="G185" i="8"/>
  <c r="G127" i="8"/>
  <c r="G178" i="8"/>
  <c r="G174" i="8"/>
  <c r="G124" i="8"/>
  <c r="G177" i="8"/>
  <c r="G25" i="8"/>
  <c r="G119" i="8"/>
  <c r="G176" i="8"/>
  <c r="G136" i="8"/>
  <c r="G166" i="8"/>
  <c r="G114" i="8"/>
  <c r="G145" i="8"/>
  <c r="G135" i="8"/>
  <c r="G171" i="8"/>
  <c r="G107" i="8"/>
  <c r="G77" i="8"/>
  <c r="G79" i="8"/>
  <c r="G73" i="8"/>
  <c r="G76" i="8"/>
  <c r="G52" i="8"/>
  <c r="G51" i="8"/>
  <c r="G53" i="8"/>
  <c r="G72" i="8"/>
  <c r="G24" i="8"/>
  <c r="G84" i="8"/>
  <c r="G21" i="8"/>
  <c r="G22" i="8"/>
  <c r="G81" i="8"/>
  <c r="G80" i="8"/>
  <c r="G87" i="8"/>
  <c r="G86" i="8"/>
  <c r="G88" i="8"/>
  <c r="G63" i="8"/>
  <c r="G62" i="8"/>
  <c r="G66" i="8"/>
  <c r="G65" i="8"/>
  <c r="G34" i="8"/>
  <c r="G41" i="8"/>
  <c r="G37" i="8"/>
  <c r="G33" i="8"/>
  <c r="G39" i="8"/>
  <c r="G35" i="8"/>
  <c r="G40" i="8"/>
  <c r="G36" i="8"/>
  <c r="G42" i="8"/>
  <c r="G38" i="8"/>
  <c r="G17" i="8"/>
  <c r="G18" i="8"/>
  <c r="G57" i="8"/>
  <c r="G58" i="8"/>
  <c r="G31" i="8"/>
  <c r="G29" i="8"/>
  <c r="G30" i="8"/>
  <c r="G91" i="8"/>
  <c r="G90" i="8"/>
  <c r="G92" i="8"/>
  <c r="G13" i="8"/>
  <c r="G11" i="8"/>
  <c r="G12" i="8"/>
  <c r="G10" i="8"/>
  <c r="D16" i="13" l="1"/>
  <c r="D14" i="9"/>
  <c r="D14" i="10"/>
  <c r="DG143" i="11"/>
  <c r="DG144" i="2"/>
  <c r="DG145" i="2" s="1"/>
  <c r="EC143" i="11"/>
  <c r="DQ144" i="11"/>
  <c r="DQ143" i="11"/>
  <c r="DI144" i="11"/>
  <c r="DI143" i="11"/>
  <c r="BQ144" i="11"/>
  <c r="BQ143" i="11"/>
  <c r="BM144" i="11"/>
  <c r="BM143" i="11"/>
  <c r="BU144" i="11"/>
  <c r="BU143" i="11"/>
  <c r="BI144" i="11"/>
  <c r="BI143" i="11"/>
  <c r="BY144" i="11"/>
  <c r="BY143" i="11"/>
  <c r="BE144" i="11"/>
  <c r="BE143" i="11"/>
  <c r="CC144" i="11"/>
  <c r="CC143" i="11"/>
  <c r="BM144" i="2"/>
  <c r="BF144" i="2"/>
  <c r="BI144" i="2"/>
  <c r="BY144" i="2"/>
  <c r="BK144" i="2"/>
  <c r="BK145" i="2" s="1"/>
  <c r="BP144" i="2"/>
  <c r="BT144" i="2"/>
  <c r="BO144" i="2"/>
  <c r="BO145" i="2" s="1"/>
  <c r="BU144" i="2"/>
  <c r="BL144" i="2"/>
  <c r="BW144" i="2"/>
  <c r="BW145" i="2" s="1"/>
  <c r="CB144" i="2"/>
  <c r="BZ144" i="2"/>
  <c r="BH144" i="2"/>
  <c r="BN144" i="2"/>
  <c r="BS144" i="2"/>
  <c r="BS145" i="2" s="1"/>
  <c r="BX144" i="2"/>
  <c r="BR144" i="2"/>
  <c r="BQ144" i="2"/>
  <c r="BE144" i="2"/>
  <c r="BV144" i="2"/>
  <c r="BB2" i="11"/>
  <c r="CC144" i="2"/>
  <c r="BJ144" i="2"/>
  <c r="BG144" i="2"/>
  <c r="BG145" i="2" s="1"/>
  <c r="CA144" i="2"/>
  <c r="CA145" i="2" s="1"/>
  <c r="CG2" i="11"/>
  <c r="CE144" i="2"/>
  <c r="CE145" i="2" s="1"/>
  <c r="CF2" i="11"/>
  <c r="CD144" i="2"/>
  <c r="BC2" i="11"/>
  <c r="BC144" i="2"/>
  <c r="BC145" i="2" s="1"/>
  <c r="BL2" i="11"/>
  <c r="BT2" i="11"/>
  <c r="BF2" i="11"/>
  <c r="BP2" i="11"/>
  <c r="BX2" i="11"/>
  <c r="BQ2" i="11"/>
  <c r="CA2" i="11"/>
  <c r="CC2" i="11"/>
  <c r="BR2" i="11"/>
  <c r="BZ2" i="11"/>
  <c r="BJ2" i="11"/>
  <c r="BE2" i="11"/>
  <c r="BW2" i="11"/>
  <c r="BM2" i="11"/>
  <c r="BK2" i="11"/>
  <c r="BU2" i="11"/>
  <c r="BN2" i="11"/>
  <c r="CE2" i="11"/>
  <c r="BH2" i="11"/>
  <c r="BO2" i="11"/>
  <c r="BI2" i="11"/>
  <c r="BD2" i="11"/>
  <c r="BS2" i="11"/>
  <c r="BY2" i="11"/>
  <c r="CB2" i="11"/>
  <c r="BV2" i="11"/>
  <c r="AV1" i="11"/>
  <c r="CD2" i="11"/>
  <c r="BG2" i="11"/>
  <c r="J92" i="6"/>
  <c r="I92" i="6"/>
  <c r="H92" i="6"/>
  <c r="J88" i="6"/>
  <c r="I88" i="6"/>
  <c r="H88" i="6"/>
  <c r="J84" i="6"/>
  <c r="I84" i="6"/>
  <c r="H84" i="6"/>
  <c r="J77" i="6"/>
  <c r="I77" i="6"/>
  <c r="H77" i="6"/>
  <c r="J73" i="6"/>
  <c r="I73" i="6"/>
  <c r="H73" i="6"/>
  <c r="J69" i="6"/>
  <c r="I69" i="6"/>
  <c r="H69" i="6"/>
  <c r="J66" i="6"/>
  <c r="I66" i="6"/>
  <c r="H66" i="6"/>
  <c r="J63" i="6"/>
  <c r="I63" i="6"/>
  <c r="H63" i="6"/>
  <c r="J60" i="6"/>
  <c r="I60" i="6"/>
  <c r="H60" i="6"/>
  <c r="J58" i="6"/>
  <c r="I58" i="6"/>
  <c r="H58" i="6"/>
  <c r="J55" i="6"/>
  <c r="I55" i="6"/>
  <c r="H55" i="6"/>
  <c r="J49" i="6"/>
  <c r="I49" i="6"/>
  <c r="H49" i="6"/>
  <c r="J47" i="6"/>
  <c r="I47" i="6"/>
  <c r="H47" i="6"/>
  <c r="J44" i="6"/>
  <c r="I44" i="6"/>
  <c r="H44" i="6"/>
  <c r="J42" i="6"/>
  <c r="I42" i="6"/>
  <c r="H42" i="6"/>
  <c r="J31" i="6"/>
  <c r="I31" i="6"/>
  <c r="H31" i="6"/>
  <c r="J27" i="6"/>
  <c r="I27" i="6"/>
  <c r="H27" i="6"/>
  <c r="J25" i="6"/>
  <c r="I25" i="6"/>
  <c r="H25" i="6"/>
  <c r="J22" i="6"/>
  <c r="I22" i="6"/>
  <c r="H22" i="6"/>
  <c r="J18" i="6"/>
  <c r="I18" i="6"/>
  <c r="H18" i="6"/>
  <c r="J15" i="6"/>
  <c r="I15" i="6"/>
  <c r="H15" i="6"/>
  <c r="J13" i="6"/>
  <c r="I13" i="6"/>
  <c r="H13" i="6"/>
  <c r="J8" i="6"/>
  <c r="I8" i="6"/>
  <c r="H8" i="6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91" i="3"/>
  <c r="H87" i="3"/>
  <c r="H83" i="3"/>
  <c r="H76" i="3"/>
  <c r="H72" i="3"/>
  <c r="H68" i="3"/>
  <c r="H65" i="3"/>
  <c r="H62" i="3"/>
  <c r="H59" i="3"/>
  <c r="H57" i="3"/>
  <c r="H54" i="3"/>
  <c r="H48" i="3"/>
  <c r="H46" i="3"/>
  <c r="H43" i="3"/>
  <c r="H41" i="3"/>
  <c r="H30" i="3"/>
  <c r="H26" i="3"/>
  <c r="H24" i="3"/>
  <c r="H21" i="3"/>
  <c r="H17" i="3"/>
  <c r="H14" i="3"/>
  <c r="H12" i="3"/>
  <c r="H7" i="3"/>
  <c r="AW138" i="2"/>
  <c r="BA138" i="2"/>
  <c r="BD139" i="2" s="1"/>
  <c r="BD138" i="2" s="1"/>
  <c r="AU138" i="2"/>
  <c r="AM138" i="2"/>
  <c r="AE138" i="2"/>
  <c r="Y138" i="2"/>
  <c r="Q138" i="2"/>
  <c r="I138" i="2"/>
  <c r="F138" i="2"/>
  <c r="F134" i="2"/>
  <c r="Y130" i="2"/>
  <c r="AS130" i="2"/>
  <c r="F130" i="2"/>
  <c r="F123" i="2"/>
  <c r="T119" i="2"/>
  <c r="F119" i="2"/>
  <c r="AX115" i="2"/>
  <c r="F115" i="2"/>
  <c r="AU112" i="2"/>
  <c r="T112" i="2"/>
  <c r="L112" i="2"/>
  <c r="F112" i="2"/>
  <c r="R109" i="2"/>
  <c r="F109" i="2"/>
  <c r="AE106" i="2"/>
  <c r="F106" i="2"/>
  <c r="AM104" i="2"/>
  <c r="Z104" i="2"/>
  <c r="N104" i="2"/>
  <c r="F104" i="2"/>
  <c r="AO99" i="2"/>
  <c r="F99" i="2"/>
  <c r="F89" i="2"/>
  <c r="AP87" i="2"/>
  <c r="F87" i="2"/>
  <c r="Y81" i="2"/>
  <c r="X81" i="2"/>
  <c r="W81" i="2"/>
  <c r="AG80" i="2"/>
  <c r="F80" i="2"/>
  <c r="N75" i="2"/>
  <c r="F75" i="2"/>
  <c r="F73" i="2"/>
  <c r="AI59" i="2"/>
  <c r="F59" i="2"/>
  <c r="F49" i="2"/>
  <c r="F44" i="2"/>
  <c r="BB42" i="2"/>
  <c r="BA42" i="2"/>
  <c r="BD43" i="2" s="1"/>
  <c r="BD42" i="2" s="1"/>
  <c r="AY42" i="2"/>
  <c r="AW42" i="2"/>
  <c r="AU42" i="2"/>
  <c r="AS42" i="2"/>
  <c r="AQ42" i="2"/>
  <c r="AO42" i="2"/>
  <c r="AM42" i="2"/>
  <c r="AK42" i="2"/>
  <c r="AI42" i="2"/>
  <c r="AG42" i="2"/>
  <c r="AE42" i="2"/>
  <c r="AC42" i="2"/>
  <c r="AA42" i="2"/>
  <c r="Y42" i="2"/>
  <c r="W42" i="2"/>
  <c r="U42" i="2"/>
  <c r="S42" i="2"/>
  <c r="Q42" i="2"/>
  <c r="O42" i="2"/>
  <c r="M42" i="2"/>
  <c r="K42" i="2"/>
  <c r="I42" i="2"/>
  <c r="F42" i="2"/>
  <c r="AL39" i="2"/>
  <c r="F39" i="2"/>
  <c r="F35" i="2"/>
  <c r="F27" i="2"/>
  <c r="BB25" i="2"/>
  <c r="AW25" i="2"/>
  <c r="AP25" i="2"/>
  <c r="AK25" i="2"/>
  <c r="AE25" i="2"/>
  <c r="Z25" i="2"/>
  <c r="U25" i="2"/>
  <c r="O25" i="2"/>
  <c r="J25" i="2"/>
  <c r="F25" i="2"/>
  <c r="AW18" i="2"/>
  <c r="F18" i="2"/>
  <c r="AA15" i="2"/>
  <c r="F15" i="2"/>
  <c r="F8" i="2"/>
  <c r="F7" i="2" s="1"/>
  <c r="J4" i="2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Q4" i="2" s="1"/>
  <c r="BR4" i="2" s="1"/>
  <c r="BS4" i="2" s="1"/>
  <c r="BT4" i="2" s="1"/>
  <c r="BU4" i="2" s="1"/>
  <c r="BV4" i="2" s="1"/>
  <c r="BW4" i="2" s="1"/>
  <c r="BX4" i="2" s="1"/>
  <c r="BY4" i="2" s="1"/>
  <c r="BZ4" i="2" s="1"/>
  <c r="CA4" i="2" s="1"/>
  <c r="CB4" i="2" s="1"/>
  <c r="CC4" i="2" s="1"/>
  <c r="CD4" i="2" s="1"/>
  <c r="CE4" i="2" s="1"/>
  <c r="CF4" i="2" s="1"/>
  <c r="CG4" i="2" s="1"/>
  <c r="CH4" i="2" s="1"/>
  <c r="CI4" i="2" s="1"/>
  <c r="CJ4" i="2" s="1"/>
  <c r="CK4" i="2" s="1"/>
  <c r="CL4" i="2" s="1"/>
  <c r="CM4" i="2" s="1"/>
  <c r="CN4" i="2" s="1"/>
  <c r="CO4" i="2" s="1"/>
  <c r="CP4" i="2" s="1"/>
  <c r="CQ4" i="2" s="1"/>
  <c r="CR4" i="2" s="1"/>
  <c r="CS4" i="2" s="1"/>
  <c r="CT4" i="2" s="1"/>
  <c r="CU4" i="2" s="1"/>
  <c r="CV4" i="2" s="1"/>
  <c r="CW4" i="2" s="1"/>
  <c r="CX4" i="2" s="1"/>
  <c r="CY4" i="2" s="1"/>
  <c r="CZ4" i="2" s="1"/>
  <c r="DA4" i="2" s="1"/>
  <c r="DB4" i="2" s="1"/>
  <c r="DC4" i="2" s="1"/>
  <c r="DD4" i="2" s="1"/>
  <c r="DE4" i="2" s="1"/>
  <c r="DF4" i="2" s="1"/>
  <c r="DG4" i="2" s="1"/>
  <c r="DH4" i="2" s="1"/>
  <c r="DI4" i="2" s="1"/>
  <c r="DJ4" i="2" s="1"/>
  <c r="DK4" i="2" s="1"/>
  <c r="DL4" i="2" s="1"/>
  <c r="DM4" i="2" s="1"/>
  <c r="DN4" i="2" s="1"/>
  <c r="DO4" i="2" s="1"/>
  <c r="DP4" i="2" s="1"/>
  <c r="DQ4" i="2" s="1"/>
  <c r="DR4" i="2" s="1"/>
  <c r="DS4" i="2" s="1"/>
  <c r="DT4" i="2" s="1"/>
  <c r="DU4" i="2" s="1"/>
  <c r="DV4" i="2" s="1"/>
  <c r="DW4" i="2" s="1"/>
  <c r="DX4" i="2" s="1"/>
  <c r="DY4" i="2" s="1"/>
  <c r="DZ4" i="2" s="1"/>
  <c r="EA4" i="2" s="1"/>
  <c r="EB4" i="2" s="1"/>
  <c r="EC4" i="2" s="1"/>
  <c r="ED4" i="2" s="1"/>
  <c r="EE4" i="2" s="1"/>
  <c r="EF4" i="2" s="1"/>
  <c r="EG4" i="2" s="1"/>
  <c r="EH4" i="2" s="1"/>
  <c r="EI4" i="2" s="1"/>
  <c r="K134" i="1"/>
  <c r="K137" i="1" s="1"/>
  <c r="K130" i="1"/>
  <c r="K133" i="1" s="1"/>
  <c r="K126" i="1"/>
  <c r="K129" i="1" s="1"/>
  <c r="K119" i="1"/>
  <c r="K125" i="1" s="1"/>
  <c r="K115" i="1"/>
  <c r="K117" i="1" s="1"/>
  <c r="J114" i="1"/>
  <c r="J113" i="1"/>
  <c r="J112" i="1"/>
  <c r="K111" i="1"/>
  <c r="K108" i="1"/>
  <c r="K110" i="1" s="1"/>
  <c r="K105" i="1"/>
  <c r="K107" i="1" s="1"/>
  <c r="K102" i="1"/>
  <c r="K103" i="1" s="1"/>
  <c r="K100" i="1"/>
  <c r="K101" i="1" s="1"/>
  <c r="K95" i="1"/>
  <c r="K99" i="1" s="1"/>
  <c r="K85" i="1"/>
  <c r="K92" i="1" s="1"/>
  <c r="K83" i="1"/>
  <c r="K84" i="1" s="1"/>
  <c r="K76" i="1"/>
  <c r="K80" i="1" s="1"/>
  <c r="K75" i="1"/>
  <c r="K71" i="1"/>
  <c r="K74" i="1" s="1"/>
  <c r="K69" i="1"/>
  <c r="K70" i="1" s="1"/>
  <c r="K55" i="1"/>
  <c r="K68" i="1" s="1"/>
  <c r="K45" i="1"/>
  <c r="K54" i="1" s="1"/>
  <c r="K40" i="1"/>
  <c r="K44" i="1" s="1"/>
  <c r="K38" i="1"/>
  <c r="K39" i="1" s="1"/>
  <c r="K35" i="1"/>
  <c r="K37" i="1" s="1"/>
  <c r="K31" i="1"/>
  <c r="K33" i="1" s="1"/>
  <c r="K23" i="1"/>
  <c r="K30" i="1" s="1"/>
  <c r="K21" i="1"/>
  <c r="K22" i="1" s="1"/>
  <c r="K14" i="1"/>
  <c r="K20" i="1" s="1"/>
  <c r="K11" i="1"/>
  <c r="K13" i="1" s="1"/>
  <c r="K10" i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K4" i="1"/>
  <c r="K8" i="1" s="1"/>
  <c r="K3" i="1"/>
  <c r="BE146" i="2" l="1"/>
  <c r="BE145" i="2"/>
  <c r="BY146" i="2"/>
  <c r="BY145" i="2"/>
  <c r="CC146" i="2"/>
  <c r="CC145" i="2"/>
  <c r="BQ146" i="2"/>
  <c r="BQ145" i="2"/>
  <c r="BI146" i="2"/>
  <c r="BI145" i="2"/>
  <c r="BU146" i="2"/>
  <c r="BU145" i="2"/>
  <c r="BM146" i="2"/>
  <c r="BM145" i="2"/>
  <c r="I46" i="6"/>
  <c r="J46" i="6"/>
  <c r="J45" i="3"/>
  <c r="J99" i="3" s="1"/>
  <c r="I7" i="6"/>
  <c r="J7" i="6"/>
  <c r="H46" i="6"/>
  <c r="H118" i="6" s="1"/>
  <c r="H7" i="6"/>
  <c r="AH45" i="3"/>
  <c r="AE6" i="3"/>
  <c r="AE97" i="6" s="1"/>
  <c r="AM6" i="3"/>
  <c r="AM97" i="6" s="1"/>
  <c r="H6" i="3"/>
  <c r="H45" i="3"/>
  <c r="R45" i="3"/>
  <c r="S6" i="3"/>
  <c r="S97" i="6" s="1"/>
  <c r="AA6" i="3"/>
  <c r="AA97" i="6" s="1"/>
  <c r="N45" i="3"/>
  <c r="AD45" i="3"/>
  <c r="O6" i="3"/>
  <c r="O97" i="6" s="1"/>
  <c r="AI6" i="3"/>
  <c r="AI97" i="6" s="1"/>
  <c r="K60" i="1"/>
  <c r="M36" i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K112" i="1"/>
  <c r="K32" i="1"/>
  <c r="K114" i="1"/>
  <c r="K34" i="1"/>
  <c r="K77" i="1"/>
  <c r="K12" i="1"/>
  <c r="K24" i="1"/>
  <c r="K50" i="1"/>
  <c r="K81" i="1"/>
  <c r="K96" i="1"/>
  <c r="K26" i="1"/>
  <c r="K61" i="1"/>
  <c r="K97" i="1"/>
  <c r="K109" i="1"/>
  <c r="K113" i="1"/>
  <c r="K118" i="1"/>
  <c r="K36" i="1"/>
  <c r="K46" i="1"/>
  <c r="K56" i="1"/>
  <c r="K64" i="1"/>
  <c r="K72" i="1"/>
  <c r="K98" i="1"/>
  <c r="K104" i="1"/>
  <c r="K48" i="1"/>
  <c r="K58" i="1"/>
  <c r="K65" i="1"/>
  <c r="K73" i="1"/>
  <c r="K122" i="1"/>
  <c r="K6" i="3"/>
  <c r="K97" i="6" s="1"/>
  <c r="W6" i="3"/>
  <c r="W97" i="6" s="1"/>
  <c r="V45" i="3"/>
  <c r="AL45" i="3"/>
  <c r="I6" i="3"/>
  <c r="M6" i="3"/>
  <c r="M97" i="6" s="1"/>
  <c r="Q6" i="3"/>
  <c r="Q97" i="6" s="1"/>
  <c r="U6" i="3"/>
  <c r="U97" i="6" s="1"/>
  <c r="Y6" i="3"/>
  <c r="Y97" i="6" s="1"/>
  <c r="AC6" i="3"/>
  <c r="AC97" i="6" s="1"/>
  <c r="AG6" i="3"/>
  <c r="AG97" i="6" s="1"/>
  <c r="AK6" i="3"/>
  <c r="AK97" i="6" s="1"/>
  <c r="J6" i="3"/>
  <c r="J97" i="3" s="1"/>
  <c r="R6" i="3"/>
  <c r="Z6" i="3"/>
  <c r="K45" i="3"/>
  <c r="K98" i="6" s="1"/>
  <c r="O45" i="3"/>
  <c r="O98" i="6" s="1"/>
  <c r="S45" i="3"/>
  <c r="S98" i="6" s="1"/>
  <c r="W45" i="3"/>
  <c r="W98" i="6" s="1"/>
  <c r="AA45" i="3"/>
  <c r="AA98" i="6" s="1"/>
  <c r="AE45" i="3"/>
  <c r="AE98" i="6" s="1"/>
  <c r="AI45" i="3"/>
  <c r="AI98" i="6" s="1"/>
  <c r="AM45" i="3"/>
  <c r="AM98" i="6" s="1"/>
  <c r="Z45" i="3"/>
  <c r="I45" i="3"/>
  <c r="M45" i="3"/>
  <c r="M98" i="6" s="1"/>
  <c r="Q45" i="3"/>
  <c r="Q98" i="6" s="1"/>
  <c r="U45" i="3"/>
  <c r="U98" i="6" s="1"/>
  <c r="Y45" i="3"/>
  <c r="Y98" i="6" s="1"/>
  <c r="AC45" i="3"/>
  <c r="AC98" i="6" s="1"/>
  <c r="AG45" i="3"/>
  <c r="AG98" i="6" s="1"/>
  <c r="AK45" i="3"/>
  <c r="AK98" i="6" s="1"/>
  <c r="L45" i="3"/>
  <c r="P45" i="3"/>
  <c r="T45" i="3"/>
  <c r="X45" i="3"/>
  <c r="AB45" i="3"/>
  <c r="AF45" i="3"/>
  <c r="AJ45" i="3"/>
  <c r="AH6" i="3"/>
  <c r="N6" i="3"/>
  <c r="V6" i="3"/>
  <c r="AD6" i="3"/>
  <c r="AL6" i="3"/>
  <c r="AL97" i="3" s="1"/>
  <c r="L6" i="3"/>
  <c r="P6" i="3"/>
  <c r="T6" i="3"/>
  <c r="X6" i="3"/>
  <c r="AB6" i="3"/>
  <c r="AF6" i="3"/>
  <c r="AJ6" i="3"/>
  <c r="K25" i="2"/>
  <c r="Q25" i="2"/>
  <c r="V25" i="2"/>
  <c r="AA25" i="2"/>
  <c r="AG25" i="2"/>
  <c r="AL25" i="2"/>
  <c r="AQ25" i="2"/>
  <c r="AX25" i="2"/>
  <c r="L42" i="2"/>
  <c r="P42" i="2"/>
  <c r="T42" i="2"/>
  <c r="X42" i="2"/>
  <c r="AB42" i="2"/>
  <c r="AF42" i="2"/>
  <c r="AJ42" i="2"/>
  <c r="AN42" i="2"/>
  <c r="AR42" i="2"/>
  <c r="AV42" i="2"/>
  <c r="AZ42" i="2"/>
  <c r="N87" i="2"/>
  <c r="W99" i="2"/>
  <c r="O106" i="2"/>
  <c r="AF112" i="2"/>
  <c r="AH115" i="2"/>
  <c r="O138" i="2"/>
  <c r="AC138" i="2"/>
  <c r="AO138" i="2"/>
  <c r="M18" i="2"/>
  <c r="M25" i="2"/>
  <c r="R25" i="2"/>
  <c r="W25" i="2"/>
  <c r="AC25" i="2"/>
  <c r="AH25" i="2"/>
  <c r="AM25" i="2"/>
  <c r="AS25" i="2"/>
  <c r="BA25" i="2"/>
  <c r="BD26" i="2" s="1"/>
  <c r="BD25" i="2" s="1"/>
  <c r="N59" i="2"/>
  <c r="AU59" i="2"/>
  <c r="AA87" i="2"/>
  <c r="AM99" i="2"/>
  <c r="AW8" i="2"/>
  <c r="AW7" i="2" s="1"/>
  <c r="I25" i="2"/>
  <c r="N25" i="2"/>
  <c r="S25" i="2"/>
  <c r="Y25" i="2"/>
  <c r="AD25" i="2"/>
  <c r="AI25" i="2"/>
  <c r="AO25" i="2"/>
  <c r="AT25" i="2"/>
  <c r="AA39" i="2"/>
  <c r="J42" i="2"/>
  <c r="N42" i="2"/>
  <c r="R42" i="2"/>
  <c r="V42" i="2"/>
  <c r="Z42" i="2"/>
  <c r="AD42" i="2"/>
  <c r="AH42" i="2"/>
  <c r="AL42" i="2"/>
  <c r="AP42" i="2"/>
  <c r="AT42" i="2"/>
  <c r="AX42" i="2"/>
  <c r="AF49" i="2"/>
  <c r="P112" i="2"/>
  <c r="AK123" i="2"/>
  <c r="U138" i="2"/>
  <c r="AK138" i="2"/>
  <c r="AG8" i="2"/>
  <c r="AG7" i="2" s="1"/>
  <c r="AW15" i="2"/>
  <c r="AG18" i="2"/>
  <c r="AE35" i="2"/>
  <c r="J39" i="2"/>
  <c r="AW39" i="2"/>
  <c r="O59" i="2"/>
  <c r="AK59" i="2"/>
  <c r="AL75" i="2"/>
  <c r="AK80" i="2"/>
  <c r="O104" i="2"/>
  <c r="AD104" i="2"/>
  <c r="AT104" i="2"/>
  <c r="N115" i="2"/>
  <c r="BB115" i="2"/>
  <c r="BA130" i="2"/>
  <c r="BD131" i="2" s="1"/>
  <c r="BD130" i="2" s="1"/>
  <c r="S35" i="2"/>
  <c r="AY35" i="2"/>
  <c r="R39" i="2"/>
  <c r="K44" i="2"/>
  <c r="P49" i="2"/>
  <c r="Y59" i="2"/>
  <c r="AT59" i="2"/>
  <c r="AP75" i="2"/>
  <c r="M80" i="2"/>
  <c r="BA80" i="2"/>
  <c r="Y89" i="2"/>
  <c r="T99" i="2"/>
  <c r="R104" i="2"/>
  <c r="AH104" i="2"/>
  <c r="AU104" i="2"/>
  <c r="AJ112" i="2"/>
  <c r="AD115" i="2"/>
  <c r="I130" i="2"/>
  <c r="Z59" i="2"/>
  <c r="Q80" i="2"/>
  <c r="W104" i="2"/>
  <c r="AL104" i="2"/>
  <c r="AX104" i="2"/>
  <c r="AZ27" i="2"/>
  <c r="AJ27" i="2"/>
  <c r="AZ39" i="2"/>
  <c r="AV39" i="2"/>
  <c r="AR39" i="2"/>
  <c r="AN39" i="2"/>
  <c r="AJ39" i="2"/>
  <c r="AF39" i="2"/>
  <c r="AB39" i="2"/>
  <c r="X39" i="2"/>
  <c r="BA39" i="2"/>
  <c r="BD40" i="2" s="1"/>
  <c r="BD39" i="2" s="1"/>
  <c r="AU39" i="2"/>
  <c r="AP39" i="2"/>
  <c r="AK39" i="2"/>
  <c r="AE39" i="2"/>
  <c r="Z39" i="2"/>
  <c r="U39" i="2"/>
  <c r="Q39" i="2"/>
  <c r="M39" i="2"/>
  <c r="I39" i="2"/>
  <c r="AY39" i="2"/>
  <c r="AT39" i="2"/>
  <c r="AO39" i="2"/>
  <c r="AI39" i="2"/>
  <c r="AD39" i="2"/>
  <c r="Y39" i="2"/>
  <c r="T39" i="2"/>
  <c r="P39" i="2"/>
  <c r="L39" i="2"/>
  <c r="AZ87" i="2"/>
  <c r="AV87" i="2"/>
  <c r="AR87" i="2"/>
  <c r="AN87" i="2"/>
  <c r="AJ87" i="2"/>
  <c r="AF87" i="2"/>
  <c r="AB87" i="2"/>
  <c r="X87" i="2"/>
  <c r="T87" i="2"/>
  <c r="P87" i="2"/>
  <c r="L87" i="2"/>
  <c r="AX87" i="2"/>
  <c r="AS87" i="2"/>
  <c r="AM87" i="2"/>
  <c r="AH87" i="2"/>
  <c r="AC87" i="2"/>
  <c r="W87" i="2"/>
  <c r="R87" i="2"/>
  <c r="M87" i="2"/>
  <c r="BB87" i="2"/>
  <c r="AU87" i="2"/>
  <c r="AO87" i="2"/>
  <c r="AG87" i="2"/>
  <c r="Z87" i="2"/>
  <c r="S87" i="2"/>
  <c r="K87" i="2"/>
  <c r="BA87" i="2"/>
  <c r="AT87" i="2"/>
  <c r="AL87" i="2"/>
  <c r="AE87" i="2"/>
  <c r="Y87" i="2"/>
  <c r="Q87" i="2"/>
  <c r="J87" i="2"/>
  <c r="AW109" i="2"/>
  <c r="AL109" i="2"/>
  <c r="Z109" i="2"/>
  <c r="Q109" i="2"/>
  <c r="AT109" i="2"/>
  <c r="Y109" i="2"/>
  <c r="AH109" i="2"/>
  <c r="I109" i="2"/>
  <c r="AD109" i="2"/>
  <c r="AY119" i="2"/>
  <c r="AI119" i="2"/>
  <c r="S119" i="2"/>
  <c r="AQ119" i="2"/>
  <c r="AA119" i="2"/>
  <c r="K119" i="2"/>
  <c r="AR119" i="2"/>
  <c r="L119" i="2"/>
  <c r="AJ119" i="2"/>
  <c r="AB119" i="2"/>
  <c r="AL8" i="2"/>
  <c r="AL7" i="2" s="1"/>
  <c r="L8" i="2"/>
  <c r="L7" i="2" s="1"/>
  <c r="AQ15" i="2"/>
  <c r="Q18" i="2"/>
  <c r="AO18" i="2"/>
  <c r="AM35" i="2"/>
  <c r="W35" i="2"/>
  <c r="K39" i="2"/>
  <c r="S39" i="2"/>
  <c r="AC39" i="2"/>
  <c r="AM39" i="2"/>
  <c r="AX39" i="2"/>
  <c r="AX59" i="2"/>
  <c r="AS59" i="2"/>
  <c r="AM59" i="2"/>
  <c r="AH59" i="2"/>
  <c r="AC59" i="2"/>
  <c r="W59" i="2"/>
  <c r="R59" i="2"/>
  <c r="M59" i="2"/>
  <c r="BB59" i="2"/>
  <c r="AW59" i="2"/>
  <c r="AQ59" i="2"/>
  <c r="AL59" i="2"/>
  <c r="AG59" i="2"/>
  <c r="AA59" i="2"/>
  <c r="V59" i="2"/>
  <c r="Q59" i="2"/>
  <c r="K59" i="2"/>
  <c r="O87" i="2"/>
  <c r="AD87" i="2"/>
  <c r="AQ87" i="2"/>
  <c r="AS89" i="2"/>
  <c r="AX99" i="2"/>
  <c r="AQ99" i="2"/>
  <c r="AJ99" i="2"/>
  <c r="AB99" i="2"/>
  <c r="U99" i="2"/>
  <c r="O99" i="2"/>
  <c r="AU99" i="2"/>
  <c r="AK99" i="2"/>
  <c r="AA99" i="2"/>
  <c r="Q99" i="2"/>
  <c r="J99" i="2"/>
  <c r="AR99" i="2"/>
  <c r="AG99" i="2"/>
  <c r="Y99" i="2"/>
  <c r="P99" i="2"/>
  <c r="AO109" i="2"/>
  <c r="AZ119" i="2"/>
  <c r="Q8" i="2"/>
  <c r="Q7" i="2" s="1"/>
  <c r="BB8" i="2"/>
  <c r="BB7" i="2" s="1"/>
  <c r="F14" i="2"/>
  <c r="Y18" i="2"/>
  <c r="AS18" i="2"/>
  <c r="L27" i="2"/>
  <c r="AR27" i="2"/>
  <c r="AI35" i="2"/>
  <c r="N39" i="2"/>
  <c r="V39" i="2"/>
  <c r="AG39" i="2"/>
  <c r="AQ39" i="2"/>
  <c r="BB39" i="2"/>
  <c r="I59" i="2"/>
  <c r="S59" i="2"/>
  <c r="AD59" i="2"/>
  <c r="AO59" i="2"/>
  <c r="AY59" i="2"/>
  <c r="AT75" i="2"/>
  <c r="Z75" i="2"/>
  <c r="U87" i="2"/>
  <c r="AI87" i="2"/>
  <c r="AW87" i="2"/>
  <c r="AW89" i="2"/>
  <c r="K99" i="2"/>
  <c r="AE99" i="2"/>
  <c r="AW99" i="2"/>
  <c r="AX109" i="2"/>
  <c r="AV130" i="2"/>
  <c r="AN130" i="2"/>
  <c r="AF130" i="2"/>
  <c r="X130" i="2"/>
  <c r="P130" i="2"/>
  <c r="AZ130" i="2"/>
  <c r="AR130" i="2"/>
  <c r="AJ130" i="2"/>
  <c r="AB130" i="2"/>
  <c r="T130" i="2"/>
  <c r="L130" i="2"/>
  <c r="AW130" i="2"/>
  <c r="AG130" i="2"/>
  <c r="Q130" i="2"/>
  <c r="AO130" i="2"/>
  <c r="U130" i="2"/>
  <c r="AK130" i="2"/>
  <c r="M130" i="2"/>
  <c r="AB8" i="2"/>
  <c r="AB7" i="2" s="1"/>
  <c r="BB15" i="2"/>
  <c r="V15" i="2"/>
  <c r="I18" i="2"/>
  <c r="AC18" i="2"/>
  <c r="BA18" i="2"/>
  <c r="AK18" i="2"/>
  <c r="U18" i="2"/>
  <c r="AZ25" i="2"/>
  <c r="AV25" i="2"/>
  <c r="AR25" i="2"/>
  <c r="AN25" i="2"/>
  <c r="AJ25" i="2"/>
  <c r="AF25" i="2"/>
  <c r="AB25" i="2"/>
  <c r="X25" i="2"/>
  <c r="T25" i="2"/>
  <c r="P25" i="2"/>
  <c r="L25" i="2"/>
  <c r="AY25" i="2"/>
  <c r="AU25" i="2"/>
  <c r="AB27" i="2"/>
  <c r="O35" i="2"/>
  <c r="AU35" i="2"/>
  <c r="O39" i="2"/>
  <c r="W39" i="2"/>
  <c r="AH39" i="2"/>
  <c r="AS39" i="2"/>
  <c r="X49" i="2"/>
  <c r="AV49" i="2"/>
  <c r="AN49" i="2"/>
  <c r="J59" i="2"/>
  <c r="U59" i="2"/>
  <c r="AE59" i="2"/>
  <c r="AP59" i="2"/>
  <c r="BA59" i="2"/>
  <c r="BD60" i="2" s="1"/>
  <c r="BD59" i="2" s="1"/>
  <c r="BB73" i="2"/>
  <c r="V73" i="2"/>
  <c r="M73" i="2"/>
  <c r="V75" i="2"/>
  <c r="AS80" i="2"/>
  <c r="U80" i="2"/>
  <c r="I87" i="2"/>
  <c r="V87" i="2"/>
  <c r="AK87" i="2"/>
  <c r="AY87" i="2"/>
  <c r="M89" i="2"/>
  <c r="BA89" i="2"/>
  <c r="BD90" i="2" s="1"/>
  <c r="BD89" i="2" s="1"/>
  <c r="AK89" i="2"/>
  <c r="U89" i="2"/>
  <c r="AO89" i="2"/>
  <c r="Q89" i="2"/>
  <c r="AG89" i="2"/>
  <c r="I89" i="2"/>
  <c r="AC89" i="2"/>
  <c r="L99" i="2"/>
  <c r="AF99" i="2"/>
  <c r="N109" i="2"/>
  <c r="BA115" i="2"/>
  <c r="BD116" i="2" s="1"/>
  <c r="BD115" i="2" s="1"/>
  <c r="AS115" i="2"/>
  <c r="AK115" i="2"/>
  <c r="AC115" i="2"/>
  <c r="U115" i="2"/>
  <c r="M115" i="2"/>
  <c r="AW115" i="2"/>
  <c r="AO115" i="2"/>
  <c r="AG115" i="2"/>
  <c r="Y115" i="2"/>
  <c r="Q115" i="2"/>
  <c r="I115" i="2"/>
  <c r="AP115" i="2"/>
  <c r="Z115" i="2"/>
  <c r="J115" i="2"/>
  <c r="AT115" i="2"/>
  <c r="V115" i="2"/>
  <c r="AL115" i="2"/>
  <c r="R115" i="2"/>
  <c r="AC130" i="2"/>
  <c r="AA44" i="2"/>
  <c r="AX75" i="2"/>
  <c r="AH75" i="2"/>
  <c r="R75" i="2"/>
  <c r="F79" i="2"/>
  <c r="AO80" i="2"/>
  <c r="Y80" i="2"/>
  <c r="I80" i="2"/>
  <c r="AQ112" i="2"/>
  <c r="AG112" i="2"/>
  <c r="Y112" i="2"/>
  <c r="Q112" i="2"/>
  <c r="I112" i="2"/>
  <c r="AV112" i="2"/>
  <c r="AL112" i="2"/>
  <c r="AC112" i="2"/>
  <c r="U112" i="2"/>
  <c r="M112" i="2"/>
  <c r="AP112" i="2"/>
  <c r="X112" i="2"/>
  <c r="AZ138" i="2"/>
  <c r="AV138" i="2"/>
  <c r="AR138" i="2"/>
  <c r="AN138" i="2"/>
  <c r="AJ138" i="2"/>
  <c r="AF138" i="2"/>
  <c r="AB138" i="2"/>
  <c r="X138" i="2"/>
  <c r="T138" i="2"/>
  <c r="P138" i="2"/>
  <c r="L138" i="2"/>
  <c r="BB138" i="2"/>
  <c r="AX138" i="2"/>
  <c r="AT138" i="2"/>
  <c r="AP138" i="2"/>
  <c r="AL138" i="2"/>
  <c r="AH138" i="2"/>
  <c r="AD138" i="2"/>
  <c r="Z138" i="2"/>
  <c r="V138" i="2"/>
  <c r="R138" i="2"/>
  <c r="N138" i="2"/>
  <c r="J138" i="2"/>
  <c r="AY138" i="2"/>
  <c r="AQ138" i="2"/>
  <c r="AI138" i="2"/>
  <c r="AA138" i="2"/>
  <c r="S138" i="2"/>
  <c r="K138" i="2"/>
  <c r="K35" i="2"/>
  <c r="AA35" i="2"/>
  <c r="AQ35" i="2"/>
  <c r="AQ44" i="2"/>
  <c r="AZ59" i="2"/>
  <c r="AV59" i="2"/>
  <c r="AR59" i="2"/>
  <c r="AN59" i="2"/>
  <c r="AJ59" i="2"/>
  <c r="AF59" i="2"/>
  <c r="AB59" i="2"/>
  <c r="X59" i="2"/>
  <c r="T59" i="2"/>
  <c r="P59" i="2"/>
  <c r="L59" i="2"/>
  <c r="J75" i="2"/>
  <c r="AD75" i="2"/>
  <c r="BB75" i="2"/>
  <c r="AC80" i="2"/>
  <c r="AW80" i="2"/>
  <c r="W106" i="2"/>
  <c r="AU106" i="2"/>
  <c r="AB112" i="2"/>
  <c r="BB112" i="2"/>
  <c r="M138" i="2"/>
  <c r="W138" i="2"/>
  <c r="AG138" i="2"/>
  <c r="AS138" i="2"/>
  <c r="I99" i="2"/>
  <c r="M99" i="2"/>
  <c r="S99" i="2"/>
  <c r="X99" i="2"/>
  <c r="AC99" i="2"/>
  <c r="AI99" i="2"/>
  <c r="AN99" i="2"/>
  <c r="AS99" i="2"/>
  <c r="BB99" i="2"/>
  <c r="J104" i="2"/>
  <c r="V104" i="2"/>
  <c r="AE104" i="2"/>
  <c r="AP104" i="2"/>
  <c r="BB104" i="2"/>
  <c r="AM106" i="2"/>
  <c r="J109" i="2"/>
  <c r="V109" i="2"/>
  <c r="AG109" i="2"/>
  <c r="AP109" i="2"/>
  <c r="BB109" i="2"/>
  <c r="BB134" i="2"/>
  <c r="AT134" i="2"/>
  <c r="AL134" i="2"/>
  <c r="AD134" i="2"/>
  <c r="V134" i="2"/>
  <c r="N134" i="2"/>
  <c r="AM134" i="2"/>
  <c r="AE134" i="2"/>
  <c r="W134" i="2"/>
  <c r="AU134" i="2"/>
  <c r="O134" i="2"/>
  <c r="V8" i="2"/>
  <c r="V7" i="2" s="1"/>
  <c r="AR8" i="2"/>
  <c r="AR7" i="2" s="1"/>
  <c r="K15" i="2"/>
  <c r="AG15" i="2"/>
  <c r="T27" i="2"/>
  <c r="AZ15" i="2"/>
  <c r="AV15" i="2"/>
  <c r="AR15" i="2"/>
  <c r="AN15" i="2"/>
  <c r="AJ15" i="2"/>
  <c r="AF15" i="2"/>
  <c r="AB15" i="2"/>
  <c r="X15" i="2"/>
  <c r="T15" i="2"/>
  <c r="P15" i="2"/>
  <c r="L15" i="2"/>
  <c r="BA15" i="2"/>
  <c r="AU15" i="2"/>
  <c r="AP15" i="2"/>
  <c r="AK15" i="2"/>
  <c r="AE15" i="2"/>
  <c r="Z15" i="2"/>
  <c r="U15" i="2"/>
  <c r="O15" i="2"/>
  <c r="J15" i="2"/>
  <c r="AD15" i="2"/>
  <c r="I15" i="2"/>
  <c r="AY15" i="2"/>
  <c r="AT15" i="2"/>
  <c r="AO15" i="2"/>
  <c r="AI15" i="2"/>
  <c r="Y15" i="2"/>
  <c r="S15" i="2"/>
  <c r="N15" i="2"/>
  <c r="AX15" i="2"/>
  <c r="AS15" i="2"/>
  <c r="AM15" i="2"/>
  <c r="AH15" i="2"/>
  <c r="AC15" i="2"/>
  <c r="W15" i="2"/>
  <c r="R15" i="2"/>
  <c r="M15" i="2"/>
  <c r="BB44" i="2"/>
  <c r="AX44" i="2"/>
  <c r="AT44" i="2"/>
  <c r="AP44" i="2"/>
  <c r="AL44" i="2"/>
  <c r="AH44" i="2"/>
  <c r="AD44" i="2"/>
  <c r="Z44" i="2"/>
  <c r="V44" i="2"/>
  <c r="R44" i="2"/>
  <c r="N44" i="2"/>
  <c r="J44" i="2"/>
  <c r="BA44" i="2"/>
  <c r="AW44" i="2"/>
  <c r="AS44" i="2"/>
  <c r="AO44" i="2"/>
  <c r="AK44" i="2"/>
  <c r="AG44" i="2"/>
  <c r="AC44" i="2"/>
  <c r="Y44" i="2"/>
  <c r="U44" i="2"/>
  <c r="Q44" i="2"/>
  <c r="M44" i="2"/>
  <c r="I44" i="2"/>
  <c r="AZ44" i="2"/>
  <c r="AV44" i="2"/>
  <c r="AR44" i="2"/>
  <c r="AN44" i="2"/>
  <c r="AJ44" i="2"/>
  <c r="AF44" i="2"/>
  <c r="AB44" i="2"/>
  <c r="X44" i="2"/>
  <c r="T44" i="2"/>
  <c r="P44" i="2"/>
  <c r="L44" i="2"/>
  <c r="AM44" i="2"/>
  <c r="W44" i="2"/>
  <c r="AY44" i="2"/>
  <c r="AI44" i="2"/>
  <c r="S44" i="2"/>
  <c r="AU44" i="2"/>
  <c r="AE44" i="2"/>
  <c r="O44" i="2"/>
  <c r="AY8" i="2"/>
  <c r="AY7" i="2" s="1"/>
  <c r="AU8" i="2"/>
  <c r="AU7" i="2" s="1"/>
  <c r="AQ8" i="2"/>
  <c r="AQ7" i="2" s="1"/>
  <c r="AM8" i="2"/>
  <c r="AM7" i="2" s="1"/>
  <c r="AI8" i="2"/>
  <c r="AI7" i="2" s="1"/>
  <c r="AE8" i="2"/>
  <c r="AE7" i="2" s="1"/>
  <c r="AA8" i="2"/>
  <c r="AA7" i="2" s="1"/>
  <c r="W8" i="2"/>
  <c r="W7" i="2" s="1"/>
  <c r="S8" i="2"/>
  <c r="S7" i="2" s="1"/>
  <c r="O8" i="2"/>
  <c r="O7" i="2" s="1"/>
  <c r="K8" i="2"/>
  <c r="K7" i="2" s="1"/>
  <c r="BA8" i="2"/>
  <c r="BA7" i="2" s="1"/>
  <c r="AV8" i="2"/>
  <c r="AV7" i="2" s="1"/>
  <c r="AP8" i="2"/>
  <c r="AP7" i="2" s="1"/>
  <c r="AK8" i="2"/>
  <c r="AK7" i="2" s="1"/>
  <c r="AF8" i="2"/>
  <c r="AF7" i="2" s="1"/>
  <c r="Z8" i="2"/>
  <c r="Z7" i="2" s="1"/>
  <c r="U8" i="2"/>
  <c r="U7" i="2" s="1"/>
  <c r="P8" i="2"/>
  <c r="P7" i="2" s="1"/>
  <c r="J8" i="2"/>
  <c r="J7" i="2" s="1"/>
  <c r="AT8" i="2"/>
  <c r="AT7" i="2" s="1"/>
  <c r="AJ8" i="2"/>
  <c r="AJ7" i="2" s="1"/>
  <c r="Y8" i="2"/>
  <c r="Y7" i="2" s="1"/>
  <c r="N8" i="2"/>
  <c r="N7" i="2" s="1"/>
  <c r="AZ8" i="2"/>
  <c r="AZ7" i="2" s="1"/>
  <c r="AO8" i="2"/>
  <c r="AO7" i="2" s="1"/>
  <c r="AD8" i="2"/>
  <c r="AD7" i="2" s="1"/>
  <c r="T8" i="2"/>
  <c r="T7" i="2" s="1"/>
  <c r="I8" i="2"/>
  <c r="I7" i="2" s="1"/>
  <c r="AX8" i="2"/>
  <c r="AX7" i="2" s="1"/>
  <c r="AS8" i="2"/>
  <c r="AS7" i="2" s="1"/>
  <c r="AN8" i="2"/>
  <c r="AN7" i="2" s="1"/>
  <c r="AH8" i="2"/>
  <c r="AH7" i="2" s="1"/>
  <c r="AC8" i="2"/>
  <c r="AC7" i="2" s="1"/>
  <c r="X8" i="2"/>
  <c r="X7" i="2" s="1"/>
  <c r="R8" i="2"/>
  <c r="R7" i="2" s="1"/>
  <c r="M8" i="2"/>
  <c r="M7" i="2" s="1"/>
  <c r="Q15" i="2"/>
  <c r="AL15" i="2"/>
  <c r="AY27" i="2"/>
  <c r="AU27" i="2"/>
  <c r="AQ27" i="2"/>
  <c r="AM27" i="2"/>
  <c r="AI27" i="2"/>
  <c r="AE27" i="2"/>
  <c r="AA27" i="2"/>
  <c r="W27" i="2"/>
  <c r="S27" i="2"/>
  <c r="O27" i="2"/>
  <c r="K27" i="2"/>
  <c r="AW27" i="2"/>
  <c r="AO27" i="2"/>
  <c r="AG27" i="2"/>
  <c r="Y27" i="2"/>
  <c r="Q27" i="2"/>
  <c r="I27" i="2"/>
  <c r="AV27" i="2"/>
  <c r="AN27" i="2"/>
  <c r="AF27" i="2"/>
  <c r="X27" i="2"/>
  <c r="P27" i="2"/>
  <c r="BA27" i="2"/>
  <c r="AS27" i="2"/>
  <c r="AK27" i="2"/>
  <c r="AC27" i="2"/>
  <c r="U27" i="2"/>
  <c r="M27" i="2"/>
  <c r="J18" i="2"/>
  <c r="R18" i="2"/>
  <c r="Z18" i="2"/>
  <c r="AH18" i="2"/>
  <c r="AP18" i="2"/>
  <c r="AX18" i="2"/>
  <c r="N35" i="2"/>
  <c r="V35" i="2"/>
  <c r="AD35" i="2"/>
  <c r="AL35" i="2"/>
  <c r="AT35" i="2"/>
  <c r="BB35" i="2"/>
  <c r="BA35" i="2"/>
  <c r="BD36" i="2" s="1"/>
  <c r="BD35" i="2" s="1"/>
  <c r="AW35" i="2"/>
  <c r="AS35" i="2"/>
  <c r="AO35" i="2"/>
  <c r="AK35" i="2"/>
  <c r="AG35" i="2"/>
  <c r="AC35" i="2"/>
  <c r="Y35" i="2"/>
  <c r="U35" i="2"/>
  <c r="Q35" i="2"/>
  <c r="M35" i="2"/>
  <c r="I35" i="2"/>
  <c r="AZ35" i="2"/>
  <c r="AV35" i="2"/>
  <c r="AR35" i="2"/>
  <c r="AN35" i="2"/>
  <c r="AJ35" i="2"/>
  <c r="AF35" i="2"/>
  <c r="AB35" i="2"/>
  <c r="X35" i="2"/>
  <c r="T35" i="2"/>
  <c r="P35" i="2"/>
  <c r="L35" i="2"/>
  <c r="L49" i="2"/>
  <c r="AB49" i="2"/>
  <c r="AR49" i="2"/>
  <c r="AL73" i="2"/>
  <c r="AY49" i="2"/>
  <c r="AU49" i="2"/>
  <c r="AQ49" i="2"/>
  <c r="AM49" i="2"/>
  <c r="AI49" i="2"/>
  <c r="AE49" i="2"/>
  <c r="AA49" i="2"/>
  <c r="W49" i="2"/>
  <c r="S49" i="2"/>
  <c r="O49" i="2"/>
  <c r="K49" i="2"/>
  <c r="BB49" i="2"/>
  <c r="AX49" i="2"/>
  <c r="AT49" i="2"/>
  <c r="AP49" i="2"/>
  <c r="AL49" i="2"/>
  <c r="AH49" i="2"/>
  <c r="AD49" i="2"/>
  <c r="Z49" i="2"/>
  <c r="V49" i="2"/>
  <c r="R49" i="2"/>
  <c r="N49" i="2"/>
  <c r="J49" i="2"/>
  <c r="BA49" i="2"/>
  <c r="AW49" i="2"/>
  <c r="AS49" i="2"/>
  <c r="AO49" i="2"/>
  <c r="AK49" i="2"/>
  <c r="AG49" i="2"/>
  <c r="AC49" i="2"/>
  <c r="Y49" i="2"/>
  <c r="U49" i="2"/>
  <c r="Q49" i="2"/>
  <c r="M49" i="2"/>
  <c r="I49" i="2"/>
  <c r="N18" i="2"/>
  <c r="V18" i="2"/>
  <c r="AD18" i="2"/>
  <c r="AL18" i="2"/>
  <c r="AT18" i="2"/>
  <c r="BB18" i="2"/>
  <c r="AZ18" i="2"/>
  <c r="AV18" i="2"/>
  <c r="AR18" i="2"/>
  <c r="AN18" i="2"/>
  <c r="AJ18" i="2"/>
  <c r="AF18" i="2"/>
  <c r="AB18" i="2"/>
  <c r="X18" i="2"/>
  <c r="T18" i="2"/>
  <c r="P18" i="2"/>
  <c r="L18" i="2"/>
  <c r="AY18" i="2"/>
  <c r="AU18" i="2"/>
  <c r="AQ18" i="2"/>
  <c r="AM18" i="2"/>
  <c r="AI18" i="2"/>
  <c r="AE18" i="2"/>
  <c r="AA18" i="2"/>
  <c r="W18" i="2"/>
  <c r="S18" i="2"/>
  <c r="O18" i="2"/>
  <c r="K18" i="2"/>
  <c r="J35" i="2"/>
  <c r="R35" i="2"/>
  <c r="Z35" i="2"/>
  <c r="AH35" i="2"/>
  <c r="AP35" i="2"/>
  <c r="AX35" i="2"/>
  <c r="T49" i="2"/>
  <c r="AJ49" i="2"/>
  <c r="AZ49" i="2"/>
  <c r="BA73" i="2"/>
  <c r="BD74" i="2" s="1"/>
  <c r="BD73" i="2" s="1"/>
  <c r="AW73" i="2"/>
  <c r="AS73" i="2"/>
  <c r="AO73" i="2"/>
  <c r="AK73" i="2"/>
  <c r="AG73" i="2"/>
  <c r="AC73" i="2"/>
  <c r="Y73" i="2"/>
  <c r="U73" i="2"/>
  <c r="AZ73" i="2"/>
  <c r="AV73" i="2"/>
  <c r="AR73" i="2"/>
  <c r="AN73" i="2"/>
  <c r="AJ73" i="2"/>
  <c r="AF73" i="2"/>
  <c r="AB73" i="2"/>
  <c r="X73" i="2"/>
  <c r="T73" i="2"/>
  <c r="P73" i="2"/>
  <c r="L73" i="2"/>
  <c r="AY73" i="2"/>
  <c r="AU73" i="2"/>
  <c r="AQ73" i="2"/>
  <c r="AM73" i="2"/>
  <c r="AI73" i="2"/>
  <c r="AE73" i="2"/>
  <c r="AA73" i="2"/>
  <c r="W73" i="2"/>
  <c r="S73" i="2"/>
  <c r="O73" i="2"/>
  <c r="K73" i="2"/>
  <c r="AX73" i="2"/>
  <c r="AH73" i="2"/>
  <c r="R73" i="2"/>
  <c r="J73" i="2"/>
  <c r="AT73" i="2"/>
  <c r="AD73" i="2"/>
  <c r="Q73" i="2"/>
  <c r="I73" i="2"/>
  <c r="AP73" i="2"/>
  <c r="Z73" i="2"/>
  <c r="N73" i="2"/>
  <c r="AX123" i="2"/>
  <c r="AP123" i="2"/>
  <c r="AH123" i="2"/>
  <c r="Z123" i="2"/>
  <c r="R123" i="2"/>
  <c r="J123" i="2"/>
  <c r="AW123" i="2"/>
  <c r="AO123" i="2"/>
  <c r="AG123" i="2"/>
  <c r="Y123" i="2"/>
  <c r="Q123" i="2"/>
  <c r="I123" i="2"/>
  <c r="BB123" i="2"/>
  <c r="AT123" i="2"/>
  <c r="AL123" i="2"/>
  <c r="AD123" i="2"/>
  <c r="V123" i="2"/>
  <c r="N123" i="2"/>
  <c r="AC123" i="2"/>
  <c r="BA123" i="2"/>
  <c r="BD124" i="2" s="1"/>
  <c r="BD123" i="2" s="1"/>
  <c r="U123" i="2"/>
  <c r="AS123" i="2"/>
  <c r="M123" i="2"/>
  <c r="J27" i="2"/>
  <c r="N27" i="2"/>
  <c r="R27" i="2"/>
  <c r="V27" i="2"/>
  <c r="Z27" i="2"/>
  <c r="AD27" i="2"/>
  <c r="AH27" i="2"/>
  <c r="AL27" i="2"/>
  <c r="AP27" i="2"/>
  <c r="AT27" i="2"/>
  <c r="AX27" i="2"/>
  <c r="BB27" i="2"/>
  <c r="BA75" i="2"/>
  <c r="BD76" i="2" s="1"/>
  <c r="BD75" i="2" s="1"/>
  <c r="AW75" i="2"/>
  <c r="AS75" i="2"/>
  <c r="AO75" i="2"/>
  <c r="AK75" i="2"/>
  <c r="AG75" i="2"/>
  <c r="AC75" i="2"/>
  <c r="Y75" i="2"/>
  <c r="U75" i="2"/>
  <c r="Q75" i="2"/>
  <c r="M75" i="2"/>
  <c r="I75" i="2"/>
  <c r="AZ75" i="2"/>
  <c r="AV75" i="2"/>
  <c r="AR75" i="2"/>
  <c r="AN75" i="2"/>
  <c r="AJ75" i="2"/>
  <c r="AF75" i="2"/>
  <c r="AB75" i="2"/>
  <c r="X75" i="2"/>
  <c r="T75" i="2"/>
  <c r="P75" i="2"/>
  <c r="L75" i="2"/>
  <c r="AY75" i="2"/>
  <c r="AU75" i="2"/>
  <c r="AQ75" i="2"/>
  <c r="AM75" i="2"/>
  <c r="AI75" i="2"/>
  <c r="AE75" i="2"/>
  <c r="AA75" i="2"/>
  <c r="W75" i="2"/>
  <c r="S75" i="2"/>
  <c r="O75" i="2"/>
  <c r="K75" i="2"/>
  <c r="AZ89" i="2"/>
  <c r="AV89" i="2"/>
  <c r="AR89" i="2"/>
  <c r="AN89" i="2"/>
  <c r="AJ89" i="2"/>
  <c r="AF89" i="2"/>
  <c r="AB89" i="2"/>
  <c r="X89" i="2"/>
  <c r="T89" i="2"/>
  <c r="P89" i="2"/>
  <c r="L89" i="2"/>
  <c r="AY89" i="2"/>
  <c r="AU89" i="2"/>
  <c r="AQ89" i="2"/>
  <c r="AM89" i="2"/>
  <c r="AI89" i="2"/>
  <c r="AE89" i="2"/>
  <c r="AA89" i="2"/>
  <c r="W89" i="2"/>
  <c r="S89" i="2"/>
  <c r="O89" i="2"/>
  <c r="K89" i="2"/>
  <c r="AH89" i="2"/>
  <c r="AD89" i="2"/>
  <c r="Z89" i="2"/>
  <c r="V89" i="2"/>
  <c r="R89" i="2"/>
  <c r="N89" i="2"/>
  <c r="J89" i="2"/>
  <c r="AZ80" i="2"/>
  <c r="AV80" i="2"/>
  <c r="AR80" i="2"/>
  <c r="AN80" i="2"/>
  <c r="AJ80" i="2"/>
  <c r="AF80" i="2"/>
  <c r="AB80" i="2"/>
  <c r="X80" i="2"/>
  <c r="T80" i="2"/>
  <c r="P80" i="2"/>
  <c r="L80" i="2"/>
  <c r="AY80" i="2"/>
  <c r="AU80" i="2"/>
  <c r="AQ80" i="2"/>
  <c r="AM80" i="2"/>
  <c r="AI80" i="2"/>
  <c r="AE80" i="2"/>
  <c r="AA80" i="2"/>
  <c r="W80" i="2"/>
  <c r="S80" i="2"/>
  <c r="O80" i="2"/>
  <c r="K80" i="2"/>
  <c r="AL80" i="2"/>
  <c r="AH80" i="2"/>
  <c r="AD80" i="2"/>
  <c r="Z80" i="2"/>
  <c r="V80" i="2"/>
  <c r="R80" i="2"/>
  <c r="N80" i="2"/>
  <c r="J80" i="2"/>
  <c r="BB106" i="2"/>
  <c r="AT106" i="2"/>
  <c r="AL106" i="2"/>
  <c r="AD106" i="2"/>
  <c r="V106" i="2"/>
  <c r="N106" i="2"/>
  <c r="AP80" i="2"/>
  <c r="AT80" i="2"/>
  <c r="AX80" i="2"/>
  <c r="BB80" i="2"/>
  <c r="AL89" i="2"/>
  <c r="AP89" i="2"/>
  <c r="AT89" i="2"/>
  <c r="AX89" i="2"/>
  <c r="BB89" i="2"/>
  <c r="N99" i="2"/>
  <c r="R99" i="2"/>
  <c r="V99" i="2"/>
  <c r="Z99" i="2"/>
  <c r="AD99" i="2"/>
  <c r="AH99" i="2"/>
  <c r="AL99" i="2"/>
  <c r="AP99" i="2"/>
  <c r="AT99" i="2"/>
  <c r="BA99" i="2"/>
  <c r="K104" i="2"/>
  <c r="S104" i="2"/>
  <c r="AA104" i="2"/>
  <c r="AI104" i="2"/>
  <c r="AQ104" i="2"/>
  <c r="AY104" i="2"/>
  <c r="J106" i="2"/>
  <c r="R106" i="2"/>
  <c r="Z106" i="2"/>
  <c r="AH106" i="2"/>
  <c r="AP106" i="2"/>
  <c r="AX106" i="2"/>
  <c r="M109" i="2"/>
  <c r="U109" i="2"/>
  <c r="AC109" i="2"/>
  <c r="AK109" i="2"/>
  <c r="AS109" i="2"/>
  <c r="BA109" i="2"/>
  <c r="BD110" i="2" s="1"/>
  <c r="BD109" i="2" s="1"/>
  <c r="AZ99" i="2"/>
  <c r="AV99" i="2"/>
  <c r="AY99" i="2"/>
  <c r="BA104" i="2"/>
  <c r="BD105" i="2" s="1"/>
  <c r="BD104" i="2" s="1"/>
  <c r="AW104" i="2"/>
  <c r="AS104" i="2"/>
  <c r="AO104" i="2"/>
  <c r="AK104" i="2"/>
  <c r="AG104" i="2"/>
  <c r="AC104" i="2"/>
  <c r="Y104" i="2"/>
  <c r="U104" i="2"/>
  <c r="Q104" i="2"/>
  <c r="M104" i="2"/>
  <c r="I104" i="2"/>
  <c r="AZ104" i="2"/>
  <c r="AV104" i="2"/>
  <c r="AR104" i="2"/>
  <c r="AN104" i="2"/>
  <c r="AJ104" i="2"/>
  <c r="AF104" i="2"/>
  <c r="AB104" i="2"/>
  <c r="X104" i="2"/>
  <c r="T104" i="2"/>
  <c r="P104" i="2"/>
  <c r="L104" i="2"/>
  <c r="K106" i="2"/>
  <c r="S106" i="2"/>
  <c r="AA106" i="2"/>
  <c r="AI106" i="2"/>
  <c r="AQ106" i="2"/>
  <c r="AY106" i="2"/>
  <c r="AZ109" i="2"/>
  <c r="AV109" i="2"/>
  <c r="AR109" i="2"/>
  <c r="AN109" i="2"/>
  <c r="AJ109" i="2"/>
  <c r="AF109" i="2"/>
  <c r="AB109" i="2"/>
  <c r="X109" i="2"/>
  <c r="T109" i="2"/>
  <c r="P109" i="2"/>
  <c r="L109" i="2"/>
  <c r="AY109" i="2"/>
  <c r="AU109" i="2"/>
  <c r="AQ109" i="2"/>
  <c r="AM109" i="2"/>
  <c r="AI109" i="2"/>
  <c r="AE109" i="2"/>
  <c r="AA109" i="2"/>
  <c r="W109" i="2"/>
  <c r="S109" i="2"/>
  <c r="O109" i="2"/>
  <c r="K109" i="2"/>
  <c r="BA106" i="2"/>
  <c r="BD107" i="2" s="1"/>
  <c r="BD106" i="2" s="1"/>
  <c r="AW106" i="2"/>
  <c r="AS106" i="2"/>
  <c r="AO106" i="2"/>
  <c r="AK106" i="2"/>
  <c r="AG106" i="2"/>
  <c r="AC106" i="2"/>
  <c r="Y106" i="2"/>
  <c r="U106" i="2"/>
  <c r="Q106" i="2"/>
  <c r="M106" i="2"/>
  <c r="I106" i="2"/>
  <c r="AZ106" i="2"/>
  <c r="AV106" i="2"/>
  <c r="AR106" i="2"/>
  <c r="AN106" i="2"/>
  <c r="AJ106" i="2"/>
  <c r="AF106" i="2"/>
  <c r="AB106" i="2"/>
  <c r="X106" i="2"/>
  <c r="T106" i="2"/>
  <c r="P106" i="2"/>
  <c r="L106" i="2"/>
  <c r="J112" i="2"/>
  <c r="N112" i="2"/>
  <c r="R112" i="2"/>
  <c r="V112" i="2"/>
  <c r="Z112" i="2"/>
  <c r="AD112" i="2"/>
  <c r="AH112" i="2"/>
  <c r="AM112" i="2"/>
  <c r="AR112" i="2"/>
  <c r="AX112" i="2"/>
  <c r="O119" i="2"/>
  <c r="W119" i="2"/>
  <c r="AE119" i="2"/>
  <c r="AM119" i="2"/>
  <c r="AU119" i="2"/>
  <c r="AZ123" i="2"/>
  <c r="AV123" i="2"/>
  <c r="AR123" i="2"/>
  <c r="AN123" i="2"/>
  <c r="AJ123" i="2"/>
  <c r="AF123" i="2"/>
  <c r="AB123" i="2"/>
  <c r="X123" i="2"/>
  <c r="T123" i="2"/>
  <c r="P123" i="2"/>
  <c r="L123" i="2"/>
  <c r="AY123" i="2"/>
  <c r="AU123" i="2"/>
  <c r="AQ123" i="2"/>
  <c r="AM123" i="2"/>
  <c r="AI123" i="2"/>
  <c r="AE123" i="2"/>
  <c r="AA123" i="2"/>
  <c r="W123" i="2"/>
  <c r="S123" i="2"/>
  <c r="O123" i="2"/>
  <c r="K123" i="2"/>
  <c r="J134" i="2"/>
  <c r="R134" i="2"/>
  <c r="Z134" i="2"/>
  <c r="AH134" i="2"/>
  <c r="AP134" i="2"/>
  <c r="AX134" i="2"/>
  <c r="K112" i="2"/>
  <c r="O112" i="2"/>
  <c r="S112" i="2"/>
  <c r="W112" i="2"/>
  <c r="AA112" i="2"/>
  <c r="AE112" i="2"/>
  <c r="AI112" i="2"/>
  <c r="AN112" i="2"/>
  <c r="AT112" i="2"/>
  <c r="AY112" i="2"/>
  <c r="AZ115" i="2"/>
  <c r="AV115" i="2"/>
  <c r="AR115" i="2"/>
  <c r="AN115" i="2"/>
  <c r="AJ115" i="2"/>
  <c r="AF115" i="2"/>
  <c r="AB115" i="2"/>
  <c r="X115" i="2"/>
  <c r="T115" i="2"/>
  <c r="P115" i="2"/>
  <c r="L115" i="2"/>
  <c r="AY115" i="2"/>
  <c r="AU115" i="2"/>
  <c r="AQ115" i="2"/>
  <c r="AM115" i="2"/>
  <c r="AI115" i="2"/>
  <c r="AE115" i="2"/>
  <c r="AA115" i="2"/>
  <c r="W115" i="2"/>
  <c r="S115" i="2"/>
  <c r="O115" i="2"/>
  <c r="K115" i="2"/>
  <c r="P119" i="2"/>
  <c r="X119" i="2"/>
  <c r="AF119" i="2"/>
  <c r="AN119" i="2"/>
  <c r="AV119" i="2"/>
  <c r="BB119" i="2"/>
  <c r="AX119" i="2"/>
  <c r="AT119" i="2"/>
  <c r="AP119" i="2"/>
  <c r="AL119" i="2"/>
  <c r="AH119" i="2"/>
  <c r="AD119" i="2"/>
  <c r="Z119" i="2"/>
  <c r="V119" i="2"/>
  <c r="R119" i="2"/>
  <c r="N119" i="2"/>
  <c r="J119" i="2"/>
  <c r="BA119" i="2"/>
  <c r="BD120" i="2" s="1"/>
  <c r="BD119" i="2" s="1"/>
  <c r="AW119" i="2"/>
  <c r="AS119" i="2"/>
  <c r="AO119" i="2"/>
  <c r="AK119" i="2"/>
  <c r="AG119" i="2"/>
  <c r="AC119" i="2"/>
  <c r="Y119" i="2"/>
  <c r="U119" i="2"/>
  <c r="Q119" i="2"/>
  <c r="M119" i="2"/>
  <c r="I119" i="2"/>
  <c r="AY130" i="2"/>
  <c r="AU130" i="2"/>
  <c r="AQ130" i="2"/>
  <c r="AM130" i="2"/>
  <c r="AI130" i="2"/>
  <c r="AE130" i="2"/>
  <c r="AA130" i="2"/>
  <c r="W130" i="2"/>
  <c r="S130" i="2"/>
  <c r="O130" i="2"/>
  <c r="K130" i="2"/>
  <c r="BB130" i="2"/>
  <c r="AX130" i="2"/>
  <c r="AT130" i="2"/>
  <c r="AP130" i="2"/>
  <c r="AL130" i="2"/>
  <c r="AH130" i="2"/>
  <c r="AD130" i="2"/>
  <c r="Z130" i="2"/>
  <c r="V130" i="2"/>
  <c r="R130" i="2"/>
  <c r="N130" i="2"/>
  <c r="J130" i="2"/>
  <c r="K134" i="2"/>
  <c r="S134" i="2"/>
  <c r="AA134" i="2"/>
  <c r="AI134" i="2"/>
  <c r="AQ134" i="2"/>
  <c r="AY134" i="2"/>
  <c r="BA112" i="2"/>
  <c r="BD113" i="2" s="1"/>
  <c r="BD112" i="2" s="1"/>
  <c r="AW112" i="2"/>
  <c r="AS112" i="2"/>
  <c r="AO112" i="2"/>
  <c r="AK112" i="2"/>
  <c r="AZ112" i="2"/>
  <c r="BA134" i="2"/>
  <c r="BD135" i="2" s="1"/>
  <c r="BD134" i="2" s="1"/>
  <c r="AW134" i="2"/>
  <c r="AS134" i="2"/>
  <c r="AO134" i="2"/>
  <c r="AK134" i="2"/>
  <c r="AG134" i="2"/>
  <c r="AC134" i="2"/>
  <c r="Y134" i="2"/>
  <c r="U134" i="2"/>
  <c r="Q134" i="2"/>
  <c r="M134" i="2"/>
  <c r="I134" i="2"/>
  <c r="AZ134" i="2"/>
  <c r="AV134" i="2"/>
  <c r="AR134" i="2"/>
  <c r="AN134" i="2"/>
  <c r="AJ134" i="2"/>
  <c r="AF134" i="2"/>
  <c r="AB134" i="2"/>
  <c r="X134" i="2"/>
  <c r="T134" i="2"/>
  <c r="P134" i="2"/>
  <c r="L134" i="2"/>
  <c r="K5" i="1"/>
  <c r="K7" i="1"/>
  <c r="K9" i="1"/>
  <c r="K15" i="1"/>
  <c r="K17" i="1"/>
  <c r="K19" i="1"/>
  <c r="K25" i="1"/>
  <c r="K27" i="1"/>
  <c r="K29" i="1"/>
  <c r="K41" i="1"/>
  <c r="K43" i="1"/>
  <c r="K47" i="1"/>
  <c r="K49" i="1"/>
  <c r="K51" i="1"/>
  <c r="K53" i="1"/>
  <c r="K57" i="1"/>
  <c r="K59" i="1"/>
  <c r="K62" i="1"/>
  <c r="K66" i="1"/>
  <c r="K78" i="1"/>
  <c r="K82" i="1"/>
  <c r="K86" i="1"/>
  <c r="K90" i="1"/>
  <c r="K94" i="1"/>
  <c r="K106" i="1"/>
  <c r="K123" i="1"/>
  <c r="K127" i="1"/>
  <c r="K131" i="1"/>
  <c r="K135" i="1"/>
  <c r="K63" i="1"/>
  <c r="K67" i="1"/>
  <c r="K79" i="1"/>
  <c r="K87" i="1"/>
  <c r="K91" i="1"/>
  <c r="K116" i="1"/>
  <c r="K120" i="1"/>
  <c r="K124" i="1"/>
  <c r="K128" i="1"/>
  <c r="K132" i="1"/>
  <c r="K136" i="1"/>
  <c r="K89" i="1"/>
  <c r="K93" i="1"/>
  <c r="K6" i="1"/>
  <c r="K16" i="1"/>
  <c r="K18" i="1"/>
  <c r="K28" i="1"/>
  <c r="K42" i="1"/>
  <c r="K52" i="1"/>
  <c r="K88" i="1"/>
  <c r="K121" i="1"/>
  <c r="P97" i="6" l="1"/>
  <c r="P110" i="6" s="1"/>
  <c r="P97" i="3"/>
  <c r="P98" i="3"/>
  <c r="AB97" i="6"/>
  <c r="AB110" i="6" s="1"/>
  <c r="AB97" i="3"/>
  <c r="AB98" i="3"/>
  <c r="L97" i="6"/>
  <c r="L109" i="6" s="1"/>
  <c r="L97" i="3"/>
  <c r="L98" i="3"/>
  <c r="N97" i="6"/>
  <c r="N109" i="6" s="1"/>
  <c r="N97" i="3"/>
  <c r="AB98" i="6"/>
  <c r="AB116" i="6" s="1"/>
  <c r="AB99" i="3"/>
  <c r="AB100" i="3"/>
  <c r="L98" i="6"/>
  <c r="L116" i="6" s="1"/>
  <c r="L99" i="3"/>
  <c r="L100" i="3"/>
  <c r="X97" i="6"/>
  <c r="X109" i="6" s="1"/>
  <c r="X97" i="3"/>
  <c r="X98" i="3"/>
  <c r="AH97" i="6"/>
  <c r="AH109" i="6" s="1"/>
  <c r="AH97" i="3"/>
  <c r="X98" i="6"/>
  <c r="X115" i="6" s="1"/>
  <c r="X99" i="3"/>
  <c r="X100" i="3"/>
  <c r="Z98" i="6"/>
  <c r="Z115" i="6" s="1"/>
  <c r="Z99" i="3"/>
  <c r="AL98" i="6"/>
  <c r="AL115" i="6" s="1"/>
  <c r="AL99" i="3"/>
  <c r="AD98" i="6"/>
  <c r="AD115" i="6" s="1"/>
  <c r="AD99" i="3"/>
  <c r="R98" i="6"/>
  <c r="R115" i="6" s="1"/>
  <c r="R99" i="3"/>
  <c r="AF97" i="6"/>
  <c r="AF110" i="6" s="1"/>
  <c r="AF97" i="3"/>
  <c r="AF98" i="3"/>
  <c r="AJ97" i="6"/>
  <c r="AJ109" i="6" s="1"/>
  <c r="AJ97" i="3"/>
  <c r="AJ98" i="3"/>
  <c r="T97" i="6"/>
  <c r="T109" i="6" s="1"/>
  <c r="T97" i="3"/>
  <c r="T98" i="3"/>
  <c r="AD97" i="6"/>
  <c r="AD109" i="6" s="1"/>
  <c r="AD97" i="3"/>
  <c r="AJ98" i="6"/>
  <c r="AJ115" i="6" s="1"/>
  <c r="AJ99" i="3"/>
  <c r="AJ100" i="3"/>
  <c r="T98" i="6"/>
  <c r="T115" i="6" s="1"/>
  <c r="T99" i="3"/>
  <c r="T100" i="3"/>
  <c r="Z97" i="6"/>
  <c r="Z109" i="6" s="1"/>
  <c r="Z97" i="3"/>
  <c r="V98" i="6"/>
  <c r="V115" i="6" s="1"/>
  <c r="V99" i="3"/>
  <c r="N98" i="6"/>
  <c r="N115" i="6" s="1"/>
  <c r="N99" i="3"/>
  <c r="H99" i="3"/>
  <c r="H100" i="3"/>
  <c r="AH98" i="6"/>
  <c r="AH115" i="6" s="1"/>
  <c r="AH99" i="3"/>
  <c r="V97" i="6"/>
  <c r="V109" i="6" s="1"/>
  <c r="V97" i="3"/>
  <c r="AF98" i="6"/>
  <c r="AF116" i="6" s="1"/>
  <c r="AF99" i="3"/>
  <c r="AF100" i="3"/>
  <c r="P98" i="6"/>
  <c r="P116" i="6" s="1"/>
  <c r="P99" i="3"/>
  <c r="P100" i="3"/>
  <c r="R97" i="6"/>
  <c r="R109" i="6" s="1"/>
  <c r="R97" i="3"/>
  <c r="H97" i="3"/>
  <c r="H98" i="3"/>
  <c r="H113" i="6"/>
  <c r="H114" i="6"/>
  <c r="H117" i="6"/>
  <c r="J117" i="6"/>
  <c r="J113" i="6"/>
  <c r="L110" i="6"/>
  <c r="J107" i="6"/>
  <c r="J111" i="6"/>
  <c r="P109" i="6"/>
  <c r="H111" i="6"/>
  <c r="H112" i="6"/>
  <c r="H108" i="6"/>
  <c r="H107" i="6"/>
  <c r="AL5" i="3"/>
  <c r="AL97" i="6"/>
  <c r="AL109" i="6" s="1"/>
  <c r="H97" i="6"/>
  <c r="J97" i="6"/>
  <c r="J109" i="6" s="1"/>
  <c r="I97" i="6"/>
  <c r="H98" i="6"/>
  <c r="J98" i="6"/>
  <c r="J115" i="6" s="1"/>
  <c r="I5" i="3"/>
  <c r="I98" i="6"/>
  <c r="O5" i="3"/>
  <c r="O96" i="6" s="1"/>
  <c r="Y5" i="3"/>
  <c r="Y96" i="6" s="1"/>
  <c r="AE5" i="3"/>
  <c r="AE96" i="6" s="1"/>
  <c r="BD14" i="2"/>
  <c r="BD79" i="2"/>
  <c r="M5" i="3"/>
  <c r="M96" i="6" s="1"/>
  <c r="S5" i="3"/>
  <c r="S96" i="6" s="1"/>
  <c r="Q5" i="3"/>
  <c r="Q96" i="6" s="1"/>
  <c r="AD5" i="3"/>
  <c r="R5" i="3"/>
  <c r="N5" i="3"/>
  <c r="Z5" i="3"/>
  <c r="AG5" i="3"/>
  <c r="AG96" i="6" s="1"/>
  <c r="AC5" i="3"/>
  <c r="AC96" i="6" s="1"/>
  <c r="J6" i="6"/>
  <c r="J5" i="3"/>
  <c r="J95" i="3" s="1"/>
  <c r="AH5" i="3"/>
  <c r="H6" i="6"/>
  <c r="H106" i="6" s="1"/>
  <c r="I6" i="6"/>
  <c r="W5" i="3"/>
  <c r="W96" i="6" s="1"/>
  <c r="AI5" i="3"/>
  <c r="AI96" i="6" s="1"/>
  <c r="AA5" i="3"/>
  <c r="AA96" i="6" s="1"/>
  <c r="H5" i="3"/>
  <c r="AM5" i="3"/>
  <c r="AM96" i="6" s="1"/>
  <c r="AK5" i="3"/>
  <c r="AK96" i="6" s="1"/>
  <c r="U5" i="3"/>
  <c r="U96" i="6" s="1"/>
  <c r="K5" i="3"/>
  <c r="K96" i="6" s="1"/>
  <c r="V5" i="3"/>
  <c r="AB5" i="3"/>
  <c r="L5" i="3"/>
  <c r="AJ5" i="3"/>
  <c r="T5" i="3"/>
  <c r="AF5" i="3"/>
  <c r="P5" i="3"/>
  <c r="X5" i="3"/>
  <c r="F6" i="2"/>
  <c r="U79" i="2"/>
  <c r="AS79" i="2"/>
  <c r="V79" i="2"/>
  <c r="AL79" i="2"/>
  <c r="AW79" i="2"/>
  <c r="AK79" i="2"/>
  <c r="AA14" i="2"/>
  <c r="Y79" i="2"/>
  <c r="Q79" i="2"/>
  <c r="AG79" i="2"/>
  <c r="I79" i="2"/>
  <c r="AO79" i="2"/>
  <c r="M79" i="2"/>
  <c r="AC79" i="2"/>
  <c r="BA79" i="2"/>
  <c r="BB14" i="2"/>
  <c r="V14" i="2"/>
  <c r="AQ14" i="2"/>
  <c r="AL14" i="2"/>
  <c r="M14" i="2"/>
  <c r="AM79" i="2"/>
  <c r="AJ79" i="2"/>
  <c r="AH14" i="2"/>
  <c r="S14" i="2"/>
  <c r="AT14" i="2"/>
  <c r="O14" i="2"/>
  <c r="AK14" i="2"/>
  <c r="P14" i="2"/>
  <c r="AF14" i="2"/>
  <c r="AV14" i="2"/>
  <c r="AP79" i="2"/>
  <c r="J79" i="2"/>
  <c r="Z79" i="2"/>
  <c r="K79" i="2"/>
  <c r="AA79" i="2"/>
  <c r="AQ79" i="2"/>
  <c r="X79" i="2"/>
  <c r="AN79" i="2"/>
  <c r="AW14" i="2"/>
  <c r="Q14" i="2"/>
  <c r="R14" i="2"/>
  <c r="AM14" i="2"/>
  <c r="Y14" i="2"/>
  <c r="AY14" i="2"/>
  <c r="I14" i="2"/>
  <c r="U14" i="2"/>
  <c r="AP14" i="2"/>
  <c r="T14" i="2"/>
  <c r="AJ14" i="2"/>
  <c r="AZ14" i="2"/>
  <c r="AT79" i="2"/>
  <c r="W79" i="2"/>
  <c r="AZ79" i="2"/>
  <c r="N79" i="2"/>
  <c r="AD79" i="2"/>
  <c r="O79" i="2"/>
  <c r="AE79" i="2"/>
  <c r="AU79" i="2"/>
  <c r="L79" i="2"/>
  <c r="AB79" i="2"/>
  <c r="AR79" i="2"/>
  <c r="W14" i="2"/>
  <c r="AS14" i="2"/>
  <c r="AI14" i="2"/>
  <c r="AD14" i="2"/>
  <c r="Z14" i="2"/>
  <c r="AU14" i="2"/>
  <c r="X14" i="2"/>
  <c r="AN14" i="2"/>
  <c r="AG14" i="2"/>
  <c r="T79" i="2"/>
  <c r="BB79" i="2"/>
  <c r="AX79" i="2"/>
  <c r="R79" i="2"/>
  <c r="AH79" i="2"/>
  <c r="S79" i="2"/>
  <c r="AI79" i="2"/>
  <c r="AY79" i="2"/>
  <c r="P79" i="2"/>
  <c r="AF79" i="2"/>
  <c r="AV79" i="2"/>
  <c r="AC14" i="2"/>
  <c r="AX14" i="2"/>
  <c r="N14" i="2"/>
  <c r="AO14" i="2"/>
  <c r="J14" i="2"/>
  <c r="AE14" i="2"/>
  <c r="BA14" i="2"/>
  <c r="L14" i="2"/>
  <c r="AB14" i="2"/>
  <c r="AR14" i="2"/>
  <c r="K14" i="2"/>
  <c r="P115" i="6" l="1"/>
  <c r="X110" i="6"/>
  <c r="AF109" i="6"/>
  <c r="AJ110" i="6"/>
  <c r="AJ116" i="6"/>
  <c r="X116" i="6"/>
  <c r="AF115" i="6"/>
  <c r="L115" i="6"/>
  <c r="AB109" i="6"/>
  <c r="P96" i="6"/>
  <c r="P104" i="6" s="1"/>
  <c r="P95" i="3"/>
  <c r="P96" i="3"/>
  <c r="L96" i="6"/>
  <c r="L103" i="6" s="1"/>
  <c r="L95" i="3"/>
  <c r="L96" i="3"/>
  <c r="R96" i="6"/>
  <c r="R103" i="6" s="1"/>
  <c r="R95" i="3"/>
  <c r="T110" i="6"/>
  <c r="T116" i="6"/>
  <c r="AF96" i="6"/>
  <c r="AF104" i="6" s="1"/>
  <c r="AF95" i="3"/>
  <c r="AF96" i="3"/>
  <c r="AB96" i="6"/>
  <c r="AB104" i="6" s="1"/>
  <c r="AB95" i="3"/>
  <c r="AB96" i="3"/>
  <c r="AH96" i="6"/>
  <c r="AH103" i="6" s="1"/>
  <c r="AH95" i="3"/>
  <c r="AD96" i="6"/>
  <c r="AD103" i="6" s="1"/>
  <c r="AD95" i="3"/>
  <c r="AB115" i="6"/>
  <c r="X96" i="6"/>
  <c r="X104" i="6" s="1"/>
  <c r="X95" i="3"/>
  <c r="X96" i="3"/>
  <c r="AJ96" i="6"/>
  <c r="AJ104" i="6" s="1"/>
  <c r="AJ95" i="3"/>
  <c r="AJ96" i="3"/>
  <c r="H95" i="3"/>
  <c r="H96" i="3"/>
  <c r="N96" i="6"/>
  <c r="N103" i="6" s="1"/>
  <c r="N95" i="3"/>
  <c r="T96" i="6"/>
  <c r="T104" i="6" s="1"/>
  <c r="T95" i="3"/>
  <c r="T96" i="3"/>
  <c r="V96" i="6"/>
  <c r="V103" i="6" s="1"/>
  <c r="V95" i="3"/>
  <c r="Z96" i="6"/>
  <c r="Z103" i="6" s="1"/>
  <c r="Z95" i="3"/>
  <c r="AL96" i="6"/>
  <c r="AL103" i="6" s="1"/>
  <c r="AL95" i="3"/>
  <c r="H115" i="6"/>
  <c r="H116" i="6"/>
  <c r="H109" i="6"/>
  <c r="H110" i="6"/>
  <c r="J101" i="6"/>
  <c r="J105" i="6"/>
  <c r="H102" i="6"/>
  <c r="H105" i="6"/>
  <c r="L1" i="6"/>
  <c r="H101" i="6"/>
  <c r="AG6" i="2"/>
  <c r="I96" i="6"/>
  <c r="I3" i="6"/>
  <c r="M1" i="6"/>
  <c r="J96" i="6"/>
  <c r="J103" i="6" s="1"/>
  <c r="J3" i="6"/>
  <c r="K3" i="6"/>
  <c r="N1" i="6"/>
  <c r="AC6" i="2"/>
  <c r="AA6" i="2"/>
  <c r="H96" i="6"/>
  <c r="H104" i="6" s="1"/>
  <c r="I2" i="6"/>
  <c r="K2" i="6"/>
  <c r="J2" i="6"/>
  <c r="L2" i="6"/>
  <c r="AS6" i="2"/>
  <c r="AW6" i="2"/>
  <c r="J6" i="2"/>
  <c r="AE6" i="2"/>
  <c r="BD6" i="2"/>
  <c r="AY6" i="2"/>
  <c r="AK6" i="2"/>
  <c r="Z6" i="2"/>
  <c r="U6" i="2"/>
  <c r="AM6" i="2"/>
  <c r="L6" i="2"/>
  <c r="AD6" i="2"/>
  <c r="M6" i="2"/>
  <c r="AT6" i="2"/>
  <c r="AP6" i="2"/>
  <c r="AF6" i="2"/>
  <c r="AF3" i="2" s="1"/>
  <c r="AN6" i="2"/>
  <c r="O6" i="2"/>
  <c r="AL6" i="2"/>
  <c r="AL3" i="2" s="1"/>
  <c r="AB6" i="2"/>
  <c r="AO6" i="2"/>
  <c r="R6" i="2"/>
  <c r="V6" i="2"/>
  <c r="K6" i="2"/>
  <c r="BA6" i="2"/>
  <c r="N6" i="2"/>
  <c r="W6" i="2"/>
  <c r="W151" i="2" s="1"/>
  <c r="Q6" i="2"/>
  <c r="AH6" i="2"/>
  <c r="I6" i="2"/>
  <c r="T6" i="2"/>
  <c r="BB6" i="2"/>
  <c r="AU6" i="2"/>
  <c r="AJ6" i="2"/>
  <c r="P6" i="2"/>
  <c r="S6" i="2"/>
  <c r="AR6" i="2"/>
  <c r="AI6" i="2"/>
  <c r="AX6" i="2"/>
  <c r="X6" i="2"/>
  <c r="AZ6" i="2"/>
  <c r="Y6" i="2"/>
  <c r="AQ6" i="2"/>
  <c r="AV6" i="2"/>
  <c r="AB103" i="6" l="1"/>
  <c r="P103" i="6"/>
  <c r="X103" i="6"/>
  <c r="AF103" i="6"/>
  <c r="T103" i="6"/>
  <c r="AJ103" i="6"/>
  <c r="L104" i="6"/>
  <c r="H103" i="6"/>
  <c r="AU149" i="2"/>
  <c r="AU151" i="2"/>
  <c r="AO152" i="2"/>
  <c r="AO151" i="2"/>
  <c r="AK152" i="2"/>
  <c r="AK151" i="2"/>
  <c r="AA149" i="2"/>
  <c r="AA151" i="2"/>
  <c r="BA152" i="2"/>
  <c r="BA151" i="2"/>
  <c r="M152" i="2"/>
  <c r="M151" i="2"/>
  <c r="U152" i="2"/>
  <c r="U151" i="2"/>
  <c r="AS152" i="2"/>
  <c r="AS151" i="2"/>
  <c r="S149" i="2"/>
  <c r="S151" i="2"/>
  <c r="Q152" i="2"/>
  <c r="Q151" i="2"/>
  <c r="K149" i="2"/>
  <c r="K151" i="2"/>
  <c r="AE149" i="2"/>
  <c r="AE151" i="2"/>
  <c r="AQ149" i="2"/>
  <c r="AQ151" i="2"/>
  <c r="Y152" i="2"/>
  <c r="Y151" i="2"/>
  <c r="AI149" i="2"/>
  <c r="AI151" i="2"/>
  <c r="I152" i="2"/>
  <c r="I151" i="2"/>
  <c r="O149" i="2"/>
  <c r="O151" i="2"/>
  <c r="AM149" i="2"/>
  <c r="AM151" i="2"/>
  <c r="AY149" i="2"/>
  <c r="AY151" i="2"/>
  <c r="AW152" i="2"/>
  <c r="AW151" i="2"/>
  <c r="AC152" i="2"/>
  <c r="AC151" i="2"/>
  <c r="AG152" i="2"/>
  <c r="AG151" i="2"/>
  <c r="BA149" i="2"/>
  <c r="BA150" i="2"/>
  <c r="Q149" i="2"/>
  <c r="Q150" i="2"/>
  <c r="AO150" i="2"/>
  <c r="AO149" i="2"/>
  <c r="M150" i="2"/>
  <c r="M149" i="2"/>
  <c r="U149" i="2"/>
  <c r="U150" i="2"/>
  <c r="AS149" i="2"/>
  <c r="AS150" i="2"/>
  <c r="W3" i="2"/>
  <c r="W149" i="2"/>
  <c r="AK149" i="2"/>
  <c r="AK150" i="2"/>
  <c r="Y150" i="2"/>
  <c r="Y149" i="2"/>
  <c r="I144" i="2"/>
  <c r="I150" i="2"/>
  <c r="I149" i="2"/>
  <c r="AW150" i="2"/>
  <c r="AW149" i="2"/>
  <c r="AC144" i="2"/>
  <c r="AC149" i="2"/>
  <c r="AC150" i="2"/>
  <c r="AG144" i="2"/>
  <c r="AG150" i="2"/>
  <c r="AG149" i="2"/>
  <c r="AH3" i="2"/>
  <c r="AO3" i="2"/>
  <c r="AO2" i="2"/>
  <c r="S3" i="2"/>
  <c r="AG1" i="2"/>
  <c r="AC2" i="2"/>
  <c r="AD3" i="2"/>
  <c r="N3" i="2"/>
  <c r="AT3" i="2"/>
  <c r="P3" i="2"/>
  <c r="Y3" i="2"/>
  <c r="AB3" i="2"/>
  <c r="AX3" i="2"/>
  <c r="AZ3" i="2"/>
  <c r="AU3" i="2"/>
  <c r="V3" i="2"/>
  <c r="AN3" i="2"/>
  <c r="AR3" i="2"/>
  <c r="Q3" i="2"/>
  <c r="AP3" i="2"/>
  <c r="AI1" i="2"/>
  <c r="AI3" i="2"/>
  <c r="L3" i="2"/>
  <c r="AK3" i="2"/>
  <c r="J3" i="2"/>
  <c r="Z3" i="2"/>
  <c r="AV3" i="2"/>
  <c r="X3" i="2"/>
  <c r="BB3" i="2"/>
  <c r="BC3" i="2"/>
  <c r="R3" i="2"/>
  <c r="O3" i="2"/>
  <c r="AM3" i="2"/>
  <c r="AY3" i="2"/>
  <c r="AW3" i="2"/>
  <c r="AA3" i="2"/>
  <c r="AG3" i="2"/>
  <c r="AJ3" i="2"/>
  <c r="K144" i="2"/>
  <c r="K145" i="2" s="1"/>
  <c r="K3" i="2"/>
  <c r="AE3" i="2"/>
  <c r="AQ3" i="2"/>
  <c r="T3" i="2"/>
  <c r="BA3" i="2"/>
  <c r="M3" i="2"/>
  <c r="U3" i="2"/>
  <c r="BD3" i="2"/>
  <c r="BE3" i="2"/>
  <c r="AS3" i="2"/>
  <c r="AC3" i="2"/>
  <c r="AE1" i="2"/>
  <c r="AQ144" i="2"/>
  <c r="AQ145" i="2" s="1"/>
  <c r="AQ1" i="2"/>
  <c r="P144" i="2"/>
  <c r="P1" i="2"/>
  <c r="T144" i="2"/>
  <c r="T1" i="2"/>
  <c r="BA144" i="2"/>
  <c r="BA1" i="2"/>
  <c r="BE1" i="2"/>
  <c r="AO144" i="2"/>
  <c r="AO1" i="2"/>
  <c r="AN144" i="2"/>
  <c r="AN1" i="2"/>
  <c r="M144" i="2"/>
  <c r="M1" i="2"/>
  <c r="U144" i="2"/>
  <c r="U1" i="2"/>
  <c r="AS144" i="2"/>
  <c r="AS1" i="2"/>
  <c r="Q144" i="2"/>
  <c r="Q1" i="2"/>
  <c r="AB1" i="2"/>
  <c r="AF1" i="2"/>
  <c r="AD144" i="2"/>
  <c r="AD1" i="2"/>
  <c r="Z144" i="2"/>
  <c r="Z1" i="2"/>
  <c r="Y144" i="2"/>
  <c r="Y1" i="2"/>
  <c r="AZ144" i="2"/>
  <c r="AZ1" i="2"/>
  <c r="AR144" i="2"/>
  <c r="AR1" i="2"/>
  <c r="AU144" i="2"/>
  <c r="AU145" i="2" s="1"/>
  <c r="AU1" i="2"/>
  <c r="AH144" i="2"/>
  <c r="AH1" i="2"/>
  <c r="W144" i="2"/>
  <c r="W145" i="2" s="1"/>
  <c r="W1" i="2"/>
  <c r="V144" i="2"/>
  <c r="V1" i="2"/>
  <c r="AL144" i="2"/>
  <c r="AL1" i="2"/>
  <c r="AP144" i="2"/>
  <c r="AP1" i="2"/>
  <c r="AK144" i="2"/>
  <c r="AK1" i="2"/>
  <c r="AC1" i="2"/>
  <c r="AX144" i="2"/>
  <c r="AX1" i="2"/>
  <c r="AJ144" i="2"/>
  <c r="AJ1" i="2"/>
  <c r="AV144" i="2"/>
  <c r="AV1" i="2"/>
  <c r="X144" i="2"/>
  <c r="X1" i="2"/>
  <c r="S144" i="2"/>
  <c r="S145" i="2" s="1"/>
  <c r="S1" i="2"/>
  <c r="N144" i="2"/>
  <c r="N1" i="2"/>
  <c r="R144" i="2"/>
  <c r="R1" i="2"/>
  <c r="O144" i="2"/>
  <c r="O145" i="2" s="1"/>
  <c r="O1" i="2"/>
  <c r="AT144" i="2"/>
  <c r="AT1" i="2"/>
  <c r="AM144" i="2"/>
  <c r="AM145" i="2" s="1"/>
  <c r="AM1" i="2"/>
  <c r="AY144" i="2"/>
  <c r="AY145" i="2" s="1"/>
  <c r="AY1" i="2"/>
  <c r="BC1" i="2"/>
  <c r="AW144" i="2"/>
  <c r="AW1" i="2"/>
  <c r="AA144" i="2"/>
  <c r="AA145" i="2" s="1"/>
  <c r="AA1" i="2"/>
  <c r="BD1" i="2"/>
  <c r="BH1" i="2"/>
  <c r="BB144" i="2"/>
  <c r="BB1" i="2"/>
  <c r="BF1" i="2"/>
  <c r="L2" i="2"/>
  <c r="L144" i="2"/>
  <c r="J2" i="2"/>
  <c r="J144" i="2"/>
  <c r="AI2" i="2"/>
  <c r="AI144" i="2"/>
  <c r="AI145" i="2" s="1"/>
  <c r="AD2" i="2"/>
  <c r="AB144" i="2"/>
  <c r="AF2" i="2"/>
  <c r="AF144" i="2"/>
  <c r="AE2" i="2"/>
  <c r="AE144" i="2"/>
  <c r="AE145" i="2" s="1"/>
  <c r="BF2" i="2"/>
  <c r="BD144" i="2"/>
  <c r="AY2" i="2"/>
  <c r="AW2" i="2"/>
  <c r="AG2" i="2"/>
  <c r="AT2" i="2"/>
  <c r="S2" i="2"/>
  <c r="AH2" i="2"/>
  <c r="BD2" i="2"/>
  <c r="T2" i="2"/>
  <c r="BA2" i="2"/>
  <c r="AK2" i="2"/>
  <c r="AL2" i="2"/>
  <c r="AP2" i="2"/>
  <c r="AQ2" i="2"/>
  <c r="P2" i="2"/>
  <c r="AN2" i="2"/>
  <c r="Y2" i="2"/>
  <c r="U2" i="2"/>
  <c r="Z2" i="2"/>
  <c r="AB2" i="2"/>
  <c r="AM2" i="2"/>
  <c r="N2" i="2"/>
  <c r="O2" i="2"/>
  <c r="BC2" i="2"/>
  <c r="AU2" i="2"/>
  <c r="W2" i="2"/>
  <c r="AZ2" i="2"/>
  <c r="V2" i="2"/>
  <c r="AJ2" i="2"/>
  <c r="AV2" i="2"/>
  <c r="K2" i="2"/>
  <c r="AA2" i="2"/>
  <c r="Q2" i="2"/>
  <c r="M2" i="2"/>
  <c r="AR2" i="2"/>
  <c r="R2" i="2"/>
  <c r="BB2" i="2"/>
  <c r="AS2" i="2"/>
  <c r="X2" i="2"/>
  <c r="AX2" i="2"/>
  <c r="AW146" i="2" l="1"/>
  <c r="AW145" i="2"/>
  <c r="Y146" i="2"/>
  <c r="Y145" i="2"/>
  <c r="Q146" i="2"/>
  <c r="Q145" i="2"/>
  <c r="U146" i="2"/>
  <c r="U145" i="2"/>
  <c r="AC146" i="2"/>
  <c r="AC145" i="2"/>
  <c r="BA146" i="2"/>
  <c r="BA145" i="2"/>
  <c r="AG146" i="2"/>
  <c r="AG145" i="2"/>
  <c r="I146" i="2"/>
  <c r="I145" i="2"/>
  <c r="AK146" i="2"/>
  <c r="AK145" i="2"/>
  <c r="AS146" i="2"/>
  <c r="AS145" i="2"/>
  <c r="M146" i="2"/>
  <c r="M145" i="2"/>
  <c r="AO146" i="2"/>
  <c r="AO14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0A2716-D98F-4175-98FA-C93DB50D6642}" name="Consulta - AR39_PQ" description="Conexión a la consulta 'AR39_PQ' en el libro." type="100" refreshedVersion="7" minRefreshableVersion="5">
    <extLst>
      <ext xmlns:x15="http://schemas.microsoft.com/office/spreadsheetml/2010/11/main" uri="{DE250136-89BD-433C-8126-D09CA5730AF9}">
        <x15:connection id="a74f17cb-c9fc-4cb9-adbf-afe2c5fbf5d1"/>
      </ext>
    </extLst>
  </connection>
  <connection id="2" xr16:uid="{8DE50F61-00CE-4EA0-8F8E-C0C616299503}" name="Consulta - Calendario" description="Conexión a la consulta 'Calendario' en el libro." type="100" refreshedVersion="7" minRefreshableVersion="5">
    <extLst>
      <ext xmlns:x15="http://schemas.microsoft.com/office/spreadsheetml/2010/11/main" uri="{DE250136-89BD-433C-8126-D09CA5730AF9}">
        <x15:connection id="c9f9a1f0-fbdf-430e-ba4f-54bbd9c3a148"/>
      </ext>
    </extLst>
  </connection>
  <connection id="3" xr16:uid="{D2ACE217-E2E8-4609-B4DC-EE096DB7780A}" name="Consulta - EDTN_PQ" description="Conexión a la consulta 'EDTN_PQ' en el libro." type="100" refreshedVersion="7" minRefreshableVersion="5">
    <extLst>
      <ext xmlns:x15="http://schemas.microsoft.com/office/spreadsheetml/2010/11/main" uri="{DE250136-89BD-433C-8126-D09CA5730AF9}">
        <x15:connection id="ccb1c1b4-d6cb-44c7-8740-c56ba700a7c9"/>
      </ext>
    </extLst>
  </connection>
  <connection id="4" xr16:uid="{188F6770-6470-4301-AB08-DF926476A0B0}" name="Consulta - EDTV_PQ" description="Conexión a la consulta 'EDTV_PQ' en el libro." type="100" refreshedVersion="7" minRefreshableVersion="5">
    <extLst>
      <ext xmlns:x15="http://schemas.microsoft.com/office/spreadsheetml/2010/11/main" uri="{DE250136-89BD-433C-8126-D09CA5730AF9}">
        <x15:connection id="3970c66a-213f-49e8-8252-becee4601192"/>
      </ext>
    </extLst>
  </connection>
  <connection id="5" xr16:uid="{D9F3B518-501C-4327-A4B5-E276DA978BD6}" name="Consulta - PB100_PQ" description="Conexión a la consulta 'PB100_PQ' en el libro." type="100" refreshedVersion="7" minRefreshableVersion="5">
    <extLst>
      <ext xmlns:x15="http://schemas.microsoft.com/office/spreadsheetml/2010/11/main" uri="{DE250136-89BD-433C-8126-D09CA5730AF9}">
        <x15:connection id="2ab23378-116e-4087-8226-88e3ac7b56a2"/>
      </ext>
    </extLst>
  </connection>
  <connection id="6" xr16:uid="{C1BEEAC2-473C-4E88-B0F6-1839BBFBE779}" name="Consulta - PB39_PQ" description="Conexión a la consulta 'PB39_PQ' en el libro." type="100" refreshedVersion="7" minRefreshableVersion="5">
    <extLst>
      <ext xmlns:x15="http://schemas.microsoft.com/office/spreadsheetml/2010/11/main" uri="{DE250136-89BD-433C-8126-D09CA5730AF9}">
        <x15:connection id="fcd25fa2-5b54-4c7f-8555-1e2ee7909bba"/>
      </ext>
    </extLst>
  </connection>
  <connection id="7" xr16:uid="{688D90B5-CF53-4395-BC5C-212A7635CC1B}" name="Consulta - RA100_PQ" description="Conexión a la consulta 'RA100_PQ' en el libro." type="100" refreshedVersion="7" minRefreshableVersion="5">
    <extLst>
      <ext xmlns:x15="http://schemas.microsoft.com/office/spreadsheetml/2010/11/main" uri="{DE250136-89BD-433C-8126-D09CA5730AF9}">
        <x15:connection id="ec9b485e-4b04-4555-85b4-b1b803d61426"/>
      </ext>
    </extLst>
  </connection>
  <connection id="8" xr16:uid="{B4B21BF5-5CC4-4D4F-9767-B5E323110D60}" keepAlive="1" name="ThisWorkbookDataModel" description="Modelo de datos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8">
    <s v="ThisWorkbookDataModel"/>
    <s v="[Measures].[Avance Plan B39 base 100 Acumulado Semanal]"/>
    <s v="#,0.00 %;-#,0.00 %;#,0.00 %"/>
    <s v="[Measures].[Avance Real B39 base 100 Acumulado Semanal]"/>
    <s v="[Measures].[Aporte a la Desviación B39]"/>
    <s v="[Measures].[Desviación B39]"/>
    <s v="[EDTN_PQ].[N2].&amp;[Mantenimiento del Generador de Vapor (Caldera) y Equipos Auxiliares]"/>
    <s v="[EDTN_PQ].[N2].&amp;[Mantenimiento del Turbo Generador y Equipos Auxiliares]"/>
    <s v="[Measures].[Avance Real B39 Periodo (2 sem)]"/>
    <s v="[Measures].[Avance Real B39 Periodo (1 mes)]"/>
    <s v="[EDTN_PQ].[N3].&amp;[1.1 Reparación de expansiones metálicas]"/>
    <s v="[EDTN_PQ].[N3].&amp;[1.2 Reemplazo de tubos de gas]"/>
    <s v="[EDTN_PQ].[N3].&amp;[1.3 Reparación envoltura metálica]"/>
    <s v="[EDTN_PQ].[N3].&amp;[1.4 Reparación de cámaras muertas]"/>
    <s v="[EDTN_PQ].[N3].&amp;[1.5 Reparación ductos de aire y gas]"/>
    <s v="[EDTN_PQ].[N3].&amp;[1.6 Reemplazo de tuberías ácido y soda]"/>
    <s v="[EDTN_PQ].[N3].&amp;[1.7 Mantenimiento en los equipos de balance BOP y equipos]"/>
    <s v="[EDTN_PQ].[N3].&amp;[1.9 Matenimiento de equipos y sistema de instrumentación]"/>
    <s v="[EDTN_PQ].[N3].&amp;[1.10 Mantenimiento compresores de aire]"/>
    <s v="[Measures].[Avance Plan base 100 Acumulado Semanal]"/>
    <s v="[Measures].[Avance Real base 100 Acumulado Semanal]"/>
    <s v="[Measures].[Aporte a la Desviación]"/>
    <s v="[Measures].[Avance Real Periodo (2 sem)]"/>
    <s v="[EDTN_PQ].[N3].&amp;[0.0 Actividades preliminares]"/>
    <s v="[EDTN_PQ].[N3].&amp;[2.4 Reparación de componentes en talleres]"/>
    <s v="[EDTN_PQ].[N3].&amp;[2.6 Pruebas de ensayos no destructivos]"/>
    <s v="[EDTN_PQ].[N3].&amp;[2.7 Alineación de la turbina]"/>
    <s v="[EDTN_PQ].[N3].&amp;[2.9 Limpieza del sistema de lubricación y control]"/>
    <s v="[EDTN_PQ].[N3].&amp;[2.10 Aislamiento térmico]"/>
    <s v="[EDTN_PQ].[N3].&amp;[2.11 Inspección y pruebas eléctricas del generador]"/>
    <s v="[EDTN_PQ].[N3].&amp;[2.12 Preparación de superficie metálica y cubrimiento]"/>
    <s v="[EDTN_PQ].[N3].&amp;[2.13 Mantenimiento de válvulas principales]"/>
    <s v="[EDTN_PQ].[N3].&amp;[2.14 Mantenimiento de equipos auxiliares]"/>
    <s v="[EDTN_PQ].[N3].&amp;[2.15 Desarmado de componentes y mantenimientos]"/>
    <s v="[EDTN_PQ].[N3].&amp;[2.16 Armado y ajustes]"/>
    <s v="[EDTV_PQ].[N2].&amp;[Mantenimiento del Generador de Vapor (Caldera) y Equipos Auxiliares]"/>
    <s v="[EDTV_PQ].[N2].&amp;[Mantenimiento del Turbo Generador y Equipos Auxiliares]"/>
    <s v="{[Calendario 1].[Calendario].&amp;[2026-06-29T00:00:00]}"/>
  </metadataStrings>
  <mdxMetadata count="115">
    <mdx n="0" f="m">
      <t c="1">
        <n x="6"/>
      </t>
    </mdx>
    <mdx n="0" f="m">
      <t c="1">
        <n x="7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23"/>
      </t>
    </mdx>
    <mdx n="0" f="m">
      <t c="1">
        <n x="24"/>
      </t>
    </mdx>
    <mdx n="0" f="m">
      <t c="1">
        <n x="25"/>
      </t>
    </mdx>
    <mdx n="0" f="m">
      <t c="1">
        <n x="26"/>
      </t>
    </mdx>
    <mdx n="0" f="m">
      <t c="1">
        <n x="27"/>
      </t>
    </mdx>
    <mdx n="0" f="m">
      <t c="1">
        <n x="28"/>
      </t>
    </mdx>
    <mdx n="0" f="m">
      <t c="1">
        <n x="29"/>
      </t>
    </mdx>
    <mdx n="0" f="m">
      <t c="1">
        <n x="30"/>
      </t>
    </mdx>
    <mdx n="0" f="m">
      <t c="1">
        <n x="31"/>
      </t>
    </mdx>
    <mdx n="0" f="m">
      <t c="1">
        <n x="32"/>
      </t>
    </mdx>
    <mdx n="0" f="m">
      <t c="1">
        <n x="33"/>
      </t>
    </mdx>
    <mdx n="0" f="m">
      <t c="1">
        <n x="34"/>
      </t>
    </mdx>
    <mdx n="0" f="m">
      <t c="1">
        <n x="35"/>
      </t>
    </mdx>
    <mdx n="0" f="m">
      <t c="1">
        <n x="36"/>
      </t>
    </mdx>
    <mdx n="0" f="v">
      <t c="2" si="2">
        <n x="21"/>
        <n x="37" s="1"/>
      </t>
    </mdx>
    <mdx n="0" f="v">
      <t c="2" si="2">
        <n x="22"/>
        <n x="37" s="1"/>
      </t>
    </mdx>
    <mdx n="0" f="v">
      <t c="2" si="2">
        <n x="20"/>
        <n x="37" s="1"/>
      </t>
    </mdx>
    <mdx n="0" f="v">
      <t c="2" si="2">
        <n x="19"/>
        <n x="37" s="1"/>
      </t>
    </mdx>
    <mdx n="0" f="v">
      <t c="2" si="2">
        <n x="8"/>
        <n x="37" s="1"/>
      </t>
    </mdx>
    <mdx n="0" f="v">
      <t c="2" si="2">
        <n x="4"/>
        <n x="37" s="1"/>
      </t>
    </mdx>
    <mdx n="0" f="v">
      <t c="3" si="2">
        <n x="19"/>
        <n x="37" s="1"/>
        <n x="35"/>
      </t>
    </mdx>
    <mdx n="0" f="v">
      <t c="3" si="2">
        <n x="19"/>
        <n x="37" s="1"/>
        <n x="36"/>
      </t>
    </mdx>
    <mdx n="0" f="v">
      <t c="3" si="2">
        <n x="20"/>
        <n x="37" s="1"/>
        <n x="35"/>
      </t>
    </mdx>
    <mdx n="0" f="v">
      <t c="3" si="2">
        <n x="20"/>
        <n x="37" s="1"/>
        <n x="36"/>
      </t>
    </mdx>
    <mdx n="0" f="v">
      <t c="2" si="2">
        <n x="9"/>
        <n x="37" s="1"/>
      </t>
    </mdx>
    <mdx n="0" f="v">
      <t c="3" si="2">
        <n x="9"/>
        <n x="37" s="1"/>
        <n x="6"/>
      </t>
    </mdx>
    <mdx n="0" f="v">
      <t c="3" si="2">
        <n x="4"/>
        <n x="6"/>
        <n x="37" s="1"/>
      </t>
    </mdx>
    <mdx n="0" f="v">
      <t c="3" si="2">
        <n x="8"/>
        <n x="37" s="1"/>
        <n x="6"/>
      </t>
    </mdx>
    <mdx n="0" f="v">
      <t c="3" si="2">
        <n x="3"/>
        <n x="37" s="1"/>
        <n x="6"/>
      </t>
    </mdx>
    <mdx n="0" f="v">
      <t c="3" si="2">
        <n x="1"/>
        <n x="37" s="1"/>
        <n x="31"/>
      </t>
    </mdx>
    <mdx n="0" f="v">
      <t c="3" si="2">
        <n x="3"/>
        <n x="37" s="1"/>
        <n x="7"/>
      </t>
    </mdx>
    <mdx n="0" f="v">
      <t c="3" si="2">
        <n x="5"/>
        <n x="37" s="1"/>
        <n x="6"/>
      </t>
    </mdx>
    <mdx n="0" f="v">
      <t c="3" si="2">
        <n x="1"/>
        <n x="37" s="1"/>
        <n x="7"/>
      </t>
    </mdx>
    <mdx n="0" f="v">
      <t c="3" si="2">
        <n x="1"/>
        <n x="37" s="1"/>
        <n x="6"/>
      </t>
    </mdx>
    <mdx n="0" f="v">
      <t c="3" si="2">
        <n x="4"/>
        <n x="37" s="1"/>
        <n x="32"/>
      </t>
    </mdx>
    <mdx n="0" f="v">
      <t c="3" si="2">
        <n x="3"/>
        <n x="37" s="1"/>
        <n x="31"/>
      </t>
    </mdx>
    <mdx n="0" f="v">
      <t c="3" si="2">
        <n x="1"/>
        <n x="37" s="1"/>
        <n x="34"/>
      </t>
    </mdx>
    <mdx n="0" f="v">
      <t c="3" si="2">
        <n x="4"/>
        <n x="37" s="1"/>
        <n x="10"/>
      </t>
    </mdx>
    <mdx n="0" f="v">
      <t c="3" si="2">
        <n x="3"/>
        <n x="37" s="1"/>
        <n x="28"/>
      </t>
    </mdx>
    <mdx n="0" f="v">
      <t c="3" si="2">
        <n x="4"/>
        <n x="7"/>
        <n x="37" s="1"/>
      </t>
    </mdx>
    <mdx n="0" f="v">
      <t c="3" si="2">
        <n x="4"/>
        <n x="37" s="1"/>
        <n x="34"/>
      </t>
    </mdx>
    <mdx n="0" f="v">
      <t c="3" si="2">
        <n x="4"/>
        <n x="37" s="1"/>
        <n x="26"/>
      </t>
    </mdx>
    <mdx n="0" f="v">
      <t c="3" si="2">
        <n x="4"/>
        <n x="37" s="1"/>
        <n x="30"/>
      </t>
    </mdx>
    <mdx n="0" f="v">
      <t c="3" si="2">
        <n x="4"/>
        <n x="37" s="1"/>
        <n x="31"/>
      </t>
    </mdx>
    <mdx n="0" f="v">
      <t c="3" si="2">
        <n x="3"/>
        <n x="37" s="1"/>
        <n x="30"/>
      </t>
    </mdx>
    <mdx n="0" f="v">
      <t c="3" si="2">
        <n x="1"/>
        <n x="37" s="1"/>
        <n x="29"/>
      </t>
    </mdx>
    <mdx n="0" f="v">
      <t c="3" si="2">
        <n x="1"/>
        <n x="37" s="1"/>
        <n x="28"/>
      </t>
    </mdx>
    <mdx n="0" f="v">
      <t c="3" si="2">
        <n x="3"/>
        <n x="37" s="1"/>
        <n x="24"/>
      </t>
    </mdx>
    <mdx n="0" f="v">
      <t c="3" si="2">
        <n x="3"/>
        <n x="37" s="1"/>
        <n x="34"/>
      </t>
    </mdx>
    <mdx n="0" f="v">
      <t c="3" si="2">
        <n x="3"/>
        <n x="37" s="1"/>
        <n x="27"/>
      </t>
    </mdx>
    <mdx n="0" f="v">
      <t c="3" si="2">
        <n x="3"/>
        <n x="37" s="1"/>
        <n x="26"/>
      </t>
    </mdx>
    <mdx n="0" f="v">
      <t c="3" si="2">
        <n x="1"/>
        <n x="37" s="1"/>
        <n x="15"/>
      </t>
    </mdx>
    <mdx n="0" f="v">
      <t c="3" si="2">
        <n x="1"/>
        <n x="37" s="1"/>
        <n x="27"/>
      </t>
    </mdx>
    <mdx n="0" f="v">
      <t c="3" si="2">
        <n x="5"/>
        <n x="37" s="1"/>
        <n x="7"/>
      </t>
    </mdx>
    <mdx n="0" f="v">
      <t c="3" si="2">
        <n x="9"/>
        <n x="37" s="1"/>
        <n x="7"/>
      </t>
    </mdx>
    <mdx n="0" f="v">
      <t c="3" si="2">
        <n x="1"/>
        <n x="37" s="1"/>
        <n x="24"/>
      </t>
    </mdx>
    <mdx n="0" f="v">
      <t c="2" si="2">
        <n x="1"/>
        <n x="37" s="1"/>
      </t>
    </mdx>
    <mdx n="0" f="v">
      <t c="3" si="2">
        <n x="4"/>
        <n x="37" s="1"/>
        <n x="29"/>
      </t>
    </mdx>
    <mdx n="0" f="v">
      <t c="3" si="2">
        <n x="3"/>
        <n x="37" s="1"/>
        <n x="12"/>
      </t>
    </mdx>
    <mdx n="0" f="v">
      <t c="3" si="2">
        <n x="3"/>
        <n x="37" s="1"/>
        <n x="18"/>
      </t>
    </mdx>
    <mdx n="0" f="v">
      <t c="3" si="2">
        <n x="1"/>
        <n x="37" s="1"/>
        <n x="23"/>
      </t>
    </mdx>
    <mdx n="0" f="v">
      <t c="3" si="2">
        <n x="3"/>
        <n x="37" s="1"/>
        <n x="33"/>
      </t>
    </mdx>
    <mdx n="0" f="v">
      <t c="3" si="2">
        <n x="3"/>
        <n x="37" s="1"/>
        <n x="25"/>
      </t>
    </mdx>
    <mdx n="0" f="v">
      <t c="3" si="2">
        <n x="1"/>
        <n x="37" s="1"/>
        <n x="14"/>
      </t>
    </mdx>
    <mdx n="0" f="v">
      <t c="3" si="2">
        <n x="1"/>
        <n x="37" s="1"/>
        <n x="30"/>
      </t>
    </mdx>
    <mdx n="0" f="v">
      <t c="3" si="2">
        <n x="4"/>
        <n x="37" s="1"/>
        <n x="28"/>
      </t>
    </mdx>
    <mdx n="0" f="v">
      <t c="3" si="2">
        <n x="4"/>
        <n x="37" s="1"/>
        <n x="14"/>
      </t>
    </mdx>
    <mdx n="0" f="v">
      <t c="3" si="2">
        <n x="1"/>
        <n x="37" s="1"/>
        <n x="16"/>
      </t>
    </mdx>
    <mdx n="0" f="v">
      <t c="3" si="2">
        <n x="4"/>
        <n x="37" s="1"/>
        <n x="13"/>
      </t>
    </mdx>
    <mdx n="0" f="v">
      <t c="3" si="2">
        <n x="4"/>
        <n x="37" s="1"/>
        <n x="18"/>
      </t>
    </mdx>
    <mdx n="0" f="v">
      <t c="3" si="2">
        <n x="4"/>
        <n x="37" s="1"/>
        <n x="17"/>
      </t>
    </mdx>
    <mdx n="0" f="v">
      <t c="3" si="2">
        <n x="1"/>
        <n x="37" s="1"/>
        <n x="13"/>
      </t>
    </mdx>
    <mdx n="0" f="v">
      <t c="3" si="2">
        <n x="3"/>
        <n x="37" s="1"/>
        <n x="14"/>
      </t>
    </mdx>
    <mdx n="0" f="v">
      <t c="3" si="2">
        <n x="4"/>
        <n x="37" s="1"/>
        <n x="27"/>
      </t>
    </mdx>
    <mdx n="0" f="v">
      <t c="3" si="2">
        <n x="3"/>
        <n x="37" s="1"/>
        <n x="10"/>
      </t>
    </mdx>
    <mdx n="0" f="v">
      <t c="3" si="2">
        <n x="4"/>
        <n x="37" s="1"/>
        <n x="25"/>
      </t>
    </mdx>
    <mdx n="0" f="v">
      <t c="3" si="2">
        <n x="4"/>
        <n x="37" s="1"/>
        <n x="15"/>
      </t>
    </mdx>
    <mdx n="0" f="v">
      <t c="3" si="2">
        <n x="3"/>
        <n x="37" s="1"/>
        <n x="15"/>
      </t>
    </mdx>
    <mdx n="0" f="v">
      <t c="3" si="2">
        <n x="1"/>
        <n x="37" s="1"/>
        <n x="18"/>
      </t>
    </mdx>
    <mdx n="0" f="v">
      <t c="3" si="2">
        <n x="4"/>
        <n x="37" s="1"/>
        <n x="7"/>
      </t>
    </mdx>
    <mdx n="0" f="v">
      <t c="3" si="2">
        <n x="1"/>
        <n x="37" s="1"/>
        <n x="26"/>
      </t>
    </mdx>
    <mdx n="0" f="v">
      <t c="3" si="2">
        <n x="4"/>
        <n x="37" s="1"/>
        <n x="11"/>
      </t>
    </mdx>
    <mdx n="0" f="v">
      <t c="2" si="2">
        <n x="3"/>
        <n x="37" s="1"/>
      </t>
    </mdx>
    <mdx n="0" f="v">
      <t c="3" si="2">
        <n x="1"/>
        <n x="37" s="1"/>
        <n x="33"/>
      </t>
    </mdx>
    <mdx n="0" f="v">
      <t c="3" si="2">
        <n x="1"/>
        <n x="37" s="1"/>
        <n x="25"/>
      </t>
    </mdx>
    <mdx n="0" f="v">
      <t c="3" si="2">
        <n x="3"/>
        <n x="37" s="1"/>
        <n x="17"/>
      </t>
    </mdx>
    <mdx n="0" f="v">
      <t c="3" si="2">
        <n x="4"/>
        <n x="37" s="1"/>
        <n x="6"/>
      </t>
    </mdx>
    <mdx n="0" f="v">
      <t c="3" si="2">
        <n x="1"/>
        <n x="37" s="1"/>
        <n x="17"/>
      </t>
    </mdx>
    <mdx n="0" f="v">
      <t c="3" si="2">
        <n x="4"/>
        <n x="37" s="1"/>
        <n x="24"/>
      </t>
    </mdx>
    <mdx n="0" f="v">
      <t c="3" si="2">
        <n x="8"/>
        <n x="37" s="1"/>
        <n x="7"/>
      </t>
    </mdx>
    <mdx n="0" f="v">
      <t c="3" si="2">
        <n x="3"/>
        <n x="37" s="1"/>
        <n x="16"/>
      </t>
    </mdx>
    <mdx n="0" f="v">
      <t c="3" si="2">
        <n x="4"/>
        <n x="37" s="1"/>
        <n x="23"/>
      </t>
    </mdx>
    <mdx n="0" f="v">
      <t c="3" si="2">
        <n x="1"/>
        <n x="37" s="1"/>
        <n x="10"/>
      </t>
    </mdx>
    <mdx n="0" f="v">
      <t c="3" si="2">
        <n x="3"/>
        <n x="37" s="1"/>
        <n x="13"/>
      </t>
    </mdx>
    <mdx n="0" f="v">
      <t c="3" si="2">
        <n x="3"/>
        <n x="37" s="1"/>
        <n x="29"/>
      </t>
    </mdx>
    <mdx n="0" f="v">
      <t c="3" si="2">
        <n x="1"/>
        <n x="37" s="1"/>
        <n x="11"/>
      </t>
    </mdx>
    <mdx n="0" f="v">
      <t c="3" si="2">
        <n x="1"/>
        <n x="37" s="1"/>
        <n x="12"/>
      </t>
    </mdx>
    <mdx n="0" f="v">
      <t c="3" si="2">
        <n x="3"/>
        <n x="37" s="1"/>
        <n x="11"/>
      </t>
    </mdx>
    <mdx n="0" f="v">
      <t c="3" si="2">
        <n x="4"/>
        <n x="37" s="1"/>
        <n x="16"/>
      </t>
    </mdx>
    <mdx n="0" f="v">
      <t c="3" si="2">
        <n x="4"/>
        <n x="37" s="1"/>
        <n x="12"/>
      </t>
    </mdx>
    <mdx n="0" f="v">
      <t c="3" si="2">
        <n x="4"/>
        <n x="37" s="1"/>
        <n x="33"/>
      </t>
    </mdx>
    <mdx n="0" f="v">
      <t c="3" si="2">
        <n x="1"/>
        <n x="37" s="1"/>
        <n x="32"/>
      </t>
    </mdx>
    <mdx n="0" f="v">
      <t c="3" si="2">
        <n x="3"/>
        <n x="37" s="1"/>
        <n x="23"/>
      </t>
    </mdx>
    <mdx n="0" f="v">
      <t c="3" si="2">
        <n x="3"/>
        <n x="37" s="1"/>
        <n x="32"/>
      </t>
    </mdx>
  </mdxMetadata>
  <valueMetadata count="1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</valueMetadata>
</metadata>
</file>

<file path=xl/sharedStrings.xml><?xml version="1.0" encoding="utf-8"?>
<sst xmlns="http://schemas.openxmlformats.org/spreadsheetml/2006/main" count="2638" uniqueCount="515">
  <si>
    <t>N1</t>
  </si>
  <si>
    <t>N2</t>
  </si>
  <si>
    <t>N3</t>
  </si>
  <si>
    <t>N4</t>
  </si>
  <si>
    <t>Dur.</t>
  </si>
  <si>
    <t>Comienzo</t>
  </si>
  <si>
    <t>Fin</t>
  </si>
  <si>
    <t>Dura.</t>
  </si>
  <si>
    <t>Pesos</t>
  </si>
  <si>
    <t>Aporte</t>
  </si>
  <si>
    <t>Calendario</t>
  </si>
  <si>
    <t>Proyecto: Plan Master Tacoa</t>
  </si>
  <si>
    <t>Actividades Preliminares</t>
  </si>
  <si>
    <t>0.0 Actividades preliminares</t>
  </si>
  <si>
    <t xml:space="preserve">Inicio de actividades </t>
  </si>
  <si>
    <t>Fin de actividades</t>
  </si>
  <si>
    <t>Movilizacion</t>
  </si>
  <si>
    <t>Preparacion del campamento</t>
  </si>
  <si>
    <t>Limpieza de áreas y adecuación de plataformas de acceso</t>
  </si>
  <si>
    <t>Mantenimiento del Generador de Vapor (Caldera) y Equipos Auxiliares</t>
  </si>
  <si>
    <t>Inspecciones visuales externas e internas</t>
  </si>
  <si>
    <t>Reparación de caminerias, grating, escaleras corroidas</t>
  </si>
  <si>
    <t>1.1 Reparación de expansiones metálicas</t>
  </si>
  <si>
    <t>Procura de laminas de acero al carbono</t>
  </si>
  <si>
    <t>Fabricación en taller de expansiones</t>
  </si>
  <si>
    <t>Remoción de expansiones deterioradas</t>
  </si>
  <si>
    <t>Instalación de expansiones nuevas</t>
  </si>
  <si>
    <t>Galvanizado de expansiones fabricadas</t>
  </si>
  <si>
    <t>Instalación de aislamiento y enchaquetado aluminio</t>
  </si>
  <si>
    <t>1.2 Reemplazo de tubos de gas</t>
  </si>
  <si>
    <t xml:space="preserve">Reemplazo de tubos de gas de los quemdores de la caldera </t>
  </si>
  <si>
    <t xml:space="preserve">1.3 Reparación envoltura metálica </t>
  </si>
  <si>
    <t>Procura de laminas acanaladas cerramientos exteriores</t>
  </si>
  <si>
    <t xml:space="preserve">Desmontaje de envoltura metálica externa en paredes </t>
  </si>
  <si>
    <t xml:space="preserve">Desmontaje de lana mineral </t>
  </si>
  <si>
    <t>Montaje y ajuste de envoltura metálica externa en paredes</t>
  </si>
  <si>
    <t xml:space="preserve">Aplicación sistema de recubrimiento a envoltura metálica </t>
  </si>
  <si>
    <t>Reemplazo de laminas acanaladas del piso N° 3. Techo de quemadores, lado este y oeste y techo de ventiladores</t>
  </si>
  <si>
    <t>Instalación de laminas de acero estriadas de 1/8" en piso Nº 3 lado este y oeste</t>
  </si>
  <si>
    <t>1.4 Reparación de cámaras muertas</t>
  </si>
  <si>
    <t>Reparación de cámara muerta superior</t>
  </si>
  <si>
    <t>Reparación de cámara muerta intermedia</t>
  </si>
  <si>
    <t>Reparación de cámara muerta inferior</t>
  </si>
  <si>
    <t>1.5 Reparación ductos de aire y gas</t>
  </si>
  <si>
    <t>Reconstrucción de ductos de entrada de aire</t>
  </si>
  <si>
    <t>Reconstrucción de ductos aire caliente</t>
  </si>
  <si>
    <t>1.6 Reemplazo de tuberías acido y soda</t>
  </si>
  <si>
    <t>Instalación de tuberías y válvulas de PVC</t>
  </si>
  <si>
    <t>1.7 Mantenimiento en los equipos de balance BOP y equipos</t>
  </si>
  <si>
    <t>Servicio de mantenimiento a la bomba reforzadora del sistema de agua de alimentación (motobomba) lado a</t>
  </si>
  <si>
    <t>Servicio de mantenimiento de bombas extracción de condensando</t>
  </si>
  <si>
    <t>Servicio de mantenimiento mantenimiento valvula check de la bomba agua de alimentación</t>
  </si>
  <si>
    <t>Servicio de mantenimiento mantenimiento bombas agua de componentes</t>
  </si>
  <si>
    <t>1.8 Mantenimiento eléctrico</t>
  </si>
  <si>
    <t>Servicio de Mantenimiento Eléctrico de Ductos de Excitación DC y AC</t>
  </si>
  <si>
    <t>Servicio de Mantenimiento Barras Alimentación Bombas Circulación Forzada de la Caldera (BCP)</t>
  </si>
  <si>
    <t>Servicio de Mantenimiento Eléctrico interruptor de campo del Generador</t>
  </si>
  <si>
    <t>Servicio de Mantenimiento Eléctrico al Rectificador de Tiristores</t>
  </si>
  <si>
    <t>Servicio de Mantenimiento Eléctrico en las Barras e interruptores 8HVS/A - 4,16 Kv y 8HVS/B 4,16 Kv</t>
  </si>
  <si>
    <t>Servicio de Mantenimiento Eléctrico en el punto neutro del Generador</t>
  </si>
  <si>
    <t>Servicio de Mantenimiento Eléctrico en Bancos de Baterías</t>
  </si>
  <si>
    <t>Servicio de Mantenimiento Eléctrico En Pilotos y Quemadores</t>
  </si>
  <si>
    <t>Servicios Mantenimiento de Centro de Carga 480 v caldera, turbina, valvulas, emergencias</t>
  </si>
  <si>
    <t>1.9 Matenimiento de equipos y sistema de instrumentación</t>
  </si>
  <si>
    <t>Servicio de Actuador Neumáticos</t>
  </si>
  <si>
    <t>Servicio de Barrido y Llenado del Hidrógeno (H2) del Generador</t>
  </si>
  <si>
    <t>Servicio de Revisión de Manómetros y Termómetros</t>
  </si>
  <si>
    <t>Servicio de Revisión de Trasmisores de Presión</t>
  </si>
  <si>
    <t>Servicio de Mantenimiento de Válvulas de Control</t>
  </si>
  <si>
    <t>Servicio de Revisión de Interruptores de Presión</t>
  </si>
  <si>
    <t>Servicio de Mantenimiento Actuador de válvulas Solenoides</t>
  </si>
  <si>
    <t>Servicio de Mantenimiento Interruptores de Temperatura</t>
  </si>
  <si>
    <t>Servicio de Mantenimiento Interruptores de Nivel</t>
  </si>
  <si>
    <t>Servicio de Mantenimiento Compuertas Aire Auxiliar y Combustión</t>
  </si>
  <si>
    <t>Servicio de Mantenimiento Interruptores de Flujo</t>
  </si>
  <si>
    <t>Servicio de Revisión de Termocupla</t>
  </si>
  <si>
    <t>Servicio de Revisión de Convertidores de Corriente a Presión I/P</t>
  </si>
  <si>
    <t>1.10 Mantenimiento compresores de aire</t>
  </si>
  <si>
    <t>Mantenimiento de los compresores de aire</t>
  </si>
  <si>
    <t>0.0 Pruebas y puesta en marcha</t>
  </si>
  <si>
    <t>Commissioning</t>
  </si>
  <si>
    <t>Arranque</t>
  </si>
  <si>
    <t>Entrega al cliente</t>
  </si>
  <si>
    <t>Mantenimiento del Turbo Generador y Equipos Auxiliares</t>
  </si>
  <si>
    <t>Desacoplar Generador Eléctrico- Rotor Baja Presion B.</t>
  </si>
  <si>
    <t>Desmontaje Rotor Turbina TBP B.</t>
  </si>
  <si>
    <t>Desmontaje de Rotor Generador.</t>
  </si>
  <si>
    <t>Mantenimiento y puesta en marcha de 1er puente grúa (Turbina)</t>
  </si>
  <si>
    <t>Mantenimiento y puesta en marcha de 2do puente grúa (Generador)</t>
  </si>
  <si>
    <t>Desisnstalación de sistemas de E&amp;I</t>
  </si>
  <si>
    <t>2.2 Reparación de Muñon del rotor</t>
  </si>
  <si>
    <t>Servicio de reparación de muñon #7 del rotor del generador</t>
  </si>
  <si>
    <t>2.4 Reparación de componentes en talleres</t>
  </si>
  <si>
    <t>Inspeccion y Mantenimiento de rotores, Alta, Baja presión A y B.</t>
  </si>
  <si>
    <t>Carga y traslado de taller a obra de rotores, Alta, Baja presión Ay B</t>
  </si>
  <si>
    <t>Carga y traslado de obra a taller</t>
  </si>
  <si>
    <t>Inspeccion y Reparación de Diafragmas.</t>
  </si>
  <si>
    <t>Carga y traslado de taller a obra de diafragmas.</t>
  </si>
  <si>
    <t>Carga y traslado de obra a taller de deflectores de aceite</t>
  </si>
  <si>
    <t>Reparación de todos los deflectores de aceite.</t>
  </si>
  <si>
    <t>Carga y traslado de taller a obra de deflectores de aceite.</t>
  </si>
  <si>
    <t>Concurso para elección de talleres externos</t>
  </si>
  <si>
    <t>2.6 Pruebas de ensayos no destructivos</t>
  </si>
  <si>
    <t>Inspección de ensayos no destructivos a todos lo alabes moviles y secciones de cojinetes y sellos de rotores de turbinas</t>
  </si>
  <si>
    <t>Inspección durante el proceso y final de ensayos no destructivos a las zonas reparadas de difragmas</t>
  </si>
  <si>
    <t>Limpieza e inspección de ensayos no destructivos y dimensional de deflectores de aire</t>
  </si>
  <si>
    <t>Realizar inspección de ensayos no destructivos para determinar cualquier daño posible a las carcazas, válvula príncipal de vapor, etc</t>
  </si>
  <si>
    <t>2.7 Alineación de la turbina</t>
  </si>
  <si>
    <t>Instalación y alineación de ejes, realizar acople.</t>
  </si>
  <si>
    <t>2.9 Limpieza del sistema de lubricación y control</t>
  </si>
  <si>
    <t>Limpieza al reservorio de aceite.</t>
  </si>
  <si>
    <t>Flushing al sistema de lubricación.</t>
  </si>
  <si>
    <t>2.10 Aislamiento térmico</t>
  </si>
  <si>
    <t>Desmontaje de aislamiento térmico</t>
  </si>
  <si>
    <t>Fabricación e instalación de aislamiento térmico</t>
  </si>
  <si>
    <t>2.11 Inspección y pruebas eléctricas del generador</t>
  </si>
  <si>
    <t>Inspección y mantenimiento al rotor del generador</t>
  </si>
  <si>
    <t>Inspección y mantenimiento al estator del generador</t>
  </si>
  <si>
    <t>2.12 Preparación de superficie metálica y cubrimiento</t>
  </si>
  <si>
    <t>Preparación y cubrimiento de partes y piezas de la turbina</t>
  </si>
  <si>
    <t>Preparación y cubrimiento de carcazas de turbina, generador y excitatriz</t>
  </si>
  <si>
    <t>Preparación y cubrimiento de equipos auxiliares del turbogenerador</t>
  </si>
  <si>
    <t>2.13 Mantenimiento de válvulas principales</t>
  </si>
  <si>
    <t>Mantenimiento de válvulas principales de turbinas</t>
  </si>
  <si>
    <t>Mantenimiento de válvulas de control</t>
  </si>
  <si>
    <t>Mantenimiento de válvulas interceptoras</t>
  </si>
  <si>
    <t xml:space="preserve">2.14 Mantenimiento de equipos auxiliares </t>
  </si>
  <si>
    <t>Mantenimiento y cambio de rodamientos de motobomba de aceite principal</t>
  </si>
  <si>
    <t>Mantenimiento y cambio de rodamientos de motobomba de aceite de sellos</t>
  </si>
  <si>
    <t>Mantenimiento y cambio de rodamientos de motobomba de agua estórica</t>
  </si>
  <si>
    <t>Mantenimiento y cambio de rodamientos de motor ventilador extrator de vapor de sellos</t>
  </si>
  <si>
    <t>Mantenimiento y cambio de rodamientos de motor de rotación lenta</t>
  </si>
  <si>
    <t>Mantenimiento y cambio de rodamientos de motobomba de aceite auxiliar</t>
  </si>
  <si>
    <t>2.15 Desarmado de componentes y mantenimientos</t>
  </si>
  <si>
    <t>Mantenimiento y fabricación de tornillería</t>
  </si>
  <si>
    <t xml:space="preserve">Mantenimiento, limpieza y pintura de carcaza </t>
  </si>
  <si>
    <t>Mantenimiento de crossover y sustitución de empaquetaduras</t>
  </si>
  <si>
    <t xml:space="preserve">2.16 Armado y ajustes </t>
  </si>
  <si>
    <t>Instalación y rearmado de los diafragmas</t>
  </si>
  <si>
    <t>Instalación de rotor de generador eléctrico y Alinear.</t>
  </si>
  <si>
    <t>Re-armado de la Turbina.</t>
  </si>
  <si>
    <t>Pruebas funcionales y commissioning</t>
  </si>
  <si>
    <t>Column4</t>
  </si>
  <si>
    <t>01/07/2024</t>
  </si>
  <si>
    <t>08/07/2024</t>
  </si>
  <si>
    <t>15/07/2024</t>
  </si>
  <si>
    <t>22/07/2024</t>
  </si>
  <si>
    <t>29/07/2024</t>
  </si>
  <si>
    <t>05/08/2024</t>
  </si>
  <si>
    <t>12/08/2024</t>
  </si>
  <si>
    <t>19/08/2024</t>
  </si>
  <si>
    <t>26/08/2024</t>
  </si>
  <si>
    <t>02/09/2024</t>
  </si>
  <si>
    <t>09/09/2024</t>
  </si>
  <si>
    <t>16/09/2024</t>
  </si>
  <si>
    <t>23/09/2024</t>
  </si>
  <si>
    <t>30/09/2024</t>
  </si>
  <si>
    <t>07/10/2024</t>
  </si>
  <si>
    <t>14/10/2024</t>
  </si>
  <si>
    <t>21/10/2024</t>
  </si>
  <si>
    <t>28/10/2024</t>
  </si>
  <si>
    <t>04/11/2024</t>
  </si>
  <si>
    <t>11/11/2024</t>
  </si>
  <si>
    <t>18/11/2024</t>
  </si>
  <si>
    <t>25/11/2024</t>
  </si>
  <si>
    <t>02/12/2024</t>
  </si>
  <si>
    <t>09/12/2024</t>
  </si>
  <si>
    <t>16/12/2024</t>
  </si>
  <si>
    <t>23/12/2024</t>
  </si>
  <si>
    <t>30/12/2024</t>
  </si>
  <si>
    <t>06/01/2025</t>
  </si>
  <si>
    <t>13/01/2025</t>
  </si>
  <si>
    <t>20/01/2025</t>
  </si>
  <si>
    <t>27/01/2025</t>
  </si>
  <si>
    <t>03/02/2025</t>
  </si>
  <si>
    <t>10/02/2025</t>
  </si>
  <si>
    <t>17/02/2025</t>
  </si>
  <si>
    <t>24/02/2025</t>
  </si>
  <si>
    <t>03/03/2025</t>
  </si>
  <si>
    <t>10/03/2025</t>
  </si>
  <si>
    <t>17/03/2025</t>
  </si>
  <si>
    <t>24/03/2025</t>
  </si>
  <si>
    <t>31/03/2025</t>
  </si>
  <si>
    <t>07/04/2025</t>
  </si>
  <si>
    <t>14/04/2025</t>
  </si>
  <si>
    <t>21/04/2025</t>
  </si>
  <si>
    <t>28/04/2025</t>
  </si>
  <si>
    <t>05/05/2025</t>
  </si>
  <si>
    <t>12/05/2025</t>
  </si>
  <si>
    <t>19/05/2025</t>
  </si>
  <si>
    <t>26/05/2025</t>
  </si>
  <si>
    <t>Nuevos Pesos</t>
  </si>
  <si>
    <t>Aporte Nuevo</t>
  </si>
  <si>
    <t>Columna3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</si>
  <si>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</si>
  <si>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</si>
  <si>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</si>
  <si>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</si>
  <si>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</si>
  <si>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</si>
  <si>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</si>
  <si>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</si>
  <si>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</si>
  <si>
    <t>04/08/2025</t>
  </si>
  <si>
    <t>11/08/2025</t>
  </si>
  <si>
    <t>18/08/2025</t>
  </si>
  <si>
    <t>25/08/2025</t>
  </si>
  <si>
    <t>01/09/2025</t>
  </si>
  <si>
    <t>1.3 Reparación envoltura metálica</t>
  </si>
  <si>
    <t>2.14 Mantenimiento de equipos auxiliares</t>
  </si>
  <si>
    <t>2.16 Armado y ajustes</t>
  </si>
  <si>
    <t>Reemplazo de tubos de gas de los quemdores de la caldera</t>
  </si>
  <si>
    <t>Mantenimiento, limpieza y pintura de carcaza</t>
  </si>
  <si>
    <t>Avance Plan Periodo B39 (2 sem)</t>
  </si>
  <si>
    <t>Avance Plan B39 base 100 Acumulado Anterior (2 sem)</t>
  </si>
  <si>
    <t>Avance Plan B39 base 100 Acumulado Semanal</t>
  </si>
  <si>
    <t>Avance Real B39 base 100 Acumulado Anterior (2 sem)</t>
  </si>
  <si>
    <t>Avance Real B39 Periodo (2 sem)</t>
  </si>
  <si>
    <t>Avance Real B39 base 100 Acumulado Semanal</t>
  </si>
  <si>
    <t>Desviación B39 (2 sem)</t>
  </si>
  <si>
    <t>Desviacion periodo B39 (2 sem)</t>
  </si>
  <si>
    <t>Desviación B39</t>
  </si>
  <si>
    <t>Aporte a la Desviación B39</t>
  </si>
  <si>
    <t>Peso</t>
  </si>
  <si>
    <t>Aportes</t>
  </si>
  <si>
    <t>Anterior</t>
  </si>
  <si>
    <t>Período</t>
  </si>
  <si>
    <t>Actual</t>
  </si>
  <si>
    <t>Aporte a la Desviación</t>
  </si>
  <si>
    <t>Desviación</t>
  </si>
  <si>
    <t>Real</t>
  </si>
  <si>
    <t>Plan</t>
  </si>
  <si>
    <t>MENSUAL</t>
  </si>
  <si>
    <t>BISEMANAL</t>
  </si>
  <si>
    <t>Avance Plan B39 base 100 Acumulado Anterior (1 mes)</t>
  </si>
  <si>
    <t>Avance Plan Periodo B39 (1 mes)</t>
  </si>
  <si>
    <t>Avance Real B39 base 100 Acumulado Anterior (1 mes)</t>
  </si>
  <si>
    <t>Avance Real B39 Periodo (1 mes)</t>
  </si>
  <si>
    <t>Desviación B39 (1 mes)</t>
  </si>
  <si>
    <t>Desviacion periodo B39 (1 mes)</t>
  </si>
  <si>
    <t>Valores</t>
  </si>
  <si>
    <t>X</t>
  </si>
  <si>
    <t>Y</t>
  </si>
  <si>
    <t>Planificado:</t>
  </si>
  <si>
    <t>Real:</t>
  </si>
  <si>
    <t>Desviación:</t>
  </si>
  <si>
    <t>Aporte a la desviación:</t>
  </si>
  <si>
    <t>Aporte:</t>
  </si>
  <si>
    <t xml:space="preserve">Avance Período:  </t>
  </si>
  <si>
    <t>1.6 Reemplazo de tuberías ácido y soda</t>
  </si>
  <si>
    <t>Reprogramación</t>
  </si>
  <si>
    <t>0.0 Fin de actividades</t>
  </si>
  <si>
    <t>Positivos</t>
  </si>
  <si>
    <t>Negativos</t>
  </si>
  <si>
    <t xml:space="preserve">EDT </t>
  </si>
  <si>
    <t>01/07/24</t>
  </si>
  <si>
    <t>08/07/24</t>
  </si>
  <si>
    <t>15/07/24</t>
  </si>
  <si>
    <t>22/07/24</t>
  </si>
  <si>
    <t>29/07/24</t>
  </si>
  <si>
    <t>05/08/24</t>
  </si>
  <si>
    <t>12/08/24</t>
  </si>
  <si>
    <t>19/08/24</t>
  </si>
  <si>
    <t>26/08/24</t>
  </si>
  <si>
    <t>02/09/24</t>
  </si>
  <si>
    <t>09/09/24</t>
  </si>
  <si>
    <t>16/09/24</t>
  </si>
  <si>
    <t>23/09/24</t>
  </si>
  <si>
    <t>30/09/24</t>
  </si>
  <si>
    <t>07/10/24</t>
  </si>
  <si>
    <t>14/10/24</t>
  </si>
  <si>
    <t>21/10/24</t>
  </si>
  <si>
    <t>28/10/24</t>
  </si>
  <si>
    <t>04/11/24</t>
  </si>
  <si>
    <t>11/11/24</t>
  </si>
  <si>
    <t>18/11/24</t>
  </si>
  <si>
    <t>25/11/24</t>
  </si>
  <si>
    <t>02/12/24</t>
  </si>
  <si>
    <t>09/12/24</t>
  </si>
  <si>
    <t>16/12/24</t>
  </si>
  <si>
    <t>23/12/24</t>
  </si>
  <si>
    <t>30/12/24</t>
  </si>
  <si>
    <t>06/01/25</t>
  </si>
  <si>
    <t>13/01/25</t>
  </si>
  <si>
    <t>20/01/25</t>
  </si>
  <si>
    <t>27/01/25</t>
  </si>
  <si>
    <t>03/02/25</t>
  </si>
  <si>
    <t>10/02/25</t>
  </si>
  <si>
    <t>17/02/25</t>
  </si>
  <si>
    <t>24/02/25</t>
  </si>
  <si>
    <t>03/03/25</t>
  </si>
  <si>
    <t>10/03/25</t>
  </si>
  <si>
    <t>17/03/25</t>
  </si>
  <si>
    <t>24/03/25</t>
  </si>
  <si>
    <t>31/03/25</t>
  </si>
  <si>
    <t>07/04/25</t>
  </si>
  <si>
    <t>14/04/25</t>
  </si>
  <si>
    <t>21/04/25</t>
  </si>
  <si>
    <t>28/04/25</t>
  </si>
  <si>
    <t>05/05/25</t>
  </si>
  <si>
    <t>12/05/25</t>
  </si>
  <si>
    <t>19/05/25</t>
  </si>
  <si>
    <t>26/05/25</t>
  </si>
  <si>
    <t>02/06/25</t>
  </si>
  <si>
    <t>09/06/25</t>
  </si>
  <si>
    <t>16/06/25</t>
  </si>
  <si>
    <t>23/06/25</t>
  </si>
  <si>
    <t>30/06/25</t>
  </si>
  <si>
    <t>07/07/25</t>
  </si>
  <si>
    <t>14/07/25</t>
  </si>
  <si>
    <t>21/07/25</t>
  </si>
  <si>
    <t>28/07/25</t>
  </si>
  <si>
    <t>04/08/25</t>
  </si>
  <si>
    <t>11/08/25</t>
  </si>
  <si>
    <t>18/08/25</t>
  </si>
  <si>
    <t>25/08/25</t>
  </si>
  <si>
    <t>01/09/25</t>
  </si>
  <si>
    <t>08/09/25</t>
  </si>
  <si>
    <t>15/09/25</t>
  </si>
  <si>
    <t>22/09/25</t>
  </si>
  <si>
    <t>29/09/25</t>
  </si>
  <si>
    <t>06/10/25</t>
  </si>
  <si>
    <t>13/10/25</t>
  </si>
  <si>
    <t>20/10/25</t>
  </si>
  <si>
    <t>27/10/25</t>
  </si>
  <si>
    <t>03/11/25</t>
  </si>
  <si>
    <t>10/11/25</t>
  </si>
  <si>
    <t>17/11/25</t>
  </si>
  <si>
    <t>24/11/25</t>
  </si>
  <si>
    <t>01/12/25</t>
  </si>
  <si>
    <t>08/12/25</t>
  </si>
  <si>
    <t>Etiquetas de fila</t>
  </si>
  <si>
    <t>Vacaciones</t>
  </si>
  <si>
    <t>15/12/25</t>
  </si>
  <si>
    <t>22/12/25</t>
  </si>
  <si>
    <t>29/12/25</t>
  </si>
  <si>
    <t>08/09/2025</t>
  </si>
  <si>
    <t>15/09/2025</t>
  </si>
  <si>
    <t>22/09/2025</t>
  </si>
  <si>
    <t>29/09/2025</t>
  </si>
  <si>
    <t>06/10/2025</t>
  </si>
  <si>
    <t>13/10/2025</t>
  </si>
  <si>
    <t>20/10/2025</t>
  </si>
  <si>
    <t>27/10/2025</t>
  </si>
  <si>
    <t>03/11/2025</t>
  </si>
  <si>
    <t>10/11/2025</t>
  </si>
  <si>
    <t>17/11/2025</t>
  </si>
  <si>
    <t>24/11/2025</t>
  </si>
  <si>
    <t>01/12/2025</t>
  </si>
  <si>
    <t>08/12/2025</t>
  </si>
  <si>
    <t>15/12/2025</t>
  </si>
  <si>
    <t>22/12/2025</t>
  </si>
  <si>
    <t>29/12/2025</t>
  </si>
  <si>
    <t>Desviación Caldera</t>
  </si>
  <si>
    <t>Desviación Turbogenerador</t>
  </si>
  <si>
    <t>Bisemanal</t>
  </si>
  <si>
    <t>Mensual</t>
  </si>
  <si>
    <t>Montaje y ajuste de lana mineral externa en paredes</t>
  </si>
  <si>
    <t>05/01/26</t>
  </si>
  <si>
    <t>12/01/26</t>
  </si>
  <si>
    <t>19/01/2026</t>
  </si>
  <si>
    <t>19/01/26</t>
  </si>
  <si>
    <t>05/01/2026</t>
  </si>
  <si>
    <t>12/01/2026</t>
  </si>
  <si>
    <t>26/01/2026</t>
  </si>
  <si>
    <t>02/02/2026</t>
  </si>
  <si>
    <t>09/02/2026</t>
  </si>
  <si>
    <t>16/02/2026</t>
  </si>
  <si>
    <t>23/02/2026</t>
  </si>
  <si>
    <t>02/03/2026</t>
  </si>
  <si>
    <t>09/03/2026</t>
  </si>
  <si>
    <t>16/03/2026</t>
  </si>
  <si>
    <t>23/03/2026</t>
  </si>
  <si>
    <t>30/03/2026</t>
  </si>
  <si>
    <t>26/01/26</t>
  </si>
  <si>
    <t>02/02/26</t>
  </si>
  <si>
    <t>09/02/26</t>
  </si>
  <si>
    <t>16/02/26</t>
  </si>
  <si>
    <t>23/02/26</t>
  </si>
  <si>
    <t>02/03/26</t>
  </si>
  <si>
    <t>09/03/26</t>
  </si>
  <si>
    <t>16/03/26</t>
  </si>
  <si>
    <t>23/03/26</t>
  </si>
  <si>
    <t>30/03/26</t>
  </si>
  <si>
    <t>06/04/2026</t>
  </si>
  <si>
    <t>06/04/26</t>
  </si>
  <si>
    <t xml:space="preserve"> </t>
  </si>
  <si>
    <t>11/05/26</t>
  </si>
  <si>
    <t>13/04/26</t>
  </si>
  <si>
    <t>20/04/26</t>
  </si>
  <si>
    <t>27/04/26</t>
  </si>
  <si>
    <t>04/05/26</t>
  </si>
  <si>
    <t>18/05/26</t>
  </si>
  <si>
    <t>25/05/26</t>
  </si>
  <si>
    <t>01/06/26</t>
  </si>
  <si>
    <t>13/04/2026</t>
  </si>
  <si>
    <t>20/04/2026</t>
  </si>
  <si>
    <t>27/04/2026</t>
  </si>
  <si>
    <t>04/05/2026</t>
  </si>
  <si>
    <t>11/05/2026</t>
  </si>
  <si>
    <t>18/05/2026</t>
  </si>
  <si>
    <t>25/05/2026</t>
  </si>
  <si>
    <t>01/06/2026</t>
  </si>
  <si>
    <t>Avance</t>
  </si>
  <si>
    <t>Restante</t>
  </si>
  <si>
    <t>Avance en Peso</t>
  </si>
  <si>
    <t>08/06/26</t>
  </si>
  <si>
    <t>15/06/26</t>
  </si>
  <si>
    <t>22/06/26</t>
  </si>
  <si>
    <t>29/06/26</t>
  </si>
  <si>
    <t>06/07/26</t>
  </si>
  <si>
    <t>13/07/26</t>
  </si>
  <si>
    <t>20/07/26</t>
  </si>
  <si>
    <t>27/07/26</t>
  </si>
  <si>
    <t>03/08/26</t>
  </si>
  <si>
    <t>10/08/26</t>
  </si>
  <si>
    <t>17/08/26</t>
  </si>
  <si>
    <t>24/08/26</t>
  </si>
  <si>
    <t>31/08/26</t>
  </si>
  <si>
    <t>07/09/26</t>
  </si>
  <si>
    <t>14/09/26</t>
  </si>
  <si>
    <t>21/09/26</t>
  </si>
  <si>
    <t>28/09/26</t>
  </si>
  <si>
    <t>05/10/26</t>
  </si>
  <si>
    <t>12/10/26</t>
  </si>
  <si>
    <t>19/10/26</t>
  </si>
  <si>
    <t>26/10/26</t>
  </si>
  <si>
    <t>02/11/26</t>
  </si>
  <si>
    <t>09/11/26</t>
  </si>
  <si>
    <t>16/11/26</t>
  </si>
  <si>
    <t>23/11/26</t>
  </si>
  <si>
    <t>30/11/26</t>
  </si>
  <si>
    <t>07/12/26</t>
  </si>
  <si>
    <t>14/12/26</t>
  </si>
  <si>
    <t>21/12/26</t>
  </si>
  <si>
    <t>28/12/26</t>
  </si>
  <si>
    <t>ANÁLISIS DE DESVIACIÓN</t>
  </si>
  <si>
    <t>Etiquetas Avance Real. Bisemanal</t>
  </si>
  <si>
    <t>Etiquetas Avance Real. Mensual</t>
  </si>
  <si>
    <t>Etiquetas. Plan Original. Bisemanal</t>
  </si>
  <si>
    <t>Etiquetas. Plan Original. Mensual</t>
  </si>
  <si>
    <t>Etiquetas. Plan Reprogramación. Bisemanal</t>
  </si>
  <si>
    <t>Etiquetas. Plan Reprogramación. Mensual</t>
  </si>
  <si>
    <t>Líneas Guía. Avance Real. Bisemanal.</t>
  </si>
  <si>
    <t>Líneas Guía. Avance Real. Mensual.</t>
  </si>
  <si>
    <t>Etiquetas Desviación. Mensual</t>
  </si>
  <si>
    <t>Etiquetas Desviación. Bisemanal</t>
  </si>
  <si>
    <t>Elementos Auxiliares para Gráficos</t>
  </si>
  <si>
    <t>Elementos Auxiliares para Gráficas</t>
  </si>
  <si>
    <t>Líneas Guía. Avance Real en Caldera. Bisemanal.</t>
  </si>
  <si>
    <t>Líneas Guía. Avance Real en Caldera. Mensual.</t>
  </si>
  <si>
    <t>Etiquetas Avance Real 39 Global. Bisemanal</t>
  </si>
  <si>
    <t>Etiquetas Avance Real 39 Global. Mensual</t>
  </si>
  <si>
    <t>Etiquetas Desviación 39 Global. Mensual</t>
  </si>
  <si>
    <t>Etiquetas Desviación 39 Global. Bisemanal</t>
  </si>
  <si>
    <t>Etiquetas Reprogramación 39 Global. Bisemanal</t>
  </si>
  <si>
    <t>Etiquetas Reprogramación 39 Global. Mensual</t>
  </si>
  <si>
    <t>Etiquetas Avance Real 39 Caldera. Bisemanal</t>
  </si>
  <si>
    <t>Etiquetas Avance Real 39 Caldera. Mensual</t>
  </si>
  <si>
    <t>Etiquetas Reprogramación 39 Caldera. Bisemanal</t>
  </si>
  <si>
    <t>Etiquetas Avance Real 39 Turbo-Generador. Bisemanal</t>
  </si>
  <si>
    <t>Etiquetas Avance Real 39 Turbogenerador. Mensual</t>
  </si>
  <si>
    <t>Líneas Guía. Avance Real en Turbogenerador. Bisemanal.</t>
  </si>
  <si>
    <t>Líneas Guía. Avance Real en Turbogenerador. Mensual.</t>
  </si>
  <si>
    <t>Etiquetas Desviación 39 Turbogenerador. Bisemanal.</t>
  </si>
  <si>
    <t>Etiquetas Desvación 39 Turbogenerador. Mensual</t>
  </si>
  <si>
    <t>Etiquetas Desviación 39 Caldera. Bisemanal.</t>
  </si>
  <si>
    <t>Etiquetas Desviación 39 Caldera. Mensual</t>
  </si>
  <si>
    <t>Líneas Guía. Avance Real Global. Bisemanal.</t>
  </si>
  <si>
    <t>Líneas Guía. Avance Real Global. Mensual.</t>
  </si>
  <si>
    <t>Etiquetas Reprogramación 39 Caldera. Mensual</t>
  </si>
  <si>
    <t>Etiquetas Reprogramación 39 Turbogenerador. Mensual</t>
  </si>
  <si>
    <t>Etiquetas Reprogramación 39 Turbogenerador. Bisemanal.</t>
  </si>
  <si>
    <t>08/06/2026</t>
  </si>
  <si>
    <t>15/06/2026</t>
  </si>
  <si>
    <t>22/06/2026</t>
  </si>
  <si>
    <t>29/06/2026</t>
  </si>
  <si>
    <t>06/07/2026</t>
  </si>
  <si>
    <t>13/07/2026</t>
  </si>
  <si>
    <t>20/07/2026</t>
  </si>
  <si>
    <t>27/07/2026</t>
  </si>
  <si>
    <t>03/08/2026</t>
  </si>
  <si>
    <t>10/08/2026</t>
  </si>
  <si>
    <t>17/08/2026</t>
  </si>
  <si>
    <t>24/08/2026</t>
  </si>
  <si>
    <t>31/08/2026</t>
  </si>
  <si>
    <t>07/09/2026</t>
  </si>
  <si>
    <t>14/09/2026</t>
  </si>
  <si>
    <t>21/09/2026</t>
  </si>
  <si>
    <t>28/09/2026</t>
  </si>
  <si>
    <t>05/10/2026</t>
  </si>
  <si>
    <t>12/10/2026</t>
  </si>
  <si>
    <t>19/10/2026</t>
  </si>
  <si>
    <t>26/10/2026</t>
  </si>
  <si>
    <t>02/11/2026</t>
  </si>
  <si>
    <t>09/11/2026</t>
  </si>
  <si>
    <t>16/11/2026</t>
  </si>
  <si>
    <t>23/11/2026</t>
  </si>
  <si>
    <t>30/11/2026</t>
  </si>
  <si>
    <t>07/12/2026</t>
  </si>
  <si>
    <t>14/12/2026</t>
  </si>
  <si>
    <t>21/12/2026</t>
  </si>
  <si>
    <t>28/12/2026</t>
  </si>
  <si>
    <t>Av.Bisemanal</t>
  </si>
  <si>
    <t>Av.Semanal</t>
  </si>
  <si>
    <t>Av.Mensual</t>
  </si>
  <si>
    <t>Ava Bisemanal</t>
  </si>
  <si>
    <t>Avance Real</t>
  </si>
  <si>
    <t>Plan Original</t>
  </si>
  <si>
    <t>Reprogramacion</t>
  </si>
  <si>
    <t>Desviacion</t>
  </si>
  <si>
    <t>Dashboard Completo Bisemanal</t>
  </si>
  <si>
    <t>Dashboard General Bisemanal</t>
  </si>
  <si>
    <t>Dashboard Caldera Bisemanal</t>
  </si>
  <si>
    <t>Dashboard Turbina Bisemanal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</si>
</sst>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"/>
    <numFmt numFmtId="165" formatCode="0.0%"/>
    <numFmt numFmtId="166" formatCode="m/d/yyyy"/>
    <numFmt numFmtId="167" formatCode="dd/mm/yy;@"/>
    <numFmt numFmtId="168" formatCode="d/mm/yy;@"/>
    <numFmt numFmtId="169" formatCode="dd\.mm\.yyyy;@"/>
    <numFmt numFmtId="170" formatCode="dd\.mm\.yy;@"/>
    <numFmt numFmtId="171" formatCode="0.000%"/>
    <numFmt numFmtId="172" formatCode="0.0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9"/>
      <color rgb="FF363636"/>
      <name val="Segoe UI"/>
      <family val="2"/>
    </font>
    <font>
      <b/>
      <sz val="12"/>
      <color rgb="FFFFFFFF"/>
      <name val="Segoe UI"/>
      <family val="2"/>
    </font>
    <font>
      <b/>
      <sz val="11"/>
      <color rgb="FFF2F2F2"/>
      <name val="Segoe UI"/>
      <family val="2"/>
    </font>
    <font>
      <b/>
      <sz val="10"/>
      <color rgb="FF000000"/>
      <name val="Segoe U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rgb="FF000000"/>
      <name val="Segoe UI"/>
      <family val="2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sz val="11"/>
      <name val="Segoe UI"/>
      <family val="2"/>
    </font>
    <font>
      <sz val="11"/>
      <color rgb="FF363636"/>
      <name val="Segoe UI"/>
      <family val="2"/>
    </font>
    <font>
      <b/>
      <sz val="11"/>
      <color rgb="FFFFFFFF"/>
      <name val="Segoe UI"/>
      <family val="2"/>
    </font>
    <font>
      <b/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Segoe UI"/>
      <family val="2"/>
    </font>
    <font>
      <b/>
      <sz val="11"/>
      <color theme="0"/>
      <name val="Segoe UI"/>
      <family val="2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0"/>
      <name val="Arial"/>
      <family val="2"/>
    </font>
    <font>
      <sz val="16"/>
      <color rgb="FF363636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Segoe UI"/>
      <family val="2"/>
    </font>
    <font>
      <b/>
      <sz val="12"/>
      <color theme="1"/>
      <name val="Calibri"/>
      <family val="2"/>
      <scheme val="minor"/>
    </font>
    <font>
      <b/>
      <sz val="18"/>
      <color rgb="FFF2F2F2"/>
      <name val="Arial"/>
      <family val="2"/>
    </font>
    <font>
      <b/>
      <sz val="18"/>
      <color rgb="FFFFFFFF"/>
      <name val="Arial"/>
      <family val="2"/>
    </font>
    <font>
      <b/>
      <sz val="11"/>
      <color rgb="FF363636"/>
      <name val="Segoe UI"/>
      <family val="2"/>
    </font>
    <font>
      <b/>
      <sz val="11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70C0"/>
      <name val="Segoe UI"/>
      <family val="2"/>
    </font>
    <font>
      <b/>
      <sz val="9"/>
      <color rgb="FF0070C0"/>
      <name val="Segoe UI"/>
      <family val="2"/>
    </font>
    <font>
      <b/>
      <sz val="11"/>
      <color rgb="FF548235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theme="0"/>
      <name val="Arial"/>
      <family val="2"/>
    </font>
    <font>
      <sz val="18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B1BB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71">
    <border>
      <left/>
      <right/>
      <top/>
      <bottom/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  <border>
      <left/>
      <right/>
      <top/>
      <bottom style="thin">
        <color rgb="FFB1BBCC"/>
      </bottom>
      <diagonal/>
    </border>
    <border>
      <left/>
      <right/>
      <top style="thin">
        <color theme="1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/>
      <diagonal/>
    </border>
    <border>
      <left style="thin">
        <color indexed="64"/>
      </left>
      <right style="thin">
        <color rgb="FFB1BBCC"/>
      </right>
      <top style="thin">
        <color indexed="64"/>
      </top>
      <bottom style="thin">
        <color rgb="FFB1BB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1BBCC"/>
      </left>
      <right style="thin">
        <color indexed="64"/>
      </right>
      <top style="thin">
        <color rgb="FFB1BBCC"/>
      </top>
      <bottom style="thin">
        <color rgb="FFB1BBCC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B1BBCC"/>
      </right>
      <top style="thin">
        <color rgb="FFB1BBCC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indexed="64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indexed="64"/>
      </right>
      <top style="thin">
        <color rgb="FFB1BBCC"/>
      </top>
      <bottom style="thin">
        <color indexed="64"/>
      </bottom>
      <diagonal/>
    </border>
    <border>
      <left style="thin">
        <color rgb="FFB1BBCC"/>
      </left>
      <right style="thin">
        <color indexed="64"/>
      </right>
      <top style="thin">
        <color indexed="64"/>
      </top>
      <bottom style="thin">
        <color rgb="FFB1BBCC"/>
      </bottom>
      <diagonal/>
    </border>
    <border>
      <left/>
      <right style="thin">
        <color rgb="FFB1BBCC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B1BBCC"/>
      </bottom>
      <diagonal/>
    </border>
    <border>
      <left/>
      <right style="thin">
        <color indexed="64"/>
      </right>
      <top style="thin">
        <color rgb="FFB1BBCC"/>
      </top>
      <bottom style="thin">
        <color rgb="FFB1BBCC"/>
      </bottom>
      <diagonal/>
    </border>
    <border>
      <left/>
      <right style="thin">
        <color indexed="64"/>
      </right>
      <top style="thin">
        <color rgb="FFB1BBCC"/>
      </top>
      <bottom style="thin">
        <color indexed="64"/>
      </bottom>
      <diagonal/>
    </border>
    <border>
      <left/>
      <right style="thin">
        <color rgb="FFB1BBCC"/>
      </right>
      <top style="thin">
        <color indexed="64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1BBCC"/>
      </bottom>
      <diagonal/>
    </border>
    <border>
      <left style="thin">
        <color indexed="64"/>
      </left>
      <right style="thin">
        <color indexed="64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 style="thin">
        <color indexed="64"/>
      </right>
      <top style="thin">
        <color rgb="FFB1BB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 style="thin">
        <color indexed="64"/>
      </bottom>
      <diagonal/>
    </border>
    <border>
      <left style="thin">
        <color indexed="64"/>
      </left>
      <right/>
      <top style="thin">
        <color rgb="FFB1BBCC"/>
      </top>
      <bottom style="thin">
        <color rgb="FFB1BBCC"/>
      </bottom>
      <diagonal/>
    </border>
    <border>
      <left style="thin">
        <color rgb="FF999999"/>
      </left>
      <right style="thin">
        <color indexed="64"/>
      </right>
      <top style="thin">
        <color rgb="FFB1BBCC"/>
      </top>
      <bottom style="thin">
        <color rgb="FFB1BBCC"/>
      </bottom>
      <diagonal/>
    </border>
    <border>
      <left style="thin">
        <color rgb="FF999999"/>
      </left>
      <right style="thin">
        <color indexed="64"/>
      </right>
      <top style="thin">
        <color rgb="FFB1BBCC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rgb="FFB1BBCC"/>
      </top>
      <bottom style="thin">
        <color rgb="FFB1BBCC"/>
      </bottom>
      <diagonal/>
    </border>
    <border>
      <left style="thin">
        <color indexed="64"/>
      </left>
      <right/>
      <top style="thin">
        <color rgb="FFB1BBCC"/>
      </top>
      <bottom style="thin">
        <color indexed="64"/>
      </bottom>
      <diagonal/>
    </border>
    <border>
      <left/>
      <right/>
      <top style="thin">
        <color rgb="FFB1BBCC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1BBCC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4"/>
      </left>
      <right/>
      <top style="thin">
        <color rgb="FF999999"/>
      </top>
      <bottom/>
      <diagonal/>
    </border>
    <border>
      <left/>
      <right style="thin">
        <color indexed="64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164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5" fontId="4" fillId="2" borderId="4" xfId="0" applyNumberFormat="1" applyFont="1" applyFill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3" fontId="5" fillId="3" borderId="6" xfId="0" applyNumberFormat="1" applyFont="1" applyFill="1" applyBorder="1" applyAlignment="1">
      <alignment horizontal="center" vertical="center" wrapText="1"/>
    </xf>
    <xf numFmtId="14" fontId="5" fillId="3" borderId="6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165" fontId="5" fillId="3" borderId="6" xfId="0" applyNumberFormat="1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3" fontId="6" fillId="4" borderId="6" xfId="0" applyNumberFormat="1" applyFont="1" applyFill="1" applyBorder="1" applyAlignment="1">
      <alignment horizontal="center" vertical="center" wrapText="1"/>
    </xf>
    <xf numFmtId="14" fontId="6" fillId="4" borderId="6" xfId="0" applyNumberFormat="1" applyFont="1" applyFill="1" applyBorder="1" applyAlignment="1">
      <alignment horizontal="center" vertical="center" wrapText="1"/>
    </xf>
    <xf numFmtId="3" fontId="6" fillId="4" borderId="5" xfId="0" applyNumberFormat="1" applyFont="1" applyFill="1" applyBorder="1" applyAlignment="1">
      <alignment horizontal="center" vertical="center" wrapText="1"/>
    </xf>
    <xf numFmtId="165" fontId="6" fillId="4" borderId="6" xfId="0" applyNumberFormat="1" applyFont="1" applyFill="1" applyBorder="1" applyAlignment="1">
      <alignment horizontal="center" vertical="center" wrapText="1"/>
    </xf>
    <xf numFmtId="165" fontId="6" fillId="4" borderId="5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3" fontId="7" fillId="5" borderId="6" xfId="0" applyNumberFormat="1" applyFont="1" applyFill="1" applyBorder="1" applyAlignment="1">
      <alignment horizontal="center" vertical="center" wrapText="1"/>
    </xf>
    <xf numFmtId="14" fontId="7" fillId="5" borderId="6" xfId="0" applyNumberFormat="1" applyFont="1" applyFill="1" applyBorder="1" applyAlignment="1">
      <alignment horizontal="center" vertical="center" wrapText="1"/>
    </xf>
    <xf numFmtId="3" fontId="7" fillId="5" borderId="5" xfId="0" applyNumberFormat="1" applyFont="1" applyFill="1" applyBorder="1" applyAlignment="1">
      <alignment horizontal="center" vertical="center" wrapText="1"/>
    </xf>
    <xf numFmtId="165" fontId="7" fillId="5" borderId="6" xfId="0" applyNumberFormat="1" applyFont="1" applyFill="1" applyBorder="1" applyAlignment="1">
      <alignment horizontal="center" vertical="center" wrapText="1"/>
    </xf>
    <xf numFmtId="165" fontId="7" fillId="5" borderId="5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/>
    </xf>
    <xf numFmtId="0" fontId="8" fillId="6" borderId="5" xfId="0" applyFont="1" applyFill="1" applyBorder="1" applyAlignment="1">
      <alignment vertical="center"/>
    </xf>
    <xf numFmtId="3" fontId="8" fillId="6" borderId="6" xfId="0" applyNumberFormat="1" applyFont="1" applyFill="1" applyBorder="1" applyAlignment="1">
      <alignment horizontal="center" vertical="center" wrapText="1"/>
    </xf>
    <xf numFmtId="14" fontId="8" fillId="6" borderId="6" xfId="0" applyNumberFormat="1" applyFont="1" applyFill="1" applyBorder="1" applyAlignment="1">
      <alignment horizontal="center" vertical="center" wrapText="1"/>
    </xf>
    <xf numFmtId="3" fontId="8" fillId="6" borderId="5" xfId="0" applyNumberFormat="1" applyFont="1" applyFill="1" applyBorder="1" applyAlignment="1">
      <alignment horizontal="center" vertical="center" wrapText="1"/>
    </xf>
    <xf numFmtId="165" fontId="8" fillId="6" borderId="6" xfId="0" applyNumberFormat="1" applyFont="1" applyFill="1" applyBorder="1" applyAlignment="1">
      <alignment horizontal="center" vertical="center" wrapText="1"/>
    </xf>
    <xf numFmtId="165" fontId="8" fillId="6" borderId="5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/>
    </xf>
    <xf numFmtId="0" fontId="9" fillId="6" borderId="5" xfId="0" applyFont="1" applyFill="1" applyBorder="1" applyAlignment="1">
      <alignment vertical="center"/>
    </xf>
    <xf numFmtId="166" fontId="8" fillId="6" borderId="6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8" fillId="0" borderId="5" xfId="0" applyFont="1" applyBorder="1" applyAlignment="1">
      <alignment vertical="center"/>
    </xf>
    <xf numFmtId="3" fontId="8" fillId="6" borderId="7" xfId="0" applyNumberFormat="1" applyFont="1" applyFill="1" applyBorder="1" applyAlignment="1">
      <alignment horizontal="center" vertical="center" wrapText="1"/>
    </xf>
    <xf numFmtId="165" fontId="8" fillId="6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8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14" fontId="5" fillId="3" borderId="9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center" wrapText="1"/>
    </xf>
    <xf numFmtId="14" fontId="6" fillId="4" borderId="9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  <xf numFmtId="14" fontId="7" fillId="5" borderId="9" xfId="0" applyNumberFormat="1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vertical="center" wrapText="1"/>
    </xf>
    <xf numFmtId="14" fontId="8" fillId="6" borderId="0" xfId="0" applyNumberFormat="1" applyFont="1" applyFill="1" applyAlignment="1">
      <alignment horizontal="center" vertical="center" wrapText="1"/>
    </xf>
    <xf numFmtId="0" fontId="9" fillId="6" borderId="5" xfId="0" applyFont="1" applyFill="1" applyBorder="1" applyAlignment="1">
      <alignment vertical="center" wrapText="1"/>
    </xf>
    <xf numFmtId="166" fontId="8" fillId="6" borderId="0" xfId="0" applyNumberFormat="1" applyFont="1" applyFill="1" applyAlignment="1">
      <alignment horizontal="center" vertical="center" wrapText="1"/>
    </xf>
    <xf numFmtId="0" fontId="8" fillId="6" borderId="10" xfId="0" applyFont="1" applyFill="1" applyBorder="1" applyAlignment="1">
      <alignment vertical="center"/>
    </xf>
    <xf numFmtId="0" fontId="8" fillId="6" borderId="7" xfId="0" applyFont="1" applyFill="1" applyBorder="1" applyAlignment="1">
      <alignment vertical="center"/>
    </xf>
    <xf numFmtId="0" fontId="8" fillId="6" borderId="7" xfId="0" applyFont="1" applyFill="1" applyBorder="1" applyAlignment="1">
      <alignment vertical="center" wrapText="1"/>
    </xf>
    <xf numFmtId="9" fontId="0" fillId="0" borderId="0" xfId="0" applyNumberFormat="1"/>
    <xf numFmtId="0" fontId="3" fillId="2" borderId="0" xfId="0" applyFont="1" applyFill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65" fontId="5" fillId="3" borderId="5" xfId="1" applyNumberFormat="1" applyFont="1" applyFill="1" applyBorder="1" applyAlignment="1">
      <alignment horizontal="center" vertical="center" wrapText="1"/>
    </xf>
    <xf numFmtId="165" fontId="6" fillId="4" borderId="5" xfId="1" applyNumberFormat="1" applyFont="1" applyFill="1" applyBorder="1" applyAlignment="1">
      <alignment horizontal="center" vertical="center" wrapText="1"/>
    </xf>
    <xf numFmtId="165" fontId="7" fillId="5" borderId="5" xfId="1" applyNumberFormat="1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right" vertical="center"/>
    </xf>
    <xf numFmtId="165" fontId="6" fillId="4" borderId="5" xfId="1" applyNumberFormat="1" applyFont="1" applyFill="1" applyBorder="1" applyAlignment="1">
      <alignment vertical="center"/>
    </xf>
    <xf numFmtId="0" fontId="12" fillId="0" borderId="0" xfId="0" applyFont="1"/>
    <xf numFmtId="165" fontId="12" fillId="0" borderId="0" xfId="1" applyNumberFormat="1" applyFont="1" applyAlignment="1"/>
    <xf numFmtId="0" fontId="13" fillId="6" borderId="1" xfId="0" applyFont="1" applyFill="1" applyBorder="1" applyAlignment="1">
      <alignment vertical="center"/>
    </xf>
    <xf numFmtId="0" fontId="13" fillId="6" borderId="5" xfId="0" applyFont="1" applyFill="1" applyBorder="1" applyAlignment="1">
      <alignment vertical="center"/>
    </xf>
    <xf numFmtId="165" fontId="13" fillId="6" borderId="5" xfId="1" applyNumberFormat="1" applyFont="1" applyFill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0" fontId="14" fillId="6" borderId="5" xfId="0" applyFont="1" applyFill="1" applyBorder="1" applyAlignment="1">
      <alignment vertical="center"/>
    </xf>
    <xf numFmtId="165" fontId="14" fillId="6" borderId="5" xfId="1" applyNumberFormat="1" applyFont="1" applyFill="1" applyBorder="1" applyAlignment="1">
      <alignment vertical="center"/>
    </xf>
    <xf numFmtId="0" fontId="13" fillId="6" borderId="5" xfId="0" applyFont="1" applyFill="1" applyBorder="1" applyAlignment="1">
      <alignment horizontal="right" vertical="center"/>
    </xf>
    <xf numFmtId="165" fontId="13" fillId="6" borderId="5" xfId="1" applyNumberFormat="1" applyFont="1" applyFill="1" applyBorder="1" applyAlignment="1">
      <alignment horizontal="right" vertical="center"/>
    </xf>
    <xf numFmtId="0" fontId="13" fillId="0" borderId="5" xfId="0" applyFont="1" applyBorder="1" applyAlignment="1">
      <alignment vertical="center"/>
    </xf>
    <xf numFmtId="0" fontId="13" fillId="6" borderId="7" xfId="0" applyFont="1" applyFill="1" applyBorder="1" applyAlignment="1">
      <alignment vertical="center"/>
    </xf>
    <xf numFmtId="0" fontId="15" fillId="2" borderId="8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165" fontId="15" fillId="2" borderId="0" xfId="1" applyNumberFormat="1" applyFont="1" applyFill="1" applyAlignment="1">
      <alignment vertical="center"/>
    </xf>
    <xf numFmtId="0" fontId="16" fillId="3" borderId="1" xfId="0" applyFont="1" applyFill="1" applyBorder="1" applyAlignment="1">
      <alignment vertical="center"/>
    </xf>
    <xf numFmtId="0" fontId="16" fillId="3" borderId="5" xfId="0" applyFont="1" applyFill="1" applyBorder="1" applyAlignment="1">
      <alignment vertical="center"/>
    </xf>
    <xf numFmtId="165" fontId="16" fillId="3" borderId="5" xfId="1" applyNumberFormat="1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7" fillId="5" borderId="5" xfId="0" applyFont="1" applyFill="1" applyBorder="1" applyAlignment="1">
      <alignment vertical="center"/>
    </xf>
    <xf numFmtId="165" fontId="17" fillId="5" borderId="5" xfId="1" applyNumberFormat="1" applyFont="1" applyFill="1" applyBorder="1" applyAlignment="1">
      <alignment vertical="center"/>
    </xf>
    <xf numFmtId="0" fontId="0" fillId="0" borderId="18" xfId="0" applyBorder="1"/>
    <xf numFmtId="0" fontId="0" fillId="0" borderId="13" xfId="0" applyBorder="1"/>
    <xf numFmtId="0" fontId="0" fillId="0" borderId="16" xfId="0" applyBorder="1"/>
    <xf numFmtId="0" fontId="0" fillId="0" borderId="12" xfId="0" applyBorder="1"/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14" fontId="0" fillId="0" borderId="0" xfId="0" applyNumberFormat="1"/>
    <xf numFmtId="165" fontId="12" fillId="0" borderId="0" xfId="1" applyNumberFormat="1" applyFont="1" applyAlignment="1">
      <alignment horizontal="center" vertical="center"/>
    </xf>
    <xf numFmtId="0" fontId="15" fillId="2" borderId="29" xfId="0" applyFont="1" applyFill="1" applyBorder="1" applyAlignment="1">
      <alignment vertical="center"/>
    </xf>
    <xf numFmtId="0" fontId="16" fillId="3" borderId="11" xfId="0" applyFont="1" applyFill="1" applyBorder="1" applyAlignment="1">
      <alignment vertical="center"/>
    </xf>
    <xf numFmtId="0" fontId="16" fillId="3" borderId="24" xfId="0" applyFont="1" applyFill="1" applyBorder="1" applyAlignment="1">
      <alignment vertical="center"/>
    </xf>
    <xf numFmtId="0" fontId="6" fillId="4" borderId="14" xfId="0" applyFont="1" applyFill="1" applyBorder="1" applyAlignment="1">
      <alignment vertical="center"/>
    </xf>
    <xf numFmtId="0" fontId="17" fillId="5" borderId="14" xfId="0" applyFont="1" applyFill="1" applyBorder="1" applyAlignment="1">
      <alignment vertical="center"/>
    </xf>
    <xf numFmtId="165" fontId="16" fillId="3" borderId="33" xfId="1" applyNumberFormat="1" applyFont="1" applyFill="1" applyBorder="1" applyAlignment="1">
      <alignment vertical="center"/>
    </xf>
    <xf numFmtId="165" fontId="6" fillId="4" borderId="1" xfId="1" applyNumberFormat="1" applyFont="1" applyFill="1" applyBorder="1" applyAlignment="1">
      <alignment vertical="center"/>
    </xf>
    <xf numFmtId="165" fontId="17" fillId="5" borderId="1" xfId="1" applyNumberFormat="1" applyFont="1" applyFill="1" applyBorder="1" applyAlignment="1">
      <alignment vertical="center"/>
    </xf>
    <xf numFmtId="0" fontId="21" fillId="7" borderId="13" xfId="0" applyFont="1" applyFill="1" applyBorder="1" applyAlignment="1">
      <alignment horizontal="center" vertical="center"/>
    </xf>
    <xf numFmtId="165" fontId="21" fillId="7" borderId="19" xfId="1" applyNumberFormat="1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/>
    </xf>
    <xf numFmtId="165" fontId="15" fillId="2" borderId="36" xfId="1" applyNumberFormat="1" applyFont="1" applyFill="1" applyBorder="1" applyAlignment="1">
      <alignment horizontal="center" vertical="center"/>
    </xf>
    <xf numFmtId="165" fontId="16" fillId="3" borderId="37" xfId="1" applyNumberFormat="1" applyFont="1" applyFill="1" applyBorder="1" applyAlignment="1">
      <alignment horizontal="center" vertical="center"/>
    </xf>
    <xf numFmtId="165" fontId="6" fillId="4" borderId="38" xfId="1" applyNumberFormat="1" applyFont="1" applyFill="1" applyBorder="1" applyAlignment="1">
      <alignment horizontal="center" vertical="center"/>
    </xf>
    <xf numFmtId="165" fontId="17" fillId="5" borderId="38" xfId="1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6" xfId="0" applyBorder="1" applyAlignment="1">
      <alignment horizontal="left" indent="1"/>
    </xf>
    <xf numFmtId="165" fontId="0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/>
    <xf numFmtId="165" fontId="5" fillId="3" borderId="11" xfId="0" applyNumberFormat="1" applyFont="1" applyFill="1" applyBorder="1" applyAlignment="1">
      <alignment horizontal="center" vertical="center" wrapText="1"/>
    </xf>
    <xf numFmtId="165" fontId="5" fillId="3" borderId="24" xfId="0" applyNumberFormat="1" applyFont="1" applyFill="1" applyBorder="1" applyAlignment="1">
      <alignment horizontal="center" vertical="center" wrapText="1"/>
    </xf>
    <xf numFmtId="165" fontId="5" fillId="3" borderId="24" xfId="1" applyNumberFormat="1" applyFont="1" applyFill="1" applyBorder="1" applyAlignment="1">
      <alignment horizontal="center" vertical="center" wrapText="1"/>
    </xf>
    <xf numFmtId="165" fontId="6" fillId="4" borderId="14" xfId="0" applyNumberFormat="1" applyFont="1" applyFill="1" applyBorder="1" applyAlignment="1">
      <alignment horizontal="center" vertical="center" wrapText="1"/>
    </xf>
    <xf numFmtId="165" fontId="7" fillId="5" borderId="14" xfId="0" applyNumberFormat="1" applyFont="1" applyFill="1" applyBorder="1" applyAlignment="1">
      <alignment horizontal="center" vertical="center" wrapText="1"/>
    </xf>
    <xf numFmtId="165" fontId="0" fillId="0" borderId="14" xfId="0" applyNumberFormat="1" applyBorder="1"/>
    <xf numFmtId="165" fontId="0" fillId="0" borderId="5" xfId="0" applyNumberFormat="1" applyBorder="1"/>
    <xf numFmtId="165" fontId="0" fillId="0" borderId="5" xfId="1" applyNumberFormat="1" applyFont="1" applyBorder="1"/>
    <xf numFmtId="165" fontId="0" fillId="0" borderId="5" xfId="1" applyNumberFormat="1" applyFont="1" applyFill="1" applyBorder="1"/>
    <xf numFmtId="165" fontId="11" fillId="0" borderId="14" xfId="0" applyNumberFormat="1" applyFont="1" applyBorder="1" applyAlignment="1">
      <alignment horizontal="right" vertical="center" wrapText="1"/>
    </xf>
    <xf numFmtId="165" fontId="11" fillId="0" borderId="5" xfId="0" applyNumberFormat="1" applyFont="1" applyBorder="1" applyAlignment="1">
      <alignment horizontal="right" vertical="center" wrapText="1"/>
    </xf>
    <xf numFmtId="165" fontId="11" fillId="0" borderId="5" xfId="1" applyNumberFormat="1" applyFont="1" applyFill="1" applyBorder="1" applyAlignment="1">
      <alignment horizontal="right" vertical="center" wrapText="1"/>
    </xf>
    <xf numFmtId="165" fontId="0" fillId="0" borderId="14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1" fillId="0" borderId="5" xfId="1" applyNumberFormat="1" applyFont="1" applyFill="1" applyBorder="1" applyAlignment="1">
      <alignment horizontal="right"/>
    </xf>
    <xf numFmtId="165" fontId="0" fillId="0" borderId="21" xfId="0" applyNumberFormat="1" applyBorder="1"/>
    <xf numFmtId="165" fontId="0" fillId="0" borderId="23" xfId="0" applyNumberFormat="1" applyBorder="1"/>
    <xf numFmtId="165" fontId="0" fillId="0" borderId="23" xfId="1" applyNumberFormat="1" applyFont="1" applyBorder="1"/>
    <xf numFmtId="10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5" fontId="21" fillId="7" borderId="1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0" fillId="0" borderId="15" xfId="0" applyBorder="1" applyAlignment="1">
      <alignment horizontal="center"/>
    </xf>
    <xf numFmtId="0" fontId="23" fillId="0" borderId="15" xfId="0" applyFont="1" applyBorder="1"/>
    <xf numFmtId="0" fontId="23" fillId="0" borderId="0" xfId="0" applyFont="1" applyAlignment="1">
      <alignment horizontal="right"/>
    </xf>
    <xf numFmtId="165" fontId="23" fillId="0" borderId="0" xfId="0" applyNumberFormat="1" applyFont="1"/>
    <xf numFmtId="0" fontId="23" fillId="0" borderId="0" xfId="0" applyFont="1"/>
    <xf numFmtId="164" fontId="3" fillId="2" borderId="25" xfId="0" applyNumberFormat="1" applyFont="1" applyFill="1" applyBorder="1" applyAlignment="1">
      <alignment horizontal="center" vertical="center" wrapText="1"/>
    </xf>
    <xf numFmtId="14" fontId="3" fillId="2" borderId="25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165" fontId="5" fillId="3" borderId="9" xfId="0" applyNumberFormat="1" applyFont="1" applyFill="1" applyBorder="1" applyAlignment="1">
      <alignment horizontal="center" vertical="center" wrapText="1"/>
    </xf>
    <xf numFmtId="14" fontId="6" fillId="4" borderId="5" xfId="0" applyNumberFormat="1" applyFont="1" applyFill="1" applyBorder="1" applyAlignment="1">
      <alignment horizontal="center" vertical="center" wrapText="1"/>
    </xf>
    <xf numFmtId="165" fontId="6" fillId="4" borderId="9" xfId="0" applyNumberFormat="1" applyFont="1" applyFill="1" applyBorder="1" applyAlignment="1">
      <alignment horizontal="center" vertical="center" wrapText="1"/>
    </xf>
    <xf numFmtId="14" fontId="7" fillId="5" borderId="5" xfId="0" applyNumberFormat="1" applyFont="1" applyFill="1" applyBorder="1" applyAlignment="1">
      <alignment horizontal="center" vertical="center" wrapText="1"/>
    </xf>
    <xf numFmtId="165" fontId="7" fillId="5" borderId="9" xfId="0" applyNumberFormat="1" applyFont="1" applyFill="1" applyBorder="1" applyAlignment="1">
      <alignment horizontal="center" vertical="center" wrapText="1"/>
    </xf>
    <xf numFmtId="14" fontId="8" fillId="6" borderId="5" xfId="0" applyNumberFormat="1" applyFont="1" applyFill="1" applyBorder="1" applyAlignment="1">
      <alignment horizontal="center" vertical="center" wrapText="1"/>
    </xf>
    <xf numFmtId="165" fontId="0" fillId="0" borderId="9" xfId="0" applyNumberFormat="1" applyBorder="1"/>
    <xf numFmtId="9" fontId="0" fillId="0" borderId="5" xfId="0" applyNumberFormat="1" applyBorder="1"/>
    <xf numFmtId="0" fontId="8" fillId="6" borderId="8" xfId="0" applyFont="1" applyFill="1" applyBorder="1" applyAlignment="1">
      <alignment vertical="center"/>
    </xf>
    <xf numFmtId="0" fontId="8" fillId="6" borderId="25" xfId="0" applyFont="1" applyFill="1" applyBorder="1" applyAlignment="1">
      <alignment vertical="center"/>
    </xf>
    <xf numFmtId="3" fontId="8" fillId="6" borderId="25" xfId="0" applyNumberFormat="1" applyFont="1" applyFill="1" applyBorder="1" applyAlignment="1">
      <alignment horizontal="center" vertical="center" wrapText="1"/>
    </xf>
    <xf numFmtId="14" fontId="8" fillId="6" borderId="25" xfId="0" applyNumberFormat="1" applyFont="1" applyFill="1" applyBorder="1" applyAlignment="1">
      <alignment horizontal="center" vertical="center" wrapText="1"/>
    </xf>
    <xf numFmtId="165" fontId="8" fillId="6" borderId="25" xfId="0" applyNumberFormat="1" applyFont="1" applyFill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14" fontId="8" fillId="6" borderId="7" xfId="0" applyNumberFormat="1" applyFont="1" applyFill="1" applyBorder="1" applyAlignment="1">
      <alignment horizontal="center" vertical="center" wrapText="1"/>
    </xf>
    <xf numFmtId="165" fontId="0" fillId="0" borderId="7" xfId="0" applyNumberFormat="1" applyBorder="1"/>
    <xf numFmtId="165" fontId="0" fillId="0" borderId="6" xfId="0" applyNumberFormat="1" applyBorder="1"/>
    <xf numFmtId="165" fontId="21" fillId="8" borderId="37" xfId="0" applyNumberFormat="1" applyFont="1" applyFill="1" applyBorder="1" applyAlignment="1">
      <alignment horizontal="center" vertical="center"/>
    </xf>
    <xf numFmtId="165" fontId="21" fillId="9" borderId="38" xfId="0" applyNumberFormat="1" applyFont="1" applyFill="1" applyBorder="1" applyAlignment="1">
      <alignment horizontal="center" vertical="center"/>
    </xf>
    <xf numFmtId="165" fontId="20" fillId="10" borderId="38" xfId="0" applyNumberFormat="1" applyFont="1" applyFill="1" applyBorder="1" applyAlignment="1">
      <alignment horizontal="center" vertical="center"/>
    </xf>
    <xf numFmtId="165" fontId="20" fillId="10" borderId="44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indent="2"/>
    </xf>
    <xf numFmtId="0" fontId="0" fillId="0" borderId="41" xfId="0" applyBorder="1" applyAlignment="1">
      <alignment horizontal="left" indent="2"/>
    </xf>
    <xf numFmtId="0" fontId="0" fillId="0" borderId="42" xfId="0" applyBorder="1" applyAlignment="1">
      <alignment horizontal="left" indent="2"/>
    </xf>
    <xf numFmtId="165" fontId="20" fillId="10" borderId="45" xfId="0" applyNumberFormat="1" applyFont="1" applyFill="1" applyBorder="1" applyAlignment="1">
      <alignment horizontal="center" vertical="center"/>
    </xf>
    <xf numFmtId="0" fontId="24" fillId="0" borderId="0" xfId="0" applyFont="1"/>
    <xf numFmtId="165" fontId="25" fillId="7" borderId="13" xfId="1" applyNumberFormat="1" applyFont="1" applyFill="1" applyBorder="1" applyAlignment="1">
      <alignment horizontal="center" vertical="center"/>
    </xf>
    <xf numFmtId="0" fontId="25" fillId="7" borderId="13" xfId="0" applyFont="1" applyFill="1" applyBorder="1" applyAlignment="1">
      <alignment horizontal="center" vertical="center"/>
    </xf>
    <xf numFmtId="165" fontId="25" fillId="7" borderId="19" xfId="1" applyNumberFormat="1" applyFont="1" applyFill="1" applyBorder="1" applyAlignment="1">
      <alignment horizontal="center" vertical="center"/>
    </xf>
    <xf numFmtId="0" fontId="25" fillId="7" borderId="19" xfId="0" applyFont="1" applyFill="1" applyBorder="1" applyAlignment="1">
      <alignment horizontal="center" vertical="center"/>
    </xf>
    <xf numFmtId="0" fontId="26" fillId="2" borderId="29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165" fontId="26" fillId="2" borderId="36" xfId="1" applyNumberFormat="1" applyFont="1" applyFill="1" applyBorder="1" applyAlignment="1">
      <alignment horizontal="center" vertical="center"/>
    </xf>
    <xf numFmtId="165" fontId="26" fillId="2" borderId="0" xfId="1" applyNumberFormat="1" applyFont="1" applyFill="1" applyAlignment="1">
      <alignment vertical="center"/>
    </xf>
    <xf numFmtId="0" fontId="27" fillId="5" borderId="14" xfId="0" applyFont="1" applyFill="1" applyBorder="1" applyAlignment="1">
      <alignment vertical="center"/>
    </xf>
    <xf numFmtId="0" fontId="27" fillId="5" borderId="5" xfId="0" applyFont="1" applyFill="1" applyBorder="1" applyAlignment="1">
      <alignment vertical="center"/>
    </xf>
    <xf numFmtId="0" fontId="27" fillId="5" borderId="17" xfId="0" applyFont="1" applyFill="1" applyBorder="1" applyAlignment="1">
      <alignment vertical="center"/>
    </xf>
    <xf numFmtId="165" fontId="27" fillId="5" borderId="38" xfId="1" applyNumberFormat="1" applyFont="1" applyFill="1" applyBorder="1" applyAlignment="1">
      <alignment horizontal="center" vertical="center"/>
    </xf>
    <xf numFmtId="165" fontId="27" fillId="5" borderId="1" xfId="1" applyNumberFormat="1" applyFont="1" applyFill="1" applyBorder="1" applyAlignment="1">
      <alignment vertical="center"/>
    </xf>
    <xf numFmtId="0" fontId="28" fillId="6" borderId="14" xfId="0" applyFont="1" applyFill="1" applyBorder="1" applyAlignment="1">
      <alignment vertical="center"/>
    </xf>
    <xf numFmtId="0" fontId="28" fillId="6" borderId="5" xfId="0" applyFont="1" applyFill="1" applyBorder="1" applyAlignment="1">
      <alignment vertical="center"/>
    </xf>
    <xf numFmtId="0" fontId="28" fillId="6" borderId="17" xfId="0" applyFont="1" applyFill="1" applyBorder="1" applyAlignment="1">
      <alignment vertical="center" wrapText="1"/>
    </xf>
    <xf numFmtId="165" fontId="28" fillId="6" borderId="38" xfId="1" applyNumberFormat="1" applyFont="1" applyFill="1" applyBorder="1" applyAlignment="1">
      <alignment horizontal="center" vertical="center"/>
    </xf>
    <xf numFmtId="165" fontId="28" fillId="6" borderId="1" xfId="1" applyNumberFormat="1" applyFont="1" applyFill="1" applyBorder="1" applyAlignment="1">
      <alignment vertical="center"/>
    </xf>
    <xf numFmtId="0" fontId="27" fillId="5" borderId="17" xfId="0" applyFont="1" applyFill="1" applyBorder="1" applyAlignment="1">
      <alignment vertical="center" wrapText="1"/>
    </xf>
    <xf numFmtId="0" fontId="29" fillId="6" borderId="14" xfId="0" applyFont="1" applyFill="1" applyBorder="1" applyAlignment="1">
      <alignment vertical="center"/>
    </xf>
    <xf numFmtId="0" fontId="29" fillId="6" borderId="5" xfId="0" applyFont="1" applyFill="1" applyBorder="1" applyAlignment="1">
      <alignment vertical="center"/>
    </xf>
    <xf numFmtId="0" fontId="29" fillId="6" borderId="17" xfId="0" applyFont="1" applyFill="1" applyBorder="1" applyAlignment="1">
      <alignment vertical="center" wrapText="1"/>
    </xf>
    <xf numFmtId="165" fontId="29" fillId="6" borderId="38" xfId="1" applyNumberFormat="1" applyFont="1" applyFill="1" applyBorder="1" applyAlignment="1">
      <alignment horizontal="center" vertical="center"/>
    </xf>
    <xf numFmtId="165" fontId="29" fillId="6" borderId="1" xfId="1" applyNumberFormat="1" applyFont="1" applyFill="1" applyBorder="1" applyAlignment="1">
      <alignment vertical="center"/>
    </xf>
    <xf numFmtId="0" fontId="28" fillId="6" borderId="5" xfId="0" applyFont="1" applyFill="1" applyBorder="1" applyAlignment="1">
      <alignment horizontal="right" vertical="center"/>
    </xf>
    <xf numFmtId="165" fontId="28" fillId="6" borderId="1" xfId="1" applyNumberFormat="1" applyFont="1" applyFill="1" applyBorder="1" applyAlignment="1">
      <alignment horizontal="right" vertical="center"/>
    </xf>
    <xf numFmtId="0" fontId="28" fillId="0" borderId="17" xfId="0" applyFont="1" applyBorder="1" applyAlignment="1">
      <alignment vertical="center" wrapText="1"/>
    </xf>
    <xf numFmtId="0" fontId="28" fillId="6" borderId="21" xfId="0" applyFont="1" applyFill="1" applyBorder="1" applyAlignment="1">
      <alignment vertical="center"/>
    </xf>
    <xf numFmtId="0" fontId="28" fillId="6" borderId="23" xfId="0" applyFont="1" applyFill="1" applyBorder="1" applyAlignment="1">
      <alignment vertical="center"/>
    </xf>
    <xf numFmtId="0" fontId="28" fillId="6" borderId="27" xfId="0" applyFont="1" applyFill="1" applyBorder="1" applyAlignment="1">
      <alignment vertical="center" wrapText="1"/>
    </xf>
    <xf numFmtId="165" fontId="28" fillId="6" borderId="39" xfId="1" applyNumberFormat="1" applyFont="1" applyFill="1" applyBorder="1" applyAlignment="1">
      <alignment horizontal="center" vertical="center"/>
    </xf>
    <xf numFmtId="165" fontId="31" fillId="0" borderId="0" xfId="1" applyNumberFormat="1" applyFont="1" applyAlignment="1">
      <alignment horizontal="center" vertical="center"/>
    </xf>
    <xf numFmtId="0" fontId="30" fillId="0" borderId="0" xfId="0" applyFont="1"/>
    <xf numFmtId="0" fontId="24" fillId="0" borderId="0" xfId="0" applyFont="1" applyAlignment="1">
      <alignment horizontal="center" vertical="center"/>
    </xf>
    <xf numFmtId="0" fontId="32" fillId="11" borderId="26" xfId="0" applyFont="1" applyFill="1" applyBorder="1" applyAlignment="1">
      <alignment horizontal="center" vertical="center" wrapText="1"/>
    </xf>
    <xf numFmtId="165" fontId="25" fillId="7" borderId="49" xfId="1" applyNumberFormat="1" applyFont="1" applyFill="1" applyBorder="1" applyAlignment="1">
      <alignment horizontal="center" vertical="center"/>
    </xf>
    <xf numFmtId="165" fontId="25" fillId="7" borderId="50" xfId="1" applyNumberFormat="1" applyFont="1" applyFill="1" applyBorder="1" applyAlignment="1">
      <alignment horizontal="center" vertical="center"/>
    </xf>
    <xf numFmtId="165" fontId="25" fillId="7" borderId="51" xfId="1" applyNumberFormat="1" applyFont="1" applyFill="1" applyBorder="1" applyAlignment="1">
      <alignment horizontal="center" vertical="center"/>
    </xf>
    <xf numFmtId="0" fontId="33" fillId="4" borderId="43" xfId="0" applyFont="1" applyFill="1" applyBorder="1" applyAlignment="1">
      <alignment vertical="center"/>
    </xf>
    <xf numFmtId="0" fontId="33" fillId="4" borderId="1" xfId="0" applyFont="1" applyFill="1" applyBorder="1" applyAlignment="1">
      <alignment vertical="center"/>
    </xf>
    <xf numFmtId="0" fontId="33" fillId="4" borderId="5" xfId="0" applyFont="1" applyFill="1" applyBorder="1" applyAlignment="1">
      <alignment vertical="center"/>
    </xf>
    <xf numFmtId="0" fontId="33" fillId="4" borderId="17" xfId="0" applyFont="1" applyFill="1" applyBorder="1" applyAlignment="1">
      <alignment vertical="center" wrapText="1"/>
    </xf>
    <xf numFmtId="165" fontId="33" fillId="4" borderId="38" xfId="1" applyNumberFormat="1" applyFont="1" applyFill="1" applyBorder="1" applyAlignment="1">
      <alignment horizontal="center" vertical="center"/>
    </xf>
    <xf numFmtId="165" fontId="33" fillId="4" borderId="1" xfId="1" applyNumberFormat="1" applyFont="1" applyFill="1" applyBorder="1" applyAlignment="1">
      <alignment vertical="center"/>
    </xf>
    <xf numFmtId="0" fontId="34" fillId="3" borderId="11" xfId="0" applyFont="1" applyFill="1" applyBorder="1" applyAlignment="1">
      <alignment vertical="center"/>
    </xf>
    <xf numFmtId="0" fontId="34" fillId="3" borderId="24" xfId="0" applyFont="1" applyFill="1" applyBorder="1" applyAlignment="1">
      <alignment vertical="center"/>
    </xf>
    <xf numFmtId="0" fontId="34" fillId="3" borderId="28" xfId="0" applyFont="1" applyFill="1" applyBorder="1" applyAlignment="1">
      <alignment vertical="center"/>
    </xf>
    <xf numFmtId="165" fontId="34" fillId="3" borderId="37" xfId="1" applyNumberFormat="1" applyFont="1" applyFill="1" applyBorder="1" applyAlignment="1">
      <alignment horizontal="center" vertical="center"/>
    </xf>
    <xf numFmtId="165" fontId="34" fillId="3" borderId="33" xfId="1" applyNumberFormat="1" applyFont="1" applyFill="1" applyBorder="1" applyAlignment="1">
      <alignment vertical="center"/>
    </xf>
    <xf numFmtId="0" fontId="33" fillId="4" borderId="17" xfId="0" applyFont="1" applyFill="1" applyBorder="1" applyAlignment="1">
      <alignment vertical="center"/>
    </xf>
    <xf numFmtId="167" fontId="4" fillId="2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textRotation="90"/>
    </xf>
    <xf numFmtId="167" fontId="10" fillId="0" borderId="0" xfId="0" applyNumberFormat="1" applyFont="1" applyAlignment="1">
      <alignment textRotation="90"/>
    </xf>
    <xf numFmtId="167" fontId="12" fillId="0" borderId="0" xfId="0" applyNumberFormat="1" applyFont="1"/>
    <xf numFmtId="165" fontId="12" fillId="0" borderId="0" xfId="0" applyNumberFormat="1" applyFont="1"/>
    <xf numFmtId="0" fontId="12" fillId="0" borderId="0" xfId="0" applyFont="1" applyAlignment="1">
      <alignment wrapText="1"/>
    </xf>
    <xf numFmtId="0" fontId="15" fillId="2" borderId="0" xfId="0" applyFont="1" applyFill="1" applyAlignment="1">
      <alignment vertical="center" wrapText="1"/>
    </xf>
    <xf numFmtId="0" fontId="16" fillId="3" borderId="24" xfId="0" applyFont="1" applyFill="1" applyBorder="1" applyAlignment="1">
      <alignment vertical="center" wrapText="1"/>
    </xf>
    <xf numFmtId="0" fontId="17" fillId="5" borderId="5" xfId="0" applyFont="1" applyFill="1" applyBorder="1" applyAlignment="1">
      <alignment vertical="center" wrapText="1"/>
    </xf>
    <xf numFmtId="0" fontId="3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 wrapText="1"/>
    </xf>
    <xf numFmtId="0" fontId="3" fillId="2" borderId="25" xfId="0" applyFont="1" applyFill="1" applyBorder="1" applyAlignment="1">
      <alignment horizontal="center" vertical="center"/>
    </xf>
    <xf numFmtId="165" fontId="3" fillId="2" borderId="25" xfId="0" applyNumberFormat="1" applyFont="1" applyFill="1" applyBorder="1" applyAlignment="1">
      <alignment horizontal="center" vertical="center"/>
    </xf>
    <xf numFmtId="167" fontId="4" fillId="2" borderId="25" xfId="0" applyNumberFormat="1" applyFont="1" applyFill="1" applyBorder="1" applyAlignment="1">
      <alignment horizontal="center" vertical="center"/>
    </xf>
    <xf numFmtId="165" fontId="0" fillId="0" borderId="9" xfId="1" applyNumberFormat="1" applyFont="1" applyBorder="1"/>
    <xf numFmtId="166" fontId="8" fillId="6" borderId="5" xfId="0" applyNumberFormat="1" applyFont="1" applyFill="1" applyBorder="1" applyAlignment="1">
      <alignment horizontal="center" vertical="center" wrapText="1"/>
    </xf>
    <xf numFmtId="165" fontId="0" fillId="0" borderId="7" xfId="1" applyNumberFormat="1" applyFont="1" applyBorder="1"/>
    <xf numFmtId="165" fontId="5" fillId="3" borderId="25" xfId="0" applyNumberFormat="1" applyFont="1" applyFill="1" applyBorder="1" applyAlignment="1">
      <alignment horizontal="center" vertical="center" wrapText="1"/>
    </xf>
    <xf numFmtId="167" fontId="12" fillId="12" borderId="0" xfId="0" applyNumberFormat="1" applyFont="1" applyFill="1"/>
    <xf numFmtId="0" fontId="35" fillId="2" borderId="8" xfId="0" applyFont="1" applyFill="1" applyBorder="1" applyAlignment="1">
      <alignment vertical="center"/>
    </xf>
    <xf numFmtId="0" fontId="35" fillId="2" borderId="0" xfId="0" applyFont="1" applyFill="1" applyAlignment="1">
      <alignment vertical="center"/>
    </xf>
    <xf numFmtId="165" fontId="35" fillId="2" borderId="0" xfId="1" applyNumberFormat="1" applyFont="1" applyFill="1" applyAlignment="1">
      <alignment vertical="center"/>
    </xf>
    <xf numFmtId="0" fontId="20" fillId="0" borderId="0" xfId="0" applyFont="1"/>
    <xf numFmtId="167" fontId="35" fillId="2" borderId="0" xfId="1" applyNumberFormat="1" applyFont="1" applyFill="1" applyAlignment="1">
      <alignment vertical="center"/>
    </xf>
    <xf numFmtId="167" fontId="35" fillId="2" borderId="0" xfId="0" applyNumberFormat="1" applyFont="1" applyFill="1" applyAlignment="1">
      <alignment vertical="center"/>
    </xf>
    <xf numFmtId="165" fontId="13" fillId="0" borderId="5" xfId="1" applyNumberFormat="1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 vertical="center" wrapText="1"/>
    </xf>
    <xf numFmtId="167" fontId="35" fillId="2" borderId="0" xfId="1" applyNumberFormat="1" applyFont="1" applyFill="1" applyAlignment="1">
      <alignment horizontal="center" vertical="center"/>
    </xf>
    <xf numFmtId="10" fontId="23" fillId="0" borderId="0" xfId="1" applyNumberFormat="1" applyFont="1" applyBorder="1"/>
    <xf numFmtId="10" fontId="0" fillId="0" borderId="0" xfId="1" applyNumberFormat="1" applyFont="1" applyBorder="1"/>
    <xf numFmtId="10" fontId="0" fillId="0" borderId="0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8" xfId="0" applyBorder="1" applyAlignment="1">
      <alignment vertical="center"/>
    </xf>
    <xf numFmtId="10" fontId="0" fillId="0" borderId="18" xfId="1" applyNumberFormat="1" applyFont="1" applyBorder="1" applyAlignment="1">
      <alignment vertical="center"/>
    </xf>
    <xf numFmtId="165" fontId="20" fillId="0" borderId="0" xfId="1" applyNumberFormat="1" applyFont="1" applyAlignment="1">
      <alignment horizontal="right"/>
    </xf>
    <xf numFmtId="168" fontId="4" fillId="2" borderId="25" xfId="0" applyNumberFormat="1" applyFont="1" applyFill="1" applyBorder="1" applyAlignment="1">
      <alignment horizontal="center" vertical="center"/>
    </xf>
    <xf numFmtId="166" fontId="4" fillId="2" borderId="25" xfId="0" applyNumberFormat="1" applyFont="1" applyFill="1" applyBorder="1" applyAlignment="1">
      <alignment horizontal="center" vertical="center"/>
    </xf>
    <xf numFmtId="10" fontId="6" fillId="4" borderId="5" xfId="0" applyNumberFormat="1" applyFont="1" applyFill="1" applyBorder="1" applyAlignment="1">
      <alignment horizontal="center" vertical="center" wrapText="1"/>
    </xf>
    <xf numFmtId="165" fontId="13" fillId="6" borderId="7" xfId="1" applyNumberFormat="1" applyFont="1" applyFill="1" applyBorder="1" applyAlignment="1">
      <alignment vertical="center"/>
    </xf>
    <xf numFmtId="14" fontId="35" fillId="2" borderId="0" xfId="0" applyNumberFormat="1" applyFont="1" applyFill="1" applyAlignment="1">
      <alignment vertical="center"/>
    </xf>
    <xf numFmtId="167" fontId="12" fillId="13" borderId="0" xfId="0" applyNumberFormat="1" applyFont="1" applyFill="1"/>
    <xf numFmtId="167" fontId="35" fillId="2" borderId="0" xfId="0" applyNumberFormat="1" applyFont="1" applyFill="1"/>
    <xf numFmtId="169" fontId="3" fillId="2" borderId="0" xfId="0" applyNumberFormat="1" applyFont="1" applyFill="1" applyAlignment="1">
      <alignment horizontal="center" vertical="center"/>
    </xf>
    <xf numFmtId="166" fontId="3" fillId="2" borderId="55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 wrapText="1"/>
    </xf>
    <xf numFmtId="165" fontId="17" fillId="6" borderId="5" xfId="1" applyNumberFormat="1" applyFont="1" applyFill="1" applyBorder="1" applyAlignment="1">
      <alignment vertical="center"/>
    </xf>
    <xf numFmtId="0" fontId="36" fillId="14" borderId="1" xfId="0" applyFont="1" applyFill="1" applyBorder="1" applyAlignment="1">
      <alignment vertical="center"/>
    </xf>
    <xf numFmtId="0" fontId="36" fillId="14" borderId="5" xfId="0" applyFont="1" applyFill="1" applyBorder="1" applyAlignment="1">
      <alignment vertical="center"/>
    </xf>
    <xf numFmtId="0" fontId="36" fillId="14" borderId="5" xfId="0" applyFont="1" applyFill="1" applyBorder="1" applyAlignment="1">
      <alignment vertical="center" wrapText="1"/>
    </xf>
    <xf numFmtId="3" fontId="36" fillId="14" borderId="5" xfId="0" applyNumberFormat="1" applyFont="1" applyFill="1" applyBorder="1" applyAlignment="1">
      <alignment horizontal="center" vertical="center" wrapText="1"/>
    </xf>
    <xf numFmtId="165" fontId="36" fillId="14" borderId="5" xfId="0" applyNumberFormat="1" applyFont="1" applyFill="1" applyBorder="1" applyAlignment="1">
      <alignment horizontal="center" vertical="center" wrapText="1"/>
    </xf>
    <xf numFmtId="0" fontId="36" fillId="14" borderId="5" xfId="0" applyFont="1" applyFill="1" applyBorder="1" applyAlignment="1">
      <alignment horizontal="right" vertical="center"/>
    </xf>
    <xf numFmtId="165" fontId="0" fillId="0" borderId="0" xfId="1" applyNumberFormat="1" applyFont="1"/>
    <xf numFmtId="165" fontId="4" fillId="2" borderId="26" xfId="0" applyNumberFormat="1" applyFont="1" applyFill="1" applyBorder="1" applyAlignment="1">
      <alignment horizontal="center" vertical="center"/>
    </xf>
    <xf numFmtId="165" fontId="6" fillId="4" borderId="40" xfId="0" applyNumberFormat="1" applyFont="1" applyFill="1" applyBorder="1" applyAlignment="1">
      <alignment horizontal="center" vertical="center" wrapText="1"/>
    </xf>
    <xf numFmtId="165" fontId="7" fillId="5" borderId="26" xfId="0" applyNumberFormat="1" applyFont="1" applyFill="1" applyBorder="1" applyAlignment="1">
      <alignment horizontal="right" vertical="center" wrapText="1"/>
    </xf>
    <xf numFmtId="165" fontId="9" fillId="13" borderId="26" xfId="0" applyNumberFormat="1" applyFont="1" applyFill="1" applyBorder="1" applyAlignment="1">
      <alignment horizontal="right" vertical="center" wrapText="1"/>
    </xf>
    <xf numFmtId="165" fontId="8" fillId="6" borderId="26" xfId="0" applyNumberFormat="1" applyFont="1" applyFill="1" applyBorder="1" applyAlignment="1">
      <alignment horizontal="right" vertical="center" wrapText="1"/>
    </xf>
    <xf numFmtId="165" fontId="7" fillId="5" borderId="40" xfId="0" applyNumberFormat="1" applyFont="1" applyFill="1" applyBorder="1" applyAlignment="1">
      <alignment horizontal="right" vertical="center" wrapText="1"/>
    </xf>
    <xf numFmtId="165" fontId="9" fillId="13" borderId="26" xfId="0" applyNumberFormat="1" applyFont="1" applyFill="1" applyBorder="1" applyAlignment="1">
      <alignment horizontal="right"/>
    </xf>
    <xf numFmtId="165" fontId="9" fillId="13" borderId="26" xfId="0" applyNumberFormat="1" applyFont="1" applyFill="1" applyBorder="1" applyAlignment="1">
      <alignment horizontal="right" vertical="center"/>
    </xf>
    <xf numFmtId="165" fontId="0" fillId="0" borderId="26" xfId="0" applyNumberFormat="1" applyBorder="1" applyAlignment="1">
      <alignment horizontal="right"/>
    </xf>
    <xf numFmtId="165" fontId="0" fillId="0" borderId="26" xfId="0" applyNumberFormat="1" applyBorder="1" applyAlignment="1">
      <alignment horizontal="right" vertical="center"/>
    </xf>
    <xf numFmtId="165" fontId="9" fillId="13" borderId="0" xfId="0" applyNumberFormat="1" applyFont="1" applyFill="1" applyAlignment="1">
      <alignment horizontal="right"/>
    </xf>
    <xf numFmtId="165" fontId="6" fillId="4" borderId="26" xfId="0" applyNumberFormat="1" applyFont="1" applyFill="1" applyBorder="1" applyAlignment="1">
      <alignment horizontal="right" vertical="center" wrapText="1"/>
    </xf>
    <xf numFmtId="0" fontId="13" fillId="13" borderId="1" xfId="0" applyFont="1" applyFill="1" applyBorder="1" applyAlignment="1">
      <alignment vertical="center"/>
    </xf>
    <xf numFmtId="0" fontId="13" fillId="13" borderId="5" xfId="0" applyFont="1" applyFill="1" applyBorder="1" applyAlignment="1">
      <alignment vertical="center"/>
    </xf>
    <xf numFmtId="165" fontId="13" fillId="13" borderId="5" xfId="1" applyNumberFormat="1" applyFont="1" applyFill="1" applyBorder="1" applyAlignment="1">
      <alignment vertical="center"/>
    </xf>
    <xf numFmtId="0" fontId="12" fillId="13" borderId="0" xfId="0" applyFont="1" applyFill="1"/>
    <xf numFmtId="165" fontId="14" fillId="13" borderId="5" xfId="1" applyNumberFormat="1" applyFont="1" applyFill="1" applyBorder="1" applyAlignment="1">
      <alignment vertical="center"/>
    </xf>
    <xf numFmtId="165" fontId="17" fillId="13" borderId="5" xfId="1" applyNumberFormat="1" applyFont="1" applyFill="1" applyBorder="1" applyAlignment="1">
      <alignment vertical="center"/>
    </xf>
    <xf numFmtId="0" fontId="13" fillId="13" borderId="5" xfId="0" applyFont="1" applyFill="1" applyBorder="1" applyAlignment="1">
      <alignment horizontal="right" vertical="center"/>
    </xf>
    <xf numFmtId="165" fontId="13" fillId="13" borderId="5" xfId="1" applyNumberFormat="1" applyFont="1" applyFill="1" applyBorder="1" applyAlignment="1">
      <alignment horizontal="right" vertical="center"/>
    </xf>
    <xf numFmtId="165" fontId="16" fillId="3" borderId="1" xfId="1" applyNumberFormat="1" applyFont="1" applyFill="1" applyBorder="1" applyAlignment="1">
      <alignment vertical="center"/>
    </xf>
    <xf numFmtId="165" fontId="0" fillId="0" borderId="0" xfId="0" applyNumberFormat="1" applyAlignment="1">
      <alignment horizontal="center"/>
    </xf>
    <xf numFmtId="0" fontId="18" fillId="15" borderId="0" xfId="0" applyFont="1" applyFill="1" applyAlignment="1">
      <alignment horizontal="center" vertical="center"/>
    </xf>
    <xf numFmtId="2" fontId="18" fillId="15" borderId="0" xfId="0" applyNumberFormat="1" applyFont="1" applyFill="1" applyAlignment="1">
      <alignment horizontal="center" vertical="center"/>
    </xf>
    <xf numFmtId="1" fontId="18" fillId="15" borderId="0" xfId="0" applyNumberFormat="1" applyFont="1" applyFill="1"/>
    <xf numFmtId="0" fontId="5" fillId="3" borderId="56" xfId="0" applyFont="1" applyFill="1" applyBorder="1" applyAlignment="1">
      <alignment vertical="center"/>
    </xf>
    <xf numFmtId="165" fontId="5" fillId="3" borderId="0" xfId="1" applyNumberFormat="1" applyFont="1" applyFill="1" applyBorder="1" applyAlignment="1">
      <alignment vertical="center"/>
    </xf>
    <xf numFmtId="49" fontId="4" fillId="2" borderId="25" xfId="0" applyNumberFormat="1" applyFont="1" applyFill="1" applyBorder="1" applyAlignment="1">
      <alignment horizontal="left" vertical="center"/>
    </xf>
    <xf numFmtId="165" fontId="4" fillId="2" borderId="25" xfId="1" applyNumberFormat="1" applyFont="1" applyFill="1" applyBorder="1" applyAlignment="1">
      <alignment horizontal="right" vertical="center"/>
    </xf>
    <xf numFmtId="0" fontId="0" fillId="13" borderId="0" xfId="0" applyFill="1"/>
    <xf numFmtId="49" fontId="4" fillId="2" borderId="0" xfId="0" applyNumberFormat="1" applyFont="1" applyFill="1" applyAlignment="1">
      <alignment horizontal="left" vertical="center"/>
    </xf>
    <xf numFmtId="49" fontId="4" fillId="13" borderId="0" xfId="0" applyNumberFormat="1" applyFont="1" applyFill="1" applyAlignment="1">
      <alignment horizontal="left" vertical="center"/>
    </xf>
    <xf numFmtId="165" fontId="4" fillId="13" borderId="0" xfId="1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left" vertical="center"/>
    </xf>
    <xf numFmtId="49" fontId="4" fillId="16" borderId="0" xfId="0" applyNumberFormat="1" applyFont="1" applyFill="1" applyAlignment="1">
      <alignment horizontal="left" vertical="center"/>
    </xf>
    <xf numFmtId="165" fontId="4" fillId="16" borderId="0" xfId="1" applyNumberFormat="1" applyFont="1" applyFill="1" applyBorder="1" applyAlignment="1">
      <alignment horizontal="right" vertical="center"/>
    </xf>
    <xf numFmtId="0" fontId="0" fillId="16" borderId="0" xfId="0" applyFill="1"/>
    <xf numFmtId="170" fontId="3" fillId="2" borderId="55" xfId="0" applyNumberFormat="1" applyFont="1" applyFill="1" applyBorder="1" applyAlignment="1">
      <alignment horizontal="center" vertical="center"/>
    </xf>
    <xf numFmtId="167" fontId="4" fillId="2" borderId="13" xfId="0" applyNumberFormat="1" applyFont="1" applyFill="1" applyBorder="1" applyAlignment="1">
      <alignment horizontal="center" vertical="center"/>
    </xf>
    <xf numFmtId="165" fontId="4" fillId="2" borderId="13" xfId="0" applyNumberFormat="1" applyFont="1" applyFill="1" applyBorder="1" applyAlignment="1">
      <alignment horizontal="center" vertical="center"/>
    </xf>
    <xf numFmtId="165" fontId="4" fillId="2" borderId="16" xfId="0" applyNumberFormat="1" applyFont="1" applyFill="1" applyBorder="1" applyAlignment="1">
      <alignment horizontal="center" vertical="center"/>
    </xf>
    <xf numFmtId="165" fontId="4" fillId="2" borderId="18" xfId="0" applyNumberFormat="1" applyFont="1" applyFill="1" applyBorder="1" applyAlignment="1">
      <alignment horizontal="center" vertical="center"/>
    </xf>
    <xf numFmtId="167" fontId="4" fillId="2" borderId="19" xfId="0" applyNumberFormat="1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center" vertical="center"/>
    </xf>
    <xf numFmtId="165" fontId="4" fillId="2" borderId="20" xfId="0" applyNumberFormat="1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left" vertical="center"/>
    </xf>
    <xf numFmtId="165" fontId="4" fillId="2" borderId="0" xfId="1" applyNumberFormat="1" applyFont="1" applyFill="1" applyBorder="1" applyAlignment="1">
      <alignment horizontal="left" vertical="center"/>
    </xf>
    <xf numFmtId="167" fontId="0" fillId="0" borderId="0" xfId="0" applyNumberFormat="1"/>
    <xf numFmtId="167" fontId="10" fillId="0" borderId="0" xfId="0" applyNumberFormat="1" applyFont="1"/>
    <xf numFmtId="14" fontId="9" fillId="0" borderId="0" xfId="0" applyNumberFormat="1" applyFont="1"/>
    <xf numFmtId="165" fontId="0" fillId="0" borderId="52" xfId="0" applyNumberFormat="1" applyBorder="1"/>
    <xf numFmtId="165" fontId="0" fillId="0" borderId="59" xfId="0" applyNumberFormat="1" applyBorder="1"/>
    <xf numFmtId="165" fontId="0" fillId="17" borderId="0" xfId="0" applyNumberFormat="1" applyFill="1"/>
    <xf numFmtId="14" fontId="9" fillId="17" borderId="0" xfId="0" applyNumberFormat="1" applyFont="1" applyFill="1"/>
    <xf numFmtId="166" fontId="3" fillId="17" borderId="0" xfId="0" applyNumberFormat="1" applyFont="1" applyFill="1" applyAlignment="1">
      <alignment horizontal="center" vertical="center" wrapText="1"/>
    </xf>
    <xf numFmtId="165" fontId="5" fillId="17" borderId="2" xfId="0" applyNumberFormat="1" applyFont="1" applyFill="1" applyBorder="1" applyAlignment="1">
      <alignment horizontal="center" vertical="center" wrapText="1"/>
    </xf>
    <xf numFmtId="165" fontId="6" fillId="17" borderId="9" xfId="0" applyNumberFormat="1" applyFont="1" applyFill="1" applyBorder="1" applyAlignment="1">
      <alignment horizontal="center" vertical="center" wrapText="1"/>
    </xf>
    <xf numFmtId="165" fontId="7" fillId="17" borderId="9" xfId="0" applyNumberFormat="1" applyFont="1" applyFill="1" applyBorder="1" applyAlignment="1">
      <alignment horizontal="center" vertical="center" wrapText="1"/>
    </xf>
    <xf numFmtId="165" fontId="0" fillId="17" borderId="9" xfId="0" applyNumberFormat="1" applyFill="1" applyBorder="1"/>
    <xf numFmtId="165" fontId="0" fillId="17" borderId="6" xfId="0" applyNumberFormat="1" applyFill="1" applyBorder="1"/>
    <xf numFmtId="165" fontId="4" fillId="17" borderId="0" xfId="1" applyNumberFormat="1" applyFont="1" applyFill="1" applyBorder="1" applyAlignment="1">
      <alignment horizontal="left" vertical="center"/>
    </xf>
    <xf numFmtId="0" fontId="0" fillId="17" borderId="0" xfId="0" applyFill="1"/>
    <xf numFmtId="10" fontId="7" fillId="5" borderId="26" xfId="0" applyNumberFormat="1" applyFont="1" applyFill="1" applyBorder="1" applyAlignment="1">
      <alignment horizontal="right" vertical="center" wrapText="1"/>
    </xf>
    <xf numFmtId="171" fontId="7" fillId="5" borderId="26" xfId="0" applyNumberFormat="1" applyFont="1" applyFill="1" applyBorder="1" applyAlignment="1">
      <alignment horizontal="right" vertical="center" wrapText="1"/>
    </xf>
    <xf numFmtId="165" fontId="38" fillId="3" borderId="25" xfId="0" applyNumberFormat="1" applyFont="1" applyFill="1" applyBorder="1" applyAlignment="1">
      <alignment horizontal="center" vertical="center" wrapText="1"/>
    </xf>
    <xf numFmtId="165" fontId="17" fillId="13" borderId="5" xfId="1" applyNumberFormat="1" applyFont="1" applyFill="1" applyBorder="1" applyAlignment="1">
      <alignment horizontal="right" vertical="center"/>
    </xf>
    <xf numFmtId="167" fontId="0" fillId="13" borderId="0" xfId="0" applyNumberFormat="1" applyFill="1" applyAlignment="1">
      <alignment textRotation="90"/>
    </xf>
    <xf numFmtId="0" fontId="39" fillId="0" borderId="0" xfId="0" applyFont="1"/>
    <xf numFmtId="165" fontId="40" fillId="16" borderId="0" xfId="1" applyNumberFormat="1" applyFont="1" applyFill="1" applyBorder="1" applyAlignment="1">
      <alignment horizontal="right" vertical="center"/>
    </xf>
    <xf numFmtId="165" fontId="40" fillId="2" borderId="13" xfId="0" applyNumberFormat="1" applyFont="1" applyFill="1" applyBorder="1" applyAlignment="1">
      <alignment horizontal="center" vertical="center"/>
    </xf>
    <xf numFmtId="165" fontId="40" fillId="2" borderId="0" xfId="0" applyNumberFormat="1" applyFont="1" applyFill="1" applyAlignment="1">
      <alignment horizontal="center" vertical="center"/>
    </xf>
    <xf numFmtId="165" fontId="40" fillId="2" borderId="19" xfId="0" applyNumberFormat="1" applyFont="1" applyFill="1" applyBorder="1" applyAlignment="1">
      <alignment horizontal="center" vertical="center"/>
    </xf>
    <xf numFmtId="10" fontId="0" fillId="0" borderId="0" xfId="1" applyNumberFormat="1" applyFont="1"/>
    <xf numFmtId="171" fontId="0" fillId="0" borderId="0" xfId="0" applyNumberFormat="1"/>
    <xf numFmtId="0" fontId="12" fillId="0" borderId="0" xfId="0" applyFont="1" applyAlignment="1">
      <alignment horizontal="right"/>
    </xf>
    <xf numFmtId="10" fontId="12" fillId="0" borderId="0" xfId="0" applyNumberFormat="1" applyFont="1" applyAlignment="1">
      <alignment horizontal="right"/>
    </xf>
    <xf numFmtId="0" fontId="41" fillId="0" borderId="0" xfId="0" applyFont="1"/>
    <xf numFmtId="165" fontId="41" fillId="18" borderId="0" xfId="1" applyNumberFormat="1" applyFont="1" applyFill="1"/>
    <xf numFmtId="10" fontId="41" fillId="18" borderId="0" xfId="0" applyNumberFormat="1" applyFont="1" applyFill="1"/>
    <xf numFmtId="10" fontId="41" fillId="18" borderId="0" xfId="1" applyNumberFormat="1" applyFont="1" applyFill="1"/>
    <xf numFmtId="167" fontId="0" fillId="19" borderId="0" xfId="0" applyNumberFormat="1" applyFill="1" applyAlignment="1">
      <alignment textRotation="90"/>
    </xf>
    <xf numFmtId="167" fontId="0" fillId="14" borderId="0" xfId="0" applyNumberFormat="1" applyFill="1" applyAlignment="1">
      <alignment textRotation="90"/>
    </xf>
    <xf numFmtId="167" fontId="12" fillId="14" borderId="0" xfId="0" applyNumberFormat="1" applyFont="1" applyFill="1"/>
    <xf numFmtId="167" fontId="12" fillId="20" borderId="0" xfId="0" applyNumberFormat="1" applyFont="1" applyFill="1"/>
    <xf numFmtId="0" fontId="0" fillId="0" borderId="0" xfId="0" applyFont="1" applyAlignment="1">
      <alignment horizontal="left" wrapText="1"/>
    </xf>
    <xf numFmtId="172" fontId="0" fillId="0" borderId="0" xfId="1" applyNumberFormat="1" applyFont="1" applyAlignment="1">
      <alignment horizontal="center" vertical="center"/>
    </xf>
    <xf numFmtId="0" fontId="0" fillId="0" borderId="60" xfId="0" pivotButton="1" applyBorder="1"/>
    <xf numFmtId="0" fontId="0" fillId="0" borderId="63" xfId="0" applyBorder="1" applyAlignment="1">
      <alignment horizontal="left" indent="2"/>
    </xf>
    <xf numFmtId="0" fontId="24" fillId="0" borderId="60" xfId="0" pivotButton="1" applyFont="1" applyBorder="1"/>
    <xf numFmtId="165" fontId="24" fillId="0" borderId="65" xfId="0" applyNumberFormat="1" applyFont="1" applyBorder="1" applyAlignment="1">
      <alignment horizontal="center" vertical="center"/>
    </xf>
    <xf numFmtId="165" fontId="24" fillId="0" borderId="61" xfId="0" applyNumberFormat="1" applyFont="1" applyBorder="1" applyAlignment="1">
      <alignment horizontal="center" vertical="center"/>
    </xf>
    <xf numFmtId="165" fontId="24" fillId="0" borderId="66" xfId="0" applyNumberFormat="1" applyFont="1" applyBorder="1" applyAlignment="1">
      <alignment horizontal="center" vertical="center"/>
    </xf>
    <xf numFmtId="165" fontId="24" fillId="0" borderId="62" xfId="0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indent="2"/>
    </xf>
    <xf numFmtId="165" fontId="42" fillId="10" borderId="14" xfId="0" applyNumberFormat="1" applyFont="1" applyFill="1" applyBorder="1" applyAlignment="1">
      <alignment horizontal="center" vertical="center"/>
    </xf>
    <xf numFmtId="165" fontId="42" fillId="10" borderId="5" xfId="0" applyNumberFormat="1" applyFont="1" applyFill="1" applyBorder="1" applyAlignment="1">
      <alignment horizontal="center" vertical="center"/>
    </xf>
    <xf numFmtId="165" fontId="42" fillId="10" borderId="17" xfId="0" applyNumberFormat="1" applyFont="1" applyFill="1" applyBorder="1" applyAlignment="1">
      <alignment horizontal="center" vertical="center"/>
    </xf>
    <xf numFmtId="165" fontId="42" fillId="10" borderId="1" xfId="0" applyNumberFormat="1" applyFont="1" applyFill="1" applyBorder="1" applyAlignment="1">
      <alignment horizontal="center" vertical="center"/>
    </xf>
    <xf numFmtId="165" fontId="42" fillId="10" borderId="31" xfId="0" applyNumberFormat="1" applyFont="1" applyFill="1" applyBorder="1" applyAlignment="1">
      <alignment horizontal="center" vertical="center"/>
    </xf>
    <xf numFmtId="0" fontId="24" fillId="0" borderId="35" xfId="0" applyFont="1" applyBorder="1" applyAlignment="1">
      <alignment horizontal="left" indent="3"/>
    </xf>
    <xf numFmtId="165" fontId="24" fillId="0" borderId="14" xfId="0" applyNumberFormat="1" applyFont="1" applyBorder="1" applyAlignment="1">
      <alignment horizontal="center" vertical="center"/>
    </xf>
    <xf numFmtId="165" fontId="24" fillId="0" borderId="5" xfId="0" applyNumberFormat="1" applyFont="1" applyBorder="1" applyAlignment="1">
      <alignment horizontal="center" vertical="center"/>
    </xf>
    <xf numFmtId="165" fontId="24" fillId="0" borderId="17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31" xfId="0" applyNumberFormat="1" applyFont="1" applyBorder="1" applyAlignment="1">
      <alignment horizontal="center" vertical="center"/>
    </xf>
    <xf numFmtId="0" fontId="24" fillId="0" borderId="41" xfId="0" applyFont="1" applyBorder="1" applyAlignment="1">
      <alignment horizontal="left" indent="3"/>
    </xf>
    <xf numFmtId="0" fontId="24" fillId="0" borderId="42" xfId="0" applyFont="1" applyBorder="1" applyAlignment="1">
      <alignment horizontal="left" indent="3"/>
    </xf>
    <xf numFmtId="165" fontId="24" fillId="0" borderId="34" xfId="0" applyNumberFormat="1" applyFont="1" applyBorder="1" applyAlignment="1">
      <alignment horizontal="center" vertical="center"/>
    </xf>
    <xf numFmtId="165" fontId="24" fillId="0" borderId="23" xfId="0" applyNumberFormat="1" applyFont="1" applyBorder="1" applyAlignment="1">
      <alignment horizontal="center" vertical="center"/>
    </xf>
    <xf numFmtId="165" fontId="24" fillId="0" borderId="27" xfId="0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indent="3"/>
    </xf>
    <xf numFmtId="0" fontId="24" fillId="0" borderId="63" xfId="0" applyFont="1" applyBorder="1" applyAlignment="1">
      <alignment horizontal="left" indent="3"/>
    </xf>
    <xf numFmtId="165" fontId="24" fillId="0" borderId="43" xfId="0" applyNumberFormat="1" applyFont="1" applyBorder="1" applyAlignment="1">
      <alignment horizontal="center" vertical="center"/>
    </xf>
    <xf numFmtId="165" fontId="24" fillId="0" borderId="52" xfId="0" applyNumberFormat="1" applyFont="1" applyBorder="1" applyAlignment="1">
      <alignment horizontal="center" vertical="center"/>
    </xf>
    <xf numFmtId="0" fontId="24" fillId="0" borderId="63" xfId="0" applyFont="1" applyBorder="1" applyAlignment="1">
      <alignment horizontal="left" indent="2"/>
    </xf>
    <xf numFmtId="0" fontId="24" fillId="0" borderId="64" xfId="0" applyFont="1" applyBorder="1" applyAlignment="1">
      <alignment horizontal="left" indent="3"/>
    </xf>
    <xf numFmtId="165" fontId="24" fillId="0" borderId="53" xfId="0" applyNumberFormat="1" applyFont="1" applyBorder="1" applyAlignment="1">
      <alignment horizontal="center" vertical="center"/>
    </xf>
    <xf numFmtId="165" fontId="24" fillId="0" borderId="54" xfId="0" applyNumberFormat="1" applyFont="1" applyBorder="1" applyAlignment="1">
      <alignment horizontal="center" vertical="center"/>
    </xf>
    <xf numFmtId="165" fontId="24" fillId="0" borderId="32" xfId="0" applyNumberFormat="1" applyFont="1" applyBorder="1" applyAlignment="1">
      <alignment horizontal="center" vertical="center"/>
    </xf>
    <xf numFmtId="165" fontId="43" fillId="9" borderId="14" xfId="0" applyNumberFormat="1" applyFont="1" applyFill="1" applyBorder="1" applyAlignment="1">
      <alignment horizontal="center" vertical="center"/>
    </xf>
    <xf numFmtId="165" fontId="43" fillId="9" borderId="5" xfId="0" applyNumberFormat="1" applyFont="1" applyFill="1" applyBorder="1" applyAlignment="1">
      <alignment horizontal="center" vertical="center"/>
    </xf>
    <xf numFmtId="165" fontId="43" fillId="9" borderId="17" xfId="0" applyNumberFormat="1" applyFont="1" applyFill="1" applyBorder="1" applyAlignment="1">
      <alignment horizontal="center" vertical="center"/>
    </xf>
    <xf numFmtId="165" fontId="43" fillId="9" borderId="1" xfId="0" applyNumberFormat="1" applyFont="1" applyFill="1" applyBorder="1" applyAlignment="1">
      <alignment horizontal="center" vertical="center"/>
    </xf>
    <xf numFmtId="165" fontId="43" fillId="9" borderId="31" xfId="0" applyNumberFormat="1" applyFont="1" applyFill="1" applyBorder="1" applyAlignment="1">
      <alignment horizontal="center" vertical="center"/>
    </xf>
    <xf numFmtId="0" fontId="44" fillId="0" borderId="26" xfId="0" applyFont="1" applyBorder="1" applyAlignment="1">
      <alignment horizontal="left" indent="1"/>
    </xf>
    <xf numFmtId="165" fontId="43" fillId="8" borderId="11" xfId="0" applyNumberFormat="1" applyFont="1" applyFill="1" applyBorder="1" applyAlignment="1">
      <alignment horizontal="center" vertical="center"/>
    </xf>
    <xf numFmtId="165" fontId="43" fillId="8" borderId="24" xfId="0" applyNumberFormat="1" applyFont="1" applyFill="1" applyBorder="1" applyAlignment="1">
      <alignment horizontal="center" vertical="center"/>
    </xf>
    <xf numFmtId="165" fontId="43" fillId="8" borderId="28" xfId="0" applyNumberFormat="1" applyFont="1" applyFill="1" applyBorder="1" applyAlignment="1">
      <alignment horizontal="center" vertical="center"/>
    </xf>
    <xf numFmtId="165" fontId="43" fillId="8" borderId="33" xfId="0" applyNumberFormat="1" applyFont="1" applyFill="1" applyBorder="1" applyAlignment="1">
      <alignment horizontal="center" vertical="center"/>
    </xf>
    <xf numFmtId="165" fontId="43" fillId="8" borderId="30" xfId="0" applyNumberFormat="1" applyFont="1" applyFill="1" applyBorder="1" applyAlignment="1">
      <alignment horizontal="center" vertical="center"/>
    </xf>
    <xf numFmtId="0" fontId="44" fillId="0" borderId="26" xfId="0" applyFont="1" applyBorder="1" applyAlignment="1">
      <alignment horizontal="left"/>
    </xf>
    <xf numFmtId="165" fontId="29" fillId="0" borderId="5" xfId="0" applyNumberFormat="1" applyFont="1" applyFill="1" applyBorder="1" applyAlignment="1">
      <alignment horizontal="center" vertical="center"/>
    </xf>
    <xf numFmtId="0" fontId="0" fillId="0" borderId="67" xfId="0" applyBorder="1"/>
    <xf numFmtId="0" fontId="0" fillId="0" borderId="64" xfId="0" applyBorder="1" applyAlignment="1">
      <alignment horizontal="left" indent="2"/>
    </xf>
    <xf numFmtId="0" fontId="24" fillId="0" borderId="60" xfId="0" applyFont="1" applyBorder="1"/>
    <xf numFmtId="0" fontId="24" fillId="0" borderId="61" xfId="0" applyFont="1" applyBorder="1"/>
    <xf numFmtId="0" fontId="24" fillId="0" borderId="62" xfId="0" applyFont="1" applyBorder="1"/>
    <xf numFmtId="165" fontId="24" fillId="0" borderId="21" xfId="0" applyNumberFormat="1" applyFont="1" applyBorder="1" applyAlignment="1">
      <alignment horizontal="center" vertical="center"/>
    </xf>
    <xf numFmtId="14" fontId="4" fillId="2" borderId="0" xfId="0" applyNumberFormat="1" applyFont="1" applyFill="1" applyBorder="1" applyAlignment="1">
      <alignment horizontal="left" vertical="center" wrapText="1"/>
    </xf>
    <xf numFmtId="14" fontId="4" fillId="2" borderId="69" xfId="0" applyNumberFormat="1" applyFont="1" applyFill="1" applyBorder="1" applyAlignment="1">
      <alignment horizontal="center" vertical="center" wrapText="1"/>
    </xf>
    <xf numFmtId="166" fontId="4" fillId="2" borderId="69" xfId="0" applyNumberFormat="1" applyFont="1" applyFill="1" applyBorder="1" applyAlignment="1">
      <alignment horizontal="center" vertical="center" wrapText="1"/>
    </xf>
    <xf numFmtId="166" fontId="4" fillId="17" borderId="69" xfId="0" applyNumberFormat="1" applyFont="1" applyFill="1" applyBorder="1" applyAlignment="1">
      <alignment horizontal="center" vertical="center" wrapText="1"/>
    </xf>
    <xf numFmtId="166" fontId="4" fillId="2" borderId="70" xfId="0" applyNumberFormat="1" applyFont="1" applyFill="1" applyBorder="1" applyAlignment="1">
      <alignment horizontal="center" vertical="center" wrapText="1"/>
    </xf>
    <xf numFmtId="165" fontId="5" fillId="3" borderId="0" xfId="0" applyNumberFormat="1" applyFont="1" applyFill="1" applyBorder="1" applyAlignment="1">
      <alignment horizontal="center" vertical="center" wrapText="1"/>
    </xf>
    <xf numFmtId="165" fontId="5" fillId="3" borderId="0" xfId="1" applyNumberFormat="1" applyFont="1" applyFill="1" applyBorder="1" applyAlignment="1">
      <alignment horizontal="center" vertical="center" wrapText="1"/>
    </xf>
    <xf numFmtId="0" fontId="18" fillId="21" borderId="68" xfId="0" applyFont="1" applyFill="1" applyBorder="1" applyAlignment="1"/>
    <xf numFmtId="0" fontId="0" fillId="16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5" fillId="3" borderId="56" xfId="0" applyFont="1" applyFill="1" applyBorder="1" applyAlignment="1">
      <alignment horizontal="left" vertical="center"/>
    </xf>
    <xf numFmtId="0" fontId="5" fillId="3" borderId="57" xfId="0" applyFont="1" applyFill="1" applyBorder="1" applyAlignment="1">
      <alignment horizontal="left" vertical="center"/>
    </xf>
    <xf numFmtId="0" fontId="5" fillId="3" borderId="58" xfId="0" applyFont="1" applyFill="1" applyBorder="1" applyAlignment="1">
      <alignment horizontal="left" vertical="center"/>
    </xf>
    <xf numFmtId="0" fontId="32" fillId="11" borderId="26" xfId="0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left" vertical="center"/>
    </xf>
    <xf numFmtId="49" fontId="4" fillId="2" borderId="52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16" borderId="0" xfId="0" applyFill="1" applyAlignment="1">
      <alignment horizontal="center"/>
    </xf>
    <xf numFmtId="0" fontId="16" fillId="3" borderId="52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165" fontId="6" fillId="4" borderId="9" xfId="1" applyNumberFormat="1" applyFont="1" applyFill="1" applyBorder="1" applyAlignment="1">
      <alignment horizontal="left" vertical="center"/>
    </xf>
    <xf numFmtId="165" fontId="6" fillId="4" borderId="52" xfId="1" applyNumberFormat="1" applyFont="1" applyFill="1" applyBorder="1" applyAlignment="1">
      <alignment horizontal="left" vertical="center"/>
    </xf>
    <xf numFmtId="165" fontId="6" fillId="4" borderId="1" xfId="1" applyNumberFormat="1" applyFont="1" applyFill="1" applyBorder="1" applyAlignment="1">
      <alignment horizontal="left" vertical="center"/>
    </xf>
    <xf numFmtId="49" fontId="4" fillId="2" borderId="12" xfId="0" applyNumberFormat="1" applyFont="1" applyFill="1" applyBorder="1" applyAlignment="1">
      <alignment horizontal="left" vertical="center"/>
    </xf>
    <xf numFmtId="49" fontId="4" fillId="2" borderId="13" xfId="0" applyNumberFormat="1" applyFont="1" applyFill="1" applyBorder="1" applyAlignment="1">
      <alignment horizontal="left" vertical="center"/>
    </xf>
    <xf numFmtId="49" fontId="4" fillId="2" borderId="15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22" xfId="0" applyNumberFormat="1" applyFont="1" applyFill="1" applyBorder="1" applyAlignment="1">
      <alignment horizontal="left" vertical="center"/>
    </xf>
    <xf numFmtId="49" fontId="4" fillId="2" borderId="19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34" fillId="3" borderId="0" xfId="0" applyFont="1" applyFill="1" applyAlignment="1">
      <alignment horizontal="center" vertical="center"/>
    </xf>
    <xf numFmtId="165" fontId="25" fillId="7" borderId="16" xfId="1" applyNumberFormat="1" applyFont="1" applyFill="1" applyBorder="1" applyAlignment="1">
      <alignment horizontal="center" vertical="center" wrapText="1"/>
    </xf>
    <xf numFmtId="165" fontId="25" fillId="7" borderId="20" xfId="1" applyNumberFormat="1" applyFont="1" applyFill="1" applyBorder="1" applyAlignment="1">
      <alignment horizontal="center" vertical="center" wrapText="1"/>
    </xf>
    <xf numFmtId="165" fontId="25" fillId="7" borderId="46" xfId="1" applyNumberFormat="1" applyFont="1" applyFill="1" applyBorder="1" applyAlignment="1">
      <alignment horizontal="center" vertical="center"/>
    </xf>
    <xf numFmtId="165" fontId="25" fillId="7" borderId="47" xfId="1" applyNumberFormat="1" applyFont="1" applyFill="1" applyBorder="1" applyAlignment="1">
      <alignment horizontal="center" vertical="center"/>
    </xf>
    <xf numFmtId="165" fontId="25" fillId="7" borderId="48" xfId="1" applyNumberFormat="1" applyFont="1" applyFill="1" applyBorder="1" applyAlignment="1">
      <alignment horizontal="center" vertical="center"/>
    </xf>
    <xf numFmtId="165" fontId="25" fillId="7" borderId="35" xfId="1" applyNumberFormat="1" applyFont="1" applyFill="1" applyBorder="1" applyAlignment="1">
      <alignment horizontal="center" vertical="center"/>
    </xf>
    <xf numFmtId="165" fontId="25" fillId="7" borderId="40" xfId="1" applyNumberFormat="1" applyFont="1" applyFill="1" applyBorder="1" applyAlignment="1">
      <alignment horizontal="center" vertical="center"/>
    </xf>
    <xf numFmtId="165" fontId="25" fillId="7" borderId="12" xfId="1" applyNumberFormat="1" applyFont="1" applyFill="1" applyBorder="1" applyAlignment="1">
      <alignment horizontal="center" vertical="center"/>
    </xf>
    <xf numFmtId="165" fontId="25" fillId="7" borderId="22" xfId="1" applyNumberFormat="1" applyFont="1" applyFill="1" applyBorder="1" applyAlignment="1">
      <alignment horizontal="center" vertical="center"/>
    </xf>
    <xf numFmtId="0" fontId="25" fillId="7" borderId="16" xfId="0" applyFont="1" applyFill="1" applyBorder="1" applyAlignment="1">
      <alignment horizontal="center" vertical="center"/>
    </xf>
    <xf numFmtId="0" fontId="25" fillId="7" borderId="20" xfId="0" applyFont="1" applyFill="1" applyBorder="1" applyAlignment="1">
      <alignment horizontal="center" vertical="center"/>
    </xf>
    <xf numFmtId="0" fontId="37" fillId="15" borderId="0" xfId="0" applyFont="1" applyFill="1" applyAlignment="1">
      <alignment horizontal="center" vertical="center"/>
    </xf>
    <xf numFmtId="0" fontId="22" fillId="9" borderId="12" xfId="0" applyFont="1" applyFill="1" applyBorder="1" applyAlignment="1">
      <alignment horizontal="center" vertical="center" wrapText="1"/>
    </xf>
    <xf numFmtId="0" fontId="22" fillId="9" borderId="13" xfId="0" applyFont="1" applyFill="1" applyBorder="1" applyAlignment="1">
      <alignment horizontal="center" vertical="center" wrapText="1"/>
    </xf>
    <xf numFmtId="0" fontId="22" fillId="9" borderId="16" xfId="0" applyFont="1" applyFill="1" applyBorder="1" applyAlignment="1">
      <alignment horizontal="center" vertical="center" wrapText="1"/>
    </xf>
    <xf numFmtId="0" fontId="22" fillId="9" borderId="22" xfId="0" applyFont="1" applyFill="1" applyBorder="1" applyAlignment="1">
      <alignment horizontal="center" vertical="center" wrapText="1"/>
    </xf>
    <xf numFmtId="0" fontId="22" fillId="9" borderId="19" xfId="0" applyFont="1" applyFill="1" applyBorder="1" applyAlignment="1">
      <alignment horizontal="center" vertical="center" wrapText="1"/>
    </xf>
    <xf numFmtId="0" fontId="22" fillId="9" borderId="20" xfId="0" applyFont="1" applyFill="1" applyBorder="1" applyAlignment="1">
      <alignment horizontal="center" vertical="center" wrapText="1"/>
    </xf>
    <xf numFmtId="0" fontId="22" fillId="15" borderId="12" xfId="0" applyFont="1" applyFill="1" applyBorder="1" applyAlignment="1">
      <alignment horizontal="center" vertical="center" wrapText="1"/>
    </xf>
    <xf numFmtId="0" fontId="22" fillId="15" borderId="13" xfId="0" applyFont="1" applyFill="1" applyBorder="1" applyAlignment="1">
      <alignment horizontal="center" vertical="center" wrapText="1"/>
    </xf>
    <xf numFmtId="0" fontId="22" fillId="15" borderId="16" xfId="0" applyFont="1" applyFill="1" applyBorder="1" applyAlignment="1">
      <alignment horizontal="center" vertical="center" wrapText="1"/>
    </xf>
    <xf numFmtId="0" fontId="22" fillId="15" borderId="22" xfId="0" applyFont="1" applyFill="1" applyBorder="1" applyAlignment="1">
      <alignment horizontal="center" vertical="center" wrapText="1"/>
    </xf>
    <xf numFmtId="0" fontId="22" fillId="15" borderId="19" xfId="0" applyFont="1" applyFill="1" applyBorder="1" applyAlignment="1">
      <alignment horizontal="center" vertical="center" wrapText="1"/>
    </xf>
    <xf numFmtId="0" fontId="22" fillId="15" borderId="20" xfId="0" applyFont="1" applyFill="1" applyBorder="1" applyAlignment="1">
      <alignment horizontal="center" vertical="center" wrapText="1"/>
    </xf>
    <xf numFmtId="0" fontId="18" fillId="21" borderId="68" xfId="0" applyFont="1" applyFill="1" applyBorder="1" applyAlignment="1">
      <alignment horizontal="lef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/>
    </xf>
    <xf numFmtId="165" fontId="21" fillId="7" borderId="12" xfId="1" applyNumberFormat="1" applyFont="1" applyFill="1" applyBorder="1" applyAlignment="1">
      <alignment horizontal="center" vertical="center"/>
    </xf>
    <xf numFmtId="165" fontId="21" fillId="7" borderId="16" xfId="1" applyNumberFormat="1" applyFont="1" applyFill="1" applyBorder="1" applyAlignment="1">
      <alignment horizontal="center" vertical="center"/>
    </xf>
    <xf numFmtId="165" fontId="21" fillId="7" borderId="22" xfId="1" applyNumberFormat="1" applyFont="1" applyFill="1" applyBorder="1" applyAlignment="1">
      <alignment horizontal="center" vertical="center"/>
    </xf>
    <xf numFmtId="165" fontId="21" fillId="7" borderId="20" xfId="1" applyNumberFormat="1" applyFont="1" applyFill="1" applyBorder="1" applyAlignment="1">
      <alignment horizontal="center" vertical="center"/>
    </xf>
    <xf numFmtId="165" fontId="21" fillId="7" borderId="35" xfId="1" applyNumberFormat="1" applyFont="1" applyFill="1" applyBorder="1" applyAlignment="1">
      <alignment horizontal="center" vertical="center"/>
    </xf>
    <xf numFmtId="165" fontId="21" fillId="7" borderId="40" xfId="1" applyNumberFormat="1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 wrapText="1"/>
    </xf>
    <xf numFmtId="0" fontId="18" fillId="9" borderId="13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 wrapText="1"/>
    </xf>
    <xf numFmtId="0" fontId="18" fillId="9" borderId="22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18" fillId="9" borderId="15" xfId="0" applyFont="1" applyFill="1" applyBorder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8" fillId="9" borderId="18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3" fillId="0" borderId="15" xfId="0" applyFont="1" applyBorder="1" applyAlignment="1">
      <alignment horizontal="right"/>
    </xf>
    <xf numFmtId="0" fontId="23" fillId="0" borderId="0" xfId="0" applyFont="1" applyAlignment="1">
      <alignment horizontal="right"/>
    </xf>
  </cellXfs>
  <cellStyles count="2">
    <cellStyle name="Normal" xfId="0" builtinId="0"/>
    <cellStyle name="Porcentaje" xfId="1" builtinId="5"/>
  </cellStyles>
  <dxfs count="16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Segoe UI"/>
        <family val="2"/>
        <scheme val="none"/>
      </font>
      <fill>
        <patternFill patternType="solid">
          <fgColor indexed="64"/>
          <bgColor rgb="FFDFE3E8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bgColor theme="7" tint="0.39997558519241921"/>
        </patternFill>
      </fill>
    </dxf>
    <dxf>
      <font>
        <b/>
      </font>
    </dxf>
    <dxf>
      <fill>
        <patternFill patternType="solid">
          <bgColor theme="7" tint="0.39997558519241921"/>
        </patternFill>
      </fill>
    </dxf>
    <dxf>
      <font>
        <b/>
      </font>
    </dxf>
    <dxf>
      <border>
        <horizontal style="thin">
          <color rgb="FFB1BBCC"/>
        </horizontal>
      </border>
    </dxf>
    <dxf>
      <border>
        <bottom style="thin">
          <color indexed="64"/>
        </bottom>
      </border>
    </dxf>
    <dxf>
      <border>
        <bottom style="thin">
          <color auto="1"/>
        </bottom>
      </border>
    </dxf>
    <dxf>
      <fill>
        <patternFill patternType="solid">
          <bgColor theme="7" tint="0.39997558519241921"/>
        </patternFill>
      </fill>
    </dxf>
    <dxf>
      <font>
        <b/>
      </font>
    </dxf>
    <dxf>
      <border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theme="0"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5" formatCode="0.0%"/>
    </dxf>
    <dxf>
      <numFmt numFmtId="165" formatCode="0.0%"/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horizontal="center"/>
    </dxf>
    <dxf>
      <font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indexed="64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363636"/>
        <name val="Arial"/>
        <family val="2"/>
        <scheme val="none"/>
      </font>
      <fill>
        <patternFill patternType="solid">
          <fgColor indexed="64"/>
          <bgColor rgb="FFDFE3E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indexed="64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363636"/>
        <name val="Arial"/>
        <family val="2"/>
        <scheme val="none"/>
      </font>
      <fill>
        <patternFill patternType="solid">
          <fgColor indexed="64"/>
          <bgColor rgb="FFDFE3E8"/>
        </patternFill>
      </fill>
      <alignment horizontal="general" vertical="center" textRotation="0" wrapText="0" indent="0" justifyLastLine="0" shrinkToFit="0" readingOrder="0"/>
    </dxf>
    <dxf>
      <border>
        <vertical style="thin">
          <color rgb="FFB1BBCC"/>
        </vertic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vertical style="thin">
          <color rgb="FFB1BBCC"/>
        </vertical>
      </border>
    </dxf>
    <dxf>
      <border>
        <horizontal style="thin">
          <color rgb="FFB1BBCC"/>
        </horizontal>
      </border>
    </dxf>
    <dxf>
      <font>
        <color auto="1"/>
      </font>
    </dxf>
    <dxf>
      <fill>
        <patternFill patternType="none">
          <bgColor auto="1"/>
        </patternFill>
      </fill>
    </dxf>
    <dxf>
      <font>
        <sz val="16"/>
      </font>
    </dxf>
    <dxf>
      <font>
        <b val="0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b/>
        <sz val="18"/>
        <color theme="0"/>
      </font>
      <fill>
        <patternFill patternType="solid">
          <fgColor indexed="64"/>
          <bgColor theme="7" tint="-0.499984740745262"/>
        </patternFill>
      </fill>
    </dxf>
    <dxf>
      <border>
        <right style="thin">
          <color indexed="64"/>
        </right>
      </border>
    </dxf>
    <dxf>
      <border>
        <vertical style="thin">
          <color rgb="FFB1BBCC"/>
        </vertic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7" tint="0.39997558519241921"/>
        </patternFill>
      </fill>
    </dxf>
    <dxf>
      <font>
        <b/>
      </font>
    </dxf>
    <dxf>
      <fill>
        <patternFill patternType="solid">
          <bgColor theme="7" tint="0.39997558519241921"/>
        </patternFill>
      </fill>
    </dxf>
    <dxf>
      <font>
        <b/>
      </font>
    </dxf>
    <dxf>
      <border>
        <right style="thin">
          <color indexed="64"/>
        </right>
        <bottom style="thin">
          <color indexed="64"/>
        </bottom>
        <horizontal style="thin">
          <color rgb="FFB1BBCC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  <horizontal style="thin">
          <color rgb="FFB1BBCC"/>
        </horizontal>
      </border>
    </dxf>
    <dxf>
      <border>
        <left style="thin">
          <color indexed="64"/>
        </left>
        <bottom style="thin">
          <color indexed="64"/>
        </bottom>
        <horizontal style="thin">
          <color rgb="FFB1BBCC"/>
        </horizontal>
      </border>
    </dxf>
    <dxf>
      <border>
        <bottom style="thin">
          <color auto="1"/>
        </bottom>
      </border>
    </dxf>
    <dxf>
      <fill>
        <patternFill patternType="solid">
          <bgColor theme="7" tint="0.39997558519241921"/>
        </patternFill>
      </fill>
    </dxf>
    <dxf>
      <font>
        <b/>
      </font>
    </dxf>
    <dxf>
      <border>
        <left style="thin">
          <color auto="1"/>
        </left>
        <right style="thin">
          <color auto="1"/>
        </right>
        <vertical style="thin">
          <color rgb="FFB1BBCC"/>
        </vertical>
        <horizontal style="thin">
          <color rgb="FFB1BBCC"/>
        </horizontal>
      </border>
    </dxf>
    <dxf>
      <border>
        <left style="thin">
          <color auto="1"/>
        </left>
        <right style="thin">
          <color auto="1"/>
        </right>
        <vertical style="thin">
          <color rgb="FFB1BBCC"/>
        </vertical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vertical style="thin">
          <color rgb="FFB1BBCC"/>
        </vertical>
        <horizontal style="thin">
          <color rgb="FFB1BBCC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theme="0"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5" formatCode="0.0%"/>
    </dxf>
    <dxf>
      <numFmt numFmtId="165" formatCode="0.0%"/>
    </dxf>
    <dxf>
      <font>
        <name val="Segoe UI"/>
        <scheme val="none"/>
      </font>
    </dxf>
    <dxf>
      <font>
        <name val="Segoe UI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numFmt numFmtId="165" formatCode="0.0%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bottom style="thin">
          <color indexed="64"/>
        </bottom>
        <horizontal style="thin">
          <color rgb="FFB1BBCC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font>
        <b/>
      </font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b/>
      </font>
    </dxf>
    <dxf>
      <border>
        <right style="thin">
          <color indexed="64"/>
        </right>
      </border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ont>
        <b/>
        <family val="2"/>
      </font>
    </dxf>
    <dxf>
      <border>
        <right style="thin">
          <color indexed="64"/>
        </right>
        <vertical style="thin">
          <color rgb="FFB1BBCC"/>
        </vertical>
        <horizontal style="thin">
          <color rgb="FFB1BBCC"/>
        </horizontal>
      </border>
    </dxf>
    <dxf>
      <border>
        <right style="thin">
          <color indexed="64"/>
        </right>
        <vertical style="thin">
          <color rgb="FFB1BBCC"/>
        </vertical>
        <horizontal style="thin">
          <color rgb="FFB1BBCC"/>
        </horizontal>
      </border>
    </dxf>
    <dxf>
      <border>
        <right style="thin">
          <color indexed="64"/>
        </right>
        <vertical style="thin">
          <color rgb="FFB1BBCC"/>
        </vertical>
        <horizontal style="thin">
          <color rgb="FFB1BBCC"/>
        </horizontal>
      </border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theme="0"/>
      </font>
    </dxf>
    <dxf>
      <fill>
        <patternFill patternType="solid">
          <bgColor theme="7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numFmt numFmtId="165" formatCode="0.0%"/>
    </dxf>
    <dxf>
      <font>
        <name val="Segoe UI"/>
        <scheme val="none"/>
      </font>
    </dxf>
    <dxf>
      <alignment vertical="center"/>
    </dxf>
    <dxf>
      <alignment horizontal="center"/>
    </dxf>
    <dxf>
      <font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Segoe UI"/>
        <family val="2"/>
        <scheme val="none"/>
      </font>
      <numFmt numFmtId="19" formatCode="dd/mm/yyyy"/>
      <fill>
        <patternFill patternType="solid">
          <fgColor indexed="64"/>
          <bgColor rgb="FFDFE3E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Segoe UI"/>
        <family val="2"/>
        <scheme val="none"/>
      </font>
      <numFmt numFmtId="19" formatCode="dd/mm/yyyy"/>
      <fill>
        <patternFill patternType="solid">
          <fgColor indexed="64"/>
          <bgColor rgb="FFDFE3E8"/>
        </patternFill>
      </fill>
      <alignment horizontal="general" vertical="center" textRotation="0" wrapText="0" indent="0" justifyLastLine="0" shrinkToFit="0" readingOrder="0"/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indexed="64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indexed="64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auto="1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m/d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63636"/>
        <name val="Segoe UI"/>
        <family val="2"/>
        <scheme val="none"/>
      </font>
      <numFmt numFmtId="166" formatCode="m/d/yyyy"/>
      <fill>
        <patternFill patternType="solid">
          <fgColor indexed="64"/>
          <bgColor rgb="FFDFE3E8"/>
        </patternFill>
      </fill>
      <alignment horizontal="center" vertical="center" textRotation="0" wrapText="0" indent="0" justifyLastLine="0" shrinkToFit="0" readingOrder="0"/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fill>
        <patternFill>
          <fgColor indexed="64"/>
          <bgColor theme="4" tint="0.59999389629810485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m/d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border>
        <top style="thin">
          <color rgb="FFB1BBCC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63636"/>
        <name val="Segoe UI"/>
        <family val="2"/>
        <scheme val="none"/>
      </font>
      <numFmt numFmtId="166" formatCode="m/d/yyyy"/>
      <fill>
        <patternFill patternType="solid">
          <fgColor indexed="64"/>
          <bgColor rgb="FFDFE3E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/>
        <bottom/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 outline="0">
        <left/>
        <right/>
        <top style="thin">
          <color rgb="FFB1BBCC"/>
        </top>
        <bottom style="thin">
          <color rgb="FFB1BBCC"/>
        </bottom>
      </border>
    </dxf>
    <dxf>
      <numFmt numFmtId="165" formatCode="0.0%"/>
      <fill>
        <patternFill>
          <fgColor indexed="64"/>
          <bgColor theme="8" tint="0.79998168889431442"/>
        </patternFill>
      </fill>
      <border diagonalUp="0" diagonalDown="0" outline="0">
        <left style="thin">
          <color rgb="FFB1BBCC"/>
        </left>
        <right/>
        <top style="thin">
          <color rgb="FFB1BBCC"/>
        </top>
        <bottom style="thin">
          <color rgb="FFB1BBCC"/>
        </bottom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numFmt numFmtId="165" formatCode="0.0%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 style="thin">
          <color rgb="FFB1BBCC"/>
        </vertical>
        <horizontal style="thin">
          <color rgb="FFB1BB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m/d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63636"/>
        <name val="Segoe UI"/>
        <family val="2"/>
        <scheme val="none"/>
      </font>
      <numFmt numFmtId="166" formatCode="m/d/yyyy"/>
      <fill>
        <patternFill patternType="solid">
          <fgColor indexed="64"/>
          <bgColor rgb="FFDFE3E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Segoe UI"/>
        <family val="2"/>
        <scheme val="none"/>
      </font>
      <fill>
        <patternFill patternType="solid">
          <fgColor indexed="64"/>
          <bgColor rgb="FFDFE3E8"/>
        </patternFill>
      </fill>
      <alignment horizontal="general" vertical="center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m/d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m/d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left style="thin">
          <color rgb="FFB1BBCC"/>
        </left>
        <top style="thin">
          <color indexed="64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1BBCC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theme="0" tint="-0.24994659260841701"/>
          <bgColor theme="0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1" defaultTableStyle="TableStyleMedium2" defaultPivotStyle="PivotStyleLight16">
    <tableStyle name="TableStyleMedium1 2" pivot="0" count="8" xr9:uid="{1A15E58D-C502-4481-9633-737944D3BEC3}">
      <tableStyleElement type="wholeTable" dxfId="1629"/>
      <tableStyleElement type="headerRow" dxfId="1628"/>
      <tableStyleElement type="totalRow" dxfId="1627"/>
      <tableStyleElement type="firstColumn" dxfId="1626"/>
      <tableStyleElement type="lastColumn" dxfId="1625"/>
      <tableStyleElement type="firstRowStripe" dxfId="1624"/>
      <tableStyleElement type="secondRowStripe" dxfId="1623"/>
      <tableStyleElement type="firstColumnStripe" dxfId="1622"/>
    </tableStyle>
  </tableStyles>
  <colors>
    <mruColors>
      <color rgb="FFFFABAB"/>
      <color rgb="FF548235"/>
      <color rgb="FFB1BBCC"/>
      <color rgb="FF996633"/>
      <color rgb="FFFF66CC"/>
      <color rgb="FFBF8F00"/>
      <color rgb="FF70AD47"/>
      <color rgb="FFFFC000"/>
      <color rgb="FFDFE3E8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O4" s="12"/>
        <tr r="O4" s="12"/>
        <tr r="E30" s="12"/>
        <tr r="E30" s="12"/>
        <tr r="E31" s="12"/>
        <tr r="E31" s="12"/>
        <tr r="N4" s="12"/>
        <tr r="N4" s="12"/>
        <tr r="H19" s="12"/>
        <tr r="D15" s="9"/>
        <tr r="D15" s="9"/>
        <tr r="H52" s="12"/>
        <tr r="D16" s="9"/>
        <tr r="D16" s="9"/>
        <tr r="H26" s="12"/>
        <tr r="J55" s="12"/>
        <tr r="J55" s="12"/>
        <tr r="J30" s="12"/>
        <tr r="J30" s="12"/>
        <tr r="J29" s="12"/>
        <tr r="J29" s="12"/>
        <tr r="J23" s="12"/>
        <tr r="J23" s="12"/>
        <tr r="J22" s="12"/>
        <tr r="J22" s="12"/>
        <tr r="J56" s="12"/>
        <tr r="J56" s="12"/>
        <tr r="D43" s="9"/>
        <tr r="D43" s="9"/>
        <tr r="D44" s="9"/>
        <tr r="D44" s="9"/>
        <tr r="H59" s="12"/>
        <tr r="B60" s="13"/>
        <tr r="H47" s="9"/>
        <tr r="R12" s="13"/>
        <tr r="R21" s="13"/>
        <tr r="J69" s="10"/>
        <tr r="B30" s="13"/>
        <tr r="N60" s="13"/>
        <tr r="N42" s="10"/>
        <tr r="F21" s="10"/>
        <tr r="J21" s="13"/>
        <tr r="B69" s="13"/>
        <tr r="S3" s="10"/>
        <tr r="U5" s="10"/>
        <tr r="U5" s="10"/>
        <tr r="R42" s="13"/>
        <tr r="R51" s="13"/>
        <tr r="F69" s="13"/>
        <tr r="R30" s="13"/>
        <tr r="B69" s="10"/>
        <tr r="B21" s="13"/>
        <tr r="B60" s="10"/>
        <tr r="J60" s="13"/>
        <tr r="R3" s="13"/>
        <tr r="F30" s="13"/>
        <tr r="N21" s="13"/>
        <tr r="D53" s="10"/>
        <tr r="D53" s="10"/>
        <tr r="N30" s="13"/>
        <tr r="F30" s="10"/>
        <tr r="D15" s="10"/>
        <tr r="D15" s="10"/>
        <tr r="N12" s="10"/>
        <tr r="F60" s="10"/>
        <tr r="N3" s="10"/>
        <tr r="H19" s="9"/>
        <tr r="J69" s="13"/>
        <tr r="N21" s="10"/>
        <tr r="B47" s="9"/>
        <tr r="F60" s="13"/>
        <tr r="W3" s="13"/>
        <tr r="J21" s="10"/>
        <tr r="N60" s="10"/>
        <tr r="B19" s="9"/>
        <tr r="B21" s="10"/>
        <tr r="J60" s="10"/>
        <tr r="J30" s="13"/>
        <tr r="J30" s="10"/>
        <tr r="B30" s="10"/>
        <tr r="D54" s="10"/>
        <tr r="D54" s="10"/>
        <tr r="R69" s="13"/>
        <tr r="N51" s="10"/>
        <tr r="F69" s="10"/>
        <tr r="N69" s="13"/>
        <tr r="F21" s="13"/>
        <tr r="R60" s="13"/>
        <tr r="D16" s="10"/>
        <tr r="D16" s="10"/>
        <tr r="H72" s="13"/>
        <tr r="H72" s="13"/>
        <tr r="T24" s="13"/>
        <tr r="T24" s="13"/>
        <tr r="D66" s="13"/>
        <tr r="D66" s="13"/>
        <tr r="L66" s="10"/>
        <tr r="L66" s="10"/>
        <tr r="L66" s="13"/>
        <tr r="L66" s="13"/>
        <tr r="H33" s="13"/>
        <tr r="H33" s="13"/>
        <tr r="H27" s="10"/>
        <tr r="H27" s="10"/>
        <tr r="L73" s="10"/>
        <tr r="L73" s="10"/>
        <tr r="D72" s="13"/>
        <tr r="D72" s="13"/>
        <tr r="D73" s="13"/>
        <tr r="D73" s="13"/>
        <tr r="L63" s="10"/>
        <tr r="L63" s="10"/>
        <tr r="D51" s="9"/>
        <tr r="D51" s="9"/>
        <tr r="J63" s="12"/>
        <tr r="J63" s="12"/>
        <tr r="J50" s="9"/>
        <tr r="J50" s="9"/>
        <tr r="H24" s="10"/>
        <tr r="H24" s="10"/>
        <tr r="D36" s="13"/>
        <tr r="D36" s="13"/>
        <tr r="L33" s="13"/>
        <tr r="L33" s="13"/>
        <tr r="H63" s="10"/>
        <tr r="H63" s="10"/>
        <tr r="D25" s="13"/>
        <tr r="D25" s="13"/>
        <tr r="H64" s="10"/>
        <tr r="H64" s="10"/>
        <tr r="L64" s="13"/>
        <tr r="L64" s="13"/>
        <tr r="T6" s="13"/>
        <tr r="T6" s="13"/>
        <tr r="T64" s="13"/>
        <tr r="T64" s="13"/>
        <tr r="H73" s="10"/>
        <tr r="H73" s="10"/>
        <tr r="Y5" s="13"/>
        <tr r="Y5" s="13"/>
        <tr r="P64" s="13"/>
        <tr r="P64" s="13"/>
        <tr r="T46" s="13"/>
        <tr r="T46" s="13"/>
        <tr r="P27" s="10"/>
        <tr r="P27" s="10"/>
        <tr r="L75" s="10"/>
        <tr r="L75" s="10"/>
        <tr r="T72" s="13"/>
        <tr r="T72" s="13"/>
        <tr r="P16" s="10"/>
        <tr r="P16" s="10"/>
        <tr r="H25" s="13"/>
        <tr r="H25" s="13"/>
        <tr r="L63" s="13"/>
        <tr r="L63" s="13"/>
        <tr r="P18" s="10"/>
        <tr r="P18" s="10"/>
        <tr r="D24" s="9"/>
        <tr r="D24" s="9"/>
        <tr r="D34" s="13"/>
        <tr r="D34" s="13"/>
        <tr r="T54" s="13"/>
        <tr r="T54" s="13"/>
        <tr r="P24" s="13"/>
        <tr r="P24" s="13"/>
        <tr r="L25" s="10"/>
        <tr r="L25" s="10"/>
        <tr r="P36" s="13"/>
        <tr r="P36" s="13"/>
        <tr r="T45" s="13"/>
        <tr r="T45" s="13"/>
        <tr r="H73" s="13"/>
        <tr r="H73" s="13"/>
        <tr r="D34" s="10"/>
        <tr r="D34" s="10"/>
        <tr r="H36" s="10"/>
        <tr r="H36" s="10"/>
        <tr r="H75" s="13"/>
        <tr r="H75" s="13"/>
        <tr r="T9" s="13"/>
        <tr r="T9" s="13"/>
        <tr r="T55" s="13"/>
        <tr r="T55" s="13"/>
        <tr r="D25" s="9"/>
        <tr r="D25" s="9"/>
        <tr r="P48" s="10"/>
        <tr r="P48" s="10"/>
        <tr r="T57" s="13"/>
        <tr r="T57" s="13"/>
        <tr r="J62" s="12"/>
        <tr r="J62" s="12"/>
        <tr r="P25" s="13"/>
        <tr r="P25" s="13"/>
        <tr r="T33" s="13"/>
        <tr r="T33" s="13"/>
        <tr r="J24" s="9"/>
        <tr r="J24" s="9"/>
        <tr r="P15" s="10"/>
        <tr r="P15" s="10"/>
        <tr r="T15" s="13"/>
        <tr r="T15" s="13"/>
        <tr r="D27" s="13"/>
        <tr r="D27" s="13"/>
        <tr r="H33" s="10"/>
        <tr r="H33" s="10"/>
        <tr r="P24" s="10"/>
        <tr r="P24" s="10"/>
        <tr r="P54" s="10"/>
        <tr r="P54" s="10"/>
        <tr r="T34" s="13"/>
        <tr r="T34" s="13"/>
        <tr r="L73" s="13"/>
        <tr r="L73" s="13"/>
        <tr r="J22" s="9"/>
        <tr r="J22" s="9"/>
        <tr r="H63" s="13"/>
        <tr r="H63" s="13"/>
        <tr r="D24" s="13"/>
        <tr r="D24" s="13"/>
        <tr r="P72" s="13"/>
        <tr r="P72" s="13"/>
        <tr r="L24" s="13"/>
        <tr r="L24" s="13"/>
        <tr r="D33" s="10"/>
        <tr r="D33" s="10"/>
        <tr r="H25" s="10"/>
        <tr r="H25" s="10"/>
        <tr r="D64" s="13"/>
        <tr r="D64" s="13"/>
        <tr r="T27" s="13"/>
        <tr r="T27" s="13"/>
        <tr r="H75" s="10"/>
        <tr r="H75" s="10"/>
        <tr r="L75" s="13"/>
        <tr r="L75" s="13"/>
        <tr r="D33" s="13"/>
        <tr r="D33" s="13"/>
        <tr r="H34" s="10"/>
        <tr r="H34" s="10"/>
        <tr r="D75" s="13"/>
        <tr r="D75" s="13"/>
        <tr r="L33" s="10"/>
        <tr r="L33" s="10"/>
        <tr r="T66" s="13"/>
        <tr r="T66" s="13"/>
        <tr r="P73" s="13"/>
        <tr r="P73" s="13"/>
        <tr r="D23" s="9"/>
        <tr r="D23" s="9"/>
        <tr r="T7" s="13"/>
        <tr r="T7" s="13"/>
        <tr r="J51" s="9"/>
        <tr r="J51" s="9"/>
        <tr r="P46" s="10"/>
        <tr r="P46" s="10"/>
        <tr r="L64" s="10"/>
        <tr r="L64" s="10"/>
        <tr r="D53" s="9"/>
        <tr r="D53" s="9"/>
        <tr r="P4" s="9"/>
        <tr r="P4" s="9"/>
        <tr r="H27" s="13"/>
        <tr r="H27" s="13"/>
        <tr r="D17" s="13"/>
        <tr r="D17" s="13"/>
        <tr r="J23" s="9"/>
        <tr r="J23" s="9"/>
        <tr r="P55" s="10"/>
        <tr r="P55" s="10"/>
        <tr r="T18" s="13"/>
        <tr r="T18" s="13"/>
        <tr r="P66" s="13"/>
        <tr r="P66" s="13"/>
        <tr r="L36" s="13"/>
        <tr r="L36" s="13"/>
        <tr r="P57" s="10"/>
        <tr r="P57" s="10"/>
        <tr r="P7" s="10"/>
        <tr r="P7" s="10"/>
        <tr r="D27" s="10"/>
        <tr r="D27" s="10"/>
        <tr r="J52" s="9"/>
        <tr r="J52" s="9"/>
        <tr r="L27" s="13"/>
        <tr r="L27" s="13"/>
        <tr r="D24" s="10"/>
        <tr r="D24" s="10"/>
        <tr r="P45" s="10"/>
        <tr r="P45" s="10"/>
        <tr r="P33" s="13"/>
        <tr r="P33" s="13"/>
        <tr r="P63" s="10"/>
        <tr r="P63" s="10"/>
        <tr r="H36" s="13"/>
        <tr r="H36" s="13"/>
        <tr r="H34" s="13"/>
        <tr r="H34" s="13"/>
        <tr r="P66" s="10"/>
        <tr r="P66" s="10"/>
        <tr r="J25" s="9"/>
        <tr r="J25" s="9"/>
        <tr r="T75" s="13"/>
        <tr r="T75" s="13"/>
        <tr r="H66" s="13"/>
        <tr r="H66" s="13"/>
        <tr r="D72" s="10"/>
        <tr r="D72" s="10"/>
        <tr r="L34" s="13"/>
        <tr r="L34" s="13"/>
        <tr r="P75" s="13"/>
        <tr r="P75" s="13"/>
        <tr r="D66" s="10"/>
        <tr r="D66" s="10"/>
        <tr r="L34" s="10"/>
        <tr r="L34" s="10"/>
        <tr r="T5" s="10"/>
        <tr r="T5" s="10"/>
        <tr r="D63" s="10"/>
        <tr r="D63" s="10"/>
        <tr r="H72" s="10"/>
        <tr r="H72" s="10"/>
        <tr r="J53" s="9"/>
        <tr r="J53" s="9"/>
        <tr r="P63" s="13"/>
        <tr r="P63" s="13"/>
        <tr r="Q4" s="9"/>
        <tr r="Q4" s="9"/>
        <tr r="L72" s="13"/>
        <tr r="L72" s="13"/>
        <tr r="T36" s="13"/>
        <tr r="T36" s="13"/>
        <tr r="P25" s="10"/>
        <tr r="P25" s="10"/>
        <tr r="P64" s="10"/>
        <tr r="P64" s="10"/>
        <tr r="D56" s="13"/>
        <tr r="D56" s="13"/>
        <tr r="T63" s="13"/>
        <tr r="T63" s="13"/>
        <tr r="D63" s="13"/>
        <tr r="D63" s="13"/>
        <tr r="D75" s="10"/>
        <tr r="D75" s="10"/>
        <tr r="P34" s="13"/>
        <tr r="P34" s="13"/>
        <tr r="H66" s="10"/>
        <tr r="H66" s="10"/>
        <tr r="D64" s="10"/>
        <tr r="D64" s="10"/>
        <tr r="D57" s="13"/>
        <tr r="D57" s="13"/>
        <tr r="D73" s="10"/>
        <tr r="D73" s="10"/>
        <tr r="L72" s="10"/>
        <tr r="L72" s="10"/>
        <tr r="L36" s="10"/>
        <tr r="L36" s="10"/>
        <tr r="P9" s="10"/>
        <tr r="P9" s="10"/>
        <tr r="P6" s="10"/>
        <tr r="P6" s="10"/>
        <tr r="T73" s="13"/>
        <tr r="T73" s="13"/>
        <tr r="T48" s="13"/>
        <tr r="T48" s="13"/>
        <tr r="D18" s="13"/>
        <tr r="D18" s="13"/>
        <tr r="D22" s="9"/>
        <tr r="D22" s="9"/>
        <tr r="H24" s="13"/>
        <tr r="H24" s="13"/>
        <tr r="D25" s="10"/>
        <tr r="D25" s="10"/>
        <tr r="T25" s="13"/>
        <tr r="T25" s="13"/>
        <tr r="H64" s="13"/>
        <tr r="H64" s="13"/>
        <tr r="D36" s="10"/>
        <tr r="D36" s="10"/>
        <tr r="T16" s="13"/>
        <tr r="T16" s="13"/>
        <tr r="P27" s="13"/>
        <tr r="P27" s="13"/>
        <tr r="L25" s="13"/>
        <tr r="L25" s="13"/>
        <tr r="L27" s="10"/>
        <tr r="L27" s="10"/>
        <tr r="X5" s="13"/>
        <tr r="X5" s="13"/>
        <tr r="L24" s="10"/>
        <tr r="L24" s="10"/>
        <tr r="D52" s="9"/>
        <tr r="D52" s="9"/>
        <tr r="D50" s="9"/>
        <tr r="D50" s="9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connections" Target="connections.xml"/><Relationship Id="rId39" Type="http://schemas.openxmlformats.org/officeDocument/2006/relationships/customXml" Target="../customXml/item8.xml"/><Relationship Id="rId21" Type="http://schemas.openxmlformats.org/officeDocument/2006/relationships/pivotCacheDefinition" Target="pivotCache/pivotCacheDefinition7.xml"/><Relationship Id="rId34" Type="http://schemas.openxmlformats.org/officeDocument/2006/relationships/customXml" Target="../customXml/item3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9" Type="http://schemas.openxmlformats.org/officeDocument/2006/relationships/sheetMetadata" Target="metadata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3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8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0.xml"/><Relationship Id="rId19" Type="http://schemas.openxmlformats.org/officeDocument/2006/relationships/pivotCacheDefinition" Target="pivotCache/pivotCacheDefinition5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openxmlformats.org/officeDocument/2006/relationships/styles" Target="style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56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59" Type="http://schemas.openxmlformats.org/officeDocument/2006/relationships/customXml" Target="../customXml/item28.xml"/><Relationship Id="rId20" Type="http://schemas.openxmlformats.org/officeDocument/2006/relationships/pivotCacheDefinition" Target="pivotCache/pivotCacheDefinition6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62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23" Type="http://schemas.microsoft.com/office/2007/relationships/slicerCache" Target="slicerCaches/slicerCache2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57" Type="http://schemas.openxmlformats.org/officeDocument/2006/relationships/customXml" Target="../customXml/item26.xml"/><Relationship Id="rId10" Type="http://schemas.openxmlformats.org/officeDocument/2006/relationships/worksheet" Target="worksheets/sheet10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Relationship Id="rId60" Type="http://schemas.openxmlformats.org/officeDocument/2006/relationships/customXml" Target="../customXml/item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100902481293897E-2"/>
          <c:y val="0.12882425767620903"/>
          <c:w val="0.91592694404323716"/>
          <c:h val="0.68343522943265844"/>
        </c:manualLayout>
      </c:layout>
      <c:lineChart>
        <c:grouping val="standard"/>
        <c:varyColors val="0"/>
        <c:ser>
          <c:idx val="3"/>
          <c:order val="0"/>
          <c:tx>
            <c:v>Plan Original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7-26DF-4401-94F0-67706FA1A9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9CCCD74-E92B-44A4-8DA9-D71BF0050B7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18-26DF-4401-94F0-67706FA1A92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9-26DF-4401-94F0-67706FA1A92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8789D84-8BE0-49F9-8ED4-5E07A1017F3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1A-26DF-4401-94F0-67706FA1A92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B-26DF-4401-94F0-67706FA1A92C}"/>
                </c:ext>
              </c:extLst>
            </c:dLbl>
            <c:dLbl>
              <c:idx val="5"/>
              <c:layout>
                <c:manualLayout>
                  <c:x val="-6.145672439602224E-2"/>
                  <c:y val="-7.7262139107611552E-2"/>
                </c:manualLayout>
              </c:layout>
              <c:tx>
                <c:rich>
                  <a:bodyPr/>
                  <a:lstStyle/>
                  <a:p>
                    <a:fld id="{85DFA28E-10F8-4CDA-B06E-8707C801182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EB6-4B13-99BE-3EC0528A655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C-26DF-4401-94F0-67706FA1A92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4372D5C-6BAD-45C0-9594-368C1C5A11F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1D-26DF-4401-94F0-67706FA1A92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E-26DF-4401-94F0-67706FA1A92C}"/>
                </c:ext>
              </c:extLst>
            </c:dLbl>
            <c:dLbl>
              <c:idx val="9"/>
              <c:layout>
                <c:manualLayout>
                  <c:x val="-5.7604850249043327E-2"/>
                  <c:y val="-5.3281250000000002E-2"/>
                </c:manualLayout>
              </c:layout>
              <c:tx>
                <c:rich>
                  <a:bodyPr/>
                  <a:lstStyle/>
                  <a:p>
                    <a:fld id="{4F50DD16-7B9A-4629-BF5A-2589A63D708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EB6-4B13-99BE-3EC0528A655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F-26DF-4401-94F0-67706FA1A92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3A2B194-2F84-41BD-B97C-B4F29D60AA7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20-26DF-4401-94F0-67706FA1A92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1-26DF-4401-94F0-67706FA1A92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74DD8D2-9C6B-414E-A3D1-E547ED81715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22-26DF-4401-94F0-67706FA1A92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B6-4B13-99BE-3EC0528A655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60B8769-D491-4E38-8E03-3A09D690EAE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23-26DF-4401-94F0-67706FA1A92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4-26DF-4401-94F0-67706FA1A92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318B01C-445C-4B6A-8784-D362F316AE5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25-26DF-4401-94F0-67706FA1A92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B6-4B13-99BE-3EC0528A655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85DDA30-F6B9-48D2-AD14-9E4391FF67B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26-26DF-4401-94F0-67706FA1A92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7-26DF-4401-94F0-67706FA1A92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0FDEA33-B04C-4630-8D4B-68038E9A6D1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28-26DF-4401-94F0-67706FA1A92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B6-4B13-99BE-3EC0528A655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B49FC8E-C749-4576-B552-6D97CDAC7CE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29-26DF-4401-94F0-67706FA1A92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A-26DF-4401-94F0-67706FA1A92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B2959FD-B96B-4B34-B692-5D04E4C70AA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2B-26DF-4401-94F0-67706FA1A92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C-26DF-4401-94F0-67706FA1A92C}"/>
                </c:ext>
              </c:extLst>
            </c:dLbl>
            <c:dLbl>
              <c:idx val="27"/>
              <c:layout>
                <c:manualLayout>
                  <c:x val="-4.4213763936947328E-2"/>
                  <c:y val="-9.0426632138408292E-2"/>
                </c:manualLayout>
              </c:layout>
              <c:tx>
                <c:rich>
                  <a:bodyPr/>
                  <a:lstStyle/>
                  <a:p>
                    <a:fld id="{88523752-DA4D-426D-8A3C-24FAC526D2C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EB6-4B13-99BE-3EC0528A655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D-26DF-4401-94F0-67706FA1A92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D8E8E25-6FC1-4ED2-825A-E1DEFA10E76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2E-26DF-4401-94F0-67706FA1A92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2F-26DF-4401-94F0-67706FA1A92C}"/>
                </c:ext>
              </c:extLst>
            </c:dLbl>
            <c:dLbl>
              <c:idx val="31"/>
              <c:layout>
                <c:manualLayout>
                  <c:x val="-4.4213763936947328E-2"/>
                  <c:y val="-9.494796374532874E-2"/>
                </c:manualLayout>
              </c:layout>
              <c:tx>
                <c:rich>
                  <a:bodyPr/>
                  <a:lstStyle/>
                  <a:p>
                    <a:fld id="{A1F924F7-4C05-4B87-8D69-9EF0B340323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EB6-4B13-99BE-3EC0528A6553}"/>
                </c:ext>
              </c:extLst>
            </c:dLbl>
            <c:dLbl>
              <c:idx val="32"/>
              <c:layout>
                <c:manualLayout>
                  <c:x val="-3.8209169328145914E-2"/>
                  <c:y val="9.3749999999999903E-2"/>
                </c:manualLayout>
              </c:layout>
              <c:tx>
                <c:rich>
                  <a:bodyPr/>
                  <a:lstStyle/>
                  <a:p>
                    <a:fld id="{8A061A79-32DF-4002-A288-EE686C47800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0-26DF-4401-94F0-67706FA1A92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72F28EE-0C77-4769-A7F1-A676AB5126A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1-26DF-4401-94F0-67706FA1A92C}"/>
                </c:ext>
              </c:extLst>
            </c:dLbl>
            <c:dLbl>
              <c:idx val="34"/>
              <c:layout>
                <c:manualLayout>
                  <c:x val="-3.2477793928924026E-2"/>
                  <c:y val="-0.11458333333333333"/>
                </c:manualLayout>
              </c:layout>
              <c:tx>
                <c:rich>
                  <a:bodyPr/>
                  <a:lstStyle/>
                  <a:p>
                    <a:fld id="{B6A4E301-4966-428C-9ECC-FC5C266AD55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2-26DF-4401-94F0-67706FA1A92C}"/>
                </c:ext>
              </c:extLst>
            </c:dLbl>
            <c:dLbl>
              <c:idx val="35"/>
              <c:layout>
                <c:manualLayout>
                  <c:x val="-3.6524413687043442E-2"/>
                  <c:y val="-0.11303329017301035"/>
                </c:manualLayout>
              </c:layout>
              <c:tx>
                <c:rich>
                  <a:bodyPr/>
                  <a:lstStyle/>
                  <a:p>
                    <a:fld id="{A5E643C2-3C2C-4DAE-88B9-B63703DA21B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EB6-4B13-99BE-3EC0528A6553}"/>
                </c:ext>
              </c:extLst>
            </c:dLbl>
            <c:dLbl>
              <c:idx val="36"/>
              <c:layout>
                <c:manualLayout>
                  <c:x val="-3.4388252395331324E-2"/>
                  <c:y val="7.8124999999999958E-2"/>
                </c:manualLayout>
              </c:layout>
              <c:tx>
                <c:rich>
                  <a:bodyPr/>
                  <a:lstStyle/>
                  <a:p>
                    <a:fld id="{8290DBF3-2FC6-4A56-9B77-FA8B0FC0D08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3-26DF-4401-94F0-67706FA1A92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4A26EC66-D6A3-4615-9BAA-39ED48735AC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4-26DF-4401-94F0-67706FA1A92C}"/>
                </c:ext>
              </c:extLst>
            </c:dLbl>
            <c:dLbl>
              <c:idx val="38"/>
              <c:layout>
                <c:manualLayout>
                  <c:x val="-2.8656876996109505E-2"/>
                  <c:y val="-0.109375"/>
                </c:manualLayout>
              </c:layout>
              <c:tx>
                <c:rich>
                  <a:bodyPr/>
                  <a:lstStyle/>
                  <a:p>
                    <a:fld id="{383E5237-0B72-427E-9FA3-33372895CE7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5-26DF-4401-94F0-67706FA1A92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B72F8A54-780F-461A-94F7-B1C9410A503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6-26DF-4401-94F0-67706FA1A92C}"/>
                </c:ext>
              </c:extLst>
            </c:dLbl>
            <c:dLbl>
              <c:idx val="40"/>
              <c:layout>
                <c:manualLayout>
                  <c:x val="-3.2750974446640289E-2"/>
                  <c:y val="0.10680323162729659"/>
                </c:manualLayout>
              </c:layout>
              <c:tx>
                <c:rich>
                  <a:bodyPr/>
                  <a:lstStyle/>
                  <a:p>
                    <a:fld id="{4B01D695-A5A9-45EF-B42A-37492C6F1BE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EB6-4B13-99BE-3EC0528A655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38ADAADF-9FE0-47A7-B83F-967449F7319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7-26DF-4401-94F0-67706FA1A92C}"/>
                </c:ext>
              </c:extLst>
            </c:dLbl>
            <c:dLbl>
              <c:idx val="42"/>
              <c:layout>
                <c:manualLayout>
                  <c:x val="-2.4835960063294842E-2"/>
                  <c:y val="-7.2916666666666671E-2"/>
                </c:manualLayout>
              </c:layout>
              <c:tx>
                <c:rich>
                  <a:bodyPr/>
                  <a:lstStyle/>
                  <a:p>
                    <a:fld id="{8E469B2C-A5A5-4729-89EF-B406C32880D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8-26DF-4401-94F0-67706FA1A92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742A3A00-D8F8-4CA8-A2FF-086A33FAE77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9-26DF-4401-94F0-67706FA1A92C}"/>
                </c:ext>
              </c:extLst>
            </c:dLbl>
            <c:dLbl>
              <c:idx val="44"/>
              <c:layout>
                <c:manualLayout>
                  <c:x val="-3.0911819705672063E-2"/>
                  <c:y val="0.19053559711286089"/>
                </c:manualLayout>
              </c:layout>
              <c:tx>
                <c:rich>
                  <a:bodyPr/>
                  <a:lstStyle/>
                  <a:p>
                    <a:fld id="{CBF4968D-1C44-4AF4-BF77-0928F8AB08E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EB6-4B13-99BE-3EC0528A655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50D248F2-2798-4638-A0F8-D8400675B24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A-26DF-4401-94F0-67706FA1A92C}"/>
                </c:ext>
              </c:extLst>
            </c:dLbl>
            <c:dLbl>
              <c:idx val="46"/>
              <c:layout>
                <c:manualLayout>
                  <c:x val="-2.4835960063294842E-2"/>
                  <c:y val="3.125E-2"/>
                </c:manualLayout>
              </c:layout>
              <c:tx>
                <c:rich>
                  <a:bodyPr/>
                  <a:lstStyle/>
                  <a:p>
                    <a:fld id="{ACAB0FE5-9715-46F6-AA9F-0A752C70AA2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B-26DF-4401-94F0-67706FA1A92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90B98434-AF71-4B20-9444-7F63F47BCF3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C-26DF-4401-94F0-67706FA1A92C}"/>
                </c:ext>
              </c:extLst>
            </c:dLbl>
            <c:dLbl>
              <c:idx val="48"/>
              <c:layout>
                <c:manualLayout>
                  <c:x val="-3.4602013141848229E-2"/>
                  <c:y val="0.2641391896325459"/>
                </c:manualLayout>
              </c:layout>
              <c:tx>
                <c:rich>
                  <a:bodyPr/>
                  <a:lstStyle/>
                  <a:p>
                    <a:fld id="{6353B8C5-046B-4DBB-B844-61703C4AB29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BEB6-4B13-99BE-3EC0528A655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1385EC48-6951-4FAC-8B5B-1F1871E9919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D-26DF-4401-94F0-67706FA1A92C}"/>
                </c:ext>
              </c:extLst>
            </c:dLbl>
            <c:dLbl>
              <c:idx val="50"/>
              <c:layout>
                <c:manualLayout>
                  <c:x val="-2.4835960063294912E-2"/>
                  <c:y val="4.6875E-2"/>
                </c:manualLayout>
              </c:layout>
              <c:tx>
                <c:rich>
                  <a:bodyPr/>
                  <a:lstStyle/>
                  <a:p>
                    <a:fld id="{77DAFD50-4DFB-41FA-83F3-982476A1AFF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E-26DF-4401-94F0-67706FA1A92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47186AB-ADE5-4536-88F7-1745523515C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F-26DF-4401-94F0-67706FA1A92C}"/>
                </c:ext>
              </c:extLst>
            </c:dLbl>
            <c:dLbl>
              <c:idx val="52"/>
              <c:layout>
                <c:manualLayout>
                  <c:x val="-3.05673354625168E-2"/>
                  <c:y val="0.26562499999999994"/>
                </c:manualLayout>
              </c:layout>
              <c:tx>
                <c:rich>
                  <a:bodyPr/>
                  <a:lstStyle/>
                  <a:p>
                    <a:fld id="{B4F888FD-E88C-4E55-A928-FF069402EDD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0-26DF-4401-94F0-67706FA1A92C}"/>
                </c:ext>
              </c:extLst>
            </c:dLbl>
            <c:dLbl>
              <c:idx val="53"/>
              <c:layout>
                <c:manualLayout>
                  <c:x val="-3.0757400999615533E-2"/>
                  <c:y val="-3.6170652855363312E-2"/>
                </c:manualLayout>
              </c:layout>
              <c:tx>
                <c:rich>
                  <a:bodyPr/>
                  <a:lstStyle/>
                  <a:p>
                    <a:fld id="{35A9EF42-E4AD-4C89-BE54-E29E39F2275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EB6-4B13-99BE-3EC0528A6553}"/>
                </c:ext>
              </c:extLst>
            </c:dLbl>
            <c:dLbl>
              <c:idx val="54"/>
              <c:layout>
                <c:manualLayout>
                  <c:x val="-2.1015043130480322E-2"/>
                  <c:y val="2.6041666666666668E-2"/>
                </c:manualLayout>
              </c:layout>
              <c:tx>
                <c:rich>
                  <a:bodyPr/>
                  <a:lstStyle/>
                  <a:p>
                    <a:fld id="{BA2D87BB-D270-41A6-96CB-27B03632952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1-26DF-4401-94F0-67706FA1A92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F39761AC-B6EA-43F4-B415-91F3C12544C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2-26DF-4401-94F0-67706FA1A92C}"/>
                </c:ext>
              </c:extLst>
            </c:dLbl>
            <c:dLbl>
              <c:idx val="56"/>
              <c:layout>
                <c:manualLayout>
                  <c:x val="-3.2477793928924026E-2"/>
                  <c:y val="0.25520833333333326"/>
                </c:manualLayout>
              </c:layout>
              <c:tx>
                <c:rich>
                  <a:bodyPr/>
                  <a:lstStyle/>
                  <a:p>
                    <a:fld id="{EF2D203A-0377-447E-842E-D8E7A3FB3D8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3-26DF-4401-94F0-67706FA1A92C}"/>
                </c:ext>
              </c:extLst>
            </c:dLbl>
            <c:dLbl>
              <c:idx val="57"/>
              <c:layout>
                <c:manualLayout>
                  <c:x val="-2.8835063437139562E-2"/>
                  <c:y val="-3.6170652855363326E-2"/>
                </c:manualLayout>
              </c:layout>
              <c:tx>
                <c:rich>
                  <a:bodyPr/>
                  <a:lstStyle/>
                  <a:p>
                    <a:fld id="{D0E3175F-994B-4EFE-8C07-4D2D552D8B1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EB6-4B13-99BE-3EC0528A6553}"/>
                </c:ext>
              </c:extLst>
            </c:dLbl>
            <c:dLbl>
              <c:idx val="58"/>
              <c:layout>
                <c:manualLayout>
                  <c:x val="-1.7194126197665732E-2"/>
                  <c:y val="2.6041666666666654E-2"/>
                </c:manualLayout>
              </c:layout>
              <c:tx>
                <c:rich>
                  <a:bodyPr/>
                  <a:lstStyle/>
                  <a:p>
                    <a:fld id="{F0B2FD8B-5D07-4461-9D21-9814EFCBE7A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4-26DF-4401-94F0-67706FA1A92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57518314-CA66-4717-824A-66D22FDA4AB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5-26DF-4401-94F0-67706FA1A92C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6-26DF-4401-94F0-67706FA1A92C}"/>
                </c:ext>
              </c:extLst>
            </c:dLbl>
            <c:dLbl>
              <c:idx val="61"/>
              <c:layout>
                <c:manualLayout>
                  <c:x val="-2.4990388312187622E-2"/>
                  <c:y val="-3.1649321248442899E-2"/>
                </c:manualLayout>
              </c:layout>
              <c:tx>
                <c:rich>
                  <a:bodyPr/>
                  <a:lstStyle/>
                  <a:p>
                    <a:fld id="{BC58D686-CCF8-4AE8-A552-0AB518AACE8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EB6-4B13-99BE-3EC0528A6553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5-26DF-4401-94F0-67706FA1A92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8AC61125-94B4-4AE1-86F0-7B355B70620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6-26DF-4401-94F0-67706FA1A92C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4-26DF-4401-94F0-67706FA1A92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820F803E-AE85-479D-9715-FE61A4A2DE1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7-26DF-4401-94F0-67706FA1A92C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3-26DF-4401-94F0-67706FA1A92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FF08C010-E951-49C6-91F5-3466F5ADEF8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8-26DF-4401-94F0-67706FA1A92C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2-26DF-4401-94F0-67706FA1A92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82176E23-5135-4443-9F80-BAA67131711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9-26DF-4401-94F0-67706FA1A92C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1-26DF-4401-94F0-67706FA1A92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D98D9848-CD67-4255-B42C-35DDD066940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A-26DF-4401-94F0-67706FA1A92C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10-26DF-4401-94F0-67706FA1A92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700C7B2B-4B5A-41A5-8B05-AF1CB5E0EE6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B-26DF-4401-94F0-67706FA1A92C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F-26DF-4401-94F0-67706FA1A92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556A732E-4DB1-45CD-B91D-F38F7DAAAA4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C-26DF-4401-94F0-67706FA1A92C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E-26DF-4401-94F0-67706FA1A92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BAAA9C7B-2E6F-45AE-AE29-8C4DDFA33ED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D-26DF-4401-94F0-67706FA1A92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D-26DF-4401-94F0-67706FA1A92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B24ABF38-CFA9-47FA-8953-4AC447DA05D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E-26DF-4401-94F0-67706FA1A92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C-26DF-4401-94F0-67706FA1A92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A12A0FD1-6A6E-4E97-98D4-4ADD5F2419E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4F-26DF-4401-94F0-67706FA1A92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A-26DF-4401-94F0-67706FA1A92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490CD401-561C-4C68-92C7-A87F2705F61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50-26DF-4401-94F0-67706FA1A92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B-26DF-4401-94F0-67706FA1A92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17359BE1-4241-4146-9359-FAC0A35ABDB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51-26DF-4401-94F0-67706FA1A92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9-26DF-4401-94F0-67706FA1A92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610E8D66-3030-46CB-897C-27514A63B8C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52-26DF-4401-94F0-67706FA1A92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8-26DF-4401-94F0-67706FA1A92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523549E1-542D-4344-9085-878E9223C1A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53-26DF-4401-94F0-67706FA1A92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6-26DF-4401-94F0-67706FA1A92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028C82E9-9B74-41F5-BD58-EF7611B62A5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54-26DF-4401-94F0-67706FA1A92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7-26DF-4401-94F0-67706FA1A92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69B3FBFF-E6CF-4838-8D26-2B9A7065A1C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55-26DF-4401-94F0-67706FA1A92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5-26DF-4401-94F0-67706FA1A92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DBF689F1-FCE7-4700-8DE9-75D8369A2BB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56-26DF-4401-94F0-67706FA1A92C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4-26DF-4401-94F0-67706FA1A92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E0A87567-8A98-468F-85A9-E4978D0AAEE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57-26DF-4401-94F0-67706FA1A92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3-26DF-4401-94F0-67706FA1A92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CD03446C-A60D-4A08-AE4F-F2C7FE36E35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58-26DF-4401-94F0-67706FA1A92C}"/>
                </c:ext>
              </c:extLst>
            </c:dLbl>
            <c:dLbl>
              <c:idx val="100"/>
              <c:layout>
                <c:manualLayout>
                  <c:x val="7.236005735676395E-3"/>
                  <c:y val="-5.9678130037593719E-18"/>
                </c:manualLayout>
              </c:layout>
              <c:tx>
                <c:rich>
                  <a:bodyPr/>
                  <a:lstStyle/>
                  <a:p>
                    <a:fld id="{9D56BA91-7079-47E0-A266-BE6E11F27F9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02-26DF-4401-94F0-67706FA1A9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2700000"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accent4"/>
                    </a:solidFill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100'!$I$5:$EI$5</c:f>
              <c:strCache>
                <c:ptCount val="131"/>
                <c:pt idx="0">
                  <c:v>01/07/24</c:v>
                </c:pt>
                <c:pt idx="1">
                  <c:v>08/07/24</c:v>
                </c:pt>
                <c:pt idx="2">
                  <c:v>15/07/24</c:v>
                </c:pt>
                <c:pt idx="3">
                  <c:v>22/07/24</c:v>
                </c:pt>
                <c:pt idx="4">
                  <c:v>29/07/24</c:v>
                </c:pt>
                <c:pt idx="5">
                  <c:v>05/08/24</c:v>
                </c:pt>
                <c:pt idx="6">
                  <c:v>12/08/24</c:v>
                </c:pt>
                <c:pt idx="7">
                  <c:v>19/08/24</c:v>
                </c:pt>
                <c:pt idx="8">
                  <c:v>26/08/24</c:v>
                </c:pt>
                <c:pt idx="9">
                  <c:v>02/09/24</c:v>
                </c:pt>
                <c:pt idx="10">
                  <c:v>09/09/24</c:v>
                </c:pt>
                <c:pt idx="11">
                  <c:v>16/09/24</c:v>
                </c:pt>
                <c:pt idx="12">
                  <c:v>23/09/24</c:v>
                </c:pt>
                <c:pt idx="13">
                  <c:v>30/09/24</c:v>
                </c:pt>
                <c:pt idx="14">
                  <c:v>07/10/24</c:v>
                </c:pt>
                <c:pt idx="15">
                  <c:v>14/10/24</c:v>
                </c:pt>
                <c:pt idx="16">
                  <c:v>21/10/24</c:v>
                </c:pt>
                <c:pt idx="17">
                  <c:v>28/10/24</c:v>
                </c:pt>
                <c:pt idx="18">
                  <c:v>04/11/24</c:v>
                </c:pt>
                <c:pt idx="19">
                  <c:v>11/11/24</c:v>
                </c:pt>
                <c:pt idx="20">
                  <c:v>18/11/24</c:v>
                </c:pt>
                <c:pt idx="21">
                  <c:v>25/11/24</c:v>
                </c:pt>
                <c:pt idx="22">
                  <c:v>02/12/24</c:v>
                </c:pt>
                <c:pt idx="23">
                  <c:v>09/12/24</c:v>
                </c:pt>
                <c:pt idx="24">
                  <c:v>16/12/24</c:v>
                </c:pt>
                <c:pt idx="25">
                  <c:v>23/12/24</c:v>
                </c:pt>
                <c:pt idx="26">
                  <c:v>30/12/24</c:v>
                </c:pt>
                <c:pt idx="27">
                  <c:v>06/01/25</c:v>
                </c:pt>
                <c:pt idx="28">
                  <c:v>13/01/25</c:v>
                </c:pt>
                <c:pt idx="29">
                  <c:v>20/01/25</c:v>
                </c:pt>
                <c:pt idx="30">
                  <c:v>27/01/25</c:v>
                </c:pt>
                <c:pt idx="31">
                  <c:v>03/02/25</c:v>
                </c:pt>
                <c:pt idx="32">
                  <c:v>10/02/25</c:v>
                </c:pt>
                <c:pt idx="33">
                  <c:v>17/02/25</c:v>
                </c:pt>
                <c:pt idx="34">
                  <c:v>24/02/25</c:v>
                </c:pt>
                <c:pt idx="35">
                  <c:v>03/03/25</c:v>
                </c:pt>
                <c:pt idx="36">
                  <c:v>10/03/25</c:v>
                </c:pt>
                <c:pt idx="37">
                  <c:v>17/03/25</c:v>
                </c:pt>
                <c:pt idx="38">
                  <c:v>24/03/25</c:v>
                </c:pt>
                <c:pt idx="39">
                  <c:v>31/03/25</c:v>
                </c:pt>
                <c:pt idx="40">
                  <c:v>07/04/25</c:v>
                </c:pt>
                <c:pt idx="41">
                  <c:v>14/04/25</c:v>
                </c:pt>
                <c:pt idx="42">
                  <c:v>21/04/25</c:v>
                </c:pt>
                <c:pt idx="43">
                  <c:v>28/04/25</c:v>
                </c:pt>
                <c:pt idx="44">
                  <c:v>05/05/25</c:v>
                </c:pt>
                <c:pt idx="45">
                  <c:v>12/05/25</c:v>
                </c:pt>
                <c:pt idx="46">
                  <c:v>19/05/25</c:v>
                </c:pt>
                <c:pt idx="47">
                  <c:v>26/05/25</c:v>
                </c:pt>
                <c:pt idx="48">
                  <c:v>02/06/25</c:v>
                </c:pt>
                <c:pt idx="49">
                  <c:v>09/06/25</c:v>
                </c:pt>
                <c:pt idx="50">
                  <c:v>16/06/25</c:v>
                </c:pt>
                <c:pt idx="51">
                  <c:v>23/06/25</c:v>
                </c:pt>
                <c:pt idx="52">
                  <c:v>30/06/25</c:v>
                </c:pt>
                <c:pt idx="53">
                  <c:v>07/07/25</c:v>
                </c:pt>
                <c:pt idx="54">
                  <c:v>14/07/25</c:v>
                </c:pt>
                <c:pt idx="55">
                  <c:v>21/07/25</c:v>
                </c:pt>
                <c:pt idx="56">
                  <c:v>28/07/25</c:v>
                </c:pt>
                <c:pt idx="57">
                  <c:v>04/08/25</c:v>
                </c:pt>
                <c:pt idx="58">
                  <c:v>11/08/25</c:v>
                </c:pt>
                <c:pt idx="59">
                  <c:v>18/08/25</c:v>
                </c:pt>
                <c:pt idx="60">
                  <c:v>25/08/25</c:v>
                </c:pt>
                <c:pt idx="61">
                  <c:v>01/09/25</c:v>
                </c:pt>
                <c:pt idx="62">
                  <c:v>08/09/25</c:v>
                </c:pt>
                <c:pt idx="63">
                  <c:v>15/09/25</c:v>
                </c:pt>
                <c:pt idx="64">
                  <c:v>22/09/25</c:v>
                </c:pt>
                <c:pt idx="65">
                  <c:v>29/09/25</c:v>
                </c:pt>
                <c:pt idx="66">
                  <c:v>06/10/25</c:v>
                </c:pt>
                <c:pt idx="67">
                  <c:v>13/10/25</c:v>
                </c:pt>
                <c:pt idx="68">
                  <c:v>20/10/25</c:v>
                </c:pt>
                <c:pt idx="69">
                  <c:v>27/10/25</c:v>
                </c:pt>
                <c:pt idx="70">
                  <c:v>03/11/25</c:v>
                </c:pt>
                <c:pt idx="71">
                  <c:v>10/11/25</c:v>
                </c:pt>
                <c:pt idx="72">
                  <c:v>17/11/25</c:v>
                </c:pt>
                <c:pt idx="73">
                  <c:v>24/11/25</c:v>
                </c:pt>
                <c:pt idx="74">
                  <c:v>01/12/25</c:v>
                </c:pt>
                <c:pt idx="75">
                  <c:v>08/12/25</c:v>
                </c:pt>
                <c:pt idx="76">
                  <c:v>15/12/25</c:v>
                </c:pt>
                <c:pt idx="77">
                  <c:v>22/12/25</c:v>
                </c:pt>
                <c:pt idx="78">
                  <c:v>29/12/25</c:v>
                </c:pt>
                <c:pt idx="79">
                  <c:v>05/01/26</c:v>
                </c:pt>
                <c:pt idx="80">
                  <c:v>12/01/26</c:v>
                </c:pt>
                <c:pt idx="81">
                  <c:v>19/01/26</c:v>
                </c:pt>
                <c:pt idx="82">
                  <c:v>26/01/26</c:v>
                </c:pt>
                <c:pt idx="83">
                  <c:v>02/02/26</c:v>
                </c:pt>
                <c:pt idx="84">
                  <c:v>09/02/26</c:v>
                </c:pt>
                <c:pt idx="85">
                  <c:v>16/02/26</c:v>
                </c:pt>
                <c:pt idx="86">
                  <c:v>23/02/26</c:v>
                </c:pt>
                <c:pt idx="87">
                  <c:v>02/03/26</c:v>
                </c:pt>
                <c:pt idx="88">
                  <c:v>09/03/26</c:v>
                </c:pt>
                <c:pt idx="89">
                  <c:v>16/03/26</c:v>
                </c:pt>
                <c:pt idx="90">
                  <c:v>23/03/26</c:v>
                </c:pt>
                <c:pt idx="91">
                  <c:v>30/03/26</c:v>
                </c:pt>
                <c:pt idx="92">
                  <c:v>06/04/26</c:v>
                </c:pt>
                <c:pt idx="93">
                  <c:v>13/04/26</c:v>
                </c:pt>
                <c:pt idx="94">
                  <c:v>20/04/26</c:v>
                </c:pt>
                <c:pt idx="95">
                  <c:v>27/04/26</c:v>
                </c:pt>
                <c:pt idx="96">
                  <c:v>04/05/26</c:v>
                </c:pt>
                <c:pt idx="97">
                  <c:v>11/05/26</c:v>
                </c:pt>
                <c:pt idx="98">
                  <c:v>18/05/26</c:v>
                </c:pt>
                <c:pt idx="99">
                  <c:v>25/05/26</c:v>
                </c:pt>
                <c:pt idx="100">
                  <c:v>01/06/26</c:v>
                </c:pt>
                <c:pt idx="101">
                  <c:v>08/06/26</c:v>
                </c:pt>
                <c:pt idx="102">
                  <c:v>15/06/26</c:v>
                </c:pt>
                <c:pt idx="103">
                  <c:v>22/06/26</c:v>
                </c:pt>
                <c:pt idx="104">
                  <c:v>29/06/26</c:v>
                </c:pt>
                <c:pt idx="105">
                  <c:v>06/07/26</c:v>
                </c:pt>
                <c:pt idx="106">
                  <c:v>13/07/26</c:v>
                </c:pt>
                <c:pt idx="107">
                  <c:v>20/07/26</c:v>
                </c:pt>
                <c:pt idx="108">
                  <c:v>27/07/26</c:v>
                </c:pt>
                <c:pt idx="109">
                  <c:v>03/08/26</c:v>
                </c:pt>
                <c:pt idx="110">
                  <c:v>10/08/26</c:v>
                </c:pt>
                <c:pt idx="111">
                  <c:v>17/08/26</c:v>
                </c:pt>
                <c:pt idx="112">
                  <c:v>24/08/26</c:v>
                </c:pt>
                <c:pt idx="113">
                  <c:v>31/08/26</c:v>
                </c:pt>
                <c:pt idx="114">
                  <c:v>07/09/26</c:v>
                </c:pt>
                <c:pt idx="115">
                  <c:v>14/09/26</c:v>
                </c:pt>
                <c:pt idx="116">
                  <c:v>21/09/26</c:v>
                </c:pt>
                <c:pt idx="117">
                  <c:v>28/09/26</c:v>
                </c:pt>
                <c:pt idx="118">
                  <c:v>05/10/26</c:v>
                </c:pt>
                <c:pt idx="119">
                  <c:v>12/10/26</c:v>
                </c:pt>
                <c:pt idx="120">
                  <c:v>19/10/26</c:v>
                </c:pt>
                <c:pt idx="121">
                  <c:v>26/10/26</c:v>
                </c:pt>
                <c:pt idx="122">
                  <c:v>02/11/26</c:v>
                </c:pt>
                <c:pt idx="123">
                  <c:v>09/11/26</c:v>
                </c:pt>
                <c:pt idx="124">
                  <c:v>16/11/26</c:v>
                </c:pt>
                <c:pt idx="125">
                  <c:v>23/11/26</c:v>
                </c:pt>
                <c:pt idx="126">
                  <c:v>30/11/26</c:v>
                </c:pt>
                <c:pt idx="127">
                  <c:v>07/12/26</c:v>
                </c:pt>
                <c:pt idx="128">
                  <c:v>14/12/26</c:v>
                </c:pt>
                <c:pt idx="129">
                  <c:v>21/12/26</c:v>
                </c:pt>
                <c:pt idx="130">
                  <c:v>28/12/26</c:v>
                </c:pt>
              </c:strCache>
            </c:strRef>
          </c:cat>
          <c:val>
            <c:numRef>
              <c:f>'Plan OG'!$L$5:$DH$5</c:f>
              <c:numCache>
                <c:formatCode>0.0%</c:formatCode>
                <c:ptCount val="101"/>
                <c:pt idx="0">
                  <c:v>8.7813632965295718E-5</c:v>
                </c:pt>
                <c:pt idx="1">
                  <c:v>6.6812110374114548E-4</c:v>
                </c:pt>
                <c:pt idx="2">
                  <c:v>1.3453056290573008E-3</c:v>
                </c:pt>
                <c:pt idx="3">
                  <c:v>2.743673774785885E-3</c:v>
                </c:pt>
                <c:pt idx="4">
                  <c:v>4.1585334948187752E-3</c:v>
                </c:pt>
                <c:pt idx="5">
                  <c:v>5.4130936391348109E-3</c:v>
                </c:pt>
                <c:pt idx="6">
                  <c:v>1.8234166299858048E-2</c:v>
                </c:pt>
                <c:pt idx="7">
                  <c:v>3.8009615156600562E-2</c:v>
                </c:pt>
                <c:pt idx="8">
                  <c:v>6.4491758140071215E-2</c:v>
                </c:pt>
                <c:pt idx="9">
                  <c:v>7.8331185624393451E-2</c:v>
                </c:pt>
                <c:pt idx="10">
                  <c:v>0.1146234467659399</c:v>
                </c:pt>
                <c:pt idx="11">
                  <c:v>0.11920820609673356</c:v>
                </c:pt>
                <c:pt idx="12">
                  <c:v>0.13918839051965826</c:v>
                </c:pt>
                <c:pt idx="13">
                  <c:v>0.15298330131138119</c:v>
                </c:pt>
                <c:pt idx="14">
                  <c:v>0.16313526936210079</c:v>
                </c:pt>
                <c:pt idx="15">
                  <c:v>0.17728442608939621</c:v>
                </c:pt>
                <c:pt idx="16">
                  <c:v>0.20244558590632325</c:v>
                </c:pt>
                <c:pt idx="17">
                  <c:v>0.23473980960886717</c:v>
                </c:pt>
                <c:pt idx="18">
                  <c:v>0.26643267561223716</c:v>
                </c:pt>
                <c:pt idx="19">
                  <c:v>0.28328482684440498</c:v>
                </c:pt>
                <c:pt idx="20">
                  <c:v>0.3129128908072582</c:v>
                </c:pt>
                <c:pt idx="21">
                  <c:v>0.3318461408551564</c:v>
                </c:pt>
                <c:pt idx="22">
                  <c:v>0.35521971985243211</c:v>
                </c:pt>
                <c:pt idx="23">
                  <c:v>0.36936995170488518</c:v>
                </c:pt>
                <c:pt idx="24">
                  <c:v>0.39055046494770779</c:v>
                </c:pt>
                <c:pt idx="25">
                  <c:v>0.40022233281096736</c:v>
                </c:pt>
                <c:pt idx="26">
                  <c:v>0.40022233281096736</c:v>
                </c:pt>
                <c:pt idx="27">
                  <c:v>0.40022233281096736</c:v>
                </c:pt>
                <c:pt idx="28">
                  <c:v>0.40517273761708056</c:v>
                </c:pt>
                <c:pt idx="29">
                  <c:v>0.4147678820587265</c:v>
                </c:pt>
                <c:pt idx="30">
                  <c:v>0.42226946656528047</c:v>
                </c:pt>
                <c:pt idx="31">
                  <c:v>0.43002345069950854</c:v>
                </c:pt>
                <c:pt idx="32">
                  <c:v>0.437870106814856</c:v>
                </c:pt>
                <c:pt idx="33">
                  <c:v>0.44564743055365674</c:v>
                </c:pt>
                <c:pt idx="34">
                  <c:v>0.45719828923287198</c:v>
                </c:pt>
                <c:pt idx="35">
                  <c:v>0.47164457426556566</c:v>
                </c:pt>
                <c:pt idx="36">
                  <c:v>0.48869814226497976</c:v>
                </c:pt>
                <c:pt idx="37">
                  <c:v>0.50755299780308494</c:v>
                </c:pt>
                <c:pt idx="38">
                  <c:v>0.52787303521555784</c:v>
                </c:pt>
                <c:pt idx="39">
                  <c:v>0.54795100045053635</c:v>
                </c:pt>
                <c:pt idx="40">
                  <c:v>0.58030766896042707</c:v>
                </c:pt>
                <c:pt idx="41">
                  <c:v>0.61832557608117356</c:v>
                </c:pt>
                <c:pt idx="42">
                  <c:v>0.6712434547318078</c:v>
                </c:pt>
                <c:pt idx="43">
                  <c:v>0.71799968462449737</c:v>
                </c:pt>
                <c:pt idx="44">
                  <c:v>0.76303364454265243</c:v>
                </c:pt>
                <c:pt idx="45">
                  <c:v>0.8068573296977003</c:v>
                </c:pt>
                <c:pt idx="46">
                  <c:v>0.85135833115346771</c:v>
                </c:pt>
                <c:pt idx="47">
                  <c:v>0.88049570385618781</c:v>
                </c:pt>
                <c:pt idx="48">
                  <c:v>0.90836161176626251</c:v>
                </c:pt>
                <c:pt idx="49">
                  <c:v>0.935822329493875</c:v>
                </c:pt>
                <c:pt idx="50">
                  <c:v>0.95222153309458635</c:v>
                </c:pt>
                <c:pt idx="51">
                  <c:v>0.9611238642004587</c:v>
                </c:pt>
                <c:pt idx="52">
                  <c:v>0.96905095498710314</c:v>
                </c:pt>
                <c:pt idx="53">
                  <c:v>0.97413818419013642</c:v>
                </c:pt>
                <c:pt idx="54">
                  <c:v>0.97858599479572117</c:v>
                </c:pt>
                <c:pt idx="55">
                  <c:v>0.98163119828737866</c:v>
                </c:pt>
                <c:pt idx="56">
                  <c:v>0.99079818605180281</c:v>
                </c:pt>
                <c:pt idx="57">
                  <c:v>0.99352444614786584</c:v>
                </c:pt>
                <c:pt idx="58">
                  <c:v>0.99614265623983411</c:v>
                </c:pt>
                <c:pt idx="59">
                  <c:v>0.99999999999999978</c:v>
                </c:pt>
                <c:pt idx="60">
                  <c:v>0.99999999999999978</c:v>
                </c:pt>
                <c:pt idx="61">
                  <c:v>0.99999999999999978</c:v>
                </c:pt>
                <c:pt idx="62">
                  <c:v>0.99999999999999978</c:v>
                </c:pt>
                <c:pt idx="63">
                  <c:v>0.99999999999999978</c:v>
                </c:pt>
                <c:pt idx="64">
                  <c:v>0.99999999999999978</c:v>
                </c:pt>
                <c:pt idx="65">
                  <c:v>0.99999999999999978</c:v>
                </c:pt>
                <c:pt idx="66">
                  <c:v>0.99999999999999978</c:v>
                </c:pt>
                <c:pt idx="67">
                  <c:v>0.99999999999999978</c:v>
                </c:pt>
                <c:pt idx="68">
                  <c:v>0.99999999999999978</c:v>
                </c:pt>
                <c:pt idx="69">
                  <c:v>0.99999999999999978</c:v>
                </c:pt>
                <c:pt idx="70">
                  <c:v>0.99999999999999978</c:v>
                </c:pt>
                <c:pt idx="71">
                  <c:v>0.99999999999999978</c:v>
                </c:pt>
                <c:pt idx="72">
                  <c:v>0.99999999999999978</c:v>
                </c:pt>
                <c:pt idx="73">
                  <c:v>0.99999999999999978</c:v>
                </c:pt>
                <c:pt idx="74">
                  <c:v>0.99999999999999978</c:v>
                </c:pt>
                <c:pt idx="75">
                  <c:v>0.99999999999999978</c:v>
                </c:pt>
                <c:pt idx="76">
                  <c:v>0.99999999999999978</c:v>
                </c:pt>
                <c:pt idx="77">
                  <c:v>0.99999999999999978</c:v>
                </c:pt>
                <c:pt idx="78">
                  <c:v>0.99999999999999978</c:v>
                </c:pt>
                <c:pt idx="79">
                  <c:v>0.99999999999999978</c:v>
                </c:pt>
                <c:pt idx="80">
                  <c:v>0.99999999999999978</c:v>
                </c:pt>
                <c:pt idx="81">
                  <c:v>0.99999999999999978</c:v>
                </c:pt>
                <c:pt idx="82">
                  <c:v>0.99999999999999978</c:v>
                </c:pt>
                <c:pt idx="83">
                  <c:v>0.99999999999999978</c:v>
                </c:pt>
                <c:pt idx="84">
                  <c:v>0.99999999999999978</c:v>
                </c:pt>
                <c:pt idx="85">
                  <c:v>0.99999999999999978</c:v>
                </c:pt>
                <c:pt idx="86">
                  <c:v>0.99999999999999978</c:v>
                </c:pt>
                <c:pt idx="87">
                  <c:v>0.99999999999999978</c:v>
                </c:pt>
                <c:pt idx="88">
                  <c:v>0.99999999999999978</c:v>
                </c:pt>
                <c:pt idx="89">
                  <c:v>0.99999999999999978</c:v>
                </c:pt>
                <c:pt idx="90">
                  <c:v>0.99999999999999978</c:v>
                </c:pt>
                <c:pt idx="91">
                  <c:v>0.99999999999999978</c:v>
                </c:pt>
                <c:pt idx="92">
                  <c:v>0.99999999999999978</c:v>
                </c:pt>
                <c:pt idx="93">
                  <c:v>0.99999999999999978</c:v>
                </c:pt>
                <c:pt idx="94">
                  <c:v>0.99999999999999978</c:v>
                </c:pt>
                <c:pt idx="95">
                  <c:v>0.99999999999999978</c:v>
                </c:pt>
                <c:pt idx="96">
                  <c:v>0.99999999999999978</c:v>
                </c:pt>
                <c:pt idx="97">
                  <c:v>0.99999999999999978</c:v>
                </c:pt>
                <c:pt idx="98">
                  <c:v>0.99999999999999978</c:v>
                </c:pt>
                <c:pt idx="99">
                  <c:v>0.99999999999999978</c:v>
                </c:pt>
                <c:pt idx="100">
                  <c:v>0.99999999999999978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 OG'!$L$143:$DH$143</c15:f>
                <c15:dlblRangeCache>
                  <c:ptCount val="101"/>
                  <c:pt idx="0">
                    <c:v>0,0%</c:v>
                  </c:pt>
                  <c:pt idx="2">
                    <c:v>0,1%</c:v>
                  </c:pt>
                  <c:pt idx="4">
                    <c:v>0,4%</c:v>
                  </c:pt>
                  <c:pt idx="6">
                    <c:v>1,8%</c:v>
                  </c:pt>
                  <c:pt idx="8">
                    <c:v>6,4%</c:v>
                  </c:pt>
                  <c:pt idx="10">
                    <c:v>11,5%</c:v>
                  </c:pt>
                  <c:pt idx="12">
                    <c:v>13,9%</c:v>
                  </c:pt>
                  <c:pt idx="14">
                    <c:v>16,3%</c:v>
                  </c:pt>
                  <c:pt idx="16">
                    <c:v>20,2%</c:v>
                  </c:pt>
                  <c:pt idx="18">
                    <c:v>26,6%</c:v>
                  </c:pt>
                  <c:pt idx="20">
                    <c:v>31,3%</c:v>
                  </c:pt>
                  <c:pt idx="22">
                    <c:v>35,5%</c:v>
                  </c:pt>
                  <c:pt idx="24">
                    <c:v>39,1%</c:v>
                  </c:pt>
                  <c:pt idx="26">
                    <c:v>40,0%</c:v>
                  </c:pt>
                  <c:pt idx="28">
                    <c:v>40,5%</c:v>
                  </c:pt>
                  <c:pt idx="30">
                    <c:v>42,2%</c:v>
                  </c:pt>
                  <c:pt idx="32">
                    <c:v>43,8%</c:v>
                  </c:pt>
                  <c:pt idx="34">
                    <c:v>45,7%</c:v>
                  </c:pt>
                  <c:pt idx="36">
                    <c:v>48,9%</c:v>
                  </c:pt>
                  <c:pt idx="38">
                    <c:v>52,8%</c:v>
                  </c:pt>
                  <c:pt idx="40">
                    <c:v>58,0%</c:v>
                  </c:pt>
                  <c:pt idx="42">
                    <c:v>67,1%</c:v>
                  </c:pt>
                  <c:pt idx="44">
                    <c:v>76,3%</c:v>
                  </c:pt>
                  <c:pt idx="46">
                    <c:v>85,1%</c:v>
                  </c:pt>
                  <c:pt idx="48">
                    <c:v>90,8%</c:v>
                  </c:pt>
                  <c:pt idx="50">
                    <c:v>95,2%</c:v>
                  </c:pt>
                  <c:pt idx="52">
                    <c:v>96,9%</c:v>
                  </c:pt>
                  <c:pt idx="54">
                    <c:v>97,9%</c:v>
                  </c:pt>
                  <c:pt idx="56">
                    <c:v>99,1%</c:v>
                  </c:pt>
                  <c:pt idx="58">
                    <c:v>99,6%</c:v>
                  </c:pt>
                  <c:pt idx="60">
                    <c:v>100,0%</c:v>
                  </c:pt>
                  <c:pt idx="62">
                    <c:v>100,0%</c:v>
                  </c:pt>
                  <c:pt idx="64">
                    <c:v>100,0%</c:v>
                  </c:pt>
                  <c:pt idx="66">
                    <c:v>100,0%</c:v>
                  </c:pt>
                  <c:pt idx="68">
                    <c:v>100,0%</c:v>
                  </c:pt>
                  <c:pt idx="70">
                    <c:v>100,0%</c:v>
                  </c:pt>
                  <c:pt idx="72">
                    <c:v>100,0%</c:v>
                  </c:pt>
                  <c:pt idx="74">
                    <c:v>100,0%</c:v>
                  </c:pt>
                  <c:pt idx="76">
                    <c:v>100,0%</c:v>
                  </c:pt>
                  <c:pt idx="78">
                    <c:v>100,0%</c:v>
                  </c:pt>
                  <c:pt idx="80">
                    <c:v>100,0%</c:v>
                  </c:pt>
                  <c:pt idx="82">
                    <c:v>100,0%</c:v>
                  </c:pt>
                  <c:pt idx="84">
                    <c:v>100,0%</c:v>
                  </c:pt>
                  <c:pt idx="86">
                    <c:v>100,0%</c:v>
                  </c:pt>
                  <c:pt idx="88">
                    <c:v>100,0%</c:v>
                  </c:pt>
                  <c:pt idx="90">
                    <c:v>100,0%</c:v>
                  </c:pt>
                  <c:pt idx="92">
                    <c:v>100,0%</c:v>
                  </c:pt>
                  <c:pt idx="94">
                    <c:v>100,0%</c:v>
                  </c:pt>
                  <c:pt idx="96">
                    <c:v>100,0%</c:v>
                  </c:pt>
                  <c:pt idx="98">
                    <c:v>100,0%</c:v>
                  </c:pt>
                  <c:pt idx="100">
                    <c:v>100,0%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BEB6-4B13-99BE-3EC0528A6553}"/>
            </c:ext>
          </c:extLst>
        </c:ser>
        <c:ser>
          <c:idx val="1"/>
          <c:order val="1"/>
          <c:tx>
            <c:strRef>
              <c:f>'Dashboard Completo'!$N$3</c:f>
              <c:strCache>
                <c:ptCount val="1"/>
                <c:pt idx="0">
                  <c:v>Reprogramación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26DF-4401-94F0-67706FA1A9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4C59CE-DF8D-432A-82E8-B98AFE39AB4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5-26DF-4401-94F0-67706FA1A92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26DF-4401-94F0-67706FA1A92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38804F7-6681-4114-9FDC-83964A4EEB5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6-26DF-4401-94F0-67706FA1A92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26DF-4401-94F0-67706FA1A92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236B9DC-BBA5-4688-9874-312652148FF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BEB6-4B13-99BE-3EC0528A655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26DF-4401-94F0-67706FA1A92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5600709-A57A-4034-B886-2D85D81F482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7-26DF-4401-94F0-67706FA1A92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26DF-4401-94F0-67706FA1A92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47A1A82-BF71-4005-95A2-34A6B5D6501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BEB6-4B13-99BE-3EC0528A655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26DF-4401-94F0-67706FA1A92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D311E07-83DA-4752-B831-02E6F3D7512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8-26DF-4401-94F0-67706FA1A92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26DF-4401-94F0-67706FA1A92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64F31F1-CAE0-4D1A-95EF-9277919057D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9-26DF-4401-94F0-67706FA1A92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EB6-4B13-99BE-3EC0528A655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6B2C9E8-07ED-4063-BCB0-A6BD08B7366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A-26DF-4401-94F0-67706FA1A92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26DF-4401-94F0-67706FA1A92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9078610-4729-4328-8908-732E377FAC3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B-26DF-4401-94F0-67706FA1A92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EB6-4B13-99BE-3EC0528A655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04F78F4-A365-427D-9A9B-E762C4CFF67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C-26DF-4401-94F0-67706FA1A92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26DF-4401-94F0-67706FA1A92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E0B4397-8FCC-449B-9F1D-2AE30D1719B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D-26DF-4401-94F0-67706FA1A92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EB6-4B13-99BE-3EC0528A655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C2186E6-DBF8-47A8-904E-85AFF2693CC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E-26DF-4401-94F0-67706FA1A92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26DF-4401-94F0-67706FA1A92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AB5F3EC-97C7-48A9-85F0-D2D7C7B6B69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F-26DF-4401-94F0-67706FA1A92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26DF-4401-94F0-67706FA1A92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B310402-CBCC-4C8F-872D-32FBA60B1F6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BEB6-4B13-99BE-3EC0528A655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26DF-4401-94F0-67706FA1A92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B4952487-098B-4026-AE4D-4A0DB388CD6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0-26DF-4401-94F0-67706FA1A92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26DF-4401-94F0-67706FA1A92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F5551ED-8E3B-4FFC-9F7F-AB248B7D9E5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BEB6-4B13-99BE-3EC0528A6553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26DF-4401-94F0-67706FA1A92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D6C8B16D-A07A-4B4B-8008-C497149A100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1-26DF-4401-94F0-67706FA1A92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26DF-4401-94F0-67706FA1A92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72C49952-EB53-4FFF-9D90-FBEAA44836D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BEB6-4B13-99BE-3EC0528A6553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26DF-4401-94F0-67706FA1A92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E0667CE-F527-4BF8-959D-4C96F7D125B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2-26DF-4401-94F0-67706FA1A92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26DF-4401-94F0-67706FA1A92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D200C32-D2DA-452D-A0F2-1376835B079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3-26DF-4401-94F0-67706FA1A92C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EB6-4B13-99BE-3EC0528A655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EDA423AA-5D31-44B8-B19E-D4BA2471FF1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4-26DF-4401-94F0-67706FA1A92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26DF-4401-94F0-67706FA1A92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A1EE5431-5680-4D14-841F-7F6C28B12FD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5-26DF-4401-94F0-67706FA1A92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EB6-4B13-99BE-3EC0528A655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24308D35-29E7-4518-9B9D-4ACCCB2A2B0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6-26DF-4401-94F0-67706FA1A92C}"/>
                </c:ext>
              </c:extLst>
            </c:dLbl>
            <c:dLbl>
              <c:idx val="46"/>
              <c:layout>
                <c:manualLayout>
                  <c:x val="-2.2811475808105199E-2"/>
                  <c:y val="-0.160997375328084"/>
                </c:manualLayout>
              </c:layout>
              <c:tx>
                <c:rich>
                  <a:bodyPr/>
                  <a:lstStyle/>
                  <a:p>
                    <a:fld id="{4D560243-D9A6-47B6-A1E5-A88D3F4D610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E-26DF-4401-94F0-67706FA1A92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9DD8EB02-65EC-4EF8-8526-2FE058EAC2F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7-26DF-4401-94F0-67706FA1A92C}"/>
                </c:ext>
              </c:extLst>
            </c:dLbl>
            <c:dLbl>
              <c:idx val="48"/>
              <c:layout>
                <c:manualLayout>
                  <c:x val="-3.2391447223434434E-2"/>
                  <c:y val="0.151502624671916"/>
                </c:manualLayout>
              </c:layout>
              <c:tx>
                <c:rich>
                  <a:bodyPr/>
                  <a:lstStyle/>
                  <a:p>
                    <a:fld id="{B1B42F9D-5A6B-4D7C-B3B9-189D8E66776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F-26DF-4401-94F0-67706FA1A92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7FE5C643-180B-4765-93E8-5EAAF4EB89D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BEB6-4B13-99BE-3EC0528A6553}"/>
                </c:ext>
              </c:extLst>
            </c:dLbl>
            <c:dLbl>
              <c:idx val="50"/>
              <c:layout>
                <c:manualLayout>
                  <c:x val="-1.8981232227659257E-2"/>
                  <c:y val="-0.192247375328084"/>
                </c:manualLayout>
              </c:layout>
              <c:tx>
                <c:rich>
                  <a:bodyPr/>
                  <a:lstStyle/>
                  <a:p>
                    <a:fld id="{1745E737-F13C-4BB1-8695-38D3B29FA56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0-26DF-4401-94F0-67706FA1A92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0F335BA5-AA41-40AF-903B-31C1D01CA4E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8-26DF-4401-94F0-67706FA1A92C}"/>
                </c:ext>
              </c:extLst>
            </c:dLbl>
            <c:dLbl>
              <c:idx val="52"/>
              <c:layout>
                <c:manualLayout>
                  <c:x val="-2.856601739660471E-2"/>
                  <c:y val="0.15671095800524928"/>
                </c:manualLayout>
              </c:layout>
              <c:tx>
                <c:rich>
                  <a:bodyPr/>
                  <a:lstStyle/>
                  <a:p>
                    <a:fld id="{40F3C436-A466-47AB-B471-ABF936CC1A8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1-26DF-4401-94F0-67706FA1A92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8ED5B9C1-D02C-4166-8692-F6173BA8ED0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BEB6-4B13-99BE-3EC0528A6553}"/>
                </c:ext>
              </c:extLst>
            </c:dLbl>
            <c:dLbl>
              <c:idx val="54"/>
              <c:layout>
                <c:manualLayout>
                  <c:x val="-1.7056934219605545E-2"/>
                  <c:y val="-0.207872375328084"/>
                </c:manualLayout>
              </c:layout>
              <c:tx>
                <c:rich>
                  <a:bodyPr/>
                  <a:lstStyle/>
                  <a:p>
                    <a:fld id="{491C6250-45E7-441D-B067-D161D4B4C24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2-26DF-4401-94F0-67706FA1A92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15B38A93-A9A8-44DC-B0C4-E3049F04350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9-26DF-4401-94F0-67706FA1A92C}"/>
                </c:ext>
              </c:extLst>
            </c:dLbl>
            <c:dLbl>
              <c:idx val="56"/>
              <c:layout>
                <c:manualLayout>
                  <c:x val="-2.2839353031684259E-2"/>
                  <c:y val="0.15671095800524934"/>
                </c:manualLayout>
              </c:layout>
              <c:tx>
                <c:rich>
                  <a:bodyPr/>
                  <a:lstStyle/>
                  <a:p>
                    <a:fld id="{0EEEFB66-81F6-4451-BB74-A4955644A34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3-26DF-4401-94F0-67706FA1A92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4ADC76DC-5D48-40E3-83D2-C47DF868575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BEB6-4B13-99BE-3EC0528A6553}"/>
                </c:ext>
              </c:extLst>
            </c:dLbl>
            <c:dLbl>
              <c:idx val="58"/>
              <c:layout>
                <c:manualLayout>
                  <c:x val="-9.4059241361456585E-3"/>
                  <c:y val="-0.21828904199475066"/>
                </c:manualLayout>
              </c:layout>
              <c:tx>
                <c:rich>
                  <a:bodyPr/>
                  <a:lstStyle/>
                  <a:p>
                    <a:fld id="{623B17D2-ADBD-4E02-9D9F-C4EC2D213FC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4-26DF-4401-94F0-67706FA1A92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0307C373-A714-45E7-8C5C-10B7D675E4A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A-26DF-4401-94F0-67706FA1A92C}"/>
                </c:ext>
              </c:extLst>
            </c:dLbl>
            <c:dLbl>
              <c:idx val="60"/>
              <c:layout>
                <c:manualLayout>
                  <c:x val="-9.7477006428918385E-3"/>
                  <c:y val="8.9002624671916011E-2"/>
                </c:manualLayout>
              </c:layout>
              <c:tx>
                <c:rich>
                  <a:bodyPr/>
                  <a:lstStyle/>
                  <a:p>
                    <a:fld id="{A8F18383-D9B8-4FDA-BDBF-82B4C121DAB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B-26DF-4401-94F0-67706FA1A92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A3B96DE0-45A5-4F48-B0D4-414167B60D2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BEB6-4B13-99BE-3EC0528A6553}"/>
                </c:ext>
              </c:extLst>
            </c:dLbl>
            <c:dLbl>
              <c:idx val="62"/>
              <c:layout>
                <c:manualLayout>
                  <c:x val="-1.323150439277589E-2"/>
                  <c:y val="-0.11412237532808399"/>
                </c:manualLayout>
              </c:layout>
              <c:tx>
                <c:rich>
                  <a:bodyPr/>
                  <a:lstStyle/>
                  <a:p>
                    <a:fld id="{16D9476F-A1D6-46D0-8818-ADFBFD11402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C-26DF-4401-94F0-67706FA1A92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D4699FA0-B94B-476A-90D0-21545DB1DB8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D-26DF-4401-94F0-67706FA1A92C}"/>
                </c:ext>
              </c:extLst>
            </c:dLbl>
            <c:dLbl>
              <c:idx val="64"/>
              <c:layout>
                <c:manualLayout>
                  <c:x val="-1.3282349665346345E-2"/>
                  <c:y val="0.1098359580052493"/>
                </c:manualLayout>
              </c:layout>
              <c:tx>
                <c:rich>
                  <a:bodyPr/>
                  <a:lstStyle/>
                  <a:p>
                    <a:fld id="{2BA8E90D-D74E-497D-A656-9415721B750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E-26DF-4401-94F0-67706FA1A92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8DF30E26-9C07-49D8-9C22-4C967B2A269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BEB6-4B13-99BE-3EC0528A6553}"/>
                </c:ext>
              </c:extLst>
            </c:dLbl>
            <c:dLbl>
              <c:idx val="66"/>
              <c:layout>
                <c:manualLayout>
                  <c:x val="-1.1330222144199299E-2"/>
                  <c:y val="-9.328904199475066E-2"/>
                </c:manualLayout>
              </c:layout>
              <c:tx>
                <c:rich>
                  <a:bodyPr/>
                  <a:lstStyle/>
                  <a:p>
                    <a:fld id="{24F58CFD-F563-412E-B581-7E9C5ECCC3A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F-26DF-4401-94F0-67706FA1A92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D93EEA01-2D0C-411C-BE82-77926FAA3A9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0-26DF-4401-94F0-67706FA1A92C}"/>
                </c:ext>
              </c:extLst>
            </c:dLbl>
            <c:dLbl>
              <c:idx val="68"/>
              <c:layout>
                <c:manualLayout>
                  <c:x val="-1.5223646240857135E-2"/>
                  <c:y val="0.151502624671916"/>
                </c:manualLayout>
              </c:layout>
              <c:tx>
                <c:rich>
                  <a:bodyPr/>
                  <a:lstStyle/>
                  <a:p>
                    <a:fld id="{EADCEAD8-70DB-48C1-B6FB-20D4DE23FFD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1-26DF-4401-94F0-67706FA1A92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2824F35A-BD7E-4B69-9735-A15EADCB946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2-26DF-4401-94F0-67706FA1A92C}"/>
                </c:ext>
              </c:extLst>
            </c:dLbl>
            <c:dLbl>
              <c:idx val="70"/>
              <c:layout>
                <c:manualLayout>
                  <c:x val="-5.575078836497699E-3"/>
                  <c:y val="-7.2455708661417317E-2"/>
                </c:manualLayout>
              </c:layout>
              <c:tx>
                <c:rich>
                  <a:bodyPr/>
                  <a:lstStyle/>
                  <a:p>
                    <a:fld id="{13A40B7F-6E6E-487F-839C-031A5C6FC7E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BEB6-4B13-99BE-3EC0528A655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3504C39B-05AE-4C66-830A-14C1C01FDB1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3-26DF-4401-94F0-67706FA1A92C}"/>
                </c:ext>
              </c:extLst>
            </c:dLbl>
            <c:dLbl>
              <c:idx val="72"/>
              <c:layout>
                <c:manualLayout>
                  <c:x val="-1.5161518733248771E-2"/>
                  <c:y val="0.19754511154855642"/>
                </c:manualLayout>
              </c:layout>
              <c:tx>
                <c:rich>
                  <a:bodyPr/>
                  <a:lstStyle/>
                  <a:p>
                    <a:fld id="{169C1A75-08F1-4D12-967A-9DF3DCD7D96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224-4A41-BB45-E77899F01D2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9240CFB7-BC90-4260-9945-E11EC8382AE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4-26DF-4401-94F0-67706FA1A92C}"/>
                </c:ext>
              </c:extLst>
            </c:dLbl>
            <c:dLbl>
              <c:idx val="74"/>
              <c:layout>
                <c:manualLayout>
                  <c:x val="5.8927865751632275E-3"/>
                  <c:y val="-6.2381479658792649E-2"/>
                </c:manualLayout>
              </c:layout>
              <c:tx>
                <c:rich>
                  <a:bodyPr/>
                  <a:lstStyle/>
                  <a:p>
                    <a:fld id="{E22A2AB9-F001-4D62-B6EA-40C95E9AA45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BEB6-4B13-99BE-3EC0528A6553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5E0D31F3-6C17-40B8-B8DC-1572E9E9E5C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5-26DF-4401-94F0-67706FA1A92C}"/>
                </c:ext>
              </c:extLst>
            </c:dLbl>
            <c:dLbl>
              <c:idx val="76"/>
              <c:layout>
                <c:manualLayout>
                  <c:x val="-5.5908739655506729E-3"/>
                  <c:y val="0.200498687664042"/>
                </c:manualLayout>
              </c:layout>
              <c:tx>
                <c:rich>
                  <a:bodyPr/>
                  <a:lstStyle/>
                  <a:p>
                    <a:fld id="{AB001475-9F96-4643-AE2B-8FCAAB672ED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6-26DF-4401-94F0-67706FA1A92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C971DE22-696D-4F6F-8A49-F47396E9117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7-26DF-4401-94F0-67706FA1A92C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26DF-4401-94F0-67706FA1A92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FD78585E-5221-4B7D-82B6-502C95DC017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8-26DF-4401-94F0-67706FA1A92C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26DF-4401-94F0-67706FA1A92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73C12932-07BB-4D6D-A5C1-B42A76AFFE1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9-26DF-4401-94F0-67706FA1A92C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26DF-4401-94F0-67706FA1A92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8D1FED3A-427A-4FF9-A4D7-3E033109DCB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A-26DF-4401-94F0-67706FA1A92C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26DF-4401-94F0-67706FA1A92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52C54FF4-DED6-4CD8-8381-7B64C174CEF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B-26DF-4401-94F0-67706FA1A92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26DF-4401-94F0-67706FA1A92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DA6B14F7-7E7C-48E9-9C43-CB1A93D4467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C-26DF-4401-94F0-67706FA1A92C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26DF-4401-94F0-67706FA1A92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FF316956-AEEA-40CC-90E8-4CB906FE0B6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D-26DF-4401-94F0-67706FA1A92C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26DF-4401-94F0-67706FA1A92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6B0CDEFF-8F44-4A98-8270-EDE484501CE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E-26DF-4401-94F0-67706FA1A92C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26DF-4401-94F0-67706FA1A92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41585CC0-9226-4D2A-8EF2-59769EBA85B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EF-26DF-4401-94F0-67706FA1A92C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26DF-4401-94F0-67706FA1A92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2E99E469-0568-4C39-9B13-C6AB8FB2140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D7B-4A60-802D-61C636899448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26DF-4401-94F0-67706FA1A92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5CE3F94B-78F3-4F9D-AB3D-BB4FAF58135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0-26DF-4401-94F0-67706FA1A92C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26DF-4401-94F0-67706FA1A92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309D9D4D-E0FF-49D2-961F-7D4A1E2CD0C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1-26DF-4401-94F0-67706FA1A92C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26DF-4401-94F0-67706FA1A92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257C4E46-753E-4C27-8E4C-54FCE8DFDFF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2-26DF-4401-94F0-67706FA1A92C}"/>
                </c:ext>
              </c:extLst>
            </c:dLbl>
            <c:dLbl>
              <c:idx val="10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26DF-4401-94F0-67706FA1A92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D8DCA866-EDE3-4C38-B55E-2BE73A2337B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3-26DF-4401-94F0-67706FA1A92C}"/>
                </c:ext>
              </c:extLst>
            </c:dLbl>
            <c:dLbl>
              <c:idx val="10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26DF-4401-94F0-67706FA1A92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7B98D83D-EECA-4647-B750-8CABA9C6774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4-26DF-4401-94F0-67706FA1A92C}"/>
                </c:ext>
              </c:extLst>
            </c:dLbl>
            <c:dLbl>
              <c:idx val="10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26DF-4401-94F0-67706FA1A92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F8F09F93-CCC4-4A1C-A374-C235B2F7369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5-26DF-4401-94F0-67706FA1A92C}"/>
                </c:ext>
              </c:extLst>
            </c:dLbl>
            <c:dLbl>
              <c:idx val="1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26DF-4401-94F0-67706FA1A92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399553ED-7FA4-4BEE-AFAA-23647C47378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6-26DF-4401-94F0-67706FA1A92C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26DF-4401-94F0-67706FA1A92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113F150C-FBDA-4F82-8547-C06CA44BDC8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7-26DF-4401-94F0-67706FA1A92C}"/>
                </c:ext>
              </c:extLst>
            </c:dLbl>
            <c:dLbl>
              <c:idx val="1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26DF-4401-94F0-67706FA1A92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A6B874D4-0A4E-4C0E-8B54-886E3F4AC7E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8-26DF-4401-94F0-67706FA1A92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26DF-4401-94F0-67706FA1A92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F4ED2D83-FE08-4803-BA3A-F7ED896FB5E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9-26DF-4401-94F0-67706FA1A92C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26DF-4401-94F0-67706FA1A92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CE23FD57-6DE3-435A-88E7-775F2FED13C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A-26DF-4401-94F0-67706FA1A92C}"/>
                </c:ext>
              </c:extLst>
            </c:dLbl>
            <c:dLbl>
              <c:idx val="1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26DF-4401-94F0-67706FA1A92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6093BF96-7AC7-416D-93F9-4A99CBEF944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B-26DF-4401-94F0-67706FA1A92C}"/>
                </c:ext>
              </c:extLst>
            </c:dLbl>
            <c:dLbl>
              <c:idx val="1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26DF-4401-94F0-67706FA1A92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B11F49AA-89AB-457E-AE59-DE75F342D65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C-26DF-4401-94F0-67706FA1A92C}"/>
                </c:ext>
              </c:extLst>
            </c:dLbl>
            <c:dLbl>
              <c:idx val="1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26DF-4401-94F0-67706FA1A92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B3B85D0B-7938-42DE-B09F-6D56449F787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D-26DF-4401-94F0-67706FA1A92C}"/>
                </c:ext>
              </c:extLst>
            </c:dLbl>
            <c:dLbl>
              <c:idx val="1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26DF-4401-94F0-67706FA1A92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D7FC10A5-51B0-415F-BD6E-661FE923F8B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E-26DF-4401-94F0-67706FA1A92C}"/>
                </c:ext>
              </c:extLst>
            </c:dLbl>
            <c:dLbl>
              <c:idx val="1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26DF-4401-94F0-67706FA1A92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5F2A046C-19FA-42C8-A056-64B4E5774E1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F-26DF-4401-94F0-67706FA1A92C}"/>
                </c:ext>
              </c:extLst>
            </c:dLbl>
            <c:dLbl>
              <c:idx val="1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26DF-4401-94F0-67706FA1A92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2FF24F43-0201-4F40-BA46-E560923660D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00-26DF-4401-94F0-67706FA1A92C}"/>
                </c:ext>
              </c:extLst>
            </c:dLbl>
            <c:dLbl>
              <c:idx val="130"/>
              <c:layout>
                <c:manualLayout>
                  <c:x val="-0.17055776471257919"/>
                  <c:y val="-1.4025590551181103E-4"/>
                </c:manualLayout>
              </c:layout>
              <c:tx>
                <c:rich>
                  <a:bodyPr/>
                  <a:lstStyle/>
                  <a:p>
                    <a:fld id="{6EBD73F8-6A09-4B7A-A582-F129C93C608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01-26DF-4401-94F0-67706FA1A92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27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100'!$I$5:$EI$5</c:f>
              <c:strCache>
                <c:ptCount val="131"/>
                <c:pt idx="0">
                  <c:v>01/07/24</c:v>
                </c:pt>
                <c:pt idx="1">
                  <c:v>08/07/24</c:v>
                </c:pt>
                <c:pt idx="2">
                  <c:v>15/07/24</c:v>
                </c:pt>
                <c:pt idx="3">
                  <c:v>22/07/24</c:v>
                </c:pt>
                <c:pt idx="4">
                  <c:v>29/07/24</c:v>
                </c:pt>
                <c:pt idx="5">
                  <c:v>05/08/24</c:v>
                </c:pt>
                <c:pt idx="6">
                  <c:v>12/08/24</c:v>
                </c:pt>
                <c:pt idx="7">
                  <c:v>19/08/24</c:v>
                </c:pt>
                <c:pt idx="8">
                  <c:v>26/08/24</c:v>
                </c:pt>
                <c:pt idx="9">
                  <c:v>02/09/24</c:v>
                </c:pt>
                <c:pt idx="10">
                  <c:v>09/09/24</c:v>
                </c:pt>
                <c:pt idx="11">
                  <c:v>16/09/24</c:v>
                </c:pt>
                <c:pt idx="12">
                  <c:v>23/09/24</c:v>
                </c:pt>
                <c:pt idx="13">
                  <c:v>30/09/24</c:v>
                </c:pt>
                <c:pt idx="14">
                  <c:v>07/10/24</c:v>
                </c:pt>
                <c:pt idx="15">
                  <c:v>14/10/24</c:v>
                </c:pt>
                <c:pt idx="16">
                  <c:v>21/10/24</c:v>
                </c:pt>
                <c:pt idx="17">
                  <c:v>28/10/24</c:v>
                </c:pt>
                <c:pt idx="18">
                  <c:v>04/11/24</c:v>
                </c:pt>
                <c:pt idx="19">
                  <c:v>11/11/24</c:v>
                </c:pt>
                <c:pt idx="20">
                  <c:v>18/11/24</c:v>
                </c:pt>
                <c:pt idx="21">
                  <c:v>25/11/24</c:v>
                </c:pt>
                <c:pt idx="22">
                  <c:v>02/12/24</c:v>
                </c:pt>
                <c:pt idx="23">
                  <c:v>09/12/24</c:v>
                </c:pt>
                <c:pt idx="24">
                  <c:v>16/12/24</c:v>
                </c:pt>
                <c:pt idx="25">
                  <c:v>23/12/24</c:v>
                </c:pt>
                <c:pt idx="26">
                  <c:v>30/12/24</c:v>
                </c:pt>
                <c:pt idx="27">
                  <c:v>06/01/25</c:v>
                </c:pt>
                <c:pt idx="28">
                  <c:v>13/01/25</c:v>
                </c:pt>
                <c:pt idx="29">
                  <c:v>20/01/25</c:v>
                </c:pt>
                <c:pt idx="30">
                  <c:v>27/01/25</c:v>
                </c:pt>
                <c:pt idx="31">
                  <c:v>03/02/25</c:v>
                </c:pt>
                <c:pt idx="32">
                  <c:v>10/02/25</c:v>
                </c:pt>
                <c:pt idx="33">
                  <c:v>17/02/25</c:v>
                </c:pt>
                <c:pt idx="34">
                  <c:v>24/02/25</c:v>
                </c:pt>
                <c:pt idx="35">
                  <c:v>03/03/25</c:v>
                </c:pt>
                <c:pt idx="36">
                  <c:v>10/03/25</c:v>
                </c:pt>
                <c:pt idx="37">
                  <c:v>17/03/25</c:v>
                </c:pt>
                <c:pt idx="38">
                  <c:v>24/03/25</c:v>
                </c:pt>
                <c:pt idx="39">
                  <c:v>31/03/25</c:v>
                </c:pt>
                <c:pt idx="40">
                  <c:v>07/04/25</c:v>
                </c:pt>
                <c:pt idx="41">
                  <c:v>14/04/25</c:v>
                </c:pt>
                <c:pt idx="42">
                  <c:v>21/04/25</c:v>
                </c:pt>
                <c:pt idx="43">
                  <c:v>28/04/25</c:v>
                </c:pt>
                <c:pt idx="44">
                  <c:v>05/05/25</c:v>
                </c:pt>
                <c:pt idx="45">
                  <c:v>12/05/25</c:v>
                </c:pt>
                <c:pt idx="46">
                  <c:v>19/05/25</c:v>
                </c:pt>
                <c:pt idx="47">
                  <c:v>26/05/25</c:v>
                </c:pt>
                <c:pt idx="48">
                  <c:v>02/06/25</c:v>
                </c:pt>
                <c:pt idx="49">
                  <c:v>09/06/25</c:v>
                </c:pt>
                <c:pt idx="50">
                  <c:v>16/06/25</c:v>
                </c:pt>
                <c:pt idx="51">
                  <c:v>23/06/25</c:v>
                </c:pt>
                <c:pt idx="52">
                  <c:v>30/06/25</c:v>
                </c:pt>
                <c:pt idx="53">
                  <c:v>07/07/25</c:v>
                </c:pt>
                <c:pt idx="54">
                  <c:v>14/07/25</c:v>
                </c:pt>
                <c:pt idx="55">
                  <c:v>21/07/25</c:v>
                </c:pt>
                <c:pt idx="56">
                  <c:v>28/07/25</c:v>
                </c:pt>
                <c:pt idx="57">
                  <c:v>04/08/25</c:v>
                </c:pt>
                <c:pt idx="58">
                  <c:v>11/08/25</c:v>
                </c:pt>
                <c:pt idx="59">
                  <c:v>18/08/25</c:v>
                </c:pt>
                <c:pt idx="60">
                  <c:v>25/08/25</c:v>
                </c:pt>
                <c:pt idx="61">
                  <c:v>01/09/25</c:v>
                </c:pt>
                <c:pt idx="62">
                  <c:v>08/09/25</c:v>
                </c:pt>
                <c:pt idx="63">
                  <c:v>15/09/25</c:v>
                </c:pt>
                <c:pt idx="64">
                  <c:v>22/09/25</c:v>
                </c:pt>
                <c:pt idx="65">
                  <c:v>29/09/25</c:v>
                </c:pt>
                <c:pt idx="66">
                  <c:v>06/10/25</c:v>
                </c:pt>
                <c:pt idx="67">
                  <c:v>13/10/25</c:v>
                </c:pt>
                <c:pt idx="68">
                  <c:v>20/10/25</c:v>
                </c:pt>
                <c:pt idx="69">
                  <c:v>27/10/25</c:v>
                </c:pt>
                <c:pt idx="70">
                  <c:v>03/11/25</c:v>
                </c:pt>
                <c:pt idx="71">
                  <c:v>10/11/25</c:v>
                </c:pt>
                <c:pt idx="72">
                  <c:v>17/11/25</c:v>
                </c:pt>
                <c:pt idx="73">
                  <c:v>24/11/25</c:v>
                </c:pt>
                <c:pt idx="74">
                  <c:v>01/12/25</c:v>
                </c:pt>
                <c:pt idx="75">
                  <c:v>08/12/25</c:v>
                </c:pt>
                <c:pt idx="76">
                  <c:v>15/12/25</c:v>
                </c:pt>
                <c:pt idx="77">
                  <c:v>22/12/25</c:v>
                </c:pt>
                <c:pt idx="78">
                  <c:v>29/12/25</c:v>
                </c:pt>
                <c:pt idx="79">
                  <c:v>05/01/26</c:v>
                </c:pt>
                <c:pt idx="80">
                  <c:v>12/01/26</c:v>
                </c:pt>
                <c:pt idx="81">
                  <c:v>19/01/26</c:v>
                </c:pt>
                <c:pt idx="82">
                  <c:v>26/01/26</c:v>
                </c:pt>
                <c:pt idx="83">
                  <c:v>02/02/26</c:v>
                </c:pt>
                <c:pt idx="84">
                  <c:v>09/02/26</c:v>
                </c:pt>
                <c:pt idx="85">
                  <c:v>16/02/26</c:v>
                </c:pt>
                <c:pt idx="86">
                  <c:v>23/02/26</c:v>
                </c:pt>
                <c:pt idx="87">
                  <c:v>02/03/26</c:v>
                </c:pt>
                <c:pt idx="88">
                  <c:v>09/03/26</c:v>
                </c:pt>
                <c:pt idx="89">
                  <c:v>16/03/26</c:v>
                </c:pt>
                <c:pt idx="90">
                  <c:v>23/03/26</c:v>
                </c:pt>
                <c:pt idx="91">
                  <c:v>30/03/26</c:v>
                </c:pt>
                <c:pt idx="92">
                  <c:v>06/04/26</c:v>
                </c:pt>
                <c:pt idx="93">
                  <c:v>13/04/26</c:v>
                </c:pt>
                <c:pt idx="94">
                  <c:v>20/04/26</c:v>
                </c:pt>
                <c:pt idx="95">
                  <c:v>27/04/26</c:v>
                </c:pt>
                <c:pt idx="96">
                  <c:v>04/05/26</c:v>
                </c:pt>
                <c:pt idx="97">
                  <c:v>11/05/26</c:v>
                </c:pt>
                <c:pt idx="98">
                  <c:v>18/05/26</c:v>
                </c:pt>
                <c:pt idx="99">
                  <c:v>25/05/26</c:v>
                </c:pt>
                <c:pt idx="100">
                  <c:v>01/06/26</c:v>
                </c:pt>
                <c:pt idx="101">
                  <c:v>08/06/26</c:v>
                </c:pt>
                <c:pt idx="102">
                  <c:v>15/06/26</c:v>
                </c:pt>
                <c:pt idx="103">
                  <c:v>22/06/26</c:v>
                </c:pt>
                <c:pt idx="104">
                  <c:v>29/06/26</c:v>
                </c:pt>
                <c:pt idx="105">
                  <c:v>06/07/26</c:v>
                </c:pt>
                <c:pt idx="106">
                  <c:v>13/07/26</c:v>
                </c:pt>
                <c:pt idx="107">
                  <c:v>20/07/26</c:v>
                </c:pt>
                <c:pt idx="108">
                  <c:v>27/07/26</c:v>
                </c:pt>
                <c:pt idx="109">
                  <c:v>03/08/26</c:v>
                </c:pt>
                <c:pt idx="110">
                  <c:v>10/08/26</c:v>
                </c:pt>
                <c:pt idx="111">
                  <c:v>17/08/26</c:v>
                </c:pt>
                <c:pt idx="112">
                  <c:v>24/08/26</c:v>
                </c:pt>
                <c:pt idx="113">
                  <c:v>31/08/26</c:v>
                </c:pt>
                <c:pt idx="114">
                  <c:v>07/09/26</c:v>
                </c:pt>
                <c:pt idx="115">
                  <c:v>14/09/26</c:v>
                </c:pt>
                <c:pt idx="116">
                  <c:v>21/09/26</c:v>
                </c:pt>
                <c:pt idx="117">
                  <c:v>28/09/26</c:v>
                </c:pt>
                <c:pt idx="118">
                  <c:v>05/10/26</c:v>
                </c:pt>
                <c:pt idx="119">
                  <c:v>12/10/26</c:v>
                </c:pt>
                <c:pt idx="120">
                  <c:v>19/10/26</c:v>
                </c:pt>
                <c:pt idx="121">
                  <c:v>26/10/26</c:v>
                </c:pt>
                <c:pt idx="122">
                  <c:v>02/11/26</c:v>
                </c:pt>
                <c:pt idx="123">
                  <c:v>09/11/26</c:v>
                </c:pt>
                <c:pt idx="124">
                  <c:v>16/11/26</c:v>
                </c:pt>
                <c:pt idx="125">
                  <c:v>23/11/26</c:v>
                </c:pt>
                <c:pt idx="126">
                  <c:v>30/11/26</c:v>
                </c:pt>
                <c:pt idx="127">
                  <c:v>07/12/26</c:v>
                </c:pt>
                <c:pt idx="128">
                  <c:v>14/12/26</c:v>
                </c:pt>
                <c:pt idx="129">
                  <c:v>21/12/26</c:v>
                </c:pt>
                <c:pt idx="130">
                  <c:v>28/12/26</c:v>
                </c:pt>
              </c:strCache>
            </c:strRef>
          </c:cat>
          <c:val>
            <c:numRef>
              <c:f>'Plan 100'!$I$5:$EI$5</c:f>
              <c:numCache>
                <c:formatCode>0.0%</c:formatCode>
                <c:ptCount val="131"/>
                <c:pt idx="0">
                  <c:v>8.7813632965295718E-5</c:v>
                </c:pt>
                <c:pt idx="1">
                  <c:v>6.6812110374114548E-4</c:v>
                </c:pt>
                <c:pt idx="2">
                  <c:v>1.3453056290573008E-3</c:v>
                </c:pt>
                <c:pt idx="3">
                  <c:v>2.743673774785885E-3</c:v>
                </c:pt>
                <c:pt idx="4">
                  <c:v>4.1585334948187752E-3</c:v>
                </c:pt>
                <c:pt idx="5">
                  <c:v>5.4130936391348109E-3</c:v>
                </c:pt>
                <c:pt idx="6">
                  <c:v>1.8234166299858048E-2</c:v>
                </c:pt>
                <c:pt idx="7">
                  <c:v>3.8009615156600562E-2</c:v>
                </c:pt>
                <c:pt idx="8">
                  <c:v>6.4491758140071215E-2</c:v>
                </c:pt>
                <c:pt idx="9">
                  <c:v>7.8331185624393451E-2</c:v>
                </c:pt>
                <c:pt idx="10">
                  <c:v>0.1146234467659399</c:v>
                </c:pt>
                <c:pt idx="11">
                  <c:v>0.11920820609673356</c:v>
                </c:pt>
                <c:pt idx="12">
                  <c:v>0.13918839051965826</c:v>
                </c:pt>
                <c:pt idx="13">
                  <c:v>0.15298330131138119</c:v>
                </c:pt>
                <c:pt idx="14">
                  <c:v>0.16313526936210079</c:v>
                </c:pt>
                <c:pt idx="15">
                  <c:v>0.17728442608939621</c:v>
                </c:pt>
                <c:pt idx="16">
                  <c:v>0.20244558590632325</c:v>
                </c:pt>
                <c:pt idx="17">
                  <c:v>0.23473980960886717</c:v>
                </c:pt>
                <c:pt idx="18">
                  <c:v>0.26643267561223716</c:v>
                </c:pt>
                <c:pt idx="19">
                  <c:v>0.28328482684440498</c:v>
                </c:pt>
                <c:pt idx="20">
                  <c:v>0.3129128908072582</c:v>
                </c:pt>
                <c:pt idx="21">
                  <c:v>0.3318461408551564</c:v>
                </c:pt>
                <c:pt idx="22">
                  <c:v>0.35521971985243211</c:v>
                </c:pt>
                <c:pt idx="23">
                  <c:v>0.36936995170488518</c:v>
                </c:pt>
                <c:pt idx="24">
                  <c:v>0.39055046494770779</c:v>
                </c:pt>
                <c:pt idx="25">
                  <c:v>0.40022233281096736</c:v>
                </c:pt>
                <c:pt idx="26">
                  <c:v>0.40022233281096736</c:v>
                </c:pt>
                <c:pt idx="27">
                  <c:v>0.40022233281096736</c:v>
                </c:pt>
                <c:pt idx="28">
                  <c:v>0.40517273761708056</c:v>
                </c:pt>
                <c:pt idx="29">
                  <c:v>0.4147678820587265</c:v>
                </c:pt>
                <c:pt idx="30">
                  <c:v>0.42172392947076015</c:v>
                </c:pt>
                <c:pt idx="31">
                  <c:v>0.43081721131666628</c:v>
                </c:pt>
                <c:pt idx="32">
                  <c:v>0.44850107513083781</c:v>
                </c:pt>
                <c:pt idx="33">
                  <c:v>0.47155100266317362</c:v>
                </c:pt>
                <c:pt idx="34">
                  <c:v>0.48557969288829339</c:v>
                </c:pt>
                <c:pt idx="35">
                  <c:v>0.50019776900572688</c:v>
                </c:pt>
                <c:pt idx="36">
                  <c:v>0.50402420656869551</c:v>
                </c:pt>
                <c:pt idx="37">
                  <c:v>0.53131084800846784</c:v>
                </c:pt>
                <c:pt idx="38">
                  <c:v>0.53319567765529641</c:v>
                </c:pt>
                <c:pt idx="39">
                  <c:v>0.54287761586807926</c:v>
                </c:pt>
                <c:pt idx="40">
                  <c:v>0.55384079721710877</c:v>
                </c:pt>
                <c:pt idx="41">
                  <c:v>0.5677999952687578</c:v>
                </c:pt>
                <c:pt idx="42">
                  <c:v>0.5678734066993717</c:v>
                </c:pt>
                <c:pt idx="43">
                  <c:v>0.58011831452834006</c:v>
                </c:pt>
                <c:pt idx="44">
                  <c:v>0.59171744695428674</c:v>
                </c:pt>
                <c:pt idx="45">
                  <c:v>0.59738334398600546</c:v>
                </c:pt>
                <c:pt idx="46">
                  <c:v>0.60399272726556053</c:v>
                </c:pt>
                <c:pt idx="47">
                  <c:v>0.61188614291034515</c:v>
                </c:pt>
                <c:pt idx="48">
                  <c:v>0.62059980576921137</c:v>
                </c:pt>
                <c:pt idx="49">
                  <c:v>0.62984999386677698</c:v>
                </c:pt>
                <c:pt idx="50">
                  <c:v>0.63879943816024209</c:v>
                </c:pt>
                <c:pt idx="51">
                  <c:v>0.64693829505567158</c:v>
                </c:pt>
                <c:pt idx="52">
                  <c:v>0.65394168971494349</c:v>
                </c:pt>
                <c:pt idx="53">
                  <c:v>0.66201789515669174</c:v>
                </c:pt>
                <c:pt idx="54">
                  <c:v>0.67052045482174694</c:v>
                </c:pt>
                <c:pt idx="55">
                  <c:v>0.67989855405729638</c:v>
                </c:pt>
                <c:pt idx="56">
                  <c:v>0.68857823412373698</c:v>
                </c:pt>
                <c:pt idx="57">
                  <c:v>0.69718797763484974</c:v>
                </c:pt>
                <c:pt idx="58">
                  <c:v>0.70682330581369746</c:v>
                </c:pt>
                <c:pt idx="59">
                  <c:v>0.71690411949561117</c:v>
                </c:pt>
                <c:pt idx="60">
                  <c:v>0.7282931852009088</c:v>
                </c:pt>
                <c:pt idx="61">
                  <c:v>0.73986883317569385</c:v>
                </c:pt>
                <c:pt idx="62">
                  <c:v>0.75438991044151926</c:v>
                </c:pt>
                <c:pt idx="63">
                  <c:v>0.77014603163930673</c:v>
                </c:pt>
                <c:pt idx="64">
                  <c:v>0.78655528575921563</c:v>
                </c:pt>
                <c:pt idx="65">
                  <c:v>0.80625281827126849</c:v>
                </c:pt>
                <c:pt idx="66">
                  <c:v>0.82645788965959466</c:v>
                </c:pt>
                <c:pt idx="67">
                  <c:v>0.84677863548621557</c:v>
                </c:pt>
                <c:pt idx="68">
                  <c:v>0.87029231351431213</c:v>
                </c:pt>
                <c:pt idx="69">
                  <c:v>0.89380599154240847</c:v>
                </c:pt>
                <c:pt idx="70">
                  <c:v>0.91469055529594789</c:v>
                </c:pt>
                <c:pt idx="71">
                  <c:v>0.93171347732307741</c:v>
                </c:pt>
                <c:pt idx="72">
                  <c:v>0.94705739830421887</c:v>
                </c:pt>
                <c:pt idx="73">
                  <c:v>0.95886333576244653</c:v>
                </c:pt>
                <c:pt idx="74">
                  <c:v>0.96620757018969616</c:v>
                </c:pt>
                <c:pt idx="75">
                  <c:v>0.98591659618825234</c:v>
                </c:pt>
                <c:pt idx="76">
                  <c:v>0.98882308336905866</c:v>
                </c:pt>
                <c:pt idx="77">
                  <c:v>0.99079458921426833</c:v>
                </c:pt>
                <c:pt idx="78">
                  <c:v>0.99999999999999978</c:v>
                </c:pt>
                <c:pt idx="79">
                  <c:v>0.99999999999999978</c:v>
                </c:pt>
                <c:pt idx="80">
                  <c:v>0.99999999999999978</c:v>
                </c:pt>
                <c:pt idx="81">
                  <c:v>0.99999999999999978</c:v>
                </c:pt>
                <c:pt idx="82">
                  <c:v>0.99999999999999978</c:v>
                </c:pt>
                <c:pt idx="83">
                  <c:v>0.99999999999999978</c:v>
                </c:pt>
                <c:pt idx="84">
                  <c:v>0.99999999999999978</c:v>
                </c:pt>
                <c:pt idx="85">
                  <c:v>0.99999999999999978</c:v>
                </c:pt>
                <c:pt idx="86">
                  <c:v>0.99999999999999978</c:v>
                </c:pt>
                <c:pt idx="87">
                  <c:v>0.99999999999999978</c:v>
                </c:pt>
                <c:pt idx="88">
                  <c:v>0.99999999999999978</c:v>
                </c:pt>
                <c:pt idx="89">
                  <c:v>0.99999999999999978</c:v>
                </c:pt>
                <c:pt idx="90">
                  <c:v>0.99999999999999978</c:v>
                </c:pt>
                <c:pt idx="91">
                  <c:v>0.99999999999999978</c:v>
                </c:pt>
                <c:pt idx="92">
                  <c:v>0.99999999999999978</c:v>
                </c:pt>
                <c:pt idx="93">
                  <c:v>0.99999999999999978</c:v>
                </c:pt>
                <c:pt idx="94">
                  <c:v>0.99999999999999978</c:v>
                </c:pt>
                <c:pt idx="95">
                  <c:v>0.99999999999999978</c:v>
                </c:pt>
                <c:pt idx="96">
                  <c:v>0.99999999999999978</c:v>
                </c:pt>
                <c:pt idx="97">
                  <c:v>0.99999999999999978</c:v>
                </c:pt>
                <c:pt idx="98">
                  <c:v>0.99999999999999978</c:v>
                </c:pt>
                <c:pt idx="99">
                  <c:v>0.99999999999999978</c:v>
                </c:pt>
                <c:pt idx="100">
                  <c:v>0.99999999999999978</c:v>
                </c:pt>
                <c:pt idx="101">
                  <c:v>0.99999999999999978</c:v>
                </c:pt>
                <c:pt idx="102">
                  <c:v>0.99999999999999978</c:v>
                </c:pt>
                <c:pt idx="103">
                  <c:v>0.99999999999999978</c:v>
                </c:pt>
                <c:pt idx="104">
                  <c:v>0.99999999999999978</c:v>
                </c:pt>
                <c:pt idx="105">
                  <c:v>0.99999999999999978</c:v>
                </c:pt>
                <c:pt idx="106">
                  <c:v>0.99999999999999978</c:v>
                </c:pt>
                <c:pt idx="107">
                  <c:v>0.99999999999999978</c:v>
                </c:pt>
                <c:pt idx="108">
                  <c:v>0.99999999999999978</c:v>
                </c:pt>
                <c:pt idx="109">
                  <c:v>0.99999999999999978</c:v>
                </c:pt>
                <c:pt idx="110">
                  <c:v>0.99999999999999978</c:v>
                </c:pt>
                <c:pt idx="111">
                  <c:v>0.99999999999999978</c:v>
                </c:pt>
                <c:pt idx="112">
                  <c:v>0.99999999999999978</c:v>
                </c:pt>
                <c:pt idx="113">
                  <c:v>0.99999999999999978</c:v>
                </c:pt>
                <c:pt idx="114">
                  <c:v>0.99999999999999978</c:v>
                </c:pt>
                <c:pt idx="115">
                  <c:v>0.99999999999999978</c:v>
                </c:pt>
                <c:pt idx="116">
                  <c:v>0.99999999999999978</c:v>
                </c:pt>
                <c:pt idx="117">
                  <c:v>0.99999999999999978</c:v>
                </c:pt>
                <c:pt idx="118">
                  <c:v>0.99999999999999978</c:v>
                </c:pt>
                <c:pt idx="119">
                  <c:v>0.99999999999999978</c:v>
                </c:pt>
                <c:pt idx="120">
                  <c:v>0.99999999999999978</c:v>
                </c:pt>
                <c:pt idx="121">
                  <c:v>0.99999999999999978</c:v>
                </c:pt>
                <c:pt idx="122">
                  <c:v>0.99999999999999978</c:v>
                </c:pt>
                <c:pt idx="123">
                  <c:v>0.99999999999999978</c:v>
                </c:pt>
                <c:pt idx="124">
                  <c:v>0.99999999999999978</c:v>
                </c:pt>
                <c:pt idx="125">
                  <c:v>0.99999999999999978</c:v>
                </c:pt>
                <c:pt idx="126">
                  <c:v>0.99999999999999978</c:v>
                </c:pt>
                <c:pt idx="127">
                  <c:v>0.99999999999999978</c:v>
                </c:pt>
                <c:pt idx="128">
                  <c:v>0.99999999999999978</c:v>
                </c:pt>
                <c:pt idx="129">
                  <c:v>0.99999999999999978</c:v>
                </c:pt>
                <c:pt idx="130">
                  <c:v>0.99999999999999978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 100'!$I$143:$EI$143</c15:f>
                <c15:dlblRangeCache>
                  <c:ptCount val="131"/>
                  <c:pt idx="0">
                    <c:v>0,0%</c:v>
                  </c:pt>
                  <c:pt idx="2">
                    <c:v>0,1%</c:v>
                  </c:pt>
                  <c:pt idx="4">
                    <c:v>0,4%</c:v>
                  </c:pt>
                  <c:pt idx="6">
                    <c:v>1,8%</c:v>
                  </c:pt>
                  <c:pt idx="8">
                    <c:v>6,4%</c:v>
                  </c:pt>
                  <c:pt idx="10">
                    <c:v>11,5%</c:v>
                  </c:pt>
                  <c:pt idx="12">
                    <c:v>13,9%</c:v>
                  </c:pt>
                  <c:pt idx="14">
                    <c:v>16,3%</c:v>
                  </c:pt>
                  <c:pt idx="16">
                    <c:v>20,2%</c:v>
                  </c:pt>
                  <c:pt idx="18">
                    <c:v>26,6%</c:v>
                  </c:pt>
                  <c:pt idx="20">
                    <c:v>31,3%</c:v>
                  </c:pt>
                  <c:pt idx="22">
                    <c:v>35,5%</c:v>
                  </c:pt>
                  <c:pt idx="24">
                    <c:v>39,1%</c:v>
                  </c:pt>
                  <c:pt idx="26">
                    <c:v>40,0%</c:v>
                  </c:pt>
                  <c:pt idx="28">
                    <c:v>40,5%</c:v>
                  </c:pt>
                  <c:pt idx="30">
                    <c:v>42,2%</c:v>
                  </c:pt>
                  <c:pt idx="32">
                    <c:v>44,9%</c:v>
                  </c:pt>
                  <c:pt idx="34">
                    <c:v>48,6%</c:v>
                  </c:pt>
                  <c:pt idx="36">
                    <c:v>50,4%</c:v>
                  </c:pt>
                  <c:pt idx="38">
                    <c:v>53,3%</c:v>
                  </c:pt>
                  <c:pt idx="40">
                    <c:v>55,4%</c:v>
                  </c:pt>
                  <c:pt idx="42">
                    <c:v>56,8%</c:v>
                  </c:pt>
                  <c:pt idx="44">
                    <c:v>59,2%</c:v>
                  </c:pt>
                  <c:pt idx="46">
                    <c:v>60,4%</c:v>
                  </c:pt>
                  <c:pt idx="48">
                    <c:v>62,1%</c:v>
                  </c:pt>
                  <c:pt idx="50">
                    <c:v>63,9%</c:v>
                  </c:pt>
                  <c:pt idx="52">
                    <c:v>65,4%</c:v>
                  </c:pt>
                  <c:pt idx="54">
                    <c:v>67,1%</c:v>
                  </c:pt>
                  <c:pt idx="56">
                    <c:v>68,9%</c:v>
                  </c:pt>
                  <c:pt idx="58">
                    <c:v>70,7%</c:v>
                  </c:pt>
                  <c:pt idx="60">
                    <c:v>72,8%</c:v>
                  </c:pt>
                  <c:pt idx="62">
                    <c:v>75,4%</c:v>
                  </c:pt>
                  <c:pt idx="64">
                    <c:v>78,7%</c:v>
                  </c:pt>
                  <c:pt idx="66">
                    <c:v>82,6%</c:v>
                  </c:pt>
                  <c:pt idx="68">
                    <c:v>87,0%</c:v>
                  </c:pt>
                  <c:pt idx="70">
                    <c:v>91,5%</c:v>
                  </c:pt>
                  <c:pt idx="72">
                    <c:v>94,7%</c:v>
                  </c:pt>
                  <c:pt idx="74">
                    <c:v>96,6%</c:v>
                  </c:pt>
                  <c:pt idx="76">
                    <c:v>98,9%</c:v>
                  </c:pt>
                  <c:pt idx="78">
                    <c:v>100,0%</c:v>
                  </c:pt>
                  <c:pt idx="80">
                    <c:v>100,0%</c:v>
                  </c:pt>
                  <c:pt idx="82">
                    <c:v>100,0%</c:v>
                  </c:pt>
                  <c:pt idx="84">
                    <c:v>100,0%</c:v>
                  </c:pt>
                  <c:pt idx="86">
                    <c:v>100,0%</c:v>
                  </c:pt>
                  <c:pt idx="88">
                    <c:v>100,0%</c:v>
                  </c:pt>
                  <c:pt idx="90">
                    <c:v>100,0%</c:v>
                  </c:pt>
                  <c:pt idx="92">
                    <c:v>100,0%</c:v>
                  </c:pt>
                  <c:pt idx="94">
                    <c:v>100,0%</c:v>
                  </c:pt>
                  <c:pt idx="96">
                    <c:v>100,0%</c:v>
                  </c:pt>
                  <c:pt idx="98">
                    <c:v>100,0%</c:v>
                  </c:pt>
                  <c:pt idx="100">
                    <c:v>100,0%</c:v>
                  </c:pt>
                  <c:pt idx="102">
                    <c:v>100,0%</c:v>
                  </c:pt>
                  <c:pt idx="104">
                    <c:v>100,0%</c:v>
                  </c:pt>
                  <c:pt idx="106">
                    <c:v>100,0%</c:v>
                  </c:pt>
                  <c:pt idx="108">
                    <c:v>100,0%</c:v>
                  </c:pt>
                  <c:pt idx="110">
                    <c:v>100,0%</c:v>
                  </c:pt>
                  <c:pt idx="112">
                    <c:v>100,0%</c:v>
                  </c:pt>
                  <c:pt idx="114">
                    <c:v>100,0%</c:v>
                  </c:pt>
                  <c:pt idx="116">
                    <c:v>100,0%</c:v>
                  </c:pt>
                  <c:pt idx="118">
                    <c:v>100,0%</c:v>
                  </c:pt>
                  <c:pt idx="120">
                    <c:v>100,0%</c:v>
                  </c:pt>
                  <c:pt idx="122">
                    <c:v>100,0%</c:v>
                  </c:pt>
                  <c:pt idx="124">
                    <c:v>100,0%</c:v>
                  </c:pt>
                  <c:pt idx="126">
                    <c:v>100,0%</c:v>
                  </c:pt>
                  <c:pt idx="128">
                    <c:v>100,0%</c:v>
                  </c:pt>
                  <c:pt idx="130">
                    <c:v>100,0%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BEB6-4B13-99BE-3EC0528A6553}"/>
            </c:ext>
          </c:extLst>
        </c:ser>
        <c:ser>
          <c:idx val="2"/>
          <c:order val="2"/>
          <c:tx>
            <c:strRef>
              <c:f>'Dashboard Completo'!$O$3</c:f>
              <c:strCache>
                <c:ptCount val="1"/>
                <c:pt idx="0">
                  <c:v>Real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6DF-4401-94F0-67706FA1A9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E1082A0-816A-45E3-B7E9-43D9D9822CC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26DF-4401-94F0-67706FA1A92C}"/>
                </c:ext>
              </c:extLst>
            </c:dLbl>
            <c:dLbl>
              <c:idx val="2"/>
              <c:layout>
                <c:manualLayout>
                  <c:x val="-3.0613382005516946E-2"/>
                  <c:y val="-3.6458333333333336E-2"/>
                </c:manualLayout>
              </c:layout>
              <c:tx>
                <c:rich>
                  <a:bodyPr/>
                  <a:lstStyle/>
                  <a:p>
                    <a:fld id="{C3C603A0-4B2B-4735-81FF-8B14B329E56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26DF-4401-94F0-67706FA1A92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84DCD9B-5712-4FAF-AF31-3FE196B9F23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F-26DF-4401-94F0-67706FA1A92C}"/>
                </c:ext>
              </c:extLst>
            </c:dLbl>
            <c:dLbl>
              <c:idx val="4"/>
              <c:layout>
                <c:manualLayout>
                  <c:x val="-3.4429546394491521E-2"/>
                  <c:y val="4.1666666666666664E-2"/>
                </c:manualLayout>
              </c:layout>
              <c:tx>
                <c:rich>
                  <a:bodyPr/>
                  <a:lstStyle/>
                  <a:p>
                    <a:fld id="{FA1F33D8-645A-454B-9D19-383439F745E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C-26DF-4401-94F0-67706FA1A92C}"/>
                </c:ext>
              </c:extLst>
            </c:dLbl>
            <c:dLbl>
              <c:idx val="5"/>
              <c:layout>
                <c:manualLayout>
                  <c:x val="-3.4650975178635128E-2"/>
                  <c:y val="-4.4164540250800022E-2"/>
                </c:manualLayout>
              </c:layout>
              <c:tx>
                <c:rich>
                  <a:bodyPr/>
                  <a:lstStyle/>
                  <a:p>
                    <a:fld id="{55661C38-6B04-4438-AFA6-3FC6EAC6CD1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BEB6-4B13-99BE-3EC0528A6553}"/>
                </c:ext>
              </c:extLst>
            </c:dLbl>
            <c:dLbl>
              <c:idx val="6"/>
              <c:layout>
                <c:manualLayout>
                  <c:x val="-2.8691288662076278E-2"/>
                  <c:y val="-4.6875E-2"/>
                </c:manualLayout>
              </c:layout>
              <c:tx>
                <c:rich>
                  <a:bodyPr/>
                  <a:lstStyle/>
                  <a:p>
                    <a:fld id="{DB47C01E-CA1C-4C76-899B-8FD1AC309AD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26DF-4401-94F0-67706FA1A92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A93A376-D237-400E-BAA9-B0D7BDDB531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26DF-4401-94F0-67706FA1A92C}"/>
                </c:ext>
              </c:extLst>
            </c:dLbl>
            <c:dLbl>
              <c:idx val="8"/>
              <c:layout>
                <c:manualLayout>
                  <c:x val="-3.4429546394491514E-2"/>
                  <c:y val="5.2083333333333336E-2"/>
                </c:manualLayout>
              </c:layout>
              <c:tx>
                <c:rich>
                  <a:bodyPr/>
                  <a:lstStyle/>
                  <a:p>
                    <a:fld id="{041C2CF2-D4AC-48CC-8BEA-43498E4C8E7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26DF-4401-94F0-67706FA1A92C}"/>
                </c:ext>
              </c:extLst>
            </c:dLbl>
            <c:dLbl>
              <c:idx val="9"/>
              <c:layout>
                <c:manualLayout>
                  <c:x val="-5.004783860876566E-2"/>
                  <c:y val="-3.975244901390354E-2"/>
                </c:manualLayout>
              </c:layout>
              <c:tx>
                <c:rich>
                  <a:bodyPr rot="-270000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1" i="0" u="none" strike="noStrike" kern="1200" baseline="0">
                        <a:solidFill>
                          <a:srgbClr val="0070C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EE013DB-CA6B-41DB-B33C-5809B6512F4D}" type="CELLRANGE">
                      <a:rPr lang="en-US"/>
                      <a:pPr>
                        <a:defRPr sz="700" b="1" i="0" u="none" strike="noStrike" kern="1200" baseline="0">
                          <a:solidFill>
                            <a:srgbClr val="0070C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s-VE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7.279578043472755E-2"/>
                      <c:h val="7.126498597237161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BEB6-4B13-99BE-3EC0528A6553}"/>
                </c:ext>
              </c:extLst>
            </c:dLbl>
            <c:dLbl>
              <c:idx val="10"/>
              <c:layout>
                <c:manualLayout>
                  <c:x val="-3.0606445495543519E-2"/>
                  <c:y val="-4.6875000000000097E-2"/>
                </c:manualLayout>
              </c:layout>
              <c:tx>
                <c:rich>
                  <a:bodyPr/>
                  <a:lstStyle/>
                  <a:p>
                    <a:fld id="{1E0C2677-FF0D-40E4-BF12-3F71D7F415C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26DF-4401-94F0-67706FA1A92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D2BAF44-D513-49F5-95CD-B81CAD47FA0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1-26DF-4401-94F0-67706FA1A92C}"/>
                </c:ext>
              </c:extLst>
            </c:dLbl>
            <c:dLbl>
              <c:idx val="12"/>
              <c:layout>
                <c:manualLayout>
                  <c:x val="-3.825505154943503E-2"/>
                  <c:y val="5.2083333333333336E-2"/>
                </c:manualLayout>
              </c:layout>
              <c:tx>
                <c:rich>
                  <a:bodyPr/>
                  <a:lstStyle/>
                  <a:p>
                    <a:fld id="{2AD598CD-FB1E-4CF2-9FA6-EC683480128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26DF-4401-94F0-67706FA1A92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0077418-A3DA-44D9-B085-581F33267D0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2-26DF-4401-94F0-67706FA1A92C}"/>
                </c:ext>
              </c:extLst>
            </c:dLbl>
            <c:dLbl>
              <c:idx val="14"/>
              <c:layout>
                <c:manualLayout>
                  <c:x val="-2.7125373044752401E-2"/>
                  <c:y val="-5.6081036745406827E-2"/>
                </c:manualLayout>
              </c:layout>
              <c:tx>
                <c:rich>
                  <a:bodyPr/>
                  <a:lstStyle/>
                  <a:p>
                    <a:fld id="{C7E32EE3-6A86-46EC-8673-D40131061B2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BEB6-4B13-99BE-3EC0528A655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3CA165B-5279-4EDB-9621-2676733F7C6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3-26DF-4401-94F0-67706FA1A92C}"/>
                </c:ext>
              </c:extLst>
            </c:dLbl>
            <c:dLbl>
              <c:idx val="16"/>
              <c:layout>
                <c:manualLayout>
                  <c:x val="-3.4429546394491549E-2"/>
                  <c:y val="4.6874999999999903E-2"/>
                </c:manualLayout>
              </c:layout>
              <c:tx>
                <c:rich>
                  <a:bodyPr/>
                  <a:lstStyle/>
                  <a:p>
                    <a:fld id="{9617C2E4-510F-453D-BFB8-85892A668C7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26DF-4401-94F0-67706FA1A92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BEFF253-5E04-4E7C-B294-F536AADF919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4-26DF-4401-94F0-67706FA1A92C}"/>
                </c:ext>
              </c:extLst>
            </c:dLbl>
            <c:dLbl>
              <c:idx val="18"/>
              <c:layout>
                <c:manualLayout>
                  <c:x val="-2.7086920652508447E-2"/>
                  <c:y val="-6.2604166666666766E-2"/>
                </c:manualLayout>
              </c:layout>
              <c:tx>
                <c:rich>
                  <a:bodyPr/>
                  <a:lstStyle/>
                  <a:p>
                    <a:fld id="{02C2F2CC-D56C-4DFA-AD0E-42EE6786E3A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BEB6-4B13-99BE-3EC0528A655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A4C3D27-964C-45F8-9C55-FE0F10CC4CD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5-26DF-4401-94F0-67706FA1A92C}"/>
                </c:ext>
              </c:extLst>
            </c:dLbl>
            <c:dLbl>
              <c:idx val="20"/>
              <c:layout>
                <c:manualLayout>
                  <c:x val="-3.6414692237927593E-2"/>
                  <c:y val="4.6874999999999903E-2"/>
                </c:manualLayout>
              </c:layout>
              <c:tx>
                <c:rich>
                  <a:bodyPr/>
                  <a:lstStyle/>
                  <a:p>
                    <a:fld id="{0C3AB814-9CE4-4255-ADAD-1736680D7CF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26DF-4401-94F0-67706FA1A92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3D514EE-5120-45C8-AD51-7F965049C38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6-26DF-4401-94F0-67706FA1A92C}"/>
                </c:ext>
              </c:extLst>
            </c:dLbl>
            <c:dLbl>
              <c:idx val="22"/>
              <c:layout>
                <c:manualLayout>
                  <c:x val="-2.704757896224266E-2"/>
                  <c:y val="-5.087270341207354E-2"/>
                </c:manualLayout>
              </c:layout>
              <c:tx>
                <c:rich>
                  <a:bodyPr/>
                  <a:lstStyle/>
                  <a:p>
                    <a:fld id="{DBE80568-2DC3-4FBC-A9EE-FA3B28881CC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BEB6-4B13-99BE-3EC0528A655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572B967-2EA3-4942-BD33-52D3F35A291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7-26DF-4401-94F0-67706FA1A92C}"/>
                </c:ext>
              </c:extLst>
            </c:dLbl>
            <c:dLbl>
              <c:idx val="24"/>
              <c:layout>
                <c:manualLayout>
                  <c:x val="-3.2593775305113003E-2"/>
                  <c:y val="5.2083333333333239E-2"/>
                </c:manualLayout>
              </c:layout>
              <c:tx>
                <c:rich>
                  <a:bodyPr/>
                  <a:lstStyle/>
                  <a:p>
                    <a:fld id="{EA9EF49B-6572-4B6A-9D89-EFB81FCA9B4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26DF-4401-94F0-67706FA1A92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937C7F7-810B-4755-9CF3-034560CB1C4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8-26DF-4401-94F0-67706FA1A92C}"/>
                </c:ext>
              </c:extLst>
            </c:dLbl>
            <c:dLbl>
              <c:idx val="26"/>
              <c:layout>
                <c:manualLayout>
                  <c:x val="-2.5061153023789289E-2"/>
                  <c:y val="-4.9040354330708663E-2"/>
                </c:manualLayout>
              </c:layout>
              <c:tx>
                <c:rich>
                  <a:bodyPr/>
                  <a:lstStyle/>
                  <a:p>
                    <a:fld id="{25126CF2-1124-430F-9596-1AAB5B74E6A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BEB6-4B13-99BE-3EC0528A655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F74744D-20D5-4AA6-87C4-887034D6E5A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9-26DF-4401-94F0-67706FA1A92C}"/>
                </c:ext>
              </c:extLst>
            </c:dLbl>
            <c:dLbl>
              <c:idx val="28"/>
              <c:layout>
                <c:manualLayout>
                  <c:x val="-3.2600137074622913E-2"/>
                  <c:y val="5.2083333333333239E-2"/>
                </c:manualLayout>
              </c:layout>
              <c:tx>
                <c:rich>
                  <a:bodyPr/>
                  <a:lstStyle/>
                  <a:p>
                    <a:fld id="{C9EDFD40-1CE7-49E3-8DEA-55E7C6AE337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26DF-4401-94F0-67706FA1A92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8491DC3-7977-4BED-AED5-7E88D6EF1B6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A-26DF-4401-94F0-67706FA1A92C}"/>
                </c:ext>
              </c:extLst>
            </c:dLbl>
            <c:dLbl>
              <c:idx val="30"/>
              <c:layout>
                <c:manualLayout>
                  <c:x val="-2.4924678707908279E-2"/>
                  <c:y val="-5.2083333333333336E-2"/>
                </c:manualLayout>
              </c:layout>
              <c:tx>
                <c:rich>
                  <a:bodyPr/>
                  <a:lstStyle/>
                  <a:p>
                    <a:fld id="{738846A7-AFB8-4D3D-A809-3F14AD8E9CC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26DF-4401-94F0-67706FA1A92C}"/>
                </c:ext>
              </c:extLst>
            </c:dLbl>
            <c:dLbl>
              <c:idx val="31"/>
              <c:layout>
                <c:manualLayout>
                  <c:x val="-3.6592557364273769E-2"/>
                  <c:y val="-4.435004742315294E-2"/>
                </c:manualLayout>
              </c:layout>
              <c:tx>
                <c:rich>
                  <a:bodyPr/>
                  <a:lstStyle/>
                  <a:p>
                    <a:fld id="{A4A43C01-EB81-4EB2-A48B-69AE1E2D23C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BEB6-4B13-99BE-3EC0528A6553}"/>
                </c:ext>
              </c:extLst>
            </c:dLbl>
            <c:dLbl>
              <c:idx val="32"/>
              <c:layout>
                <c:manualLayout>
                  <c:x val="-3.0676527640502497E-2"/>
                  <c:y val="4.1666666666666616E-2"/>
                </c:manualLayout>
              </c:layout>
              <c:tx>
                <c:rich>
                  <a:bodyPr/>
                  <a:lstStyle/>
                  <a:p>
                    <a:fld id="{D992680B-95D4-4F41-8397-FE1031AB60A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26DF-4401-94F0-67706FA1A92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CB754508-6DD9-46F0-9F14-B4476EC2230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B-26DF-4401-94F0-67706FA1A92C}"/>
                </c:ext>
              </c:extLst>
            </c:dLbl>
            <c:dLbl>
              <c:idx val="34"/>
              <c:layout>
                <c:manualLayout>
                  <c:x val="-2.4924678707908349E-2"/>
                  <c:y val="-5.2083333333333384E-2"/>
                </c:manualLayout>
              </c:layout>
              <c:tx>
                <c:rich>
                  <a:bodyPr/>
                  <a:lstStyle/>
                  <a:p>
                    <a:fld id="{0EB27464-FFA3-4922-921A-00D4019B03C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26DF-4401-94F0-67706FA1A92C}"/>
                </c:ext>
              </c:extLst>
            </c:dLbl>
            <c:dLbl>
              <c:idx val="35"/>
              <c:layout>
                <c:manualLayout>
                  <c:x val="-3.6590435582164724E-2"/>
                  <c:y val="-3.5480108878167584E-2"/>
                </c:manualLayout>
              </c:layout>
              <c:tx>
                <c:rich>
                  <a:bodyPr/>
                  <a:lstStyle/>
                  <a:p>
                    <a:fld id="{75AB620D-9110-41FE-8D82-96825BE2EAA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BEB6-4B13-99BE-3EC0528A6553}"/>
                </c:ext>
              </c:extLst>
            </c:dLbl>
            <c:dLbl>
              <c:idx val="36"/>
              <c:layout>
                <c:manualLayout>
                  <c:x val="-3.0676527640502497E-2"/>
                  <c:y val="3.1249999999999951E-2"/>
                </c:manualLayout>
              </c:layout>
              <c:tx>
                <c:rich>
                  <a:bodyPr/>
                  <a:lstStyle/>
                  <a:p>
                    <a:fld id="{45DCC572-68E4-4E77-ACCA-24BB1FA1ECF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26DF-4401-94F0-67706FA1A92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0EABCD59-5058-4CB6-86EF-5E205DFD080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C-26DF-4401-94F0-67706FA1A92C}"/>
                </c:ext>
              </c:extLst>
            </c:dLbl>
            <c:dLbl>
              <c:idx val="38"/>
              <c:layout>
                <c:manualLayout>
                  <c:x val="-2.1090112752845468E-2"/>
                  <c:y val="-6.25E-2"/>
                </c:manualLayout>
              </c:layout>
              <c:tx>
                <c:rich>
                  <a:bodyPr/>
                  <a:lstStyle/>
                  <a:p>
                    <a:fld id="{15DA8277-C191-43A1-B527-A0BC9B55302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26DF-4401-94F0-67706FA1A92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AEA755F0-FB91-4B01-8AFD-972ADA2B7B7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D-26DF-4401-94F0-67706FA1A92C}"/>
                </c:ext>
              </c:extLst>
            </c:dLbl>
            <c:dLbl>
              <c:idx val="40"/>
              <c:layout>
                <c:manualLayout>
                  <c:x val="-3.4676927182499477E-2"/>
                  <c:y val="3.8843914041994748E-2"/>
                </c:manualLayout>
              </c:layout>
              <c:tx>
                <c:rich>
                  <a:bodyPr/>
                  <a:lstStyle/>
                  <a:p>
                    <a:fld id="{9B7E8D50-DC89-44DB-8D68-BD9CFDC431C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BEB6-4B13-99BE-3EC0528A655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02BF9B1F-863A-4033-90F7-E03154EED8E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E-26DF-4401-94F0-67706FA1A92C}"/>
                </c:ext>
              </c:extLst>
            </c:dLbl>
            <c:dLbl>
              <c:idx val="42"/>
              <c:layout>
                <c:manualLayout>
                  <c:x val="-2.3007395730376873E-2"/>
                  <c:y val="-6.25E-2"/>
                </c:manualLayout>
              </c:layout>
              <c:tx>
                <c:rich>
                  <a:bodyPr/>
                  <a:lstStyle/>
                  <a:p>
                    <a:fld id="{4F515241-EC68-4AEA-8A6D-611B831D588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26DF-4401-94F0-67706FA1A92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B00EE257-706D-4815-A612-FC9E366FAD3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F-26DF-4401-94F0-67706FA1A92C}"/>
                </c:ext>
              </c:extLst>
            </c:dLbl>
            <c:dLbl>
              <c:idx val="44"/>
              <c:layout>
                <c:manualLayout>
                  <c:x val="-3.2755798384560768E-2"/>
                  <c:y val="3.8279609580052443E-2"/>
                </c:manualLayout>
              </c:layout>
              <c:tx>
                <c:rich>
                  <a:bodyPr/>
                  <a:lstStyle/>
                  <a:p>
                    <a:fld id="{27D8843A-0503-4EC4-8ECB-240F521C6FF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BEB6-4B13-99BE-3EC0528A655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15EAD2F-D4B9-4F1A-AD32-7EF5A24378D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0-26DF-4401-94F0-67706FA1A92C}"/>
                </c:ext>
              </c:extLst>
            </c:dLbl>
            <c:dLbl>
              <c:idx val="46"/>
              <c:layout>
                <c:manualLayout>
                  <c:x val="-2.1090112752845398E-2"/>
                  <c:y val="-5.7291666666666664E-2"/>
                </c:manualLayout>
              </c:layout>
              <c:tx>
                <c:rich>
                  <a:bodyPr/>
                  <a:lstStyle/>
                  <a:p>
                    <a:fld id="{9BC3E675-7CCA-41A5-BF99-D8FB0315081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26DF-4401-94F0-67706FA1A92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80BA36C4-6351-4780-BFBC-AF83A6BAACD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1-26DF-4401-94F0-67706FA1A92C}"/>
                </c:ext>
              </c:extLst>
            </c:dLbl>
            <c:dLbl>
              <c:idx val="48"/>
              <c:layout>
                <c:manualLayout>
                  <c:x val="-3.2747344223399998E-2"/>
                  <c:y val="4.480232939632546E-2"/>
                </c:manualLayout>
              </c:layout>
              <c:tx>
                <c:rich>
                  <a:bodyPr/>
                  <a:lstStyle/>
                  <a:p>
                    <a:fld id="{FDF70D50-D0C9-468A-B917-EDBB406CA40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BEB6-4B13-99BE-3EC0528A655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D86AB00C-6AA3-461F-AFE1-4351F275F5C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2-26DF-4401-94F0-67706FA1A92C}"/>
                </c:ext>
              </c:extLst>
            </c:dLbl>
            <c:dLbl>
              <c:idx val="50"/>
              <c:layout>
                <c:manualLayout>
                  <c:x val="-2.4924678707908349E-2"/>
                  <c:y val="-5.2083333333333336E-2"/>
                </c:manualLayout>
              </c:layout>
              <c:tx>
                <c:rich>
                  <a:bodyPr/>
                  <a:lstStyle/>
                  <a:p>
                    <a:fld id="{FEB48198-208B-47E4-B6A3-F8F27740C85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26DF-4401-94F0-67706FA1A92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499091F3-34C1-4FE9-805D-E22DCE6EDE9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3-26DF-4401-94F0-67706FA1A92C}"/>
                </c:ext>
              </c:extLst>
            </c:dLbl>
            <c:dLbl>
              <c:idx val="52"/>
              <c:layout>
                <c:manualLayout>
                  <c:x val="-3.2593810618033972E-2"/>
                  <c:y val="5.2083333333333336E-2"/>
                </c:manualLayout>
              </c:layout>
              <c:tx>
                <c:rich>
                  <a:bodyPr/>
                  <a:lstStyle/>
                  <a:p>
                    <a:fld id="{3247DCF5-B323-47A5-B4EA-250EB90431D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26DF-4401-94F0-67706FA1A92C}"/>
                </c:ext>
              </c:extLst>
            </c:dLbl>
            <c:dLbl>
              <c:idx val="53"/>
              <c:layout>
                <c:manualLayout>
                  <c:x val="-4.0442076333536268E-2"/>
                  <c:y val="-3.9984776352127376E-2"/>
                </c:manualLayout>
              </c:layout>
              <c:tx>
                <c:rich>
                  <a:bodyPr/>
                  <a:lstStyle/>
                  <a:p>
                    <a:fld id="{9C2C9061-FFC9-489B-9508-26C4AFEA31E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BEB6-4B13-99BE-3EC0528A6553}"/>
                </c:ext>
              </c:extLst>
            </c:dLbl>
            <c:dLbl>
              <c:idx val="54"/>
              <c:layout>
                <c:manualLayout>
                  <c:x val="-1.9172829775314131E-2"/>
                  <c:y val="-5.7291666666666664E-2"/>
                </c:manualLayout>
              </c:layout>
              <c:tx>
                <c:rich>
                  <a:bodyPr/>
                  <a:lstStyle/>
                  <a:p>
                    <a:fld id="{BC17F1A2-7525-4973-83CE-9C793FC8EF8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E-26DF-4401-94F0-67706FA1A92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9C52C8F4-C002-46B6-8EA3-D657037EB6A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4-26DF-4401-94F0-67706FA1A92C}"/>
                </c:ext>
              </c:extLst>
            </c:dLbl>
            <c:dLbl>
              <c:idx val="56"/>
              <c:layout>
                <c:manualLayout>
                  <c:x val="-3.2717452725010213E-2"/>
                  <c:y val="5.4422572178477645E-2"/>
                </c:manualLayout>
              </c:layout>
              <c:tx>
                <c:rich>
                  <a:bodyPr/>
                  <a:lstStyle/>
                  <a:p>
                    <a:fld id="{71DCE957-EAA9-4D8B-9D01-AFB81766E8A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BEB6-4B13-99BE-3EC0528A655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19A19DDB-40ED-4178-8DEA-5D363B0AA4D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5-26DF-4401-94F0-67706FA1A92C}"/>
                </c:ext>
              </c:extLst>
            </c:dLbl>
            <c:dLbl>
              <c:idx val="58"/>
              <c:layout>
                <c:manualLayout>
                  <c:x val="-2.1090112752845537E-2"/>
                  <c:y val="-5.2083333333333356E-2"/>
                </c:manualLayout>
              </c:layout>
              <c:tx>
                <c:rich>
                  <a:bodyPr/>
                  <a:lstStyle/>
                  <a:p>
                    <a:fld id="{075E3181-4057-4C5D-8BA0-C47EFF26CF9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26DF-4401-94F0-67706FA1A92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82C9C937-1163-40FC-8F1B-4287770F273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6-26DF-4401-94F0-67706FA1A92C}"/>
                </c:ext>
              </c:extLst>
            </c:dLbl>
            <c:dLbl>
              <c:idx val="60"/>
              <c:layout>
                <c:manualLayout>
                  <c:x val="-3.2593810618033903E-2"/>
                  <c:y val="4.6875E-2"/>
                </c:manualLayout>
              </c:layout>
              <c:tx>
                <c:rich>
                  <a:bodyPr/>
                  <a:lstStyle/>
                  <a:p>
                    <a:fld id="{CE9A55D7-835F-4932-A8A7-004B2E5231A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0-26DF-4401-94F0-67706FA1A92C}"/>
                </c:ext>
              </c:extLst>
            </c:dLbl>
            <c:dLbl>
              <c:idx val="61"/>
              <c:layout>
                <c:manualLayout>
                  <c:x val="-3.2918394856984896E-2"/>
                  <c:y val="-4.6047593632524246E-2"/>
                </c:manualLayout>
              </c:layout>
              <c:tx>
                <c:rich>
                  <a:bodyPr/>
                  <a:lstStyle/>
                  <a:p>
                    <a:fld id="{732993E2-C7CC-4C39-BCC2-5E0CCF094F3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BEB6-4B13-99BE-3EC0528A6553}"/>
                </c:ext>
              </c:extLst>
            </c:dLbl>
            <c:dLbl>
              <c:idx val="62"/>
              <c:layout>
                <c:manualLayout>
                  <c:x val="-2.3007395730376943E-2"/>
                  <c:y val="-4.1666666666666692E-2"/>
                </c:manualLayout>
              </c:layout>
              <c:tx>
                <c:rich>
                  <a:bodyPr/>
                  <a:lstStyle/>
                  <a:p>
                    <a:fld id="{42BA58C8-58A9-4D03-9ECD-7AFD6072CEB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1-26DF-4401-94F0-67706FA1A92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5086828A-ACBA-4829-B621-8778DB04295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7-26DF-4401-94F0-67706FA1A92C}"/>
                </c:ext>
              </c:extLst>
            </c:dLbl>
            <c:dLbl>
              <c:idx val="64"/>
              <c:layout>
                <c:manualLayout>
                  <c:x val="-3.2593810618033972E-2"/>
                  <c:y val="5.2083333333333336E-2"/>
                </c:manualLayout>
              </c:layout>
              <c:tx>
                <c:rich>
                  <a:bodyPr/>
                  <a:lstStyle/>
                  <a:p>
                    <a:fld id="{F347C8D0-54FE-498E-82E0-6465A4C1118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2-26DF-4401-94F0-67706FA1A92C}"/>
                </c:ext>
              </c:extLst>
            </c:dLbl>
            <c:dLbl>
              <c:idx val="65"/>
              <c:layout>
                <c:manualLayout>
                  <c:x val="-9.6376737278317786E-3"/>
                  <c:y val="1.9696220051051715E-2"/>
                </c:manualLayout>
              </c:layout>
              <c:tx>
                <c:rich>
                  <a:bodyPr/>
                  <a:lstStyle/>
                  <a:p>
                    <a:fld id="{72B3DB39-3172-4100-9867-B0BEAE30502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BEB6-4B13-99BE-3EC0528A6553}"/>
                </c:ext>
              </c:extLst>
            </c:dLbl>
            <c:dLbl>
              <c:idx val="66"/>
              <c:layout>
                <c:manualLayout>
                  <c:x val="-2.1090112752845606E-2"/>
                  <c:y val="-3.6458333333333336E-2"/>
                </c:manualLayout>
              </c:layout>
              <c:tx>
                <c:rich>
                  <a:bodyPr/>
                  <a:lstStyle/>
                  <a:p>
                    <a:fld id="{3275DC98-F8A7-41B2-84C7-F05CB67D3AF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3-26DF-4401-94F0-67706FA1A92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505043F6-3519-4258-9B85-CD9BEDD5168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8-26DF-4401-94F0-67706FA1A92C}"/>
                </c:ext>
              </c:extLst>
            </c:dLbl>
            <c:dLbl>
              <c:idx val="68"/>
              <c:layout>
                <c:manualLayout>
                  <c:x val="-3.2593810618033903E-2"/>
                  <c:y val="4.1666666666666664E-2"/>
                </c:manualLayout>
              </c:layout>
              <c:tx>
                <c:rich>
                  <a:bodyPr/>
                  <a:lstStyle/>
                  <a:p>
                    <a:fld id="{A004F218-B091-476F-85E4-9079CC0D3D5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4-26DF-4401-94F0-67706FA1A92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86005EC9-0433-43B6-BD5C-5A030EAE586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9-26DF-4401-94F0-67706FA1A92C}"/>
                </c:ext>
              </c:extLst>
            </c:dLbl>
            <c:dLbl>
              <c:idx val="70"/>
              <c:layout>
                <c:manualLayout>
                  <c:x val="-1.9310964729994474E-2"/>
                  <c:y val="-4.9617372047244104E-2"/>
                </c:manualLayout>
              </c:layout>
              <c:tx>
                <c:rich>
                  <a:bodyPr/>
                  <a:lstStyle/>
                  <a:p>
                    <a:fld id="{DFDC03DE-1858-4177-8C08-4CE7AB53BA3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BEB6-4B13-99BE-3EC0528A655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4D9FB284-EA15-4008-A4B1-0D99F45443E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A-26DF-4401-94F0-67706FA1A92C}"/>
                </c:ext>
              </c:extLst>
            </c:dLbl>
            <c:dLbl>
              <c:idx val="72"/>
              <c:layout>
                <c:manualLayout>
                  <c:x val="-3.4637755045813248E-2"/>
                  <c:y val="4.8540436351706011E-2"/>
                </c:manualLayout>
              </c:layout>
              <c:tx>
                <c:rich>
                  <a:bodyPr/>
                  <a:lstStyle/>
                  <a:p>
                    <a:fld id="{AEA34D5E-0038-40BD-851A-9CC5D7C1205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224-4A41-BB45-E77899F01D2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AE858CFA-B215-4029-8DC9-C87F26193DC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B-26DF-4401-94F0-67706FA1A92C}"/>
                </c:ext>
              </c:extLst>
            </c:dLbl>
            <c:dLbl>
              <c:idx val="74"/>
              <c:layout>
                <c:manualLayout>
                  <c:x val="-2.1001480859184317E-2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8C2EEFEC-1C97-4A53-B71F-68A6E0DDC26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5-26DF-4401-94F0-67706FA1A92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630C64BA-AEA1-4CEA-9E32-A0BDF16A9E2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C-26DF-4401-94F0-67706FA1A92C}"/>
                </c:ext>
              </c:extLst>
            </c:dLbl>
            <c:dLbl>
              <c:idx val="76"/>
              <c:layout>
                <c:manualLayout>
                  <c:x val="-3.6428376573096853E-2"/>
                  <c:y val="5.7291666666666664E-2"/>
                </c:manualLayout>
              </c:layout>
              <c:tx>
                <c:rich>
                  <a:bodyPr/>
                  <a:lstStyle/>
                  <a:p>
                    <a:fld id="{99FAB461-3223-4108-B4C5-09CDACA97DA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6-26DF-4401-94F0-67706FA1A92C}"/>
                </c:ext>
              </c:extLst>
            </c:dLbl>
            <c:dLbl>
              <c:idx val="77"/>
              <c:layout>
                <c:manualLayout>
                  <c:x val="-1.9247682359286939E-2"/>
                  <c:y val="4.0498109025302952E-2"/>
                </c:manualLayout>
              </c:layout>
              <c:tx>
                <c:rich>
                  <a:bodyPr/>
                  <a:lstStyle/>
                  <a:p>
                    <a:fld id="{09C06F0B-009F-410A-B482-00FDE74DD11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54-45A0-A243-68AEBA11D3E3}"/>
                </c:ext>
              </c:extLst>
            </c:dLbl>
            <c:dLbl>
              <c:idx val="78"/>
              <c:layout>
                <c:manualLayout>
                  <c:x val="-1.9172829775314201E-2"/>
                  <c:y val="-3.6458333333333343E-2"/>
                </c:manualLayout>
              </c:layout>
              <c:tx>
                <c:rich>
                  <a:bodyPr/>
                  <a:lstStyle/>
                  <a:p>
                    <a:fld id="{FD1C1349-3E38-45A9-B518-C019ACCF648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7-26DF-4401-94F0-67706FA1A92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3B538AAC-4F30-451E-9B29-01C94A381AD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D-26DF-4401-94F0-67706FA1A92C}"/>
                </c:ext>
              </c:extLst>
            </c:dLbl>
            <c:dLbl>
              <c:idx val="80"/>
              <c:layout>
                <c:manualLayout>
                  <c:x val="-3.6428376573096714E-2"/>
                  <c:y val="5.2083333333333356E-2"/>
                </c:manualLayout>
              </c:layout>
              <c:tx>
                <c:rich>
                  <a:bodyPr/>
                  <a:lstStyle/>
                  <a:p>
                    <a:fld id="{55C92AEE-751A-454A-B9CD-6D8575CE370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8-26DF-4401-94F0-67706FA1A92C}"/>
                </c:ext>
              </c:extLst>
            </c:dLbl>
            <c:dLbl>
              <c:idx val="81"/>
              <c:layout>
                <c:manualLayout>
                  <c:x val="-3.0705714336346217E-2"/>
                  <c:y val="-3.695290333340237E-2"/>
                </c:manualLayout>
              </c:layout>
              <c:tx>
                <c:rich>
                  <a:bodyPr/>
                  <a:lstStyle/>
                  <a:p>
                    <a:fld id="{7582FB3F-17FD-4916-8D08-97D286C9DCB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12D-4859-842C-D74D74630313}"/>
                </c:ext>
              </c:extLst>
            </c:dLbl>
            <c:dLbl>
              <c:idx val="82"/>
              <c:layout>
                <c:manualLayout>
                  <c:x val="-2.1090112752845606E-2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E5DA1B3C-324B-44E2-93E2-F8D0C9A46D2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9-26DF-4401-94F0-67706FA1A92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C4F022C5-780B-413E-BB38-33A3CDEA42C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E-26DF-4401-94F0-67706FA1A92C}"/>
                </c:ext>
              </c:extLst>
            </c:dLbl>
            <c:dLbl>
              <c:idx val="84"/>
              <c:layout>
                <c:manualLayout>
                  <c:x val="-3.0676527640502639E-2"/>
                  <c:y val="5.2083333333333336E-2"/>
                </c:manualLayout>
              </c:layout>
              <c:tx>
                <c:rich>
                  <a:bodyPr/>
                  <a:lstStyle/>
                  <a:p>
                    <a:fld id="{05B86211-4498-4DFB-A633-6B1DE67A1E1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26DF-4401-94F0-67706FA1A92C}"/>
                </c:ext>
              </c:extLst>
            </c:dLbl>
            <c:dLbl>
              <c:idx val="85"/>
              <c:layout>
                <c:manualLayout>
                  <c:x val="-3.6554608623118268E-2"/>
                  <c:y val="3.6915321599970422E-2"/>
                </c:manualLayout>
              </c:layout>
              <c:tx>
                <c:rich>
                  <a:bodyPr/>
                  <a:lstStyle/>
                  <a:p>
                    <a:fld id="{D0E0B46C-126A-4F0F-9DE4-20CD9DFD0D3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6AE-4E58-A157-3A3E2891B202}"/>
                </c:ext>
              </c:extLst>
            </c:dLbl>
            <c:dLbl>
              <c:idx val="86"/>
              <c:layout>
                <c:manualLayout>
                  <c:x val="-2.3007395730376873E-2"/>
                  <c:y val="-4.1666666666666678E-2"/>
                </c:manualLayout>
              </c:layout>
              <c:tx>
                <c:rich>
                  <a:bodyPr/>
                  <a:lstStyle/>
                  <a:p>
                    <a:fld id="{E04D02E6-E079-4930-8558-6A8EE38D089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B-26DF-4401-94F0-67706FA1A92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A21FD502-8DD9-4BFB-AD3B-798FCEE1E10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26DF-4401-94F0-67706FA1A92C}"/>
                </c:ext>
              </c:extLst>
            </c:dLbl>
            <c:dLbl>
              <c:idx val="88"/>
              <c:layout>
                <c:manualLayout>
                  <c:x val="-3.2672464510261769E-2"/>
                  <c:y val="5.837639435695538E-2"/>
                </c:manualLayout>
              </c:layout>
              <c:tx>
                <c:rich>
                  <a:bodyPr/>
                  <a:lstStyle/>
                  <a:p>
                    <a:fld id="{27EB5801-27A4-4687-9654-9EB1541F7AB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D7B-4A60-802D-61C636899448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07E6DB68-92B6-41AD-9B9B-9842A94AE03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26DF-4401-94F0-67706FA1A92C}"/>
                </c:ext>
              </c:extLst>
            </c:dLbl>
            <c:dLbl>
              <c:idx val="90"/>
              <c:layout>
                <c:manualLayout>
                  <c:x val="-2.3007395730376873E-2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4900EB86-58AE-4D63-95BA-8D5DFC872EC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C-26DF-4401-94F0-67706FA1A92C}"/>
                </c:ext>
              </c:extLst>
            </c:dLbl>
            <c:dLbl>
              <c:idx val="91"/>
              <c:layout>
                <c:manualLayout>
                  <c:x val="-3.6540286867706211E-2"/>
                  <c:y val="4.5119191465918196E-2"/>
                </c:manualLayout>
              </c:layout>
              <c:tx>
                <c:rich>
                  <a:bodyPr/>
                  <a:lstStyle/>
                  <a:p>
                    <a:fld id="{A2330438-A597-400E-BD73-DA779CC1BA8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D7B-4A60-802D-61C636899448}"/>
                </c:ext>
              </c:extLst>
            </c:dLbl>
            <c:dLbl>
              <c:idx val="92"/>
              <c:layout>
                <c:manualLayout>
                  <c:x val="-3.2593810618033903E-2"/>
                  <c:y val="5.7291666666666692E-2"/>
                </c:manualLayout>
              </c:layout>
              <c:tx>
                <c:rich>
                  <a:bodyPr/>
                  <a:lstStyle/>
                  <a:p>
                    <a:fld id="{02E96C70-0812-44B6-AF9D-6B584468CE2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D-26DF-4401-94F0-67706FA1A92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8D998029-731D-46FA-9DD1-091B343D72A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1-26DF-4401-94F0-67706FA1A92C}"/>
                </c:ext>
              </c:extLst>
            </c:dLbl>
            <c:dLbl>
              <c:idx val="94"/>
              <c:layout>
                <c:manualLayout>
                  <c:x val="-1.7285136361845345E-2"/>
                  <c:y val="-4.1272145669291341E-2"/>
                </c:manualLayout>
              </c:layout>
              <c:tx>
                <c:rich>
                  <a:bodyPr/>
                  <a:lstStyle/>
                  <a:p>
                    <a:fld id="{DF658D19-4637-4AEE-9E71-2E2564FBD4C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D7B-4A60-802D-61C636899448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76F9565F-D69C-4B1D-9F09-1ABD43D7ABD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C89-4D13-BD9E-531D29A96FD4}"/>
                </c:ext>
              </c:extLst>
            </c:dLbl>
            <c:dLbl>
              <c:idx val="96"/>
              <c:layout>
                <c:manualLayout>
                  <c:x val="-3.8306774221230064E-2"/>
                  <c:y val="5.7291666666666664E-2"/>
                </c:manualLayout>
              </c:layout>
              <c:tx>
                <c:rich>
                  <a:bodyPr/>
                  <a:lstStyle/>
                  <a:p>
                    <a:fld id="{4C04943D-7CB3-462F-BD63-A8F1122659B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C89-4D13-BD9E-531D29A96FD4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2BFA8FA9-9C33-4F6B-B97D-F5132BD6807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C89-4D13-BD9E-531D29A96FD4}"/>
                </c:ext>
              </c:extLst>
            </c:dLbl>
            <c:dLbl>
              <c:idx val="98"/>
              <c:layout>
                <c:manualLayout>
                  <c:x val="-1.5322709688492026E-2"/>
                  <c:y val="-5.7291666666666664E-2"/>
                </c:manualLayout>
              </c:layout>
              <c:tx>
                <c:rich>
                  <a:bodyPr/>
                  <a:lstStyle/>
                  <a:p>
                    <a:fld id="{BE8D2FD2-D1E8-4EFC-A3CB-18ED48DBA3F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C89-4D13-BD9E-531D29A96FD4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693A1F83-E059-41D9-8D09-1199AE10603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275-489E-ADB6-4F7EA68FD99F}"/>
                </c:ext>
              </c:extLst>
            </c:dLbl>
            <c:dLbl>
              <c:idx val="100"/>
              <c:layout>
                <c:manualLayout>
                  <c:x val="-4.0222112932291713E-2"/>
                  <c:y val="4.6875000000000021E-2"/>
                </c:manualLayout>
              </c:layout>
              <c:tx>
                <c:rich>
                  <a:bodyPr/>
                  <a:lstStyle/>
                  <a:p>
                    <a:fld id="{7E753F16-99C6-44DA-A27E-7A1822BC4F5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275-489E-ADB6-4F7EA68FD99F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D2F36503-BE3D-4DCC-865A-1BF6BEAA59D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275-489E-ADB6-4F7EA68FD99F}"/>
                </c:ext>
              </c:extLst>
            </c:dLbl>
            <c:dLbl>
              <c:idx val="102"/>
              <c:layout>
                <c:manualLayout>
                  <c:x val="-1.5299955937331621E-2"/>
                  <c:y val="1.5625E-2"/>
                </c:manualLayout>
              </c:layout>
              <c:tx>
                <c:rich>
                  <a:bodyPr/>
                  <a:lstStyle/>
                  <a:p>
                    <a:fld id="{242496D4-1F5D-4CD1-B7C4-3B784FDC726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275-489E-ADB6-4F7EA68FD99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27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100'!$I$5:$EI$5</c:f>
              <c:strCache>
                <c:ptCount val="131"/>
                <c:pt idx="0">
                  <c:v>01/07/24</c:v>
                </c:pt>
                <c:pt idx="1">
                  <c:v>08/07/24</c:v>
                </c:pt>
                <c:pt idx="2">
                  <c:v>15/07/24</c:v>
                </c:pt>
                <c:pt idx="3">
                  <c:v>22/07/24</c:v>
                </c:pt>
                <c:pt idx="4">
                  <c:v>29/07/24</c:v>
                </c:pt>
                <c:pt idx="5">
                  <c:v>05/08/24</c:v>
                </c:pt>
                <c:pt idx="6">
                  <c:v>12/08/24</c:v>
                </c:pt>
                <c:pt idx="7">
                  <c:v>19/08/24</c:v>
                </c:pt>
                <c:pt idx="8">
                  <c:v>26/08/24</c:v>
                </c:pt>
                <c:pt idx="9">
                  <c:v>02/09/24</c:v>
                </c:pt>
                <c:pt idx="10">
                  <c:v>09/09/24</c:v>
                </c:pt>
                <c:pt idx="11">
                  <c:v>16/09/24</c:v>
                </c:pt>
                <c:pt idx="12">
                  <c:v>23/09/24</c:v>
                </c:pt>
                <c:pt idx="13">
                  <c:v>30/09/24</c:v>
                </c:pt>
                <c:pt idx="14">
                  <c:v>07/10/24</c:v>
                </c:pt>
                <c:pt idx="15">
                  <c:v>14/10/24</c:v>
                </c:pt>
                <c:pt idx="16">
                  <c:v>21/10/24</c:v>
                </c:pt>
                <c:pt idx="17">
                  <c:v>28/10/24</c:v>
                </c:pt>
                <c:pt idx="18">
                  <c:v>04/11/24</c:v>
                </c:pt>
                <c:pt idx="19">
                  <c:v>11/11/24</c:v>
                </c:pt>
                <c:pt idx="20">
                  <c:v>18/11/24</c:v>
                </c:pt>
                <c:pt idx="21">
                  <c:v>25/11/24</c:v>
                </c:pt>
                <c:pt idx="22">
                  <c:v>02/12/24</c:v>
                </c:pt>
                <c:pt idx="23">
                  <c:v>09/12/24</c:v>
                </c:pt>
                <c:pt idx="24">
                  <c:v>16/12/24</c:v>
                </c:pt>
                <c:pt idx="25">
                  <c:v>23/12/24</c:v>
                </c:pt>
                <c:pt idx="26">
                  <c:v>30/12/24</c:v>
                </c:pt>
                <c:pt idx="27">
                  <c:v>06/01/25</c:v>
                </c:pt>
                <c:pt idx="28">
                  <c:v>13/01/25</c:v>
                </c:pt>
                <c:pt idx="29">
                  <c:v>20/01/25</c:v>
                </c:pt>
                <c:pt idx="30">
                  <c:v>27/01/25</c:v>
                </c:pt>
                <c:pt idx="31">
                  <c:v>03/02/25</c:v>
                </c:pt>
                <c:pt idx="32">
                  <c:v>10/02/25</c:v>
                </c:pt>
                <c:pt idx="33">
                  <c:v>17/02/25</c:v>
                </c:pt>
                <c:pt idx="34">
                  <c:v>24/02/25</c:v>
                </c:pt>
                <c:pt idx="35">
                  <c:v>03/03/25</c:v>
                </c:pt>
                <c:pt idx="36">
                  <c:v>10/03/25</c:v>
                </c:pt>
                <c:pt idx="37">
                  <c:v>17/03/25</c:v>
                </c:pt>
                <c:pt idx="38">
                  <c:v>24/03/25</c:v>
                </c:pt>
                <c:pt idx="39">
                  <c:v>31/03/25</c:v>
                </c:pt>
                <c:pt idx="40">
                  <c:v>07/04/25</c:v>
                </c:pt>
                <c:pt idx="41">
                  <c:v>14/04/25</c:v>
                </c:pt>
                <c:pt idx="42">
                  <c:v>21/04/25</c:v>
                </c:pt>
                <c:pt idx="43">
                  <c:v>28/04/25</c:v>
                </c:pt>
                <c:pt idx="44">
                  <c:v>05/05/25</c:v>
                </c:pt>
                <c:pt idx="45">
                  <c:v>12/05/25</c:v>
                </c:pt>
                <c:pt idx="46">
                  <c:v>19/05/25</c:v>
                </c:pt>
                <c:pt idx="47">
                  <c:v>26/05/25</c:v>
                </c:pt>
                <c:pt idx="48">
                  <c:v>02/06/25</c:v>
                </c:pt>
                <c:pt idx="49">
                  <c:v>09/06/25</c:v>
                </c:pt>
                <c:pt idx="50">
                  <c:v>16/06/25</c:v>
                </c:pt>
                <c:pt idx="51">
                  <c:v>23/06/25</c:v>
                </c:pt>
                <c:pt idx="52">
                  <c:v>30/06/25</c:v>
                </c:pt>
                <c:pt idx="53">
                  <c:v>07/07/25</c:v>
                </c:pt>
                <c:pt idx="54">
                  <c:v>14/07/25</c:v>
                </c:pt>
                <c:pt idx="55">
                  <c:v>21/07/25</c:v>
                </c:pt>
                <c:pt idx="56">
                  <c:v>28/07/25</c:v>
                </c:pt>
                <c:pt idx="57">
                  <c:v>04/08/25</c:v>
                </c:pt>
                <c:pt idx="58">
                  <c:v>11/08/25</c:v>
                </c:pt>
                <c:pt idx="59">
                  <c:v>18/08/25</c:v>
                </c:pt>
                <c:pt idx="60">
                  <c:v>25/08/25</c:v>
                </c:pt>
                <c:pt idx="61">
                  <c:v>01/09/25</c:v>
                </c:pt>
                <c:pt idx="62">
                  <c:v>08/09/25</c:v>
                </c:pt>
                <c:pt idx="63">
                  <c:v>15/09/25</c:v>
                </c:pt>
                <c:pt idx="64">
                  <c:v>22/09/25</c:v>
                </c:pt>
                <c:pt idx="65">
                  <c:v>29/09/25</c:v>
                </c:pt>
                <c:pt idx="66">
                  <c:v>06/10/25</c:v>
                </c:pt>
                <c:pt idx="67">
                  <c:v>13/10/25</c:v>
                </c:pt>
                <c:pt idx="68">
                  <c:v>20/10/25</c:v>
                </c:pt>
                <c:pt idx="69">
                  <c:v>27/10/25</c:v>
                </c:pt>
                <c:pt idx="70">
                  <c:v>03/11/25</c:v>
                </c:pt>
                <c:pt idx="71">
                  <c:v>10/11/25</c:v>
                </c:pt>
                <c:pt idx="72">
                  <c:v>17/11/25</c:v>
                </c:pt>
                <c:pt idx="73">
                  <c:v>24/11/25</c:v>
                </c:pt>
                <c:pt idx="74">
                  <c:v>01/12/25</c:v>
                </c:pt>
                <c:pt idx="75">
                  <c:v>08/12/25</c:v>
                </c:pt>
                <c:pt idx="76">
                  <c:v>15/12/25</c:v>
                </c:pt>
                <c:pt idx="77">
                  <c:v>22/12/25</c:v>
                </c:pt>
                <c:pt idx="78">
                  <c:v>29/12/25</c:v>
                </c:pt>
                <c:pt idx="79">
                  <c:v>05/01/26</c:v>
                </c:pt>
                <c:pt idx="80">
                  <c:v>12/01/26</c:v>
                </c:pt>
                <c:pt idx="81">
                  <c:v>19/01/26</c:v>
                </c:pt>
                <c:pt idx="82">
                  <c:v>26/01/26</c:v>
                </c:pt>
                <c:pt idx="83">
                  <c:v>02/02/26</c:v>
                </c:pt>
                <c:pt idx="84">
                  <c:v>09/02/26</c:v>
                </c:pt>
                <c:pt idx="85">
                  <c:v>16/02/26</c:v>
                </c:pt>
                <c:pt idx="86">
                  <c:v>23/02/26</c:v>
                </c:pt>
                <c:pt idx="87">
                  <c:v>02/03/26</c:v>
                </c:pt>
                <c:pt idx="88">
                  <c:v>09/03/26</c:v>
                </c:pt>
                <c:pt idx="89">
                  <c:v>16/03/26</c:v>
                </c:pt>
                <c:pt idx="90">
                  <c:v>23/03/26</c:v>
                </c:pt>
                <c:pt idx="91">
                  <c:v>30/03/26</c:v>
                </c:pt>
                <c:pt idx="92">
                  <c:v>06/04/26</c:v>
                </c:pt>
                <c:pt idx="93">
                  <c:v>13/04/26</c:v>
                </c:pt>
                <c:pt idx="94">
                  <c:v>20/04/26</c:v>
                </c:pt>
                <c:pt idx="95">
                  <c:v>27/04/26</c:v>
                </c:pt>
                <c:pt idx="96">
                  <c:v>04/05/26</c:v>
                </c:pt>
                <c:pt idx="97">
                  <c:v>11/05/26</c:v>
                </c:pt>
                <c:pt idx="98">
                  <c:v>18/05/26</c:v>
                </c:pt>
                <c:pt idx="99">
                  <c:v>25/05/26</c:v>
                </c:pt>
                <c:pt idx="100">
                  <c:v>01/06/26</c:v>
                </c:pt>
                <c:pt idx="101">
                  <c:v>08/06/26</c:v>
                </c:pt>
                <c:pt idx="102">
                  <c:v>15/06/26</c:v>
                </c:pt>
                <c:pt idx="103">
                  <c:v>22/06/26</c:v>
                </c:pt>
                <c:pt idx="104">
                  <c:v>29/06/26</c:v>
                </c:pt>
                <c:pt idx="105">
                  <c:v>06/07/26</c:v>
                </c:pt>
                <c:pt idx="106">
                  <c:v>13/07/26</c:v>
                </c:pt>
                <c:pt idx="107">
                  <c:v>20/07/26</c:v>
                </c:pt>
                <c:pt idx="108">
                  <c:v>27/07/26</c:v>
                </c:pt>
                <c:pt idx="109">
                  <c:v>03/08/26</c:v>
                </c:pt>
                <c:pt idx="110">
                  <c:v>10/08/26</c:v>
                </c:pt>
                <c:pt idx="111">
                  <c:v>17/08/26</c:v>
                </c:pt>
                <c:pt idx="112">
                  <c:v>24/08/26</c:v>
                </c:pt>
                <c:pt idx="113">
                  <c:v>31/08/26</c:v>
                </c:pt>
                <c:pt idx="114">
                  <c:v>07/09/26</c:v>
                </c:pt>
                <c:pt idx="115">
                  <c:v>14/09/26</c:v>
                </c:pt>
                <c:pt idx="116">
                  <c:v>21/09/26</c:v>
                </c:pt>
                <c:pt idx="117">
                  <c:v>28/09/26</c:v>
                </c:pt>
                <c:pt idx="118">
                  <c:v>05/10/26</c:v>
                </c:pt>
                <c:pt idx="119">
                  <c:v>12/10/26</c:v>
                </c:pt>
                <c:pt idx="120">
                  <c:v>19/10/26</c:v>
                </c:pt>
                <c:pt idx="121">
                  <c:v>26/10/26</c:v>
                </c:pt>
                <c:pt idx="122">
                  <c:v>02/11/26</c:v>
                </c:pt>
                <c:pt idx="123">
                  <c:v>09/11/26</c:v>
                </c:pt>
                <c:pt idx="124">
                  <c:v>16/11/26</c:v>
                </c:pt>
                <c:pt idx="125">
                  <c:v>23/11/26</c:v>
                </c:pt>
                <c:pt idx="126">
                  <c:v>30/11/26</c:v>
                </c:pt>
                <c:pt idx="127">
                  <c:v>07/12/26</c:v>
                </c:pt>
                <c:pt idx="128">
                  <c:v>14/12/26</c:v>
                </c:pt>
                <c:pt idx="129">
                  <c:v>21/12/26</c:v>
                </c:pt>
                <c:pt idx="130">
                  <c:v>28/12/26</c:v>
                </c:pt>
              </c:strCache>
            </c:strRef>
          </c:cat>
          <c:val>
            <c:numRef>
              <c:f>'Avance 100'!$I$6:$DG$6</c:f>
              <c:numCache>
                <c:formatCode>0.0%</c:formatCode>
                <c:ptCount val="103"/>
                <c:pt idx="0">
                  <c:v>8.7813632965295718E-5</c:v>
                </c:pt>
                <c:pt idx="1">
                  <c:v>6.6812110374114548E-4</c:v>
                </c:pt>
                <c:pt idx="2">
                  <c:v>1.3453056290573008E-3</c:v>
                </c:pt>
                <c:pt idx="3">
                  <c:v>2.743673774785885E-3</c:v>
                </c:pt>
                <c:pt idx="4">
                  <c:v>4.1585334948187752E-3</c:v>
                </c:pt>
                <c:pt idx="5">
                  <c:v>5.4130936391348109E-3</c:v>
                </c:pt>
                <c:pt idx="6">
                  <c:v>1.8234166299858048E-2</c:v>
                </c:pt>
                <c:pt idx="7">
                  <c:v>3.8009615156600562E-2</c:v>
                </c:pt>
                <c:pt idx="8">
                  <c:v>6.4491758140071215E-2</c:v>
                </c:pt>
                <c:pt idx="9">
                  <c:v>7.8331185624393451E-2</c:v>
                </c:pt>
                <c:pt idx="10">
                  <c:v>0.1146234467659399</c:v>
                </c:pt>
                <c:pt idx="11">
                  <c:v>0.11920820609673356</c:v>
                </c:pt>
                <c:pt idx="12">
                  <c:v>0.13918839051965826</c:v>
                </c:pt>
                <c:pt idx="13">
                  <c:v>0.15298330131138119</c:v>
                </c:pt>
                <c:pt idx="14">
                  <c:v>0.16313526936210079</c:v>
                </c:pt>
                <c:pt idx="15">
                  <c:v>0.17728442608939621</c:v>
                </c:pt>
                <c:pt idx="16">
                  <c:v>0.20244558590632325</c:v>
                </c:pt>
                <c:pt idx="17">
                  <c:v>0.23473980960886717</c:v>
                </c:pt>
                <c:pt idx="18">
                  <c:v>0.26643267561223716</c:v>
                </c:pt>
                <c:pt idx="19">
                  <c:v>0.28328482684440498</c:v>
                </c:pt>
                <c:pt idx="20">
                  <c:v>0.3129128908072582</c:v>
                </c:pt>
                <c:pt idx="21">
                  <c:v>0.3318461408551564</c:v>
                </c:pt>
                <c:pt idx="22">
                  <c:v>0.35521971985243211</c:v>
                </c:pt>
                <c:pt idx="23">
                  <c:v>0.36936995170488518</c:v>
                </c:pt>
                <c:pt idx="24">
                  <c:v>0.39055046494770779</c:v>
                </c:pt>
                <c:pt idx="25">
                  <c:v>0.40022233281096736</c:v>
                </c:pt>
                <c:pt idx="26">
                  <c:v>0.40022233281096736</c:v>
                </c:pt>
                <c:pt idx="27">
                  <c:v>0.40022233281096736</c:v>
                </c:pt>
                <c:pt idx="28">
                  <c:v>0.40517273761708056</c:v>
                </c:pt>
                <c:pt idx="29">
                  <c:v>0.41476788205872644</c:v>
                </c:pt>
                <c:pt idx="30">
                  <c:v>0.42172392947076015</c:v>
                </c:pt>
                <c:pt idx="31">
                  <c:v>0.43081721131666628</c:v>
                </c:pt>
                <c:pt idx="32">
                  <c:v>0.44850107513083781</c:v>
                </c:pt>
                <c:pt idx="33">
                  <c:v>0.47155100266317362</c:v>
                </c:pt>
                <c:pt idx="34">
                  <c:v>0.48557969288829339</c:v>
                </c:pt>
                <c:pt idx="35">
                  <c:v>0.50019776900572688</c:v>
                </c:pt>
                <c:pt idx="36">
                  <c:v>0.50402420656869551</c:v>
                </c:pt>
                <c:pt idx="37">
                  <c:v>0.53131084800846784</c:v>
                </c:pt>
                <c:pt idx="38">
                  <c:v>0.53319567765529641</c:v>
                </c:pt>
                <c:pt idx="39">
                  <c:v>0.54287761586807926</c:v>
                </c:pt>
                <c:pt idx="40">
                  <c:v>0.55384079721710877</c:v>
                </c:pt>
                <c:pt idx="41">
                  <c:v>0.5677999952687578</c:v>
                </c:pt>
                <c:pt idx="42">
                  <c:v>0.5678734066993717</c:v>
                </c:pt>
                <c:pt idx="43">
                  <c:v>0.58011831452833995</c:v>
                </c:pt>
                <c:pt idx="44">
                  <c:v>0.59171744695428674</c:v>
                </c:pt>
                <c:pt idx="45">
                  <c:v>0.60833830405168365</c:v>
                </c:pt>
                <c:pt idx="46">
                  <c:v>0.61691402902776593</c:v>
                </c:pt>
                <c:pt idx="47">
                  <c:v>0.62616605052204077</c:v>
                </c:pt>
                <c:pt idx="48">
                  <c:v>0.64025716391163345</c:v>
                </c:pt>
                <c:pt idx="49">
                  <c:v>0.64793985333465398</c:v>
                </c:pt>
                <c:pt idx="50">
                  <c:v>0.65979008450735477</c:v>
                </c:pt>
                <c:pt idx="51">
                  <c:v>0.6730360685434813</c:v>
                </c:pt>
                <c:pt idx="52">
                  <c:v>0.68715882876783518</c:v>
                </c:pt>
                <c:pt idx="53">
                  <c:v>0.69982528165328928</c:v>
                </c:pt>
                <c:pt idx="54">
                  <c:v>0.70757587803208832</c:v>
                </c:pt>
                <c:pt idx="55">
                  <c:v>0.71473806854181932</c:v>
                </c:pt>
                <c:pt idx="56">
                  <c:v>0.7218657760917162</c:v>
                </c:pt>
                <c:pt idx="57">
                  <c:v>0.72450245751086406</c:v>
                </c:pt>
                <c:pt idx="58">
                  <c:v>0.73299968309583019</c:v>
                </c:pt>
                <c:pt idx="59">
                  <c:v>0.7399562233280037</c:v>
                </c:pt>
                <c:pt idx="60">
                  <c:v>0.74502624318891664</c:v>
                </c:pt>
                <c:pt idx="61">
                  <c:v>0.74957628191305004</c:v>
                </c:pt>
                <c:pt idx="62">
                  <c:v>0.75620971770143919</c:v>
                </c:pt>
                <c:pt idx="63">
                  <c:v>0.7639359234712475</c:v>
                </c:pt>
                <c:pt idx="64">
                  <c:v>0.77585898361926176</c:v>
                </c:pt>
                <c:pt idx="65">
                  <c:v>0.78374288248176049</c:v>
                </c:pt>
                <c:pt idx="66">
                  <c:v>0.79449292446039321</c:v>
                </c:pt>
                <c:pt idx="67">
                  <c:v>0.795897330002448</c:v>
                </c:pt>
                <c:pt idx="68">
                  <c:v>0.8004229342151411</c:v>
                </c:pt>
                <c:pt idx="69">
                  <c:v>0.80224397756826837</c:v>
                </c:pt>
                <c:pt idx="70">
                  <c:v>0.80321760494652195</c:v>
                </c:pt>
                <c:pt idx="71">
                  <c:v>0.81006591572938336</c:v>
                </c:pt>
                <c:pt idx="72">
                  <c:v>0.82271072897239161</c:v>
                </c:pt>
                <c:pt idx="73">
                  <c:v>0.82558275159095129</c:v>
                </c:pt>
                <c:pt idx="74">
                  <c:v>0.83165873973535809</c:v>
                </c:pt>
                <c:pt idx="75">
                  <c:v>0.83408610170264397</c:v>
                </c:pt>
                <c:pt idx="76">
                  <c:v>0.8354534249540706</c:v>
                </c:pt>
                <c:pt idx="77">
                  <c:v>0.83604064045644755</c:v>
                </c:pt>
                <c:pt idx="78">
                  <c:v>0.83652905544202105</c:v>
                </c:pt>
                <c:pt idx="79">
                  <c:v>0.83655235120878313</c:v>
                </c:pt>
                <c:pt idx="80">
                  <c:v>0.83656399909216406</c:v>
                </c:pt>
                <c:pt idx="81">
                  <c:v>0.83656399909216406</c:v>
                </c:pt>
                <c:pt idx="82">
                  <c:v>0.83785093815723466</c:v>
                </c:pt>
                <c:pt idx="83">
                  <c:v>0.83868886207226168</c:v>
                </c:pt>
                <c:pt idx="84">
                  <c:v>0.83868886207226168</c:v>
                </c:pt>
                <c:pt idx="85">
                  <c:v>0.8392865433590162</c:v>
                </c:pt>
                <c:pt idx="86">
                  <c:v>0.8392865433590162</c:v>
                </c:pt>
                <c:pt idx="87">
                  <c:v>0.84320038934369457</c:v>
                </c:pt>
                <c:pt idx="88">
                  <c:v>0.84362316423153705</c:v>
                </c:pt>
                <c:pt idx="89">
                  <c:v>0.84449880449951853</c:v>
                </c:pt>
                <c:pt idx="90">
                  <c:v>0.84619147490380187</c:v>
                </c:pt>
                <c:pt idx="91">
                  <c:v>0.84668551793408497</c:v>
                </c:pt>
                <c:pt idx="92">
                  <c:v>0.84668551793408497</c:v>
                </c:pt>
                <c:pt idx="93">
                  <c:v>0.84774029930038997</c:v>
                </c:pt>
                <c:pt idx="94">
                  <c:v>0.84869916048592864</c:v>
                </c:pt>
                <c:pt idx="95">
                  <c:v>0.84955807307043518</c:v>
                </c:pt>
                <c:pt idx="96">
                  <c:v>0.85002709617708627</c:v>
                </c:pt>
                <c:pt idx="97">
                  <c:v>0.85051987785614103</c:v>
                </c:pt>
                <c:pt idx="98">
                  <c:v>0.85127516806613279</c:v>
                </c:pt>
                <c:pt idx="99">
                  <c:v>0.85164366265205349</c:v>
                </c:pt>
                <c:pt idx="100">
                  <c:v>0.86158882528271385</c:v>
                </c:pt>
                <c:pt idx="101">
                  <c:v>0.86195731986863455</c:v>
                </c:pt>
                <c:pt idx="102">
                  <c:v>0.86222296965919054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100'!$I$149:$DG$149</c15:f>
                <c15:dlblRangeCache>
                  <c:ptCount val="103"/>
                  <c:pt idx="0">
                    <c:v>0,0%</c:v>
                  </c:pt>
                  <c:pt idx="2">
                    <c:v>0,1%</c:v>
                  </c:pt>
                  <c:pt idx="4">
                    <c:v>0,4%</c:v>
                  </c:pt>
                  <c:pt idx="6">
                    <c:v>1,8%</c:v>
                  </c:pt>
                  <c:pt idx="8">
                    <c:v>6,4%</c:v>
                  </c:pt>
                  <c:pt idx="10">
                    <c:v>11,5%</c:v>
                  </c:pt>
                  <c:pt idx="12">
                    <c:v>13,9%</c:v>
                  </c:pt>
                  <c:pt idx="14">
                    <c:v>16,3%</c:v>
                  </c:pt>
                  <c:pt idx="16">
                    <c:v>20,2%</c:v>
                  </c:pt>
                  <c:pt idx="18">
                    <c:v>26,6%</c:v>
                  </c:pt>
                  <c:pt idx="20">
                    <c:v>31,3%</c:v>
                  </c:pt>
                  <c:pt idx="22">
                    <c:v>35,5%</c:v>
                  </c:pt>
                  <c:pt idx="24">
                    <c:v>39,1%</c:v>
                  </c:pt>
                  <c:pt idx="26">
                    <c:v>40,0%</c:v>
                  </c:pt>
                  <c:pt idx="28">
                    <c:v>40,5%</c:v>
                  </c:pt>
                  <c:pt idx="30">
                    <c:v>42,2%</c:v>
                  </c:pt>
                  <c:pt idx="32">
                    <c:v>44,9%</c:v>
                  </c:pt>
                  <c:pt idx="34">
                    <c:v>48,6%</c:v>
                  </c:pt>
                  <c:pt idx="36">
                    <c:v>50,4%</c:v>
                  </c:pt>
                  <c:pt idx="38">
                    <c:v>53,3%</c:v>
                  </c:pt>
                  <c:pt idx="40">
                    <c:v>55,4%</c:v>
                  </c:pt>
                  <c:pt idx="42">
                    <c:v>56,8%</c:v>
                  </c:pt>
                  <c:pt idx="44">
                    <c:v>59,2%</c:v>
                  </c:pt>
                  <c:pt idx="46">
                    <c:v>61,7%</c:v>
                  </c:pt>
                  <c:pt idx="48">
                    <c:v>64,0%</c:v>
                  </c:pt>
                  <c:pt idx="50">
                    <c:v>66,0%</c:v>
                  </c:pt>
                  <c:pt idx="52">
                    <c:v>68,7%</c:v>
                  </c:pt>
                  <c:pt idx="54">
                    <c:v>70,8%</c:v>
                  </c:pt>
                  <c:pt idx="56">
                    <c:v>72,2%</c:v>
                  </c:pt>
                  <c:pt idx="58">
                    <c:v>73,3%</c:v>
                  </c:pt>
                  <c:pt idx="60">
                    <c:v>74,5%</c:v>
                  </c:pt>
                  <c:pt idx="62">
                    <c:v>75,6%</c:v>
                  </c:pt>
                  <c:pt idx="64">
                    <c:v>77,6%</c:v>
                  </c:pt>
                  <c:pt idx="66">
                    <c:v>79,4%</c:v>
                  </c:pt>
                  <c:pt idx="68">
                    <c:v>80,0%</c:v>
                  </c:pt>
                  <c:pt idx="70">
                    <c:v>80,3%</c:v>
                  </c:pt>
                  <c:pt idx="72">
                    <c:v>82,3%</c:v>
                  </c:pt>
                  <c:pt idx="74">
                    <c:v>83,2%</c:v>
                  </c:pt>
                  <c:pt idx="76">
                    <c:v>83,5%</c:v>
                  </c:pt>
                  <c:pt idx="78">
                    <c:v>83,7%</c:v>
                  </c:pt>
                  <c:pt idx="80">
                    <c:v>83,7%</c:v>
                  </c:pt>
                  <c:pt idx="82">
                    <c:v>83,8%</c:v>
                  </c:pt>
                  <c:pt idx="84">
                    <c:v>83,9%</c:v>
                  </c:pt>
                  <c:pt idx="86">
                    <c:v>83,9%</c:v>
                  </c:pt>
                  <c:pt idx="88">
                    <c:v>84,4%</c:v>
                  </c:pt>
                  <c:pt idx="90">
                    <c:v>84,6%</c:v>
                  </c:pt>
                  <c:pt idx="92">
                    <c:v>84,7%</c:v>
                  </c:pt>
                  <c:pt idx="94">
                    <c:v>84,9%</c:v>
                  </c:pt>
                  <c:pt idx="96">
                    <c:v>85,0%</c:v>
                  </c:pt>
                  <c:pt idx="98">
                    <c:v>85,1%</c:v>
                  </c:pt>
                  <c:pt idx="100">
                    <c:v>86,2%</c:v>
                  </c:pt>
                  <c:pt idx="102">
                    <c:v>86,2%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3-BEB6-4B13-99BE-3EC0528A6553}"/>
            </c:ext>
          </c:extLst>
        </c:ser>
        <c:ser>
          <c:idx val="0"/>
          <c:order val="3"/>
          <c:tx>
            <c:strRef>
              <c:f>'Avance 100'!$B$144</c:f>
              <c:strCache>
                <c:ptCount val="1"/>
                <c:pt idx="0">
                  <c:v>Desviación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54-45A0-A243-68AEBA11D3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34116EE-AE3C-4D5F-8A4F-24DE08AA698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6DF-4401-94F0-67706FA1A92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DF-4401-94F0-67706FA1A92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474595-C12F-4697-9774-3030438877F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6DF-4401-94F0-67706FA1A92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DF-4401-94F0-67706FA1A92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5EAB854-F081-450B-9463-EF070DE4405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6DF-4401-94F0-67706FA1A92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DF-4401-94F0-67706FA1A92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6762C25-F870-47AE-B61F-96FF9A54A45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6DF-4401-94F0-67706FA1A92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6DF-4401-94F0-67706FA1A92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B42EAF2-464E-4548-AD9D-629264B83B5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6DF-4401-94F0-67706FA1A92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EB6-4B13-99BE-3EC0528A655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320DD2C-D17C-4484-ADB6-66774CA02C6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6DF-4401-94F0-67706FA1A92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DF-4401-94F0-67706FA1A92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871FD9F-E2E9-4581-BBD7-8A1F4B6BB9F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26DF-4401-94F0-67706FA1A92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EB6-4B13-99BE-3EC0528A655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9467F01-FCA7-426F-B840-9EE01506265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6DF-4401-94F0-67706FA1A92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6DF-4401-94F0-67706FA1A92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BCD5CF5-D98F-484A-A672-C9B5371FEC5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26DF-4401-94F0-67706FA1A92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EB6-4B13-99BE-3EC0528A655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AB30AA6-1298-41ED-AA99-6D7263CB42E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26DF-4401-94F0-67706FA1A92C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6DF-4401-94F0-67706FA1A92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68BE71E-B656-4510-BC46-C5D18BF37C4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26DF-4401-94F0-67706FA1A92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EB6-4B13-99BE-3EC0528A655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736FC85-A78B-423D-9A67-9303F946C6B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26DF-4401-94F0-67706FA1A92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6DF-4401-94F0-67706FA1A92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288F29B-D762-43C2-9BC6-6B87ED2EF0E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26DF-4401-94F0-67706FA1A92C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6DF-4401-94F0-67706FA1A92C}"/>
                </c:ext>
              </c:extLst>
            </c:dLbl>
            <c:dLbl>
              <c:idx val="27"/>
              <c:layout>
                <c:manualLayout>
                  <c:x val="-4.4269468146518755E-2"/>
                  <c:y val="2.7028004843758897E-2"/>
                </c:manualLayout>
              </c:layout>
              <c:tx>
                <c:rich>
                  <a:bodyPr/>
                  <a:lstStyle/>
                  <a:p>
                    <a:fld id="{59926703-BA87-4B57-BB36-90455D89391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BEB6-4B13-99BE-3EC0528A655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6DF-4401-94F0-67706FA1A92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7C1D367-C355-4AA2-A4EA-E605AE488FD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26DF-4401-94F0-67706FA1A92C}"/>
                </c:ext>
              </c:extLst>
            </c:dLbl>
            <c:dLbl>
              <c:idx val="30"/>
              <c:layout>
                <c:manualLayout>
                  <c:x val="-3.8187093764334296E-2"/>
                  <c:y val="5.7291666666666574E-2"/>
                </c:manualLayout>
              </c:layout>
              <c:tx>
                <c:rich>
                  <a:bodyPr/>
                  <a:lstStyle/>
                  <a:p>
                    <a:fld id="{F3E4E776-7F4B-4BAE-95C8-528073BFACE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26DF-4401-94F0-67706FA1A92C}"/>
                </c:ext>
              </c:extLst>
            </c:dLbl>
            <c:dLbl>
              <c:idx val="31"/>
              <c:layout>
                <c:manualLayout>
                  <c:x val="-3.0796151754100075E-2"/>
                  <c:y val="2.7028004843758897E-2"/>
                </c:manualLayout>
              </c:layout>
              <c:tx>
                <c:rich>
                  <a:bodyPr/>
                  <a:lstStyle/>
                  <a:p>
                    <a:fld id="{A293F7B7-84BA-4FDA-817E-C464CE67697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BEB6-4B13-99BE-3EC0528A6553}"/>
                </c:ext>
              </c:extLst>
            </c:dLbl>
            <c:dLbl>
              <c:idx val="32"/>
              <c:layout>
                <c:manualLayout>
                  <c:x val="-3.0574763325041842E-2"/>
                  <c:y val="-4.6875000000000097E-2"/>
                </c:manualLayout>
              </c:layout>
              <c:tx>
                <c:rich>
                  <a:bodyPr/>
                  <a:lstStyle/>
                  <a:p>
                    <a:fld id="{369E247B-E25A-4B18-9FBC-7BCE196872A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26DF-4401-94F0-67706FA1A92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C1EFA1FE-F40B-4494-AAF2-2673F9C5AAD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26DF-4401-94F0-67706FA1A92C}"/>
                </c:ext>
              </c:extLst>
            </c:dLbl>
            <c:dLbl>
              <c:idx val="34"/>
              <c:layout>
                <c:manualLayout>
                  <c:x val="-3.8218416508772966E-2"/>
                  <c:y val="5.7291666666666574E-2"/>
                </c:manualLayout>
              </c:layout>
              <c:tx>
                <c:rich>
                  <a:bodyPr/>
                  <a:lstStyle/>
                  <a:p>
                    <a:fld id="{00C370BF-70C0-41A0-A517-B28C3312853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26DF-4401-94F0-67706FA1A92C}"/>
                </c:ext>
              </c:extLst>
            </c:dLbl>
            <c:dLbl>
              <c:idx val="35"/>
              <c:layout>
                <c:manualLayout>
                  <c:x val="-2.8871392269468752E-2"/>
                  <c:y val="-2.7028004843758977E-2"/>
                </c:manualLayout>
              </c:layout>
              <c:tx>
                <c:rich>
                  <a:bodyPr/>
                  <a:lstStyle/>
                  <a:p>
                    <a:fld id="{595A3473-DFD1-4F7F-AF79-4073C1B7AD0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BEB6-4B13-99BE-3EC0528A6553}"/>
                </c:ext>
              </c:extLst>
            </c:dLbl>
            <c:dLbl>
              <c:idx val="36"/>
              <c:layout>
                <c:manualLayout>
                  <c:x val="-2.6752873714549315E-2"/>
                  <c:y val="-4.6875E-2"/>
                </c:manualLayout>
              </c:layout>
              <c:tx>
                <c:rich>
                  <a:bodyPr/>
                  <a:lstStyle/>
                  <a:p>
                    <a:fld id="{0DBEB4D1-FDED-439D-8773-C9F982EC38C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26DF-4401-94F0-67706FA1A92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25E3D640-AD7E-44CA-8A13-F6F923110DC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26DF-4401-94F0-67706FA1A92C}"/>
                </c:ext>
              </c:extLst>
            </c:dLbl>
            <c:dLbl>
              <c:idx val="38"/>
              <c:layout>
                <c:manualLayout>
                  <c:x val="-4.0135579294581711E-2"/>
                  <c:y val="5.2083333333333239E-2"/>
                </c:manualLayout>
              </c:layout>
              <c:tx>
                <c:rich>
                  <a:bodyPr/>
                  <a:lstStyle/>
                  <a:p>
                    <a:fld id="{645EC229-94B0-46D1-ADF8-9C145419293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26DF-4401-94F0-67706FA1A92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590D40CB-A465-4602-BAEE-F57776B23BD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26DF-4401-94F0-67706FA1A92C}"/>
                </c:ext>
              </c:extLst>
            </c:dLbl>
            <c:dLbl>
              <c:idx val="40"/>
              <c:layout>
                <c:manualLayout>
                  <c:x val="-2.7115858916335445E-2"/>
                  <c:y val="-4.7999507874015745E-2"/>
                </c:manualLayout>
              </c:layout>
              <c:tx>
                <c:rich>
                  <a:bodyPr/>
                  <a:lstStyle/>
                  <a:p>
                    <a:fld id="{54C1C64D-2C16-4757-ADB1-8CC816D3A9E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BEB6-4B13-99BE-3EC0528A655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F3C68833-492C-4216-A066-82B3258864D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26DF-4401-94F0-67706FA1A92C}"/>
                </c:ext>
              </c:extLst>
            </c:dLbl>
            <c:dLbl>
              <c:idx val="42"/>
              <c:layout>
                <c:manualLayout>
                  <c:x val="-4.2041749001813407E-2"/>
                  <c:y val="5.208333333333333E-3"/>
                </c:manualLayout>
              </c:layout>
              <c:tx>
                <c:rich>
                  <a:bodyPr/>
                  <a:lstStyle/>
                  <a:p>
                    <a:fld id="{E4CC1343-B35A-4D6A-9AF9-49E32B8A6F2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26DF-4401-94F0-67706FA1A92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900F3DB4-FE30-48CD-B18F-990FD4A1E5E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26DF-4401-94F0-67706FA1A92C}"/>
                </c:ext>
              </c:extLst>
            </c:dLbl>
            <c:dLbl>
              <c:idx val="44"/>
              <c:layout>
                <c:manualLayout>
                  <c:x val="-2.4848272927119504E-2"/>
                  <c:y val="-2.6041666666666571E-2"/>
                </c:manualLayout>
              </c:layout>
              <c:tx>
                <c:rich>
                  <a:bodyPr/>
                  <a:lstStyle/>
                  <a:p>
                    <a:fld id="{C6466B97-10B7-44F1-BD6D-A7563A8C057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BEB6-4B13-99BE-3EC0528A6553}"/>
                </c:ext>
              </c:extLst>
            </c:dLbl>
            <c:dLbl>
              <c:idx val="45"/>
              <c:layout>
                <c:manualLayout>
                  <c:x val="-5.5818025054306324E-2"/>
                  <c:y val="-1.3514002421879407E-2"/>
                </c:manualLayout>
              </c:layout>
              <c:tx>
                <c:rich>
                  <a:bodyPr/>
                  <a:lstStyle/>
                  <a:p>
                    <a:fld id="{9D1EDCD9-9F31-499B-BE98-53334F52850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BEB6-4B13-99BE-3EC0528A6553}"/>
                </c:ext>
              </c:extLst>
            </c:dLbl>
            <c:dLbl>
              <c:idx val="46"/>
              <c:layout>
                <c:manualLayout>
                  <c:x val="-3.439809581808239E-2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D44F7594-9F9A-4FFE-8148-70197F75769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26DF-4401-94F0-67706FA1A92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B255C87A-8ECE-4A1C-A24F-EEB57A21901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26DF-4401-94F0-67706FA1A92C}"/>
                </c:ext>
              </c:extLst>
            </c:dLbl>
            <c:dLbl>
              <c:idx val="48"/>
              <c:layout>
                <c:manualLayout>
                  <c:x val="-2.5080482888294429E-2"/>
                  <c:y val="-4.7157562335958005E-2"/>
                </c:manualLayout>
              </c:layout>
              <c:tx>
                <c:rich>
                  <a:bodyPr/>
                  <a:lstStyle/>
                  <a:p>
                    <a:fld id="{9FA50772-21FA-45B9-914D-24257CCED57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BEB6-4B13-99BE-3EC0528A655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281317DD-5CD6-4C66-9551-5BDB4FD80AF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26DF-4401-94F0-67706FA1A92C}"/>
                </c:ext>
              </c:extLst>
            </c:dLbl>
            <c:dLbl>
              <c:idx val="50"/>
              <c:layout>
                <c:manualLayout>
                  <c:x val="-2.4841954163510014E-2"/>
                  <c:y val="3.6458333333333336E-2"/>
                </c:manualLayout>
              </c:layout>
              <c:tx>
                <c:rich>
                  <a:bodyPr/>
                  <a:lstStyle/>
                  <a:p>
                    <a:fld id="{084689A8-31C8-4CC8-8C96-64AA6C8D721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26DF-4401-94F0-67706FA1A92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06DD1660-FA8B-45AB-B43A-D203D11ACD8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26DF-4401-94F0-67706FA1A92C}"/>
                </c:ext>
              </c:extLst>
            </c:dLbl>
            <c:dLbl>
              <c:idx val="52"/>
              <c:layout>
                <c:manualLayout>
                  <c:x val="-2.102011506143155E-2"/>
                  <c:y val="-5.2083333333333426E-2"/>
                </c:manualLayout>
              </c:layout>
              <c:tx>
                <c:rich>
                  <a:bodyPr/>
                  <a:lstStyle/>
                  <a:p>
                    <a:fld id="{CB826D42-5263-4799-90E7-3C8541DD7B4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26DF-4401-94F0-67706FA1A92C}"/>
                </c:ext>
              </c:extLst>
            </c:dLbl>
            <c:dLbl>
              <c:idx val="53"/>
              <c:layout>
                <c:manualLayout>
                  <c:x val="-3.2720911238731255E-2"/>
                  <c:y val="-4.0542007265638468E-2"/>
                </c:manualLayout>
              </c:layout>
              <c:tx>
                <c:rich>
                  <a:bodyPr/>
                  <a:lstStyle/>
                  <a:p>
                    <a:fld id="{9AA4AD05-134C-4264-BFD0-E6C133D9E1F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BEB6-4B13-99BE-3EC0528A6553}"/>
                </c:ext>
              </c:extLst>
            </c:dLbl>
            <c:dLbl>
              <c:idx val="54"/>
              <c:layout>
                <c:manualLayout>
                  <c:x val="-3.2485632367666939E-2"/>
                  <c:y val="5.2083333333333239E-2"/>
                </c:manualLayout>
              </c:layout>
              <c:tx>
                <c:rich>
                  <a:bodyPr/>
                  <a:lstStyle/>
                  <a:p>
                    <a:fld id="{7FEECCD8-70C5-42FC-8DCD-664BB657501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26DF-4401-94F0-67706FA1A92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1B3BEACE-BA07-4389-8875-76CF9BB66F0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26DF-4401-94F0-67706FA1A92C}"/>
                </c:ext>
              </c:extLst>
            </c:dLbl>
            <c:dLbl>
              <c:idx val="56"/>
              <c:layout>
                <c:manualLayout>
                  <c:x val="-2.4841954163510153E-2"/>
                  <c:y val="-4.6875E-2"/>
                </c:manualLayout>
              </c:layout>
              <c:tx>
                <c:rich>
                  <a:bodyPr/>
                  <a:lstStyle/>
                  <a:p>
                    <a:fld id="{D79944AD-217A-4188-BB98-3277BB09CC7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26DF-4401-94F0-67706FA1A92C}"/>
                </c:ext>
              </c:extLst>
            </c:dLbl>
            <c:dLbl>
              <c:idx val="57"/>
              <c:layout>
                <c:manualLayout>
                  <c:x val="-2.6946632784837502E-2"/>
                  <c:y val="-3.1532672317718807E-2"/>
                </c:manualLayout>
              </c:layout>
              <c:tx>
                <c:rich>
                  <a:bodyPr/>
                  <a:lstStyle/>
                  <a:p>
                    <a:fld id="{73BB9F1F-FEC1-4124-971A-D88448B8D1E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BEB6-4B13-99BE-3EC0528A6553}"/>
                </c:ext>
              </c:extLst>
            </c:dLbl>
            <c:dLbl>
              <c:idx val="58"/>
              <c:layout>
                <c:manualLayout>
                  <c:x val="-3.8224741293707655E-2"/>
                  <c:y val="5.2083333333333336E-2"/>
                </c:manualLayout>
              </c:layout>
              <c:tx>
                <c:rich>
                  <a:bodyPr/>
                  <a:lstStyle/>
                  <a:p>
                    <a:fld id="{7BD3569D-7CBF-4D32-B604-01403460A91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26DF-4401-94F0-67706FA1A92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4950354B-8D03-4B20-8477-C336A231CD7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26DF-4401-94F0-67706FA1A92C}"/>
                </c:ext>
              </c:extLst>
            </c:dLbl>
            <c:dLbl>
              <c:idx val="60"/>
              <c:layout>
                <c:manualLayout>
                  <c:x val="-2.8673261911452478E-2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FEFBDD27-B7B0-4E5D-9C77-93F62F748B4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26DF-4401-94F0-67706FA1A92C}"/>
                </c:ext>
              </c:extLst>
            </c:dLbl>
            <c:dLbl>
              <c:idx val="61"/>
              <c:layout>
                <c:manualLayout>
                  <c:x val="-2.7109266352811093E-2"/>
                  <c:y val="-3.6838074906019397E-2"/>
                </c:manualLayout>
              </c:layout>
              <c:tx>
                <c:rich>
                  <a:bodyPr/>
                  <a:lstStyle/>
                  <a:p>
                    <a:fld id="{35AB9E7A-FBEA-486B-B274-6A259FF2FF7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BEB6-4B13-99BE-3EC0528A6553}"/>
                </c:ext>
              </c:extLst>
            </c:dLbl>
            <c:dLbl>
              <c:idx val="62"/>
              <c:layout>
                <c:manualLayout>
                  <c:x val="-4.2046567885573198E-2"/>
                  <c:y val="4.6874999999999903E-2"/>
                </c:manualLayout>
              </c:layout>
              <c:tx>
                <c:rich>
                  <a:bodyPr/>
                  <a:lstStyle/>
                  <a:p>
                    <a:fld id="{D9DC8B71-4F71-4EFA-A117-E8A6141D178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26DF-4401-94F0-67706FA1A92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3C78B125-C0F9-4169-9BF8-296983D82CA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26DF-4401-94F0-67706FA1A92C}"/>
                </c:ext>
              </c:extLst>
            </c:dLbl>
            <c:dLbl>
              <c:idx val="64"/>
              <c:layout>
                <c:manualLayout>
                  <c:x val="-3.058259401115157E-2"/>
                  <c:y val="-5.2083333333333336E-2"/>
                </c:manualLayout>
              </c:layout>
              <c:tx>
                <c:rich>
                  <a:bodyPr/>
                  <a:lstStyle/>
                  <a:p>
                    <a:fld id="{310E1586-6F2D-4AD0-9F6E-5DA949997F0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26DF-4401-94F0-67706FA1A92C}"/>
                </c:ext>
              </c:extLst>
            </c:dLbl>
            <c:dLbl>
              <c:idx val="65"/>
              <c:layout>
                <c:manualLayout>
                  <c:x val="-2.5014664034706861E-2"/>
                  <c:y val="-2.6983941570593854E-2"/>
                </c:manualLayout>
              </c:layout>
              <c:tx>
                <c:rich>
                  <a:bodyPr/>
                  <a:lstStyle/>
                  <a:p>
                    <a:fld id="{C699B5F0-99D8-4F80-AD38-D45A988B00E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BEB6-4B13-99BE-3EC0528A6553}"/>
                </c:ext>
              </c:extLst>
            </c:dLbl>
            <c:dLbl>
              <c:idx val="66"/>
              <c:layout>
                <c:manualLayout>
                  <c:x val="-4.20402301228631E-2"/>
                  <c:y val="5.2083333333333336E-2"/>
                </c:manualLayout>
              </c:layout>
              <c:tx>
                <c:rich>
                  <a:bodyPr/>
                  <a:lstStyle/>
                  <a:p>
                    <a:fld id="{457A45B7-35E6-4009-8DC8-D43712A6984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26DF-4401-94F0-67706FA1A92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44BE969E-F2B9-40BD-8AF8-5834E60E019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26DF-4401-94F0-67706FA1A92C}"/>
                </c:ext>
              </c:extLst>
            </c:dLbl>
            <c:dLbl>
              <c:idx val="68"/>
              <c:layout>
                <c:manualLayout>
                  <c:x val="-3.0579431618684136E-2"/>
                  <c:y val="-6.25E-2"/>
                </c:manualLayout>
              </c:layout>
              <c:tx>
                <c:rich>
                  <a:bodyPr/>
                  <a:lstStyle/>
                  <a:p>
                    <a:fld id="{8D3B6968-B641-49AE-8A74-ED24F26A93D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26DF-4401-94F0-67706FA1A92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609D95EC-9AFB-4E3C-B848-FBD0B8D62A9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26DF-4401-94F0-67706FA1A92C}"/>
                </c:ext>
              </c:extLst>
            </c:dLbl>
            <c:dLbl>
              <c:idx val="70"/>
              <c:layout>
                <c:manualLayout>
                  <c:x val="-4.2651036617191787E-2"/>
                  <c:y val="-1.1478838582677166E-3"/>
                </c:manualLayout>
              </c:layout>
              <c:tx>
                <c:rich>
                  <a:bodyPr/>
                  <a:lstStyle/>
                  <a:p>
                    <a:fld id="{F1171A2E-F19B-43C0-94F0-CD666C0CC2E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BEB6-4B13-99BE-3EC0528A655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448068C6-7310-42FD-A0A5-26C035603DF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26DF-4401-94F0-67706FA1A92C}"/>
                </c:ext>
              </c:extLst>
            </c:dLbl>
            <c:dLbl>
              <c:idx val="72"/>
              <c:layout>
                <c:manualLayout>
                  <c:x val="-3.2817652534988861E-2"/>
                  <c:y val="-5.6122867454068241E-2"/>
                </c:manualLayout>
              </c:layout>
              <c:tx>
                <c:rich>
                  <a:bodyPr/>
                  <a:lstStyle/>
                  <a:p>
                    <a:fld id="{8E3228F1-706D-4C60-9EE6-4E964B55A0E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224-4A41-BB45-E77899F01D2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F2AB0FF5-BCE3-4B5D-A6AB-ED884A78722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26DF-4401-94F0-67706FA1A92C}"/>
                </c:ext>
              </c:extLst>
            </c:dLbl>
            <c:dLbl>
              <c:idx val="74"/>
              <c:layout>
                <c:manualLayout>
                  <c:x val="-3.6326552862703004E-2"/>
                  <c:y val="-2.0833333333333429E-2"/>
                </c:manualLayout>
              </c:layout>
              <c:tx>
                <c:rich>
                  <a:bodyPr/>
                  <a:lstStyle/>
                  <a:p>
                    <a:fld id="{0B528972-B11C-4FDA-B098-637509507DE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26DF-4401-94F0-67706FA1A92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615A7FBB-103A-4AEA-91AB-997B7C73791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26DF-4401-94F0-67706FA1A92C}"/>
                </c:ext>
              </c:extLst>
            </c:dLbl>
            <c:dLbl>
              <c:idx val="76"/>
              <c:layout>
                <c:manualLayout>
                  <c:x val="-3.2503822730132567E-2"/>
                  <c:y val="-2.6041666666666668E-2"/>
                </c:manualLayout>
              </c:layout>
              <c:tx>
                <c:rich>
                  <a:bodyPr/>
                  <a:lstStyle/>
                  <a:p>
                    <a:fld id="{282AEAB0-4603-44DC-80F7-F75A23522DA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26DF-4401-94F0-67706FA1A92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C3CED406-CAF1-48E9-878E-D984CD6E5E3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26DF-4401-94F0-67706FA1A92C}"/>
                </c:ext>
              </c:extLst>
            </c:dLbl>
            <c:dLbl>
              <c:idx val="78"/>
              <c:layout>
                <c:manualLayout>
                  <c:x val="-2.8999590696060652E-2"/>
                  <c:y val="-3.6149114173228344E-2"/>
                </c:manualLayout>
              </c:layout>
              <c:tx>
                <c:rich>
                  <a:bodyPr/>
                  <a:lstStyle/>
                  <a:p>
                    <a:fld id="{6B20C7C1-A780-476B-A5AE-84CC7A91C83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54-45A0-A243-68AEBA11D3E3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EFCB3688-1686-4336-AB6F-6077DE1D5D7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26DF-4401-94F0-67706FA1A92C}"/>
                </c:ext>
              </c:extLst>
            </c:dLbl>
            <c:dLbl>
              <c:idx val="80"/>
              <c:layout>
                <c:manualLayout>
                  <c:x val="-2.6766339253633212E-2"/>
                  <c:y val="-3.6458333333333239E-2"/>
                </c:manualLayout>
              </c:layout>
              <c:tx>
                <c:rich>
                  <a:bodyPr/>
                  <a:lstStyle/>
                  <a:p>
                    <a:fld id="{2E54F46C-F7D9-45D0-9A92-C5C7CA1A17A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26DF-4401-94F0-67706FA1A92C}"/>
                </c:ext>
              </c:extLst>
            </c:dLbl>
            <c:dLbl>
              <c:idx val="81"/>
              <c:layout>
                <c:manualLayout>
                  <c:x val="-3.2594562594090583E-2"/>
                  <c:y val="-3.1806547567269819E-2"/>
                </c:manualLayout>
              </c:layout>
              <c:tx>
                <c:rich>
                  <a:bodyPr/>
                  <a:lstStyle/>
                  <a:p>
                    <a:fld id="{59B174E9-9DBD-4442-A81D-C487D721323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12D-4859-842C-D74D74630313}"/>
                </c:ext>
              </c:extLst>
            </c:dLbl>
            <c:dLbl>
              <c:idx val="82"/>
              <c:layout>
                <c:manualLayout>
                  <c:x val="-2.4855350662641763E-2"/>
                  <c:y val="-3.6458333333333336E-2"/>
                </c:manualLayout>
              </c:layout>
              <c:tx>
                <c:rich>
                  <a:bodyPr/>
                  <a:lstStyle/>
                  <a:p>
                    <a:fld id="{CB58C41E-F7F9-491F-A4B5-746260D8283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26DF-4401-94F0-67706FA1A92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436C4719-34C5-4D22-9C0D-83191B7A115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26DF-4401-94F0-67706FA1A92C}"/>
                </c:ext>
              </c:extLst>
            </c:dLbl>
            <c:dLbl>
              <c:idx val="84"/>
              <c:layout>
                <c:manualLayout>
                  <c:x val="-2.103171698936623E-2"/>
                  <c:y val="-3.6458333333333426E-2"/>
                </c:manualLayout>
              </c:layout>
              <c:tx>
                <c:rich>
                  <a:bodyPr/>
                  <a:lstStyle/>
                  <a:p>
                    <a:fld id="{F343C12E-FE0F-4DC1-98A8-2ADBFF046B3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26DF-4401-94F0-67706FA1A92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DE2DA08E-80CC-46FB-8911-9991664F90E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26DF-4401-94F0-67706FA1A92C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6DF-4401-94F0-67706FA1A92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57277DE2-C6FA-4FDD-891D-EBB8C3B8BB4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26DF-4401-94F0-67706FA1A92C}"/>
                </c:ext>
              </c:extLst>
            </c:dLbl>
            <c:dLbl>
              <c:idx val="88"/>
              <c:layout>
                <c:manualLayout>
                  <c:x val="-3.2508792204009852E-2"/>
                  <c:y val="-3.125E-2"/>
                </c:manualLayout>
              </c:layout>
              <c:tx>
                <c:rich>
                  <a:bodyPr/>
                  <a:lstStyle/>
                  <a:p>
                    <a:fld id="{FA6C33CB-AEDB-4BBC-92A6-33A572716A8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26DF-4401-94F0-67706FA1A92C}"/>
                </c:ext>
              </c:extLst>
            </c:dLbl>
            <c:dLbl>
              <c:idx val="89"/>
              <c:layout>
                <c:manualLayout>
                  <c:x val="-5.3813526747259838E-2"/>
                  <c:y val="1.3527297980811119E-2"/>
                </c:manualLayout>
              </c:layout>
              <c:tx>
                <c:rich>
                  <a:bodyPr/>
                  <a:lstStyle/>
                  <a:p>
                    <a:fld id="{FE8B838A-C7C5-4F34-8978-4465814CCE3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5D8-4DEC-B363-E2EF38CE5A21}"/>
                </c:ext>
              </c:extLst>
            </c:dLbl>
            <c:dLbl>
              <c:idx val="90"/>
              <c:layout>
                <c:manualLayout>
                  <c:x val="-3.0597050662430868E-2"/>
                  <c:y val="-2.6041666666666859E-2"/>
                </c:manualLayout>
              </c:layout>
              <c:tx>
                <c:rich>
                  <a:bodyPr/>
                  <a:lstStyle/>
                  <a:p>
                    <a:fld id="{3D19EC5E-20CA-4D9B-BBFC-7E5F748C62B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26DF-4401-94F0-67706FA1A92C}"/>
                </c:ext>
              </c:extLst>
            </c:dLbl>
            <c:dLbl>
              <c:idx val="91"/>
              <c:layout>
                <c:manualLayout>
                  <c:x val="-4.0360145060445017E-2"/>
                  <c:y val="-4.5090993269370397E-2"/>
                </c:manualLayout>
              </c:layout>
              <c:tx>
                <c:rich>
                  <a:bodyPr/>
                  <a:lstStyle/>
                  <a:p>
                    <a:fld id="{374B44F9-5AF2-421E-8D0E-F3D7ACC3D2C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D7B-4A60-802D-61C636899448}"/>
                </c:ext>
              </c:extLst>
            </c:dLbl>
            <c:dLbl>
              <c:idx val="92"/>
              <c:layout>
                <c:manualLayout>
                  <c:x val="-2.6774169939742871E-2"/>
                  <c:y val="-2.6041666666666668E-2"/>
                </c:manualLayout>
              </c:layout>
              <c:tx>
                <c:rich>
                  <a:bodyPr/>
                  <a:lstStyle/>
                  <a:p>
                    <a:fld id="{3197B557-AAD1-425C-BD5F-55B20A95D9A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26DF-4401-94F0-67706FA1A92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A9642C70-DADE-4F37-82B5-B9BF4326666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26DF-4401-94F0-67706FA1A92C}"/>
                </c:ext>
              </c:extLst>
            </c:dLbl>
            <c:dLbl>
              <c:idx val="94"/>
              <c:layout>
                <c:manualLayout>
                  <c:x val="-2.4945102372667914E-2"/>
                  <c:y val="-3.0078330052493534E-2"/>
                </c:manualLayout>
              </c:layout>
              <c:tx>
                <c:rich>
                  <a:bodyPr/>
                  <a:lstStyle/>
                  <a:p>
                    <a:fld id="{3A545B15-7693-4554-B3B6-64FCAD9110B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D7B-4A60-802D-61C636899448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A301CCD2-0CDA-4D04-87F1-69F4475C268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C89-4D13-BD9E-531D29A96FD4}"/>
                </c:ext>
              </c:extLst>
            </c:dLbl>
            <c:dLbl>
              <c:idx val="96"/>
              <c:layout>
                <c:manualLayout>
                  <c:x val="-2.6774922890330337E-2"/>
                  <c:y val="-1.5625E-2"/>
                </c:manualLayout>
              </c:layout>
              <c:tx>
                <c:rich>
                  <a:bodyPr/>
                  <a:lstStyle/>
                  <a:p>
                    <a:fld id="{08CD5569-0AF9-4FF8-91F2-3B816E560B8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C89-4D13-BD9E-531D29A96FD4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12DC49B9-3041-4C25-A562-9F0A07A20AA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C89-4D13-BD9E-531D29A96FD4}"/>
                </c:ext>
              </c:extLst>
            </c:dLbl>
            <c:dLbl>
              <c:idx val="98"/>
              <c:layout>
                <c:manualLayout>
                  <c:x val="-2.4805655923868866E-2"/>
                  <c:y val="-1.5625E-2"/>
                </c:manualLayout>
              </c:layout>
              <c:tx>
                <c:rich>
                  <a:bodyPr/>
                  <a:lstStyle/>
                  <a:p>
                    <a:fld id="{FA814FB2-568A-4FB5-BFE1-E6626395B0D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C89-4D13-BD9E-531D29A96FD4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8827A74A-FD3F-4FF2-8477-47ACC8214F6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275-489E-ADB6-4F7EA68FD99F}"/>
                </c:ext>
              </c:extLst>
            </c:dLbl>
            <c:dLbl>
              <c:idx val="100"/>
              <c:layout>
                <c:manualLayout>
                  <c:x val="-2.2949933905997432E-2"/>
                  <c:y val="-1.5625E-2"/>
                </c:manualLayout>
              </c:layout>
              <c:tx>
                <c:rich>
                  <a:bodyPr/>
                  <a:lstStyle/>
                  <a:p>
                    <a:fld id="{9F0BB658-6BF5-4D90-BFCD-D3F0929239E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275-489E-ADB6-4F7EA68FD99F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6E0B7EDC-CEDC-49DD-A244-3B197140632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275-489E-ADB6-4F7EA68FD99F}"/>
                </c:ext>
              </c:extLst>
            </c:dLbl>
            <c:dLbl>
              <c:idx val="102"/>
              <c:layout>
                <c:manualLayout>
                  <c:x val="-1.7212450429498073E-2"/>
                  <c:y val="-1.0416666666666761E-2"/>
                </c:manualLayout>
              </c:layout>
              <c:tx>
                <c:rich>
                  <a:bodyPr/>
                  <a:lstStyle/>
                  <a:p>
                    <a:fld id="{AC20823F-ED12-442D-92E0-FEDD3A29C2B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275-489E-ADB6-4F7EA68FD99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36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100'!$I$5:$EI$5</c:f>
              <c:strCache>
                <c:ptCount val="131"/>
                <c:pt idx="0">
                  <c:v>01/07/24</c:v>
                </c:pt>
                <c:pt idx="1">
                  <c:v>08/07/24</c:v>
                </c:pt>
                <c:pt idx="2">
                  <c:v>15/07/24</c:v>
                </c:pt>
                <c:pt idx="3">
                  <c:v>22/07/24</c:v>
                </c:pt>
                <c:pt idx="4">
                  <c:v>29/07/24</c:v>
                </c:pt>
                <c:pt idx="5">
                  <c:v>05/08/24</c:v>
                </c:pt>
                <c:pt idx="6">
                  <c:v>12/08/24</c:v>
                </c:pt>
                <c:pt idx="7">
                  <c:v>19/08/24</c:v>
                </c:pt>
                <c:pt idx="8">
                  <c:v>26/08/24</c:v>
                </c:pt>
                <c:pt idx="9">
                  <c:v>02/09/24</c:v>
                </c:pt>
                <c:pt idx="10">
                  <c:v>09/09/24</c:v>
                </c:pt>
                <c:pt idx="11">
                  <c:v>16/09/24</c:v>
                </c:pt>
                <c:pt idx="12">
                  <c:v>23/09/24</c:v>
                </c:pt>
                <c:pt idx="13">
                  <c:v>30/09/24</c:v>
                </c:pt>
                <c:pt idx="14">
                  <c:v>07/10/24</c:v>
                </c:pt>
                <c:pt idx="15">
                  <c:v>14/10/24</c:v>
                </c:pt>
                <c:pt idx="16">
                  <c:v>21/10/24</c:v>
                </c:pt>
                <c:pt idx="17">
                  <c:v>28/10/24</c:v>
                </c:pt>
                <c:pt idx="18">
                  <c:v>04/11/24</c:v>
                </c:pt>
                <c:pt idx="19">
                  <c:v>11/11/24</c:v>
                </c:pt>
                <c:pt idx="20">
                  <c:v>18/11/24</c:v>
                </c:pt>
                <c:pt idx="21">
                  <c:v>25/11/24</c:v>
                </c:pt>
                <c:pt idx="22">
                  <c:v>02/12/24</c:v>
                </c:pt>
                <c:pt idx="23">
                  <c:v>09/12/24</c:v>
                </c:pt>
                <c:pt idx="24">
                  <c:v>16/12/24</c:v>
                </c:pt>
                <c:pt idx="25">
                  <c:v>23/12/24</c:v>
                </c:pt>
                <c:pt idx="26">
                  <c:v>30/12/24</c:v>
                </c:pt>
                <c:pt idx="27">
                  <c:v>06/01/25</c:v>
                </c:pt>
                <c:pt idx="28">
                  <c:v>13/01/25</c:v>
                </c:pt>
                <c:pt idx="29">
                  <c:v>20/01/25</c:v>
                </c:pt>
                <c:pt idx="30">
                  <c:v>27/01/25</c:v>
                </c:pt>
                <c:pt idx="31">
                  <c:v>03/02/25</c:v>
                </c:pt>
                <c:pt idx="32">
                  <c:v>10/02/25</c:v>
                </c:pt>
                <c:pt idx="33">
                  <c:v>17/02/25</c:v>
                </c:pt>
                <c:pt idx="34">
                  <c:v>24/02/25</c:v>
                </c:pt>
                <c:pt idx="35">
                  <c:v>03/03/25</c:v>
                </c:pt>
                <c:pt idx="36">
                  <c:v>10/03/25</c:v>
                </c:pt>
                <c:pt idx="37">
                  <c:v>17/03/25</c:v>
                </c:pt>
                <c:pt idx="38">
                  <c:v>24/03/25</c:v>
                </c:pt>
                <c:pt idx="39">
                  <c:v>31/03/25</c:v>
                </c:pt>
                <c:pt idx="40">
                  <c:v>07/04/25</c:v>
                </c:pt>
                <c:pt idx="41">
                  <c:v>14/04/25</c:v>
                </c:pt>
                <c:pt idx="42">
                  <c:v>21/04/25</c:v>
                </c:pt>
                <c:pt idx="43">
                  <c:v>28/04/25</c:v>
                </c:pt>
                <c:pt idx="44">
                  <c:v>05/05/25</c:v>
                </c:pt>
                <c:pt idx="45">
                  <c:v>12/05/25</c:v>
                </c:pt>
                <c:pt idx="46">
                  <c:v>19/05/25</c:v>
                </c:pt>
                <c:pt idx="47">
                  <c:v>26/05/25</c:v>
                </c:pt>
                <c:pt idx="48">
                  <c:v>02/06/25</c:v>
                </c:pt>
                <c:pt idx="49">
                  <c:v>09/06/25</c:v>
                </c:pt>
                <c:pt idx="50">
                  <c:v>16/06/25</c:v>
                </c:pt>
                <c:pt idx="51">
                  <c:v>23/06/25</c:v>
                </c:pt>
                <c:pt idx="52">
                  <c:v>30/06/25</c:v>
                </c:pt>
                <c:pt idx="53">
                  <c:v>07/07/25</c:v>
                </c:pt>
                <c:pt idx="54">
                  <c:v>14/07/25</c:v>
                </c:pt>
                <c:pt idx="55">
                  <c:v>21/07/25</c:v>
                </c:pt>
                <c:pt idx="56">
                  <c:v>28/07/25</c:v>
                </c:pt>
                <c:pt idx="57">
                  <c:v>04/08/25</c:v>
                </c:pt>
                <c:pt idx="58">
                  <c:v>11/08/25</c:v>
                </c:pt>
                <c:pt idx="59">
                  <c:v>18/08/25</c:v>
                </c:pt>
                <c:pt idx="60">
                  <c:v>25/08/25</c:v>
                </c:pt>
                <c:pt idx="61">
                  <c:v>01/09/25</c:v>
                </c:pt>
                <c:pt idx="62">
                  <c:v>08/09/25</c:v>
                </c:pt>
                <c:pt idx="63">
                  <c:v>15/09/25</c:v>
                </c:pt>
                <c:pt idx="64">
                  <c:v>22/09/25</c:v>
                </c:pt>
                <c:pt idx="65">
                  <c:v>29/09/25</c:v>
                </c:pt>
                <c:pt idx="66">
                  <c:v>06/10/25</c:v>
                </c:pt>
                <c:pt idx="67">
                  <c:v>13/10/25</c:v>
                </c:pt>
                <c:pt idx="68">
                  <c:v>20/10/25</c:v>
                </c:pt>
                <c:pt idx="69">
                  <c:v>27/10/25</c:v>
                </c:pt>
                <c:pt idx="70">
                  <c:v>03/11/25</c:v>
                </c:pt>
                <c:pt idx="71">
                  <c:v>10/11/25</c:v>
                </c:pt>
                <c:pt idx="72">
                  <c:v>17/11/25</c:v>
                </c:pt>
                <c:pt idx="73">
                  <c:v>24/11/25</c:v>
                </c:pt>
                <c:pt idx="74">
                  <c:v>01/12/25</c:v>
                </c:pt>
                <c:pt idx="75">
                  <c:v>08/12/25</c:v>
                </c:pt>
                <c:pt idx="76">
                  <c:v>15/12/25</c:v>
                </c:pt>
                <c:pt idx="77">
                  <c:v>22/12/25</c:v>
                </c:pt>
                <c:pt idx="78">
                  <c:v>29/12/25</c:v>
                </c:pt>
                <c:pt idx="79">
                  <c:v>05/01/26</c:v>
                </c:pt>
                <c:pt idx="80">
                  <c:v>12/01/26</c:v>
                </c:pt>
                <c:pt idx="81">
                  <c:v>19/01/26</c:v>
                </c:pt>
                <c:pt idx="82">
                  <c:v>26/01/26</c:v>
                </c:pt>
                <c:pt idx="83">
                  <c:v>02/02/26</c:v>
                </c:pt>
                <c:pt idx="84">
                  <c:v>09/02/26</c:v>
                </c:pt>
                <c:pt idx="85">
                  <c:v>16/02/26</c:v>
                </c:pt>
                <c:pt idx="86">
                  <c:v>23/02/26</c:v>
                </c:pt>
                <c:pt idx="87">
                  <c:v>02/03/26</c:v>
                </c:pt>
                <c:pt idx="88">
                  <c:v>09/03/26</c:v>
                </c:pt>
                <c:pt idx="89">
                  <c:v>16/03/26</c:v>
                </c:pt>
                <c:pt idx="90">
                  <c:v>23/03/26</c:v>
                </c:pt>
                <c:pt idx="91">
                  <c:v>30/03/26</c:v>
                </c:pt>
                <c:pt idx="92">
                  <c:v>06/04/26</c:v>
                </c:pt>
                <c:pt idx="93">
                  <c:v>13/04/26</c:v>
                </c:pt>
                <c:pt idx="94">
                  <c:v>20/04/26</c:v>
                </c:pt>
                <c:pt idx="95">
                  <c:v>27/04/26</c:v>
                </c:pt>
                <c:pt idx="96">
                  <c:v>04/05/26</c:v>
                </c:pt>
                <c:pt idx="97">
                  <c:v>11/05/26</c:v>
                </c:pt>
                <c:pt idx="98">
                  <c:v>18/05/26</c:v>
                </c:pt>
                <c:pt idx="99">
                  <c:v>25/05/26</c:v>
                </c:pt>
                <c:pt idx="100">
                  <c:v>01/06/26</c:v>
                </c:pt>
                <c:pt idx="101">
                  <c:v>08/06/26</c:v>
                </c:pt>
                <c:pt idx="102">
                  <c:v>15/06/26</c:v>
                </c:pt>
                <c:pt idx="103">
                  <c:v>22/06/26</c:v>
                </c:pt>
                <c:pt idx="104">
                  <c:v>29/06/26</c:v>
                </c:pt>
                <c:pt idx="105">
                  <c:v>06/07/26</c:v>
                </c:pt>
                <c:pt idx="106">
                  <c:v>13/07/26</c:v>
                </c:pt>
                <c:pt idx="107">
                  <c:v>20/07/26</c:v>
                </c:pt>
                <c:pt idx="108">
                  <c:v>27/07/26</c:v>
                </c:pt>
                <c:pt idx="109">
                  <c:v>03/08/26</c:v>
                </c:pt>
                <c:pt idx="110">
                  <c:v>10/08/26</c:v>
                </c:pt>
                <c:pt idx="111">
                  <c:v>17/08/26</c:v>
                </c:pt>
                <c:pt idx="112">
                  <c:v>24/08/26</c:v>
                </c:pt>
                <c:pt idx="113">
                  <c:v>31/08/26</c:v>
                </c:pt>
                <c:pt idx="114">
                  <c:v>07/09/26</c:v>
                </c:pt>
                <c:pt idx="115">
                  <c:v>14/09/26</c:v>
                </c:pt>
                <c:pt idx="116">
                  <c:v>21/09/26</c:v>
                </c:pt>
                <c:pt idx="117">
                  <c:v>28/09/26</c:v>
                </c:pt>
                <c:pt idx="118">
                  <c:v>05/10/26</c:v>
                </c:pt>
                <c:pt idx="119">
                  <c:v>12/10/26</c:v>
                </c:pt>
                <c:pt idx="120">
                  <c:v>19/10/26</c:v>
                </c:pt>
                <c:pt idx="121">
                  <c:v>26/10/26</c:v>
                </c:pt>
                <c:pt idx="122">
                  <c:v>02/11/26</c:v>
                </c:pt>
                <c:pt idx="123">
                  <c:v>09/11/26</c:v>
                </c:pt>
                <c:pt idx="124">
                  <c:v>16/11/26</c:v>
                </c:pt>
                <c:pt idx="125">
                  <c:v>23/11/26</c:v>
                </c:pt>
                <c:pt idx="126">
                  <c:v>30/11/26</c:v>
                </c:pt>
                <c:pt idx="127">
                  <c:v>07/12/26</c:v>
                </c:pt>
                <c:pt idx="128">
                  <c:v>14/12/26</c:v>
                </c:pt>
                <c:pt idx="129">
                  <c:v>21/12/26</c:v>
                </c:pt>
                <c:pt idx="130">
                  <c:v>28/12/26</c:v>
                </c:pt>
              </c:strCache>
            </c:strRef>
          </c:cat>
          <c:val>
            <c:numRef>
              <c:f>'Avance 100'!$I$144:$DG$144</c:f>
              <c:numCache>
                <c:formatCode>0.0%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-5.4553709452032084E-4</c:v>
                </c:pt>
                <c:pt idx="31">
                  <c:v>7.9376061715774604E-4</c:v>
                </c:pt>
                <c:pt idx="32">
                  <c:v>1.0630968315981815E-2</c:v>
                </c:pt>
                <c:pt idx="33">
                  <c:v>2.5903572109516881E-2</c:v>
                </c:pt>
                <c:pt idx="34">
                  <c:v>2.8381403655421411E-2</c:v>
                </c:pt>
                <c:pt idx="35">
                  <c:v>2.8553194740161214E-2</c:v>
                </c:pt>
                <c:pt idx="36">
                  <c:v>1.5326064303715747E-2</c:v>
                </c:pt>
                <c:pt idx="37">
                  <c:v>2.3757850205382902E-2</c:v>
                </c:pt>
                <c:pt idx="38">
                  <c:v>5.3226424397385674E-3</c:v>
                </c:pt>
                <c:pt idx="39">
                  <c:v>-5.0733845824570967E-3</c:v>
                </c:pt>
                <c:pt idx="40">
                  <c:v>-2.6466871743318299E-2</c:v>
                </c:pt>
                <c:pt idx="41">
                  <c:v>-5.052558081241576E-2</c:v>
                </c:pt>
                <c:pt idx="42">
                  <c:v>-0.1033700480324361</c:v>
                </c:pt>
                <c:pt idx="43">
                  <c:v>-0.13788137009615742</c:v>
                </c:pt>
                <c:pt idx="44">
                  <c:v>-0.17131619758836569</c:v>
                </c:pt>
                <c:pt idx="45">
                  <c:v>1.0954960065678199E-2</c:v>
                </c:pt>
                <c:pt idx="46">
                  <c:v>1.2921301762205406E-2</c:v>
                </c:pt>
                <c:pt idx="47">
                  <c:v>1.4279907611695619E-2</c:v>
                </c:pt>
                <c:pt idx="48">
                  <c:v>1.9657358142422088E-2</c:v>
                </c:pt>
                <c:pt idx="49">
                  <c:v>1.8089859467877001E-2</c:v>
                </c:pt>
                <c:pt idx="50">
                  <c:v>2.0990646347112674E-2</c:v>
                </c:pt>
                <c:pt idx="51">
                  <c:v>2.6097773487809728E-2</c:v>
                </c:pt>
                <c:pt idx="52">
                  <c:v>3.3217139052891698E-2</c:v>
                </c:pt>
                <c:pt idx="53">
                  <c:v>3.7807386496597539E-2</c:v>
                </c:pt>
                <c:pt idx="54">
                  <c:v>3.7055423210341387E-2</c:v>
                </c:pt>
                <c:pt idx="55">
                  <c:v>3.4839514484522938E-2</c:v>
                </c:pt>
                <c:pt idx="56">
                  <c:v>3.3287541967979228E-2</c:v>
                </c:pt>
                <c:pt idx="57">
                  <c:v>2.7314479876014319E-2</c:v>
                </c:pt>
                <c:pt idx="58">
                  <c:v>2.6176377282132735E-2</c:v>
                </c:pt>
                <c:pt idx="59">
                  <c:v>2.3052103832392534E-2</c:v>
                </c:pt>
                <c:pt idx="60">
                  <c:v>1.6733057988007838E-2</c:v>
                </c:pt>
                <c:pt idx="61">
                  <c:v>9.7074487373561835E-3</c:v>
                </c:pt>
                <c:pt idx="62">
                  <c:v>1.8198072599199255E-3</c:v>
                </c:pt>
                <c:pt idx="63">
                  <c:v>-6.2101081680592252E-3</c:v>
                </c:pt>
                <c:pt idx="64">
                  <c:v>-1.0696302139953873E-2</c:v>
                </c:pt>
                <c:pt idx="65">
                  <c:v>-2.2509935789507995E-2</c:v>
                </c:pt>
                <c:pt idx="66">
                  <c:v>-3.1964965199201445E-2</c:v>
                </c:pt>
                <c:pt idx="67">
                  <c:v>-5.0881305483767569E-2</c:v>
                </c:pt>
                <c:pt idx="68">
                  <c:v>-6.9869379299171031E-2</c:v>
                </c:pt>
                <c:pt idx="69">
                  <c:v>-9.15620139741401E-2</c:v>
                </c:pt>
                <c:pt idx="70">
                  <c:v>-0.11147295034942595</c:v>
                </c:pt>
                <c:pt idx="71">
                  <c:v>-0.12164756159369405</c:v>
                </c:pt>
                <c:pt idx="72">
                  <c:v>-0.12434666933182725</c:v>
                </c:pt>
                <c:pt idx="73">
                  <c:v>-0.13328058417149524</c:v>
                </c:pt>
                <c:pt idx="74">
                  <c:v>-0.13454883045433808</c:v>
                </c:pt>
                <c:pt idx="75">
                  <c:v>-0.15183049448560837</c:v>
                </c:pt>
                <c:pt idx="76">
                  <c:v>-0.15336965841498806</c:v>
                </c:pt>
                <c:pt idx="77">
                  <c:v>-0.15475394875782078</c:v>
                </c:pt>
                <c:pt idx="78">
                  <c:v>-0.16347094455797873</c:v>
                </c:pt>
                <c:pt idx="79">
                  <c:v>-0.16344764879121665</c:v>
                </c:pt>
                <c:pt idx="80">
                  <c:v>-0.16343600090783572</c:v>
                </c:pt>
                <c:pt idx="81">
                  <c:v>-0.16343600090783572</c:v>
                </c:pt>
                <c:pt idx="82">
                  <c:v>-0.16214906184276512</c:v>
                </c:pt>
                <c:pt idx="83">
                  <c:v>-0.1613111379277381</c:v>
                </c:pt>
                <c:pt idx="84">
                  <c:v>-0.1613111379277381</c:v>
                </c:pt>
                <c:pt idx="85">
                  <c:v>-0.16071345664098358</c:v>
                </c:pt>
                <c:pt idx="86">
                  <c:v>-0.16071345664098358</c:v>
                </c:pt>
                <c:pt idx="87">
                  <c:v>-0.15679961065630521</c:v>
                </c:pt>
                <c:pt idx="88">
                  <c:v>-0.15637683576846273</c:v>
                </c:pt>
                <c:pt idx="89">
                  <c:v>-0.15550119550048125</c:v>
                </c:pt>
                <c:pt idx="90">
                  <c:v>-0.15380852509619791</c:v>
                </c:pt>
                <c:pt idx="91">
                  <c:v>-0.1533144820659148</c:v>
                </c:pt>
                <c:pt idx="92">
                  <c:v>-0.1533144820659148</c:v>
                </c:pt>
                <c:pt idx="93">
                  <c:v>-0.15225970069960981</c:v>
                </c:pt>
                <c:pt idx="94">
                  <c:v>-0.15130083951407114</c:v>
                </c:pt>
                <c:pt idx="95">
                  <c:v>-0.1504419269295646</c:v>
                </c:pt>
                <c:pt idx="96">
                  <c:v>-0.14997290382291351</c:v>
                </c:pt>
                <c:pt idx="97">
                  <c:v>-0.14948012214385875</c:v>
                </c:pt>
                <c:pt idx="98">
                  <c:v>-0.14872483193386699</c:v>
                </c:pt>
                <c:pt idx="99">
                  <c:v>-0.14835633734794629</c:v>
                </c:pt>
                <c:pt idx="100">
                  <c:v>-0.13841117471728592</c:v>
                </c:pt>
                <c:pt idx="101">
                  <c:v>-0.13804268013136523</c:v>
                </c:pt>
                <c:pt idx="102">
                  <c:v>-0.13777703034080924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100'!$I$145:$DG$145</c15:f>
                <c15:dlblRangeCache>
                  <c:ptCount val="103"/>
                  <c:pt idx="0">
                    <c:v>0,0%</c:v>
                  </c:pt>
                  <c:pt idx="2">
                    <c:v>0,0%</c:v>
                  </c:pt>
                  <c:pt idx="4">
                    <c:v>0,0%</c:v>
                  </c:pt>
                  <c:pt idx="6">
                    <c:v>0,0%</c:v>
                  </c:pt>
                  <c:pt idx="8">
                    <c:v>0,0%</c:v>
                  </c:pt>
                  <c:pt idx="10">
                    <c:v>0,0%</c:v>
                  </c:pt>
                  <c:pt idx="12">
                    <c:v>0,0%</c:v>
                  </c:pt>
                  <c:pt idx="14">
                    <c:v>0,0%</c:v>
                  </c:pt>
                  <c:pt idx="16">
                    <c:v>0,0%</c:v>
                  </c:pt>
                  <c:pt idx="18">
                    <c:v>0,0%</c:v>
                  </c:pt>
                  <c:pt idx="20">
                    <c:v>0,0%</c:v>
                  </c:pt>
                  <c:pt idx="22">
                    <c:v>0,0%</c:v>
                  </c:pt>
                  <c:pt idx="24">
                    <c:v>0,0%</c:v>
                  </c:pt>
                  <c:pt idx="26">
                    <c:v>0,0%</c:v>
                  </c:pt>
                  <c:pt idx="28">
                    <c:v>0,0%</c:v>
                  </c:pt>
                  <c:pt idx="30">
                    <c:v>-0,1%</c:v>
                  </c:pt>
                  <c:pt idx="32">
                    <c:v>1,1%</c:v>
                  </c:pt>
                  <c:pt idx="34">
                    <c:v>2,8%</c:v>
                  </c:pt>
                  <c:pt idx="36">
                    <c:v>1,5%</c:v>
                  </c:pt>
                  <c:pt idx="38">
                    <c:v>0,5%</c:v>
                  </c:pt>
                  <c:pt idx="40">
                    <c:v>-2,6%</c:v>
                  </c:pt>
                  <c:pt idx="42">
                    <c:v>-10,3%</c:v>
                  </c:pt>
                  <c:pt idx="44">
                    <c:v>-17,1%</c:v>
                  </c:pt>
                  <c:pt idx="46">
                    <c:v>1,3%</c:v>
                  </c:pt>
                  <c:pt idx="48">
                    <c:v>2,0%</c:v>
                  </c:pt>
                  <c:pt idx="50">
                    <c:v>2,1%</c:v>
                  </c:pt>
                  <c:pt idx="52">
                    <c:v>3,3%</c:v>
                  </c:pt>
                  <c:pt idx="54">
                    <c:v>3,7%</c:v>
                  </c:pt>
                  <c:pt idx="56">
                    <c:v>3,3%</c:v>
                  </c:pt>
                  <c:pt idx="58">
                    <c:v>2,6%</c:v>
                  </c:pt>
                  <c:pt idx="60">
                    <c:v>1,7%</c:v>
                  </c:pt>
                  <c:pt idx="62">
                    <c:v>0,2%</c:v>
                  </c:pt>
                  <c:pt idx="64">
                    <c:v>-1,1%</c:v>
                  </c:pt>
                  <c:pt idx="66">
                    <c:v>-3,2%</c:v>
                  </c:pt>
                  <c:pt idx="68">
                    <c:v>-7,0%</c:v>
                  </c:pt>
                  <c:pt idx="70">
                    <c:v>-11,1%</c:v>
                  </c:pt>
                  <c:pt idx="72">
                    <c:v>-12,4%</c:v>
                  </c:pt>
                  <c:pt idx="74">
                    <c:v>-13,5%</c:v>
                  </c:pt>
                  <c:pt idx="76">
                    <c:v>-15,3%</c:v>
                  </c:pt>
                  <c:pt idx="78">
                    <c:v>-16,3%</c:v>
                  </c:pt>
                  <c:pt idx="80">
                    <c:v>-16,3%</c:v>
                  </c:pt>
                  <c:pt idx="82">
                    <c:v>-16,2%</c:v>
                  </c:pt>
                  <c:pt idx="84">
                    <c:v>-16,1%</c:v>
                  </c:pt>
                  <c:pt idx="86">
                    <c:v>-16,1%</c:v>
                  </c:pt>
                  <c:pt idx="88">
                    <c:v>-15,6%</c:v>
                  </c:pt>
                  <c:pt idx="90">
                    <c:v>-15,4%</c:v>
                  </c:pt>
                  <c:pt idx="92">
                    <c:v>-15,3%</c:v>
                  </c:pt>
                  <c:pt idx="94">
                    <c:v>-15,1%</c:v>
                  </c:pt>
                  <c:pt idx="96">
                    <c:v>-15,0%</c:v>
                  </c:pt>
                  <c:pt idx="98">
                    <c:v>-14,9%</c:v>
                  </c:pt>
                  <c:pt idx="100">
                    <c:v>-13,8%</c:v>
                  </c:pt>
                  <c:pt idx="102">
                    <c:v>-13,8%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4-BEB6-4B13-99BE-3EC0528A6553}"/>
            </c:ext>
          </c:extLst>
        </c:ser>
        <c:ser>
          <c:idx val="4"/>
          <c:order val="4"/>
          <c:tx>
            <c:v>Líneas Guía</c:v>
          </c:tx>
          <c:marker>
            <c:symbol val="none"/>
          </c:marker>
          <c:errBars>
            <c:errDir val="y"/>
            <c:errBarType val="minus"/>
            <c:errValType val="fixedVal"/>
            <c:noEndCap val="0"/>
            <c:val val="1.1000000000000001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  <a:prstDash val="lgDashDotDot"/>
              </a:ln>
            </c:spPr>
          </c:errBars>
          <c:cat>
            <c:strRef>
              <c:f>'Avance 100'!$I$5:$EI$5</c:f>
              <c:strCache>
                <c:ptCount val="131"/>
                <c:pt idx="0">
                  <c:v>01/07/24</c:v>
                </c:pt>
                <c:pt idx="1">
                  <c:v>08/07/24</c:v>
                </c:pt>
                <c:pt idx="2">
                  <c:v>15/07/24</c:v>
                </c:pt>
                <c:pt idx="3">
                  <c:v>22/07/24</c:v>
                </c:pt>
                <c:pt idx="4">
                  <c:v>29/07/24</c:v>
                </c:pt>
                <c:pt idx="5">
                  <c:v>05/08/24</c:v>
                </c:pt>
                <c:pt idx="6">
                  <c:v>12/08/24</c:v>
                </c:pt>
                <c:pt idx="7">
                  <c:v>19/08/24</c:v>
                </c:pt>
                <c:pt idx="8">
                  <c:v>26/08/24</c:v>
                </c:pt>
                <c:pt idx="9">
                  <c:v>02/09/24</c:v>
                </c:pt>
                <c:pt idx="10">
                  <c:v>09/09/24</c:v>
                </c:pt>
                <c:pt idx="11">
                  <c:v>16/09/24</c:v>
                </c:pt>
                <c:pt idx="12">
                  <c:v>23/09/24</c:v>
                </c:pt>
                <c:pt idx="13">
                  <c:v>30/09/24</c:v>
                </c:pt>
                <c:pt idx="14">
                  <c:v>07/10/24</c:v>
                </c:pt>
                <c:pt idx="15">
                  <c:v>14/10/24</c:v>
                </c:pt>
                <c:pt idx="16">
                  <c:v>21/10/24</c:v>
                </c:pt>
                <c:pt idx="17">
                  <c:v>28/10/24</c:v>
                </c:pt>
                <c:pt idx="18">
                  <c:v>04/11/24</c:v>
                </c:pt>
                <c:pt idx="19">
                  <c:v>11/11/24</c:v>
                </c:pt>
                <c:pt idx="20">
                  <c:v>18/11/24</c:v>
                </c:pt>
                <c:pt idx="21">
                  <c:v>25/11/24</c:v>
                </c:pt>
                <c:pt idx="22">
                  <c:v>02/12/24</c:v>
                </c:pt>
                <c:pt idx="23">
                  <c:v>09/12/24</c:v>
                </c:pt>
                <c:pt idx="24">
                  <c:v>16/12/24</c:v>
                </c:pt>
                <c:pt idx="25">
                  <c:v>23/12/24</c:v>
                </c:pt>
                <c:pt idx="26">
                  <c:v>30/12/24</c:v>
                </c:pt>
                <c:pt idx="27">
                  <c:v>06/01/25</c:v>
                </c:pt>
                <c:pt idx="28">
                  <c:v>13/01/25</c:v>
                </c:pt>
                <c:pt idx="29">
                  <c:v>20/01/25</c:v>
                </c:pt>
                <c:pt idx="30">
                  <c:v>27/01/25</c:v>
                </c:pt>
                <c:pt idx="31">
                  <c:v>03/02/25</c:v>
                </c:pt>
                <c:pt idx="32">
                  <c:v>10/02/25</c:v>
                </c:pt>
                <c:pt idx="33">
                  <c:v>17/02/25</c:v>
                </c:pt>
                <c:pt idx="34">
                  <c:v>24/02/25</c:v>
                </c:pt>
                <c:pt idx="35">
                  <c:v>03/03/25</c:v>
                </c:pt>
                <c:pt idx="36">
                  <c:v>10/03/25</c:v>
                </c:pt>
                <c:pt idx="37">
                  <c:v>17/03/25</c:v>
                </c:pt>
                <c:pt idx="38">
                  <c:v>24/03/25</c:v>
                </c:pt>
                <c:pt idx="39">
                  <c:v>31/03/25</c:v>
                </c:pt>
                <c:pt idx="40">
                  <c:v>07/04/25</c:v>
                </c:pt>
                <c:pt idx="41">
                  <c:v>14/04/25</c:v>
                </c:pt>
                <c:pt idx="42">
                  <c:v>21/04/25</c:v>
                </c:pt>
                <c:pt idx="43">
                  <c:v>28/04/25</c:v>
                </c:pt>
                <c:pt idx="44">
                  <c:v>05/05/25</c:v>
                </c:pt>
                <c:pt idx="45">
                  <c:v>12/05/25</c:v>
                </c:pt>
                <c:pt idx="46">
                  <c:v>19/05/25</c:v>
                </c:pt>
                <c:pt idx="47">
                  <c:v>26/05/25</c:v>
                </c:pt>
                <c:pt idx="48">
                  <c:v>02/06/25</c:v>
                </c:pt>
                <c:pt idx="49">
                  <c:v>09/06/25</c:v>
                </c:pt>
                <c:pt idx="50">
                  <c:v>16/06/25</c:v>
                </c:pt>
                <c:pt idx="51">
                  <c:v>23/06/25</c:v>
                </c:pt>
                <c:pt idx="52">
                  <c:v>30/06/25</c:v>
                </c:pt>
                <c:pt idx="53">
                  <c:v>07/07/25</c:v>
                </c:pt>
                <c:pt idx="54">
                  <c:v>14/07/25</c:v>
                </c:pt>
                <c:pt idx="55">
                  <c:v>21/07/25</c:v>
                </c:pt>
                <c:pt idx="56">
                  <c:v>28/07/25</c:v>
                </c:pt>
                <c:pt idx="57">
                  <c:v>04/08/25</c:v>
                </c:pt>
                <c:pt idx="58">
                  <c:v>11/08/25</c:v>
                </c:pt>
                <c:pt idx="59">
                  <c:v>18/08/25</c:v>
                </c:pt>
                <c:pt idx="60">
                  <c:v>25/08/25</c:v>
                </c:pt>
                <c:pt idx="61">
                  <c:v>01/09/25</c:v>
                </c:pt>
                <c:pt idx="62">
                  <c:v>08/09/25</c:v>
                </c:pt>
                <c:pt idx="63">
                  <c:v>15/09/25</c:v>
                </c:pt>
                <c:pt idx="64">
                  <c:v>22/09/25</c:v>
                </c:pt>
                <c:pt idx="65">
                  <c:v>29/09/25</c:v>
                </c:pt>
                <c:pt idx="66">
                  <c:v>06/10/25</c:v>
                </c:pt>
                <c:pt idx="67">
                  <c:v>13/10/25</c:v>
                </c:pt>
                <c:pt idx="68">
                  <c:v>20/10/25</c:v>
                </c:pt>
                <c:pt idx="69">
                  <c:v>27/10/25</c:v>
                </c:pt>
                <c:pt idx="70">
                  <c:v>03/11/25</c:v>
                </c:pt>
                <c:pt idx="71">
                  <c:v>10/11/25</c:v>
                </c:pt>
                <c:pt idx="72">
                  <c:v>17/11/25</c:v>
                </c:pt>
                <c:pt idx="73">
                  <c:v>24/11/25</c:v>
                </c:pt>
                <c:pt idx="74">
                  <c:v>01/12/25</c:v>
                </c:pt>
                <c:pt idx="75">
                  <c:v>08/12/25</c:v>
                </c:pt>
                <c:pt idx="76">
                  <c:v>15/12/25</c:v>
                </c:pt>
                <c:pt idx="77">
                  <c:v>22/12/25</c:v>
                </c:pt>
                <c:pt idx="78">
                  <c:v>29/12/25</c:v>
                </c:pt>
                <c:pt idx="79">
                  <c:v>05/01/26</c:v>
                </c:pt>
                <c:pt idx="80">
                  <c:v>12/01/26</c:v>
                </c:pt>
                <c:pt idx="81">
                  <c:v>19/01/26</c:v>
                </c:pt>
                <c:pt idx="82">
                  <c:v>26/01/26</c:v>
                </c:pt>
                <c:pt idx="83">
                  <c:v>02/02/26</c:v>
                </c:pt>
                <c:pt idx="84">
                  <c:v>09/02/26</c:v>
                </c:pt>
                <c:pt idx="85">
                  <c:v>16/02/26</c:v>
                </c:pt>
                <c:pt idx="86">
                  <c:v>23/02/26</c:v>
                </c:pt>
                <c:pt idx="87">
                  <c:v>02/03/26</c:v>
                </c:pt>
                <c:pt idx="88">
                  <c:v>09/03/26</c:v>
                </c:pt>
                <c:pt idx="89">
                  <c:v>16/03/26</c:v>
                </c:pt>
                <c:pt idx="90">
                  <c:v>23/03/26</c:v>
                </c:pt>
                <c:pt idx="91">
                  <c:v>30/03/26</c:v>
                </c:pt>
                <c:pt idx="92">
                  <c:v>06/04/26</c:v>
                </c:pt>
                <c:pt idx="93">
                  <c:v>13/04/26</c:v>
                </c:pt>
                <c:pt idx="94">
                  <c:v>20/04/26</c:v>
                </c:pt>
                <c:pt idx="95">
                  <c:v>27/04/26</c:v>
                </c:pt>
                <c:pt idx="96">
                  <c:v>04/05/26</c:v>
                </c:pt>
                <c:pt idx="97">
                  <c:v>11/05/26</c:v>
                </c:pt>
                <c:pt idx="98">
                  <c:v>18/05/26</c:v>
                </c:pt>
                <c:pt idx="99">
                  <c:v>25/05/26</c:v>
                </c:pt>
                <c:pt idx="100">
                  <c:v>01/06/26</c:v>
                </c:pt>
                <c:pt idx="101">
                  <c:v>08/06/26</c:v>
                </c:pt>
                <c:pt idx="102">
                  <c:v>15/06/26</c:v>
                </c:pt>
                <c:pt idx="103">
                  <c:v>22/06/26</c:v>
                </c:pt>
                <c:pt idx="104">
                  <c:v>29/06/26</c:v>
                </c:pt>
                <c:pt idx="105">
                  <c:v>06/07/26</c:v>
                </c:pt>
                <c:pt idx="106">
                  <c:v>13/07/26</c:v>
                </c:pt>
                <c:pt idx="107">
                  <c:v>20/07/26</c:v>
                </c:pt>
                <c:pt idx="108">
                  <c:v>27/07/26</c:v>
                </c:pt>
                <c:pt idx="109">
                  <c:v>03/08/26</c:v>
                </c:pt>
                <c:pt idx="110">
                  <c:v>10/08/26</c:v>
                </c:pt>
                <c:pt idx="111">
                  <c:v>17/08/26</c:v>
                </c:pt>
                <c:pt idx="112">
                  <c:v>24/08/26</c:v>
                </c:pt>
                <c:pt idx="113">
                  <c:v>31/08/26</c:v>
                </c:pt>
                <c:pt idx="114">
                  <c:v>07/09/26</c:v>
                </c:pt>
                <c:pt idx="115">
                  <c:v>14/09/26</c:v>
                </c:pt>
                <c:pt idx="116">
                  <c:v>21/09/26</c:v>
                </c:pt>
                <c:pt idx="117">
                  <c:v>28/09/26</c:v>
                </c:pt>
                <c:pt idx="118">
                  <c:v>05/10/26</c:v>
                </c:pt>
                <c:pt idx="119">
                  <c:v>12/10/26</c:v>
                </c:pt>
                <c:pt idx="120">
                  <c:v>19/10/26</c:v>
                </c:pt>
                <c:pt idx="121">
                  <c:v>26/10/26</c:v>
                </c:pt>
                <c:pt idx="122">
                  <c:v>02/11/26</c:v>
                </c:pt>
                <c:pt idx="123">
                  <c:v>09/11/26</c:v>
                </c:pt>
                <c:pt idx="124">
                  <c:v>16/11/26</c:v>
                </c:pt>
                <c:pt idx="125">
                  <c:v>23/11/26</c:v>
                </c:pt>
                <c:pt idx="126">
                  <c:v>30/11/26</c:v>
                </c:pt>
                <c:pt idx="127">
                  <c:v>07/12/26</c:v>
                </c:pt>
                <c:pt idx="128">
                  <c:v>14/12/26</c:v>
                </c:pt>
                <c:pt idx="129">
                  <c:v>21/12/26</c:v>
                </c:pt>
                <c:pt idx="130">
                  <c:v>28/12/26</c:v>
                </c:pt>
              </c:strCache>
            </c:strRef>
          </c:cat>
          <c:val>
            <c:numRef>
              <c:f>'Avance 100'!$I$151:$DG$151</c:f>
              <c:numCache>
                <c:formatCode>0.0%</c:formatCode>
                <c:ptCount val="103"/>
                <c:pt idx="0">
                  <c:v>8.7813632965295718E-5</c:v>
                </c:pt>
                <c:pt idx="1">
                  <c:v>#N/A</c:v>
                </c:pt>
                <c:pt idx="2">
                  <c:v>1.3453056290573008E-3</c:v>
                </c:pt>
                <c:pt idx="3">
                  <c:v>#N/A</c:v>
                </c:pt>
                <c:pt idx="4">
                  <c:v>4.1585334948187752E-3</c:v>
                </c:pt>
                <c:pt idx="5">
                  <c:v>#N/A</c:v>
                </c:pt>
                <c:pt idx="6">
                  <c:v>1.8234166299858048E-2</c:v>
                </c:pt>
                <c:pt idx="7">
                  <c:v>#N/A</c:v>
                </c:pt>
                <c:pt idx="8">
                  <c:v>6.4491758140071215E-2</c:v>
                </c:pt>
                <c:pt idx="9">
                  <c:v>#N/A</c:v>
                </c:pt>
                <c:pt idx="10">
                  <c:v>0.1146234467659399</c:v>
                </c:pt>
                <c:pt idx="11">
                  <c:v>#N/A</c:v>
                </c:pt>
                <c:pt idx="12">
                  <c:v>0.13918839051965826</c:v>
                </c:pt>
                <c:pt idx="13">
                  <c:v>#N/A</c:v>
                </c:pt>
                <c:pt idx="14">
                  <c:v>0.16313526936210079</c:v>
                </c:pt>
                <c:pt idx="15">
                  <c:v>#N/A</c:v>
                </c:pt>
                <c:pt idx="16">
                  <c:v>0.20244558590632325</c:v>
                </c:pt>
                <c:pt idx="17">
                  <c:v>#N/A</c:v>
                </c:pt>
                <c:pt idx="18">
                  <c:v>0.26643267561223716</c:v>
                </c:pt>
                <c:pt idx="19">
                  <c:v>#N/A</c:v>
                </c:pt>
                <c:pt idx="20">
                  <c:v>0.3129128908072582</c:v>
                </c:pt>
                <c:pt idx="21">
                  <c:v>#N/A</c:v>
                </c:pt>
                <c:pt idx="22">
                  <c:v>0.35521971985243211</c:v>
                </c:pt>
                <c:pt idx="23">
                  <c:v>#N/A</c:v>
                </c:pt>
                <c:pt idx="24">
                  <c:v>0.39055046494770779</c:v>
                </c:pt>
                <c:pt idx="25">
                  <c:v>#N/A</c:v>
                </c:pt>
                <c:pt idx="26">
                  <c:v>0.40022233281096736</c:v>
                </c:pt>
                <c:pt idx="27">
                  <c:v>#N/A</c:v>
                </c:pt>
                <c:pt idx="28">
                  <c:v>0.40517273761708056</c:v>
                </c:pt>
                <c:pt idx="29">
                  <c:v>#N/A</c:v>
                </c:pt>
                <c:pt idx="30">
                  <c:v>0.42172392947076015</c:v>
                </c:pt>
                <c:pt idx="31">
                  <c:v>#N/A</c:v>
                </c:pt>
                <c:pt idx="32">
                  <c:v>0.44850107513083781</c:v>
                </c:pt>
                <c:pt idx="33">
                  <c:v>#N/A</c:v>
                </c:pt>
                <c:pt idx="34">
                  <c:v>0.48557969288829339</c:v>
                </c:pt>
                <c:pt idx="35">
                  <c:v>#N/A</c:v>
                </c:pt>
                <c:pt idx="36">
                  <c:v>0.50402420656869551</c:v>
                </c:pt>
                <c:pt idx="37">
                  <c:v>#N/A</c:v>
                </c:pt>
                <c:pt idx="38">
                  <c:v>0.53319567765529641</c:v>
                </c:pt>
                <c:pt idx="39">
                  <c:v>#N/A</c:v>
                </c:pt>
                <c:pt idx="40">
                  <c:v>0.55384079721710877</c:v>
                </c:pt>
                <c:pt idx="41">
                  <c:v>#N/A</c:v>
                </c:pt>
                <c:pt idx="42">
                  <c:v>0.5678734066993717</c:v>
                </c:pt>
                <c:pt idx="43">
                  <c:v>#N/A</c:v>
                </c:pt>
                <c:pt idx="44">
                  <c:v>0.59171744695428674</c:v>
                </c:pt>
                <c:pt idx="45">
                  <c:v>#N/A</c:v>
                </c:pt>
                <c:pt idx="46">
                  <c:v>0.61691402902776593</c:v>
                </c:pt>
                <c:pt idx="47">
                  <c:v>#N/A</c:v>
                </c:pt>
                <c:pt idx="48">
                  <c:v>0.64025716391163345</c:v>
                </c:pt>
                <c:pt idx="49">
                  <c:v>#N/A</c:v>
                </c:pt>
                <c:pt idx="50">
                  <c:v>0.65979008450735477</c:v>
                </c:pt>
                <c:pt idx="51">
                  <c:v>#N/A</c:v>
                </c:pt>
                <c:pt idx="52">
                  <c:v>0.68715882876783518</c:v>
                </c:pt>
                <c:pt idx="53">
                  <c:v>#N/A</c:v>
                </c:pt>
                <c:pt idx="54">
                  <c:v>0.70757587803208832</c:v>
                </c:pt>
                <c:pt idx="55">
                  <c:v>#N/A</c:v>
                </c:pt>
                <c:pt idx="56">
                  <c:v>0.7218657760917162</c:v>
                </c:pt>
                <c:pt idx="57">
                  <c:v>#N/A</c:v>
                </c:pt>
                <c:pt idx="58">
                  <c:v>0.73299968309583019</c:v>
                </c:pt>
                <c:pt idx="59">
                  <c:v>#N/A</c:v>
                </c:pt>
                <c:pt idx="60">
                  <c:v>0.74502624318891664</c:v>
                </c:pt>
                <c:pt idx="61">
                  <c:v>#N/A</c:v>
                </c:pt>
                <c:pt idx="62">
                  <c:v>0.75620971770143919</c:v>
                </c:pt>
                <c:pt idx="63">
                  <c:v>#N/A</c:v>
                </c:pt>
                <c:pt idx="64">
                  <c:v>0.77585898361926176</c:v>
                </c:pt>
                <c:pt idx="65">
                  <c:v>#N/A</c:v>
                </c:pt>
                <c:pt idx="66">
                  <c:v>0.79449292446039321</c:v>
                </c:pt>
                <c:pt idx="67">
                  <c:v>#N/A</c:v>
                </c:pt>
                <c:pt idx="68">
                  <c:v>0.8004229342151411</c:v>
                </c:pt>
                <c:pt idx="69">
                  <c:v>#N/A</c:v>
                </c:pt>
                <c:pt idx="70">
                  <c:v>0.80321760494652195</c:v>
                </c:pt>
                <c:pt idx="71">
                  <c:v>#N/A</c:v>
                </c:pt>
                <c:pt idx="72">
                  <c:v>0.82271072897239161</c:v>
                </c:pt>
                <c:pt idx="73">
                  <c:v>#N/A</c:v>
                </c:pt>
                <c:pt idx="74">
                  <c:v>0.83165873973535809</c:v>
                </c:pt>
                <c:pt idx="75">
                  <c:v>#N/A</c:v>
                </c:pt>
                <c:pt idx="76">
                  <c:v>0.8354534249540706</c:v>
                </c:pt>
                <c:pt idx="77">
                  <c:v>#N/A</c:v>
                </c:pt>
                <c:pt idx="78">
                  <c:v>0.83652905544202105</c:v>
                </c:pt>
                <c:pt idx="79">
                  <c:v>#N/A</c:v>
                </c:pt>
                <c:pt idx="80">
                  <c:v>0.83656399909216406</c:v>
                </c:pt>
                <c:pt idx="81">
                  <c:v>#N/A</c:v>
                </c:pt>
                <c:pt idx="82">
                  <c:v>0.83785093815723466</c:v>
                </c:pt>
                <c:pt idx="83">
                  <c:v>#N/A</c:v>
                </c:pt>
                <c:pt idx="84">
                  <c:v>0.83868886207226168</c:v>
                </c:pt>
                <c:pt idx="85">
                  <c:v>#N/A</c:v>
                </c:pt>
                <c:pt idx="86">
                  <c:v>0.8392865433590162</c:v>
                </c:pt>
                <c:pt idx="87">
                  <c:v>#N/A</c:v>
                </c:pt>
                <c:pt idx="88">
                  <c:v>0.84362316423153705</c:v>
                </c:pt>
                <c:pt idx="89">
                  <c:v>#N/A</c:v>
                </c:pt>
                <c:pt idx="90">
                  <c:v>0.84619147490380187</c:v>
                </c:pt>
                <c:pt idx="91">
                  <c:v>#N/A</c:v>
                </c:pt>
                <c:pt idx="92">
                  <c:v>0.84668551793408497</c:v>
                </c:pt>
                <c:pt idx="93">
                  <c:v>#N/A</c:v>
                </c:pt>
                <c:pt idx="94">
                  <c:v>0.84869916048592864</c:v>
                </c:pt>
                <c:pt idx="95">
                  <c:v>#N/A</c:v>
                </c:pt>
                <c:pt idx="96">
                  <c:v>0.85002709617708627</c:v>
                </c:pt>
                <c:pt idx="97">
                  <c:v>#N/A</c:v>
                </c:pt>
                <c:pt idx="98">
                  <c:v>0.85127516806613279</c:v>
                </c:pt>
                <c:pt idx="99">
                  <c:v>#N/A</c:v>
                </c:pt>
                <c:pt idx="100">
                  <c:v>0.86158882528271385</c:v>
                </c:pt>
                <c:pt idx="101">
                  <c:v>#N/A</c:v>
                </c:pt>
                <c:pt idx="102">
                  <c:v>0.86222296965919054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26DF-4401-94F0-67706FA1A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396416"/>
        <c:axId val="954395168"/>
        <c:extLst/>
      </c:lineChart>
      <c:catAx>
        <c:axId val="954396416"/>
        <c:scaling>
          <c:orientation val="minMax"/>
        </c:scaling>
        <c:delete val="0"/>
        <c:axPos val="b"/>
        <c:numFmt formatCode="dd/mm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954395168"/>
        <c:crosses val="autoZero"/>
        <c:auto val="1"/>
        <c:lblAlgn val="ctr"/>
        <c:lblOffset val="100"/>
        <c:tickLblSkip val="2"/>
        <c:tickMarkSkip val="3"/>
        <c:noMultiLvlLbl val="0"/>
      </c:catAx>
      <c:valAx>
        <c:axId val="954395168"/>
        <c:scaling>
          <c:orientation val="minMax"/>
          <c:max val="1"/>
          <c:min val="-0.2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95439641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/>
          <a:lstStyle/>
          <a:p>
            <a:pPr>
              <a:defRPr sz="900" b="1">
                <a:solidFill>
                  <a:srgbClr val="FFC000"/>
                </a:solidFill>
              </a:defRPr>
            </a:pPr>
            <a:endParaRPr lang="es-VE"/>
          </a:p>
        </c:txPr>
      </c:legendEntry>
      <c:legendEntry>
        <c:idx val="1"/>
        <c:txPr>
          <a:bodyPr/>
          <a:lstStyle/>
          <a:p>
            <a:pPr>
              <a:defRPr sz="900" b="1">
                <a:solidFill>
                  <a:schemeClr val="bg1">
                    <a:lumMod val="50000"/>
                  </a:schemeClr>
                </a:solidFill>
              </a:defRPr>
            </a:pPr>
            <a:endParaRPr lang="es-VE"/>
          </a:p>
        </c:txPr>
      </c:legendEntry>
      <c:legendEntry>
        <c:idx val="2"/>
        <c:txPr>
          <a:bodyPr/>
          <a:lstStyle/>
          <a:p>
            <a:pPr>
              <a:defRPr sz="900" b="1">
                <a:solidFill>
                  <a:srgbClr val="0070C0"/>
                </a:solidFill>
              </a:defRPr>
            </a:pPr>
            <a:endParaRPr lang="es-VE"/>
          </a:p>
        </c:txPr>
      </c:legendEntry>
      <c:legendEntry>
        <c:idx val="3"/>
        <c:txPr>
          <a:bodyPr/>
          <a:lstStyle/>
          <a:p>
            <a:pPr>
              <a:defRPr sz="900" b="1">
                <a:solidFill>
                  <a:schemeClr val="accent6">
                    <a:lumMod val="75000"/>
                  </a:schemeClr>
                </a:solidFill>
              </a:defRPr>
            </a:pPr>
            <a:endParaRPr lang="es-VE"/>
          </a:p>
        </c:txPr>
      </c:legendEntry>
      <c:legendEntry>
        <c:idx val="4"/>
        <c:delete val="1"/>
      </c:legendEntry>
      <c:layout>
        <c:manualLayout>
          <c:xMode val="edge"/>
          <c:yMode val="edge"/>
          <c:x val="6.0595189992544367E-2"/>
          <c:y val="0.12630085301837268"/>
          <c:w val="0.17369555316536375"/>
          <c:h val="0.23177329396325461"/>
        </c:manualLayout>
      </c:layout>
      <c:overlay val="0"/>
      <c:txPr>
        <a:bodyPr/>
        <a:lstStyle/>
        <a:p>
          <a:pPr>
            <a:defRPr sz="900"/>
          </a:pPr>
          <a:endParaRPr lang="es-VE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100916733234435E-2"/>
          <c:y val="0.12689455791610499"/>
          <c:w val="0.91592694404323716"/>
          <c:h val="0.68343522943265844"/>
        </c:manualLayout>
      </c:layout>
      <c:lineChart>
        <c:grouping val="standard"/>
        <c:varyColors val="0"/>
        <c:ser>
          <c:idx val="3"/>
          <c:order val="0"/>
          <c:tx>
            <c:v>Plan Original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BA-4E1D-9DC5-1C0A672ADFE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693CC2-1A42-461C-989E-8DC61D37C58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1BA-4E1D-9DC5-1C0A672ADFE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2F4C026-F8CE-4FC8-B43C-2E26B19CB1A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1BA-4E1D-9DC5-1C0A672ADFE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D4C5F9-B3C0-418F-AE75-B026917C16E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1BA-4E1D-9DC5-1C0A672ADFEB}"/>
                </c:ext>
              </c:extLst>
            </c:dLbl>
            <c:dLbl>
              <c:idx val="4"/>
              <c:layout>
                <c:manualLayout>
                  <c:x val="-5.4511560155641459E-2"/>
                  <c:y val="-6.6792497025390765E-2"/>
                </c:manualLayout>
              </c:layout>
              <c:tx>
                <c:rich>
                  <a:bodyPr/>
                  <a:lstStyle/>
                  <a:p>
                    <a:fld id="{423EE3DA-3309-4ADE-AF57-1B18A0775F5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1BA-4E1D-9DC5-1C0A672ADFE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555ABA6-B22F-4F80-A799-5BB2AD5E46B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038-403A-ADF3-596B3D3D5D3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F234DE7-E987-49BD-BFEB-75FFA9045B8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1BA-4E1D-9DC5-1C0A672ADFE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1D73808-A8F7-43BE-BDC4-BAB5990EF28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1BA-4E1D-9DC5-1C0A672ADFEB}"/>
                </c:ext>
              </c:extLst>
            </c:dLbl>
            <c:dLbl>
              <c:idx val="8"/>
              <c:layout>
                <c:manualLayout>
                  <c:x val="-5.6424246476892037E-2"/>
                  <c:y val="-7.1103771006852209E-2"/>
                </c:manualLayout>
              </c:layout>
              <c:tx>
                <c:rich>
                  <a:bodyPr/>
                  <a:lstStyle/>
                  <a:p>
                    <a:fld id="{0AF02E9C-8890-4008-85E1-D8C8F175DA5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61BA-4E1D-9DC5-1C0A672ADFE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9960C33-D820-4366-A062-57AB35F727A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038-403A-ADF3-596B3D3D5D3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55E3AF4-E583-4BB7-AAB0-EF250892404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61BA-4E1D-9DC5-1C0A672ADFE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89E1858-E8A2-4175-AB81-68C573BF681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61BA-4E1D-9DC5-1C0A672ADFEB}"/>
                </c:ext>
              </c:extLst>
            </c:dLbl>
            <c:dLbl>
              <c:idx val="12"/>
              <c:layout>
                <c:manualLayout>
                  <c:x val="-6.4610543931844511E-2"/>
                  <c:y val="-7.1103771006852209E-2"/>
                </c:manualLayout>
              </c:layout>
              <c:tx>
                <c:rich>
                  <a:bodyPr/>
                  <a:lstStyle/>
                  <a:p>
                    <a:fld id="{4176FBA4-341E-49BA-9590-C83CAC29F36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61BA-4E1D-9DC5-1C0A672ADFE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71DF25F-380D-44FD-8B41-4668F33FE89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61BA-4E1D-9DC5-1C0A672ADFE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125ED75-02F7-4DB2-8820-93199488432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038-403A-ADF3-596B3D3D5D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31806D3-95C4-4492-8624-1A8FBE58AD9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61BA-4E1D-9DC5-1C0A672ADFEB}"/>
                </c:ext>
              </c:extLst>
            </c:dLbl>
            <c:dLbl>
              <c:idx val="16"/>
              <c:layout>
                <c:manualLayout>
                  <c:x val="-7.2261289216846825E-2"/>
                  <c:y val="-7.9726318969775334E-2"/>
                </c:manualLayout>
              </c:layout>
              <c:tx>
                <c:rich>
                  <a:bodyPr/>
                  <a:lstStyle/>
                  <a:p>
                    <a:fld id="{3DAB78D6-F704-4DCC-AD55-3B2BA3B20B6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61BA-4E1D-9DC5-1C0A672ADFE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9766BC0-BDE0-4304-80F2-F14D60770A9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61BA-4E1D-9DC5-1C0A672ADFE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70BE5FF-323D-448C-95A0-7786986AC04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038-403A-ADF3-596B3D3D5D3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F2CDDD0-0945-4DEF-A242-09804034DF4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61BA-4E1D-9DC5-1C0A672ADFEB}"/>
                </c:ext>
              </c:extLst>
            </c:dLbl>
            <c:dLbl>
              <c:idx val="20"/>
              <c:layout>
                <c:manualLayout>
                  <c:x val="-6.8435916574345668E-2"/>
                  <c:y val="-6.2481223043929245E-2"/>
                </c:manualLayout>
              </c:layout>
              <c:tx>
                <c:rich>
                  <a:bodyPr/>
                  <a:lstStyle/>
                  <a:p>
                    <a:fld id="{859083D4-DD89-406F-BA63-0E2DA154291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61BA-4E1D-9DC5-1C0A672ADFE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B5A30BF-D4EF-4D34-9A97-7F3BF5A153C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61BA-4E1D-9DC5-1C0A672ADFE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5932F02-AAD3-4D2C-9F00-060EAEB948F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038-403A-ADF3-596B3D3D5D3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28B304B-D860-426E-B1B0-26B09D1DFCB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61BA-4E1D-9DC5-1C0A672ADFEB}"/>
                </c:ext>
              </c:extLst>
            </c:dLbl>
            <c:dLbl>
              <c:idx val="24"/>
              <c:layout>
                <c:manualLayout>
                  <c:x val="-6.8435916574345695E-2"/>
                  <c:y val="-5.8169949062467648E-2"/>
                </c:manualLayout>
              </c:layout>
              <c:tx>
                <c:rich>
                  <a:bodyPr/>
                  <a:lstStyle/>
                  <a:p>
                    <a:fld id="{6B54703A-31DF-454B-95D1-E676789748A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61BA-4E1D-9DC5-1C0A672ADFE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7C48408-101D-4ED1-BA56-6436024B9FF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61BA-4E1D-9DC5-1C0A672ADFE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E51FD9D-A0CE-46BF-9BDF-497BF58D2EF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61BA-4E1D-9DC5-1C0A672ADFE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D69B614-E57A-4CD3-8129-DF0D873303B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038-403A-ADF3-596B3D3D5D30}"/>
                </c:ext>
              </c:extLst>
            </c:dLbl>
            <c:dLbl>
              <c:idx val="28"/>
              <c:layout>
                <c:manualLayout>
                  <c:x val="-5.8872484968092775E-2"/>
                  <c:y val="-6.6792497025390682E-2"/>
                </c:manualLayout>
              </c:layout>
              <c:tx>
                <c:rich>
                  <a:bodyPr/>
                  <a:lstStyle/>
                  <a:p>
                    <a:fld id="{BD63573B-AD3C-42B6-A717-E383DCCB391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61BA-4E1D-9DC5-1C0A672ADFE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D1883B9-075C-4314-B163-7B5191A37E4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61BA-4E1D-9DC5-1C0A672ADFE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5871593-41DE-428C-BFDA-DE4432E5B24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61BA-4E1D-9DC5-1C0A672ADFE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F47FEE1-30FB-4762-95EC-F116EB15429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038-403A-ADF3-596B3D3D5D30}"/>
                </c:ext>
              </c:extLst>
            </c:dLbl>
            <c:dLbl>
              <c:idx val="32"/>
              <c:layout>
                <c:manualLayout>
                  <c:x val="-6.0785171289343354E-2"/>
                  <c:y val="-8.4037592951236778E-2"/>
                </c:manualLayout>
              </c:layout>
              <c:tx>
                <c:rich>
                  <a:bodyPr/>
                  <a:lstStyle/>
                  <a:p>
                    <a:fld id="{BDCD4346-1C68-44ED-93E8-7D2CAF1432A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61BA-4E1D-9DC5-1C0A672ADFE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76399309-6BCE-40AF-8427-8A3787DBB29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61BA-4E1D-9DC5-1C0A672ADFE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43AEEFF7-9FC2-4617-BC51-979A566F65F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61BA-4E1D-9DC5-1C0A672ADFE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705A6544-DAAB-4613-A4D1-A30D2D4983F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038-403A-ADF3-596B3D3D5D30}"/>
                </c:ext>
              </c:extLst>
            </c:dLbl>
            <c:dLbl>
              <c:idx val="36"/>
              <c:layout>
                <c:manualLayout>
                  <c:x val="-5.8872484968092775E-2"/>
                  <c:y val="-9.2660140914159861E-2"/>
                </c:manualLayout>
              </c:layout>
              <c:tx>
                <c:rich>
                  <a:bodyPr/>
                  <a:lstStyle/>
                  <a:p>
                    <a:fld id="{E3387AAC-BC6B-4010-A2CF-25A3AE955DE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61BA-4E1D-9DC5-1C0A672ADFE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A4792468-D599-4524-9D0A-3D961D85392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61BA-4E1D-9DC5-1C0A672ADFE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F8CABA19-123B-4B11-A9F3-BF85F2FAA6A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61BA-4E1D-9DC5-1C0A672ADFE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88DA5FD1-887A-486A-95D6-63D2F8F9C8E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61BA-4E1D-9DC5-1C0A672ADFEB}"/>
                </c:ext>
              </c:extLst>
            </c:dLbl>
            <c:dLbl>
              <c:idx val="40"/>
              <c:layout>
                <c:manualLayout>
                  <c:x val="-7.178311763653418E-2"/>
                  <c:y val="-9.0030263785468287E-2"/>
                </c:manualLayout>
              </c:layout>
              <c:tx>
                <c:rich>
                  <a:bodyPr/>
                  <a:lstStyle/>
                  <a:p>
                    <a:fld id="{1C4D7DBF-7B2A-4DDC-AD10-9601CAE6054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038-403A-ADF3-596B3D3D5D30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59FC7BB1-DD55-4C7E-89C5-40A2E8E7CF7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61BA-4E1D-9DC5-1C0A672ADFE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08A47A5A-7D3D-40C1-9F4B-6422036AAA1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61BA-4E1D-9DC5-1C0A672ADFE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1A0EFB1A-66F5-42F4-AA48-7D7AFB98FAB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61BA-4E1D-9DC5-1C0A672ADFEB}"/>
                </c:ext>
              </c:extLst>
            </c:dLbl>
            <c:dLbl>
              <c:idx val="44"/>
              <c:layout>
                <c:manualLayout>
                  <c:x val="-5.8394313387780131E-2"/>
                  <c:y val="-8.1160581376993751E-3"/>
                </c:manualLayout>
              </c:layout>
              <c:tx>
                <c:rich>
                  <a:bodyPr/>
                  <a:lstStyle/>
                  <a:p>
                    <a:fld id="{CD9E654A-783E-4369-84D1-B64036F156B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038-403A-ADF3-596B3D3D5D30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FA234BC8-3EC7-4EF8-936E-C0DA8E0CC9D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61BA-4E1D-9DC5-1C0A672ADFE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87E6C0EF-654B-41C8-A322-E37E885112F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61BA-4E1D-9DC5-1C0A672ADFE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C631F3CC-21AC-445E-B4FE-9706995542C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61BA-4E1D-9DC5-1C0A672ADFEB}"/>
                </c:ext>
              </c:extLst>
            </c:dLbl>
            <c:dLbl>
              <c:idx val="48"/>
              <c:layout>
                <c:manualLayout>
                  <c:x val="-3.1616704890272046E-2"/>
                  <c:y val="5.2241777602761934E-2"/>
                </c:manualLayout>
              </c:layout>
              <c:tx>
                <c:rich>
                  <a:bodyPr/>
                  <a:lstStyle/>
                  <a:p>
                    <a:fld id="{55634B5B-71CB-44CB-A4BE-AF6F9B5E5BB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038-403A-ADF3-596B3D3D5D30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5FEFC1E3-A9AB-4A07-BAEE-7E6C05FBA93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61BA-4E1D-9DC5-1C0A672ADFE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1EE0BD4B-8256-48D6-8C32-919A663CEEF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61BA-4E1D-9DC5-1C0A672ADFE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66CB96F8-F6DC-4877-BE9B-6A30D917990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61BA-4E1D-9DC5-1C0A672ADFEB}"/>
                </c:ext>
              </c:extLst>
            </c:dLbl>
            <c:dLbl>
              <c:idx val="52"/>
              <c:layout>
                <c:manualLayout>
                  <c:x val="-5.8394313387780131E-2"/>
                  <c:y val="-2.104988008208394E-2"/>
                </c:manualLayout>
              </c:layout>
              <c:tx>
                <c:rich>
                  <a:bodyPr/>
                  <a:lstStyle/>
                  <a:p>
                    <a:fld id="{84EA473D-944C-435E-B34F-0ABE89E26E0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61BA-4E1D-9DC5-1C0A672ADFE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FB4FAE7F-518C-4A81-B557-FDE1B92671F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038-403A-ADF3-596B3D3D5D30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EB331F3F-AB13-42C6-A2B5-BD468A2EF1B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61BA-4E1D-9DC5-1C0A672ADFE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8EDBAD77-5212-4699-87A7-EBB782E23F7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61BA-4E1D-9DC5-1C0A672ADFEB}"/>
                </c:ext>
              </c:extLst>
            </c:dLbl>
            <c:dLbl>
              <c:idx val="56"/>
              <c:layout>
                <c:manualLayout>
                  <c:x val="-4.309282281777551E-2"/>
                  <c:y val="-3.3983702026468499E-2"/>
                </c:manualLayout>
              </c:layout>
              <c:tx>
                <c:rich>
                  <a:bodyPr/>
                  <a:lstStyle/>
                  <a:p>
                    <a:fld id="{60616203-3799-47EF-93FC-30B694ACB02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61BA-4E1D-9DC5-1C0A672ADFE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BCA25E75-098A-411B-8640-78418190FC6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038-403A-ADF3-596B3D3D5D30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3BC841CD-A653-4AC2-AA0C-A2360E03DD9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61BA-4E1D-9DC5-1C0A672ADFE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1D1A4215-48C9-47E1-8D0F-5A3480E550B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61BA-4E1D-9DC5-1C0A672ADFEB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1BA-4E1D-9DC5-1C0A672ADFE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A779DE74-75E6-4F3F-825B-960249DBB94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61BA-4E1D-9DC5-1C0A672ADFE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8B9CAD91-F3C2-4A2B-939D-611F999B26B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61BA-4E1D-9DC5-1C0A672ADFE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BF1E33BA-FFA2-46D3-BF3D-C8669B253B1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61BA-4E1D-9DC5-1C0A672ADFEB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1BA-4E1D-9DC5-1C0A672ADFE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B5128BC8-C84F-484D-8BAE-28CEEEE160D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61BA-4E1D-9DC5-1C0A672ADFE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8E3D94EF-F0CE-4B76-8869-CA462931D7E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61BA-4E1D-9DC5-1C0A672ADFE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D3677FC0-78DB-4019-BEA8-04DA48617B1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61BA-4E1D-9DC5-1C0A672ADFEB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1BA-4E1D-9DC5-1C0A672ADFE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92982BE3-0D20-47FB-A027-3DE3857812E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61BA-4E1D-9DC5-1C0A672ADFE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0862647B-3B3E-4C25-950D-98C1D40B877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61BA-4E1D-9DC5-1C0A672ADFE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64DE6C71-59E8-4F18-A497-412392C25B3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61BA-4E1D-9DC5-1C0A672ADFEB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1BA-4E1D-9DC5-1C0A672ADFE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D923327F-4474-4038-9F0F-6382A0613C7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61BA-4E1D-9DC5-1C0A672ADFE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420CE737-06A2-4DD7-A01A-692E5ECA357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61BA-4E1D-9DC5-1C0A672ADFE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9AA869C1-8206-4B34-8763-50A30960404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61BA-4E1D-9DC5-1C0A672ADFEB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1BA-4E1D-9DC5-1C0A672ADFE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FED11F60-C0A6-4147-B92A-A97AAE38A0E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61BA-4E1D-9DC5-1C0A672ADFE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64C55684-78AD-43FB-96DA-9BC5A9B577C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61BA-4E1D-9DC5-1C0A672ADFE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7E166AF5-1403-4A9D-AC1A-02C14319696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61BA-4E1D-9DC5-1C0A672ADFEB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1BA-4E1D-9DC5-1C0A672ADFE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B98C13B2-3EB7-40D9-8480-29431B86BD4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61BA-4E1D-9DC5-1C0A672ADFE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422D0D72-8AEC-4CCF-8083-740396170BC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61BA-4E1D-9DC5-1C0A672ADFE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138C86DE-A18E-4C00-9F07-142313ED65F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61BA-4E1D-9DC5-1C0A672ADFEB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1BA-4E1D-9DC5-1C0A672ADFE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79791C0-DEDA-4B27-82BE-BEC4CA944E7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61BA-4E1D-9DC5-1C0A672ADFE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A5546708-69A2-4D8B-82F8-5077BBAD757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61BA-4E1D-9DC5-1C0A672ADFE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F8AA61D0-F4A6-4A40-BC6B-EB3B23239BA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61BA-4E1D-9DC5-1C0A672ADFEB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1BA-4E1D-9DC5-1C0A672ADFE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8F6967BB-216C-4B55-BE11-5425E359085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61BA-4E1D-9DC5-1C0A672ADFE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82912D1C-45DE-40AF-B62C-4AEECDEE1AE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61BA-4E1D-9DC5-1C0A672ADFE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1F454F86-059B-4B7D-BBB4-1411284F04B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61BA-4E1D-9DC5-1C0A672ADFEB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1BA-4E1D-9DC5-1C0A672ADFE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FEE73477-54D9-4C62-BCAF-93960CADE0F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CC2-4AE6-BBC2-1E644D973C19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89676FA2-2B08-4D2E-A7A1-C7738D2F899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CC2-4AE6-BBC2-1E644D973C19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71E62081-C74B-4C3D-8C1F-40FEF772D8C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CC2-4AE6-BBC2-1E644D973C19}"/>
                </c:ext>
              </c:extLst>
            </c:dLbl>
            <c:dLbl>
              <c:idx val="96"/>
              <c:layout>
                <c:manualLayout>
                  <c:x val="5.0590495161135236E-2"/>
                  <c:y val="-1.7144953535663279E-2"/>
                </c:manualLayout>
              </c:layout>
              <c:tx>
                <c:rich>
                  <a:bodyPr/>
                  <a:lstStyle/>
                  <a:p>
                    <a:fld id="{43F4DF59-C459-429D-BC74-8DF38495754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CC2-4AE6-BBC2-1E644D973C19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299EB591-D480-4D81-83D1-85AE1B8956F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CC2-4AE6-BBC2-1E644D973C19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A87882EC-68BF-43E3-AF14-72A8C327893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CC2-4AE6-BBC2-1E644D973C19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56BC587D-5047-42C1-9553-368C510CE49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CC2-4AE6-BBC2-1E644D973C19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C2-4AE6-BBC2-1E644D973C19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CC2-4AE6-BBC2-1E644D973C19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CC2-4AE6-BBC2-1E644D973C19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CC2-4AE6-BBC2-1E644D973C19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CC2-4AE6-BBC2-1E644D973C19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CC2-4AE6-BBC2-1E644D973C19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CC2-4AE6-BBC2-1E644D973C19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CC2-4AE6-BBC2-1E644D973C19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CC2-4AE6-BBC2-1E644D973C19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CC2-4AE6-BBC2-1E644D973C19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CC2-4AE6-BBC2-1E644D973C19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CC2-4AE6-BBC2-1E644D973C19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CC2-4AE6-BBC2-1E644D973C19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CC2-4AE6-BBC2-1E644D973C19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CC2-4AE6-BBC2-1E644D973C19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CC2-4AE6-BBC2-1E644D973C19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CC2-4AE6-BBC2-1E644D973C19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CC2-4AE6-BBC2-1E644D973C19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CC2-4AE6-BBC2-1E644D973C19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CC2-4AE6-BBC2-1E644D973C19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CC2-4AE6-BBC2-1E644D973C19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CC2-4AE6-BBC2-1E644D973C19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1CC2-4AE6-BBC2-1E644D973C19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CC2-4AE6-BBC2-1E644D973C19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CC2-4AE6-BBC2-1E644D973C19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CC2-4AE6-BBC2-1E644D973C19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CC2-4AE6-BBC2-1E644D973C19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CC2-4AE6-BBC2-1E644D973C19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CC2-4AE6-BBC2-1E644D973C19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CC2-4AE6-BBC2-1E644D973C19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CC2-4AE6-BBC2-1E644D973C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C000"/>
                    </a:solidFill>
                  </a:defRPr>
                </a:pPr>
                <a:endParaRPr lang="es-V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100'!$I$4:$EI$4</c:f>
              <c:strCache>
                <c:ptCount val="131"/>
                <c:pt idx="0">
                  <c:v>01/07/24</c:v>
                </c:pt>
                <c:pt idx="1">
                  <c:v>08/07/24</c:v>
                </c:pt>
                <c:pt idx="2">
                  <c:v>15/07/24</c:v>
                </c:pt>
                <c:pt idx="3">
                  <c:v>22/07/24</c:v>
                </c:pt>
                <c:pt idx="4">
                  <c:v>29/07/24</c:v>
                </c:pt>
                <c:pt idx="5">
                  <c:v>05/08/24</c:v>
                </c:pt>
                <c:pt idx="6">
                  <c:v>12/08/24</c:v>
                </c:pt>
                <c:pt idx="7">
                  <c:v>19/08/24</c:v>
                </c:pt>
                <c:pt idx="8">
                  <c:v>26/08/24</c:v>
                </c:pt>
                <c:pt idx="9">
                  <c:v>02/09/24</c:v>
                </c:pt>
                <c:pt idx="10">
                  <c:v>09/09/24</c:v>
                </c:pt>
                <c:pt idx="11">
                  <c:v>16/09/24</c:v>
                </c:pt>
                <c:pt idx="12">
                  <c:v>23/09/24</c:v>
                </c:pt>
                <c:pt idx="13">
                  <c:v>30/09/24</c:v>
                </c:pt>
                <c:pt idx="14">
                  <c:v>07/10/24</c:v>
                </c:pt>
                <c:pt idx="15">
                  <c:v>14/10/24</c:v>
                </c:pt>
                <c:pt idx="16">
                  <c:v>21/10/24</c:v>
                </c:pt>
                <c:pt idx="17">
                  <c:v>28/10/24</c:v>
                </c:pt>
                <c:pt idx="18">
                  <c:v>04/11/24</c:v>
                </c:pt>
                <c:pt idx="19">
                  <c:v>11/11/24</c:v>
                </c:pt>
                <c:pt idx="20">
                  <c:v>18/11/24</c:v>
                </c:pt>
                <c:pt idx="21">
                  <c:v>25/11/24</c:v>
                </c:pt>
                <c:pt idx="22">
                  <c:v>02/12/24</c:v>
                </c:pt>
                <c:pt idx="23">
                  <c:v>09/12/24</c:v>
                </c:pt>
                <c:pt idx="24">
                  <c:v>16/12/24</c:v>
                </c:pt>
                <c:pt idx="25">
                  <c:v>23/12/24</c:v>
                </c:pt>
                <c:pt idx="26">
                  <c:v>30/12/24</c:v>
                </c:pt>
                <c:pt idx="27">
                  <c:v>06/01/25</c:v>
                </c:pt>
                <c:pt idx="28">
                  <c:v>13/01/25</c:v>
                </c:pt>
                <c:pt idx="29">
                  <c:v>20/01/25</c:v>
                </c:pt>
                <c:pt idx="30">
                  <c:v>27/01/25</c:v>
                </c:pt>
                <c:pt idx="31">
                  <c:v>03/02/25</c:v>
                </c:pt>
                <c:pt idx="32">
                  <c:v>10/02/25</c:v>
                </c:pt>
                <c:pt idx="33">
                  <c:v>17/02/25</c:v>
                </c:pt>
                <c:pt idx="34">
                  <c:v>24/02/25</c:v>
                </c:pt>
                <c:pt idx="35">
                  <c:v>03/03/25</c:v>
                </c:pt>
                <c:pt idx="36">
                  <c:v>10/03/25</c:v>
                </c:pt>
                <c:pt idx="37">
                  <c:v>17/03/25</c:v>
                </c:pt>
                <c:pt idx="38">
                  <c:v>24/03/25</c:v>
                </c:pt>
                <c:pt idx="39">
                  <c:v>31/03/25</c:v>
                </c:pt>
                <c:pt idx="40">
                  <c:v>07/04/25</c:v>
                </c:pt>
                <c:pt idx="41">
                  <c:v>14/04/25</c:v>
                </c:pt>
                <c:pt idx="42">
                  <c:v>21/04/25</c:v>
                </c:pt>
                <c:pt idx="43">
                  <c:v>28/04/25</c:v>
                </c:pt>
                <c:pt idx="44">
                  <c:v>05/05/25</c:v>
                </c:pt>
                <c:pt idx="45">
                  <c:v>12/05/25</c:v>
                </c:pt>
                <c:pt idx="46">
                  <c:v>19/05/25</c:v>
                </c:pt>
                <c:pt idx="47">
                  <c:v>26/05/25</c:v>
                </c:pt>
                <c:pt idx="48">
                  <c:v>02/06/25</c:v>
                </c:pt>
                <c:pt idx="49">
                  <c:v>09/06/25</c:v>
                </c:pt>
                <c:pt idx="50">
                  <c:v>16/06/25</c:v>
                </c:pt>
                <c:pt idx="51">
                  <c:v>23/06/25</c:v>
                </c:pt>
                <c:pt idx="52">
                  <c:v>30/06/25</c:v>
                </c:pt>
                <c:pt idx="53">
                  <c:v>07/07/25</c:v>
                </c:pt>
                <c:pt idx="54">
                  <c:v>14/07/25</c:v>
                </c:pt>
                <c:pt idx="55">
                  <c:v>21/07/25</c:v>
                </c:pt>
                <c:pt idx="56">
                  <c:v>28/07/25</c:v>
                </c:pt>
                <c:pt idx="57">
                  <c:v>04/08/25</c:v>
                </c:pt>
                <c:pt idx="58">
                  <c:v>11/08/25</c:v>
                </c:pt>
                <c:pt idx="59">
                  <c:v>18/08/25</c:v>
                </c:pt>
                <c:pt idx="60">
                  <c:v>25/08/25</c:v>
                </c:pt>
                <c:pt idx="61">
                  <c:v>01/09/25</c:v>
                </c:pt>
                <c:pt idx="62">
                  <c:v>08/09/25</c:v>
                </c:pt>
                <c:pt idx="63">
                  <c:v>15/09/25</c:v>
                </c:pt>
                <c:pt idx="64">
                  <c:v>22/09/25</c:v>
                </c:pt>
                <c:pt idx="65">
                  <c:v>29/09/25</c:v>
                </c:pt>
                <c:pt idx="66">
                  <c:v>06/10/25</c:v>
                </c:pt>
                <c:pt idx="67">
                  <c:v>13/10/25</c:v>
                </c:pt>
                <c:pt idx="68">
                  <c:v>20/10/25</c:v>
                </c:pt>
                <c:pt idx="69">
                  <c:v>27/10/25</c:v>
                </c:pt>
                <c:pt idx="70">
                  <c:v>03/11/25</c:v>
                </c:pt>
                <c:pt idx="71">
                  <c:v>10/11/25</c:v>
                </c:pt>
                <c:pt idx="72">
                  <c:v>17/11/25</c:v>
                </c:pt>
                <c:pt idx="73">
                  <c:v>24/11/25</c:v>
                </c:pt>
                <c:pt idx="74">
                  <c:v>01/12/25</c:v>
                </c:pt>
                <c:pt idx="75">
                  <c:v>08/12/25</c:v>
                </c:pt>
                <c:pt idx="76">
                  <c:v>15/12/25</c:v>
                </c:pt>
                <c:pt idx="77">
                  <c:v>22/12/25</c:v>
                </c:pt>
                <c:pt idx="78">
                  <c:v>29/12/25</c:v>
                </c:pt>
                <c:pt idx="79">
                  <c:v>05/01/26</c:v>
                </c:pt>
                <c:pt idx="80">
                  <c:v>12/01/26</c:v>
                </c:pt>
                <c:pt idx="81">
                  <c:v>19/01/26</c:v>
                </c:pt>
                <c:pt idx="82">
                  <c:v>26/01/26</c:v>
                </c:pt>
                <c:pt idx="83">
                  <c:v>02/02/26</c:v>
                </c:pt>
                <c:pt idx="84">
                  <c:v>09/02/26</c:v>
                </c:pt>
                <c:pt idx="85">
                  <c:v>16/02/26</c:v>
                </c:pt>
                <c:pt idx="86">
                  <c:v>23/02/26</c:v>
                </c:pt>
                <c:pt idx="87">
                  <c:v>02/03/26</c:v>
                </c:pt>
                <c:pt idx="88">
                  <c:v>09/03/26</c:v>
                </c:pt>
                <c:pt idx="89">
                  <c:v>16/03/26</c:v>
                </c:pt>
                <c:pt idx="90">
                  <c:v>23/03/26</c:v>
                </c:pt>
                <c:pt idx="91">
                  <c:v>30/03/26</c:v>
                </c:pt>
                <c:pt idx="92">
                  <c:v>06/04/26</c:v>
                </c:pt>
                <c:pt idx="93">
                  <c:v>13/04/26</c:v>
                </c:pt>
                <c:pt idx="94">
                  <c:v>20/04/26</c:v>
                </c:pt>
                <c:pt idx="95">
                  <c:v>27/04/26</c:v>
                </c:pt>
                <c:pt idx="96">
                  <c:v>04/05/26</c:v>
                </c:pt>
                <c:pt idx="97">
                  <c:v>11/05/26</c:v>
                </c:pt>
                <c:pt idx="98">
                  <c:v>18/05/26</c:v>
                </c:pt>
                <c:pt idx="99">
                  <c:v>25/05/26</c:v>
                </c:pt>
                <c:pt idx="100">
                  <c:v>01/06/26</c:v>
                </c:pt>
                <c:pt idx="101">
                  <c:v>08/06/26</c:v>
                </c:pt>
                <c:pt idx="102">
                  <c:v>15/06/26</c:v>
                </c:pt>
                <c:pt idx="103">
                  <c:v>22/06/26</c:v>
                </c:pt>
                <c:pt idx="104">
                  <c:v>29/06/26</c:v>
                </c:pt>
                <c:pt idx="105">
                  <c:v>06/07/26</c:v>
                </c:pt>
                <c:pt idx="106">
                  <c:v>13/07/26</c:v>
                </c:pt>
                <c:pt idx="107">
                  <c:v>20/07/26</c:v>
                </c:pt>
                <c:pt idx="108">
                  <c:v>27/07/26</c:v>
                </c:pt>
                <c:pt idx="109">
                  <c:v>03/08/26</c:v>
                </c:pt>
                <c:pt idx="110">
                  <c:v>10/08/26</c:v>
                </c:pt>
                <c:pt idx="111">
                  <c:v>17/08/26</c:v>
                </c:pt>
                <c:pt idx="112">
                  <c:v>24/08/26</c:v>
                </c:pt>
                <c:pt idx="113">
                  <c:v>31/08/26</c:v>
                </c:pt>
                <c:pt idx="114">
                  <c:v>07/09/26</c:v>
                </c:pt>
                <c:pt idx="115">
                  <c:v>14/09/26</c:v>
                </c:pt>
                <c:pt idx="116">
                  <c:v>21/09/26</c:v>
                </c:pt>
                <c:pt idx="117">
                  <c:v>28/09/26</c:v>
                </c:pt>
                <c:pt idx="118">
                  <c:v>05/10/26</c:v>
                </c:pt>
                <c:pt idx="119">
                  <c:v>12/10/26</c:v>
                </c:pt>
                <c:pt idx="120">
                  <c:v>19/10/26</c:v>
                </c:pt>
                <c:pt idx="121">
                  <c:v>26/10/26</c:v>
                </c:pt>
                <c:pt idx="122">
                  <c:v>02/11/26</c:v>
                </c:pt>
                <c:pt idx="123">
                  <c:v>09/11/26</c:v>
                </c:pt>
                <c:pt idx="124">
                  <c:v>16/11/26</c:v>
                </c:pt>
                <c:pt idx="125">
                  <c:v>23/11/26</c:v>
                </c:pt>
                <c:pt idx="126">
                  <c:v>30/11/26</c:v>
                </c:pt>
                <c:pt idx="127">
                  <c:v>07/12/26</c:v>
                </c:pt>
                <c:pt idx="128">
                  <c:v>14/12/26</c:v>
                </c:pt>
                <c:pt idx="129">
                  <c:v>21/12/26</c:v>
                </c:pt>
                <c:pt idx="130">
                  <c:v>28/12/26</c:v>
                </c:pt>
              </c:strCache>
            </c:strRef>
          </c:cat>
          <c:val>
            <c:numRef>
              <c:f>'Plan OG'!$L$5:$EL$5</c:f>
              <c:numCache>
                <c:formatCode>0.0%</c:formatCode>
                <c:ptCount val="131"/>
                <c:pt idx="0">
                  <c:v>8.7813632965295718E-5</c:v>
                </c:pt>
                <c:pt idx="1">
                  <c:v>6.6812110374114548E-4</c:v>
                </c:pt>
                <c:pt idx="2">
                  <c:v>1.3453056290573008E-3</c:v>
                </c:pt>
                <c:pt idx="3">
                  <c:v>2.743673774785885E-3</c:v>
                </c:pt>
                <c:pt idx="4">
                  <c:v>4.1585334948187752E-3</c:v>
                </c:pt>
                <c:pt idx="5">
                  <c:v>5.4130936391348109E-3</c:v>
                </c:pt>
                <c:pt idx="6">
                  <c:v>1.8234166299858048E-2</c:v>
                </c:pt>
                <c:pt idx="7">
                  <c:v>3.8009615156600562E-2</c:v>
                </c:pt>
                <c:pt idx="8">
                  <c:v>6.4491758140071215E-2</c:v>
                </c:pt>
                <c:pt idx="9">
                  <c:v>7.8331185624393451E-2</c:v>
                </c:pt>
                <c:pt idx="10">
                  <c:v>0.1146234467659399</c:v>
                </c:pt>
                <c:pt idx="11">
                  <c:v>0.11920820609673356</c:v>
                </c:pt>
                <c:pt idx="12">
                  <c:v>0.13918839051965826</c:v>
                </c:pt>
                <c:pt idx="13">
                  <c:v>0.15298330131138119</c:v>
                </c:pt>
                <c:pt idx="14">
                  <c:v>0.16313526936210079</c:v>
                </c:pt>
                <c:pt idx="15">
                  <c:v>0.17728442608939621</c:v>
                </c:pt>
                <c:pt idx="16">
                  <c:v>0.20244558590632325</c:v>
                </c:pt>
                <c:pt idx="17">
                  <c:v>0.23473980960886717</c:v>
                </c:pt>
                <c:pt idx="18">
                  <c:v>0.26643267561223716</c:v>
                </c:pt>
                <c:pt idx="19">
                  <c:v>0.28328482684440498</c:v>
                </c:pt>
                <c:pt idx="20">
                  <c:v>0.3129128908072582</c:v>
                </c:pt>
                <c:pt idx="21">
                  <c:v>0.3318461408551564</c:v>
                </c:pt>
                <c:pt idx="22">
                  <c:v>0.35521971985243211</c:v>
                </c:pt>
                <c:pt idx="23">
                  <c:v>0.36936995170488518</c:v>
                </c:pt>
                <c:pt idx="24">
                  <c:v>0.39055046494770779</c:v>
                </c:pt>
                <c:pt idx="25">
                  <c:v>0.40022233281096736</c:v>
                </c:pt>
                <c:pt idx="26">
                  <c:v>0.40022233281096736</c:v>
                </c:pt>
                <c:pt idx="27">
                  <c:v>0.40022233281096736</c:v>
                </c:pt>
                <c:pt idx="28">
                  <c:v>0.40517273761708056</c:v>
                </c:pt>
                <c:pt idx="29">
                  <c:v>0.4147678820587265</c:v>
                </c:pt>
                <c:pt idx="30">
                  <c:v>0.42226946656528047</c:v>
                </c:pt>
                <c:pt idx="31">
                  <c:v>0.43002345069950854</c:v>
                </c:pt>
                <c:pt idx="32">
                  <c:v>0.437870106814856</c:v>
                </c:pt>
                <c:pt idx="33">
                  <c:v>0.44564743055365674</c:v>
                </c:pt>
                <c:pt idx="34">
                  <c:v>0.45719828923287198</c:v>
                </c:pt>
                <c:pt idx="35">
                  <c:v>0.47164457426556566</c:v>
                </c:pt>
                <c:pt idx="36">
                  <c:v>0.48869814226497976</c:v>
                </c:pt>
                <c:pt idx="37">
                  <c:v>0.50755299780308494</c:v>
                </c:pt>
                <c:pt idx="38">
                  <c:v>0.52787303521555784</c:v>
                </c:pt>
                <c:pt idx="39">
                  <c:v>0.54795100045053635</c:v>
                </c:pt>
                <c:pt idx="40">
                  <c:v>0.58030766896042707</c:v>
                </c:pt>
                <c:pt idx="41">
                  <c:v>0.61832557608117356</c:v>
                </c:pt>
                <c:pt idx="42">
                  <c:v>0.6712434547318078</c:v>
                </c:pt>
                <c:pt idx="43">
                  <c:v>0.71799968462449737</c:v>
                </c:pt>
                <c:pt idx="44">
                  <c:v>0.76303364454265243</c:v>
                </c:pt>
                <c:pt idx="45">
                  <c:v>0.8068573296977003</c:v>
                </c:pt>
                <c:pt idx="46">
                  <c:v>0.85135833115346771</c:v>
                </c:pt>
                <c:pt idx="47">
                  <c:v>0.88049570385618781</c:v>
                </c:pt>
                <c:pt idx="48">
                  <c:v>0.90836161176626251</c:v>
                </c:pt>
                <c:pt idx="49">
                  <c:v>0.935822329493875</c:v>
                </c:pt>
                <c:pt idx="50">
                  <c:v>0.95222153309458635</c:v>
                </c:pt>
                <c:pt idx="51">
                  <c:v>0.9611238642004587</c:v>
                </c:pt>
                <c:pt idx="52">
                  <c:v>0.96905095498710314</c:v>
                </c:pt>
                <c:pt idx="53">
                  <c:v>0.97413818419013642</c:v>
                </c:pt>
                <c:pt idx="54">
                  <c:v>0.97858599479572117</c:v>
                </c:pt>
                <c:pt idx="55">
                  <c:v>0.98163119828737866</c:v>
                </c:pt>
                <c:pt idx="56">
                  <c:v>0.99079818605180281</c:v>
                </c:pt>
                <c:pt idx="57">
                  <c:v>0.99352444614786584</c:v>
                </c:pt>
                <c:pt idx="58">
                  <c:v>0.99614265623983411</c:v>
                </c:pt>
                <c:pt idx="59">
                  <c:v>0.99999999999999978</c:v>
                </c:pt>
                <c:pt idx="60">
                  <c:v>0.99999999999999978</c:v>
                </c:pt>
                <c:pt idx="61">
                  <c:v>0.99999999999999978</c:v>
                </c:pt>
                <c:pt idx="62">
                  <c:v>0.99999999999999978</c:v>
                </c:pt>
                <c:pt idx="63">
                  <c:v>0.99999999999999978</c:v>
                </c:pt>
                <c:pt idx="64">
                  <c:v>0.99999999999999978</c:v>
                </c:pt>
                <c:pt idx="65">
                  <c:v>0.99999999999999978</c:v>
                </c:pt>
                <c:pt idx="66">
                  <c:v>0.99999999999999978</c:v>
                </c:pt>
                <c:pt idx="67">
                  <c:v>0.99999999999999978</c:v>
                </c:pt>
                <c:pt idx="68">
                  <c:v>0.99999999999999978</c:v>
                </c:pt>
                <c:pt idx="69">
                  <c:v>0.99999999999999978</c:v>
                </c:pt>
                <c:pt idx="70">
                  <c:v>0.99999999999999978</c:v>
                </c:pt>
                <c:pt idx="71">
                  <c:v>0.99999999999999978</c:v>
                </c:pt>
                <c:pt idx="72">
                  <c:v>0.99999999999999978</c:v>
                </c:pt>
                <c:pt idx="73">
                  <c:v>0.99999999999999978</c:v>
                </c:pt>
                <c:pt idx="74">
                  <c:v>0.99999999999999978</c:v>
                </c:pt>
                <c:pt idx="75">
                  <c:v>0.99999999999999978</c:v>
                </c:pt>
                <c:pt idx="76">
                  <c:v>0.99999999999999978</c:v>
                </c:pt>
                <c:pt idx="77">
                  <c:v>0.99999999999999978</c:v>
                </c:pt>
                <c:pt idx="78">
                  <c:v>0.99999999999999978</c:v>
                </c:pt>
                <c:pt idx="79">
                  <c:v>0.99999999999999978</c:v>
                </c:pt>
                <c:pt idx="80">
                  <c:v>0.99999999999999978</c:v>
                </c:pt>
                <c:pt idx="81">
                  <c:v>0.99999999999999978</c:v>
                </c:pt>
                <c:pt idx="82">
                  <c:v>0.99999999999999978</c:v>
                </c:pt>
                <c:pt idx="83">
                  <c:v>0.99999999999999978</c:v>
                </c:pt>
                <c:pt idx="84">
                  <c:v>0.99999999999999978</c:v>
                </c:pt>
                <c:pt idx="85">
                  <c:v>0.99999999999999978</c:v>
                </c:pt>
                <c:pt idx="86">
                  <c:v>0.99999999999999978</c:v>
                </c:pt>
                <c:pt idx="87">
                  <c:v>0.99999999999999978</c:v>
                </c:pt>
                <c:pt idx="88">
                  <c:v>0.99999999999999978</c:v>
                </c:pt>
                <c:pt idx="89">
                  <c:v>0.99999999999999978</c:v>
                </c:pt>
                <c:pt idx="90">
                  <c:v>0.99999999999999978</c:v>
                </c:pt>
                <c:pt idx="91">
                  <c:v>0.99999999999999978</c:v>
                </c:pt>
                <c:pt idx="92">
                  <c:v>0.99999999999999978</c:v>
                </c:pt>
                <c:pt idx="93">
                  <c:v>0.99999999999999978</c:v>
                </c:pt>
                <c:pt idx="94">
                  <c:v>0.99999999999999978</c:v>
                </c:pt>
                <c:pt idx="95">
                  <c:v>0.99999999999999978</c:v>
                </c:pt>
                <c:pt idx="96">
                  <c:v>0.99999999999999978</c:v>
                </c:pt>
                <c:pt idx="97">
                  <c:v>0.99999999999999978</c:v>
                </c:pt>
                <c:pt idx="98">
                  <c:v>0.99999999999999978</c:v>
                </c:pt>
                <c:pt idx="99">
                  <c:v>0.99999999999999978</c:v>
                </c:pt>
                <c:pt idx="100">
                  <c:v>0.99999999999999978</c:v>
                </c:pt>
                <c:pt idx="101">
                  <c:v>0.99999999999999978</c:v>
                </c:pt>
                <c:pt idx="102">
                  <c:v>0.99999999999999978</c:v>
                </c:pt>
                <c:pt idx="103">
                  <c:v>0.99999999999999978</c:v>
                </c:pt>
                <c:pt idx="104">
                  <c:v>0.99999999999999978</c:v>
                </c:pt>
                <c:pt idx="105">
                  <c:v>0.99999999999999978</c:v>
                </c:pt>
                <c:pt idx="106">
                  <c:v>0.99999999999999978</c:v>
                </c:pt>
                <c:pt idx="107">
                  <c:v>0.99999999999999978</c:v>
                </c:pt>
                <c:pt idx="108">
                  <c:v>0.99999999999999978</c:v>
                </c:pt>
                <c:pt idx="109">
                  <c:v>0.99999999999999978</c:v>
                </c:pt>
                <c:pt idx="110">
                  <c:v>0.99999999999999978</c:v>
                </c:pt>
                <c:pt idx="111">
                  <c:v>0.99999999999999978</c:v>
                </c:pt>
                <c:pt idx="112">
                  <c:v>0.99999999999999978</c:v>
                </c:pt>
                <c:pt idx="113">
                  <c:v>0.99999999999999978</c:v>
                </c:pt>
                <c:pt idx="114">
                  <c:v>0.99999999999999978</c:v>
                </c:pt>
                <c:pt idx="115">
                  <c:v>0.99999999999999978</c:v>
                </c:pt>
                <c:pt idx="116">
                  <c:v>0.99999999999999978</c:v>
                </c:pt>
                <c:pt idx="117">
                  <c:v>0.99999999999999978</c:v>
                </c:pt>
                <c:pt idx="118">
                  <c:v>0.99999999999999978</c:v>
                </c:pt>
                <c:pt idx="119">
                  <c:v>0.99999999999999978</c:v>
                </c:pt>
                <c:pt idx="120">
                  <c:v>0.99999999999999978</c:v>
                </c:pt>
                <c:pt idx="121">
                  <c:v>0.99999999999999978</c:v>
                </c:pt>
                <c:pt idx="122">
                  <c:v>0.99999999999999978</c:v>
                </c:pt>
                <c:pt idx="123">
                  <c:v>0.99999999999999978</c:v>
                </c:pt>
                <c:pt idx="124">
                  <c:v>0.99999999999999978</c:v>
                </c:pt>
                <c:pt idx="125">
                  <c:v>0.99999999999999978</c:v>
                </c:pt>
                <c:pt idx="126">
                  <c:v>0.99999999999999978</c:v>
                </c:pt>
                <c:pt idx="127">
                  <c:v>0.99999999999999978</c:v>
                </c:pt>
                <c:pt idx="128">
                  <c:v>0.99999999999999978</c:v>
                </c:pt>
                <c:pt idx="129">
                  <c:v>0.99999999999999978</c:v>
                </c:pt>
                <c:pt idx="130">
                  <c:v>0.99999999999999978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 OG'!$L$144:$DH$144</c15:f>
                <c15:dlblRangeCache>
                  <c:ptCount val="101"/>
                  <c:pt idx="0">
                    <c:v>0,0%</c:v>
                  </c:pt>
                  <c:pt idx="4">
                    <c:v>0,4%</c:v>
                  </c:pt>
                  <c:pt idx="8">
                    <c:v>6,4%</c:v>
                  </c:pt>
                  <c:pt idx="12">
                    <c:v>13,9%</c:v>
                  </c:pt>
                  <c:pt idx="16">
                    <c:v>20,2%</c:v>
                  </c:pt>
                  <c:pt idx="20">
                    <c:v>31,3%</c:v>
                  </c:pt>
                  <c:pt idx="24">
                    <c:v>39,1%</c:v>
                  </c:pt>
                  <c:pt idx="28">
                    <c:v>40,5%</c:v>
                  </c:pt>
                  <c:pt idx="32">
                    <c:v>43,8%</c:v>
                  </c:pt>
                  <c:pt idx="36">
                    <c:v>48,9%</c:v>
                  </c:pt>
                  <c:pt idx="40">
                    <c:v>58,0%</c:v>
                  </c:pt>
                  <c:pt idx="44">
                    <c:v>76,3%</c:v>
                  </c:pt>
                  <c:pt idx="48">
                    <c:v>90,8%</c:v>
                  </c:pt>
                  <c:pt idx="52">
                    <c:v>96,9%</c:v>
                  </c:pt>
                  <c:pt idx="56">
                    <c:v>99,1%</c:v>
                  </c:pt>
                  <c:pt idx="60">
                    <c:v>100,0%</c:v>
                  </c:pt>
                  <c:pt idx="64">
                    <c:v>100,0%</c:v>
                  </c:pt>
                  <c:pt idx="68">
                    <c:v>100,0%</c:v>
                  </c:pt>
                  <c:pt idx="72">
                    <c:v>100,0%</c:v>
                  </c:pt>
                  <c:pt idx="76">
                    <c:v>100,0%</c:v>
                  </c:pt>
                  <c:pt idx="80">
                    <c:v>100,0%</c:v>
                  </c:pt>
                  <c:pt idx="84">
                    <c:v>100,0%</c:v>
                  </c:pt>
                  <c:pt idx="88">
                    <c:v>100,0%</c:v>
                  </c:pt>
                  <c:pt idx="92">
                    <c:v>100,0%</c:v>
                  </c:pt>
                  <c:pt idx="96">
                    <c:v>100,0%</c:v>
                  </c:pt>
                  <c:pt idx="100">
                    <c:v>100,0%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9038-403A-ADF3-596B3D3D5D30}"/>
            </c:ext>
          </c:extLst>
        </c:ser>
        <c:ser>
          <c:idx val="1"/>
          <c:order val="1"/>
          <c:tx>
            <c:strRef>
              <c:f>'Dashboard Completo'!$N$3</c:f>
              <c:strCache>
                <c:ptCount val="1"/>
                <c:pt idx="0">
                  <c:v>Reprogramación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1BA-4E1D-9DC5-1C0A672ADFE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83820DB-6B04-4685-80B9-EA77F8BEB17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61BA-4E1D-9DC5-1C0A672ADFE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EDADC91-37C0-4DD9-BE43-0F979C9F53D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61BA-4E1D-9DC5-1C0A672ADFE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DC6C653-1767-467C-9CCC-03D6FE91C98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61BA-4E1D-9DC5-1C0A672ADFEB}"/>
                </c:ext>
              </c:extLst>
            </c:dLbl>
            <c:dLbl>
              <c:idx val="4"/>
              <c:layout>
                <c:manualLayout>
                  <c:x val="-2.8690294818758681E-2"/>
                  <c:y val="-2.586764388876913E-2"/>
                </c:manualLayout>
              </c:layout>
              <c:tx>
                <c:rich>
                  <a:bodyPr/>
                  <a:lstStyle/>
                  <a:p>
                    <a:fld id="{B880DDFA-716C-4127-8939-81E13FFF6E3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61BA-4E1D-9DC5-1C0A672ADFE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10CA77D-6904-4223-BEBD-A02BE891DAB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E-61BA-4E1D-9DC5-1C0A672ADFE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64D3AB4-350C-43CE-B565-74B60782E74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61BA-4E1D-9DC5-1C0A672ADFE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D461D59-4842-4D67-8AC8-B99D8A23994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0-61BA-4E1D-9DC5-1C0A672ADFEB}"/>
                </c:ext>
              </c:extLst>
            </c:dLbl>
            <c:dLbl>
              <c:idx val="8"/>
              <c:layout>
                <c:manualLayout>
                  <c:x val="-3.4428353782510399E-2"/>
                  <c:y val="-3.4490191851692255E-2"/>
                </c:manualLayout>
              </c:layout>
              <c:tx>
                <c:rich>
                  <a:bodyPr/>
                  <a:lstStyle/>
                  <a:p>
                    <a:fld id="{64D541D8-EE6D-4B88-B41B-77D53CE2400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1-61BA-4E1D-9DC5-1C0A672ADFE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BD49C88-48AF-4FBF-8F2B-CD21296D0C7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2-61BA-4E1D-9DC5-1C0A672ADFE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ECF6313-2015-4193-9650-FE249CA74CC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3-61BA-4E1D-9DC5-1C0A672ADFE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E841401-6652-4FC1-8909-3B29C89A5FB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4-61BA-4E1D-9DC5-1C0A672ADFEB}"/>
                </c:ext>
              </c:extLst>
            </c:dLbl>
            <c:dLbl>
              <c:idx val="12"/>
              <c:layout>
                <c:manualLayout>
                  <c:x val="-4.0166412746262127E-2"/>
                  <c:y val="-3.0178917870230575E-2"/>
                </c:manualLayout>
              </c:layout>
              <c:tx>
                <c:rich>
                  <a:bodyPr/>
                  <a:lstStyle/>
                  <a:p>
                    <a:fld id="{FEE62F50-ECB6-492C-A725-D5BDC2B9A4C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5-61BA-4E1D-9DC5-1C0A672ADFE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D861E67-668E-4604-A039-09CF5732FCF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6-61BA-4E1D-9DC5-1C0A672ADFE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48B1F7D-E18F-4388-8F5B-A8579161569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7-61BA-4E1D-9DC5-1C0A672ADFE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A1C12D3-67FC-413F-8C95-2F8035949D5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8-61BA-4E1D-9DC5-1C0A672ADFEB}"/>
                </c:ext>
              </c:extLst>
            </c:dLbl>
            <c:dLbl>
              <c:idx val="16"/>
              <c:layout>
                <c:manualLayout>
                  <c:x val="-4.9729844352515019E-2"/>
                  <c:y val="-3.0178917870230731E-2"/>
                </c:manualLayout>
              </c:layout>
              <c:tx>
                <c:rich>
                  <a:bodyPr/>
                  <a:lstStyle/>
                  <a:p>
                    <a:fld id="{C615289B-B302-4E7C-9664-82BD889D82F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9-61BA-4E1D-9DC5-1C0A672ADFE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670630F-81AE-4B9F-98D8-7CB756FA775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61BA-4E1D-9DC5-1C0A672ADFE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334E3AD-19DE-4F89-8E95-A1BE4314647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B-61BA-4E1D-9DC5-1C0A672ADFE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591D35E-0883-40D1-8242-9A0A0D90270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C-61BA-4E1D-9DC5-1C0A672ADFEB}"/>
                </c:ext>
              </c:extLst>
            </c:dLbl>
            <c:dLbl>
              <c:idx val="20"/>
              <c:layout>
                <c:manualLayout>
                  <c:x val="-4.9729844352515019E-2"/>
                  <c:y val="-2.155636990730761E-2"/>
                </c:manualLayout>
              </c:layout>
              <c:tx>
                <c:rich>
                  <a:bodyPr/>
                  <a:lstStyle/>
                  <a:p>
                    <a:fld id="{3EEB2D29-C21E-40F3-A621-3A7E78E8DE6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D-61BA-4E1D-9DC5-1C0A672ADFE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D307ADB-EF72-4DBC-B0FD-4E1FB86EFF4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61BA-4E1D-9DC5-1C0A672ADFE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B1B0E87-AE41-46E2-ABD8-58B7FE0D616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F-61BA-4E1D-9DC5-1C0A672ADFE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3C2AA1B-7A24-46C5-B204-8F1399D011B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61BA-4E1D-9DC5-1C0A672ADFEB}"/>
                </c:ext>
              </c:extLst>
            </c:dLbl>
            <c:dLbl>
              <c:idx val="24"/>
              <c:layout>
                <c:manualLayout>
                  <c:x val="-5.3555216995016204E-2"/>
                  <c:y val="-1.7245095925846089E-2"/>
                </c:manualLayout>
              </c:layout>
              <c:tx>
                <c:rich>
                  <a:bodyPr/>
                  <a:lstStyle/>
                  <a:p>
                    <a:fld id="{0BD18331-A8F9-4F5E-B460-F7A9FA6D559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1-61BA-4E1D-9DC5-1C0A672ADFE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C2D12C1-A803-4E71-8C7D-4D94560E6E8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2-61BA-4E1D-9DC5-1C0A672ADFE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44285C89-6C80-4A7A-9B5A-0A1B8033DCD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3-61BA-4E1D-9DC5-1C0A672ADFE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98EA7D0-4015-427B-90EF-41111EAD248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4-61BA-4E1D-9DC5-1C0A672ADFEB}"/>
                </c:ext>
              </c:extLst>
            </c:dLbl>
            <c:dLbl>
              <c:idx val="28"/>
              <c:layout>
                <c:manualLayout>
                  <c:x val="-3.8253726425011549E-2"/>
                  <c:y val="-2.586764388876921E-2"/>
                </c:manualLayout>
              </c:layout>
              <c:tx>
                <c:rich>
                  <a:bodyPr/>
                  <a:lstStyle/>
                  <a:p>
                    <a:fld id="{76E8513E-5A0B-4C92-9A82-B9504F37841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5-61BA-4E1D-9DC5-1C0A672ADFE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C1411D8-571B-4F5F-8F50-985F48A4509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6-61BA-4E1D-9DC5-1C0A672ADFE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2FCDE67-3DAD-4981-ADC1-DD6545A5170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7-61BA-4E1D-9DC5-1C0A672ADFE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CFAFC4B-9DE1-4BA6-81B2-6B2F58A89AB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8-61BA-4E1D-9DC5-1C0A672ADFEB}"/>
                </c:ext>
              </c:extLst>
            </c:dLbl>
            <c:dLbl>
              <c:idx val="32"/>
              <c:layout>
                <c:manualLayout>
                  <c:x val="-4.3991785388763284E-2"/>
                  <c:y val="-3.4490191851692178E-2"/>
                </c:manualLayout>
              </c:layout>
              <c:tx>
                <c:rich>
                  <a:bodyPr/>
                  <a:lstStyle/>
                  <a:p>
                    <a:fld id="{22692760-0795-4D5A-9F54-BEA969CF55B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9-61BA-4E1D-9DC5-1C0A672ADFE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0270197-03CD-4AFF-BBF0-3E0F89DA2F7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A-61BA-4E1D-9DC5-1C0A672ADFE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27283B1D-2105-460B-9141-A7EEFFCE056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B-61BA-4E1D-9DC5-1C0A672ADFE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D2BFF026-D317-4930-ABCC-B9E849B0CAD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C-61BA-4E1D-9DC5-1C0A672ADFEB}"/>
                </c:ext>
              </c:extLst>
            </c:dLbl>
            <c:dLbl>
              <c:idx val="36"/>
              <c:layout>
                <c:manualLayout>
                  <c:x val="-3.6341040103760977E-2"/>
                  <c:y val="-4.311273981461522E-2"/>
                </c:manualLayout>
              </c:layout>
              <c:tx>
                <c:rich>
                  <a:bodyPr/>
                  <a:lstStyle/>
                  <a:p>
                    <a:fld id="{4F25E115-CC08-451D-B1B5-8F6BA5C9497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D-61BA-4E1D-9DC5-1C0A672ADFE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6B1E8FEC-A080-4823-811E-EE43FEB9F69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E-61BA-4E1D-9DC5-1C0A672ADFE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992CAD0D-B8A5-45F2-B537-9AC2E88395F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F-61BA-4E1D-9DC5-1C0A672ADFE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BA60D4D4-C244-4BBC-B5C7-13DAE1DB6D7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0-61BA-4E1D-9DC5-1C0A672ADFEB}"/>
                </c:ext>
              </c:extLst>
            </c:dLbl>
            <c:dLbl>
              <c:idx val="40"/>
              <c:layout>
                <c:manualLayout>
                  <c:x val="-4.5904471710013862E-2"/>
                  <c:y val="-5.6046561758999823E-2"/>
                </c:manualLayout>
              </c:layout>
              <c:tx>
                <c:rich>
                  <a:bodyPr/>
                  <a:lstStyle/>
                  <a:p>
                    <a:fld id="{6B333B0A-24E7-40FE-96BC-0F274B1C08F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1-61BA-4E1D-9DC5-1C0A672ADFE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C88AD6B4-2FC6-498C-8BE1-820EDA36E0F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2-61BA-4E1D-9DC5-1C0A672ADFE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8E3F619E-F8BB-4482-9786-E4D6C65A3BA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3-61BA-4E1D-9DC5-1C0A672ADFE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9118D2E5-F005-4BE7-A06B-A69E5C82D3B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4-61BA-4E1D-9DC5-1C0A672ADFEB}"/>
                </c:ext>
              </c:extLst>
            </c:dLbl>
            <c:dLbl>
              <c:idx val="44"/>
              <c:layout>
                <c:manualLayout>
                  <c:x val="-3.251566746125982E-2"/>
                  <c:y val="-3.4490191851692213E-2"/>
                </c:manualLayout>
              </c:layout>
              <c:tx>
                <c:rich>
                  <a:bodyPr/>
                  <a:lstStyle/>
                  <a:p>
                    <a:fld id="{7F6C8B8D-F29B-4C3B-90F9-80091DE65F5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5-61BA-4E1D-9DC5-1C0A672ADFE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ABF156D0-5FEE-40BC-A58F-3E5D9EDC221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6-61BA-4E1D-9DC5-1C0A672ADFE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2301C387-94AC-45F9-851E-4792B4DC814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7-61BA-4E1D-9DC5-1C0A672ADFE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3D78BF3D-0D62-43D2-A302-72FCCFD8DA5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8-61BA-4E1D-9DC5-1C0A672ADFEB}"/>
                </c:ext>
              </c:extLst>
            </c:dLbl>
            <c:dLbl>
              <c:idx val="48"/>
              <c:layout>
                <c:manualLayout>
                  <c:x val="-1.9126863212505774E-2"/>
                  <c:y val="2.5867643888769092E-2"/>
                </c:manualLayout>
              </c:layout>
              <c:tx>
                <c:rich>
                  <a:bodyPr/>
                  <a:lstStyle/>
                  <a:p>
                    <a:fld id="{16CAD9CB-D409-4A1A-974D-172860E46E8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9-61BA-4E1D-9DC5-1C0A672ADFE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A11CFFB-0929-4395-B9A6-8EE8396CA81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A-61BA-4E1D-9DC5-1C0A672ADFE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B4FA3CD2-5CEC-4360-A4B3-7ECB0B12426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B-61BA-4E1D-9DC5-1C0A672ADFE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0794EA1A-C9B2-4617-96A8-57C3FCD2B1F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C-61BA-4E1D-9DC5-1C0A672ADFEB}"/>
                </c:ext>
              </c:extLst>
            </c:dLbl>
            <c:dLbl>
              <c:idx val="52"/>
              <c:layout>
                <c:manualLayout>
                  <c:x val="-1.721425219386627E-2"/>
                  <c:y val="1.2933991679580646E-2"/>
                </c:manualLayout>
              </c:layout>
              <c:tx>
                <c:rich>
                  <a:bodyPr/>
                  <a:lstStyle/>
                  <a:p>
                    <a:fld id="{CAC3B6F0-2BF6-4893-8BDD-AEA1C808D47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844605531790043E-2"/>
                      <c:h val="5.503358210855243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D-61BA-4E1D-9DC5-1C0A672ADFE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1385BB8C-1F34-4179-A35A-E0424EA805C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E-61BA-4E1D-9DC5-1C0A672ADFE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AF2F64A8-9471-415C-9771-E0783EEE658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61BA-4E1D-9DC5-1C0A672ADFE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3B692454-5F1D-4385-BD7C-F3D6768FD82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61BA-4E1D-9DC5-1C0A672ADFEB}"/>
                </c:ext>
              </c:extLst>
            </c:dLbl>
            <c:dLbl>
              <c:idx val="56"/>
              <c:layout>
                <c:manualLayout>
                  <c:x val="-2.1039549533756422E-2"/>
                  <c:y val="-4.3112739814615223E-3"/>
                </c:manualLayout>
              </c:layout>
              <c:tx>
                <c:rich>
                  <a:bodyPr/>
                  <a:lstStyle/>
                  <a:p>
                    <a:fld id="{1C78E13E-C66D-409F-9424-BA555175370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1-61BA-4E1D-9DC5-1C0A672ADFE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CFF04458-DE0D-47DE-942A-75528D3A809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2-61BA-4E1D-9DC5-1C0A672ADFE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73D22AE3-ACCA-4F36-B11B-B0C52E145EE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3-61BA-4E1D-9DC5-1C0A672ADFE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F3E745D6-8E37-4E84-A340-432D25F2D66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4-61BA-4E1D-9DC5-1C0A672ADFEB}"/>
                </c:ext>
              </c:extLst>
            </c:dLbl>
            <c:dLbl>
              <c:idx val="60"/>
              <c:layout>
                <c:manualLayout>
                  <c:x val="-2.486492217625751E-2"/>
                  <c:y val="4.742401379607674E-2"/>
                </c:manualLayout>
              </c:layout>
              <c:tx>
                <c:rich>
                  <a:bodyPr/>
                  <a:lstStyle/>
                  <a:p>
                    <a:fld id="{01DCE13E-ADA5-4912-8019-A79B3C4B56E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5-61BA-4E1D-9DC5-1C0A672ADFE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CC050CF6-16CF-4A08-B3C2-D64B1AA3679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6-61BA-4E1D-9DC5-1C0A672ADFE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9E3DD65A-2E63-43DC-B2B1-A6A03AF6AF1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7-61BA-4E1D-9DC5-1C0A672ADFE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02252295-794E-4ECF-B0A1-06F3A32CBBB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8-61BA-4E1D-9DC5-1C0A672ADFEB}"/>
                </c:ext>
              </c:extLst>
            </c:dLbl>
            <c:dLbl>
              <c:idx val="64"/>
              <c:layout>
                <c:manualLayout>
                  <c:x val="-4.2079099067512636E-2"/>
                  <c:y val="-5.6046561758999802E-2"/>
                </c:manualLayout>
              </c:layout>
              <c:tx>
                <c:rich>
                  <a:bodyPr/>
                  <a:lstStyle/>
                  <a:p>
                    <a:fld id="{BB9B4C57-1873-4F4C-8D6E-973A3719263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9-61BA-4E1D-9DC5-1C0A672ADFE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997A09D3-0B7C-42E7-9B2D-FFDD68183B3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A-61BA-4E1D-9DC5-1C0A672ADFE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7B1499FF-DEBB-43E8-813A-CD82168F983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B-61BA-4E1D-9DC5-1C0A672ADFE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AE859699-7637-4620-A5FD-0A371333159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C-61BA-4E1D-9DC5-1C0A672ADFEB}"/>
                </c:ext>
              </c:extLst>
            </c:dLbl>
            <c:dLbl>
              <c:idx val="68"/>
              <c:layout>
                <c:manualLayout>
                  <c:x val="-2.6777608497508085E-2"/>
                  <c:y val="4.3112739814615024E-3"/>
                </c:manualLayout>
              </c:layout>
              <c:tx>
                <c:rich>
                  <a:bodyPr/>
                  <a:lstStyle/>
                  <a:p>
                    <a:fld id="{859D5FFB-FDE2-4506-A6B0-DA64730178D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D-61BA-4E1D-9DC5-1C0A672ADFE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6A555C73-C9D9-4587-BD43-869E487E893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E-61BA-4E1D-9DC5-1C0A672ADFE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8DB2ED4F-376C-4EEC-9596-B23331D7B95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F-61BA-4E1D-9DC5-1C0A672ADFE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895F9046-10D5-4027-99D1-6D4FB2DBFF8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0-61BA-4E1D-9DC5-1C0A672ADFEB}"/>
                </c:ext>
              </c:extLst>
            </c:dLbl>
            <c:dLbl>
              <c:idx val="72"/>
              <c:layout>
                <c:manualLayout>
                  <c:x val="-2.1039549533756353E-2"/>
                  <c:y val="1.7245095925846089E-2"/>
                </c:manualLayout>
              </c:layout>
              <c:tx>
                <c:rich>
                  <a:bodyPr/>
                  <a:lstStyle/>
                  <a:p>
                    <a:fld id="{F2F7713C-7AFB-45F3-BB70-66F86D41FE5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1-61BA-4E1D-9DC5-1C0A672ADFE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DA1F03DE-0F6E-45B1-8ECD-D4AEDF425A0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2-61BA-4E1D-9DC5-1C0A672ADFE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D76C1931-729F-465E-84E3-D8816C9164D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3-61BA-4E1D-9DC5-1C0A672ADFE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9FFEC9FA-3FDF-44F3-9A89-82E6708BF4E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4-61BA-4E1D-9DC5-1C0A672ADFEB}"/>
                </c:ext>
              </c:extLst>
            </c:dLbl>
            <c:dLbl>
              <c:idx val="76"/>
              <c:layout>
                <c:manualLayout>
                  <c:x val="-1.3388804248754042E-2"/>
                  <c:y val="2.586764388876913E-2"/>
                </c:manualLayout>
              </c:layout>
              <c:tx>
                <c:rich>
                  <a:bodyPr/>
                  <a:lstStyle/>
                  <a:p>
                    <a:fld id="{9501EF67-5FBC-40B5-8A00-4D5314DD188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5-61BA-4E1D-9DC5-1C0A672ADFE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D54368C0-9385-49C4-92ED-5148A85657E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6-61BA-4E1D-9DC5-1C0A672ADFE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5447AF7B-5EF3-4CC2-859A-F6FC548617B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7-61BA-4E1D-9DC5-1C0A672ADFE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C53B9ABD-B252-4331-B515-679EF73D576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8-61BA-4E1D-9DC5-1C0A672ADFEB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BA-4E1D-9DC5-1C0A672ADFE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1ADF8678-8C8D-410B-8EDD-937D5FB7E2B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9-61BA-4E1D-9DC5-1C0A672ADFE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CB51FBCA-91F3-441C-9238-4380E58009E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A-61BA-4E1D-9DC5-1C0A672ADFE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8A66AD99-755B-414E-A3E9-C605987A882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B-61BA-4E1D-9DC5-1C0A672ADFEB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BA-4E1D-9DC5-1C0A672ADFE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F539BB5-B78C-42A2-A4C4-849D27CDC2F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C-61BA-4E1D-9DC5-1C0A672ADFE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F5751ED1-0395-4E84-955B-05EE8893108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D-61BA-4E1D-9DC5-1C0A672ADFE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64B2A10B-5C57-450A-BE85-5D7742E03DB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E-61BA-4E1D-9DC5-1C0A672ADFEB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BA-4E1D-9DC5-1C0A672ADFE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CDAC52A4-6984-4D3A-8310-CCD671C138F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F-61BA-4E1D-9DC5-1C0A672ADFE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6A635B59-FC29-4E83-8912-9DDBF100654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0-61BA-4E1D-9DC5-1C0A672ADFE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3A843BB1-DEB3-4667-AF41-760FF189F82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1-61BA-4E1D-9DC5-1C0A672ADFEB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BA-4E1D-9DC5-1C0A672ADFE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6BE1851C-A0AF-4F98-AC15-A367D9757F3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2-61BA-4E1D-9DC5-1C0A672ADFE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7A523C4D-89D1-44FE-B0F8-E7E2D350CC3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3-61BA-4E1D-9DC5-1C0A672ADFE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DB668267-0513-4C26-96E0-FD4E920DAB7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4-61BA-4E1D-9DC5-1C0A672ADFEB}"/>
                </c:ext>
              </c:extLst>
            </c:dLbl>
            <c:dLbl>
              <c:idx val="96"/>
              <c:layout>
                <c:manualLayout>
                  <c:x val="4.9811100968195195E-2"/>
                  <c:y val="-1.7666851698102629E-2"/>
                </c:manualLayout>
              </c:layout>
              <c:tx>
                <c:rich>
                  <a:bodyPr/>
                  <a:lstStyle/>
                  <a:p>
                    <a:fld id="{410739BE-9681-47E0-AA1F-74D5F0840C1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1BA-4E1D-9DC5-1C0A672ADFE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83BE5C7C-DCA6-48F9-86AB-E5D891836AC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5-61BA-4E1D-9DC5-1C0A672ADFE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FD0ABCBC-72A4-423E-9544-0E5238D9BCB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6-61BA-4E1D-9DC5-1C0A672ADFE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4C7F436C-A579-4860-8E19-1F5A6199252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7-61BA-4E1D-9DC5-1C0A672ADFEB}"/>
                </c:ext>
              </c:extLst>
            </c:dLbl>
            <c:dLbl>
              <c:idx val="10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BA-4E1D-9DC5-1C0A672ADF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100'!$I$4:$EI$4</c:f>
              <c:strCache>
                <c:ptCount val="131"/>
                <c:pt idx="0">
                  <c:v>01/07/24</c:v>
                </c:pt>
                <c:pt idx="1">
                  <c:v>08/07/24</c:v>
                </c:pt>
                <c:pt idx="2">
                  <c:v>15/07/24</c:v>
                </c:pt>
                <c:pt idx="3">
                  <c:v>22/07/24</c:v>
                </c:pt>
                <c:pt idx="4">
                  <c:v>29/07/24</c:v>
                </c:pt>
                <c:pt idx="5">
                  <c:v>05/08/24</c:v>
                </c:pt>
                <c:pt idx="6">
                  <c:v>12/08/24</c:v>
                </c:pt>
                <c:pt idx="7">
                  <c:v>19/08/24</c:v>
                </c:pt>
                <c:pt idx="8">
                  <c:v>26/08/24</c:v>
                </c:pt>
                <c:pt idx="9">
                  <c:v>02/09/24</c:v>
                </c:pt>
                <c:pt idx="10">
                  <c:v>09/09/24</c:v>
                </c:pt>
                <c:pt idx="11">
                  <c:v>16/09/24</c:v>
                </c:pt>
                <c:pt idx="12">
                  <c:v>23/09/24</c:v>
                </c:pt>
                <c:pt idx="13">
                  <c:v>30/09/24</c:v>
                </c:pt>
                <c:pt idx="14">
                  <c:v>07/10/24</c:v>
                </c:pt>
                <c:pt idx="15">
                  <c:v>14/10/24</c:v>
                </c:pt>
                <c:pt idx="16">
                  <c:v>21/10/24</c:v>
                </c:pt>
                <c:pt idx="17">
                  <c:v>28/10/24</c:v>
                </c:pt>
                <c:pt idx="18">
                  <c:v>04/11/24</c:v>
                </c:pt>
                <c:pt idx="19">
                  <c:v>11/11/24</c:v>
                </c:pt>
                <c:pt idx="20">
                  <c:v>18/11/24</c:v>
                </c:pt>
                <c:pt idx="21">
                  <c:v>25/11/24</c:v>
                </c:pt>
                <c:pt idx="22">
                  <c:v>02/12/24</c:v>
                </c:pt>
                <c:pt idx="23">
                  <c:v>09/12/24</c:v>
                </c:pt>
                <c:pt idx="24">
                  <c:v>16/12/24</c:v>
                </c:pt>
                <c:pt idx="25">
                  <c:v>23/12/24</c:v>
                </c:pt>
                <c:pt idx="26">
                  <c:v>30/12/24</c:v>
                </c:pt>
                <c:pt idx="27">
                  <c:v>06/01/25</c:v>
                </c:pt>
                <c:pt idx="28">
                  <c:v>13/01/25</c:v>
                </c:pt>
                <c:pt idx="29">
                  <c:v>20/01/25</c:v>
                </c:pt>
                <c:pt idx="30">
                  <c:v>27/01/25</c:v>
                </c:pt>
                <c:pt idx="31">
                  <c:v>03/02/25</c:v>
                </c:pt>
                <c:pt idx="32">
                  <c:v>10/02/25</c:v>
                </c:pt>
                <c:pt idx="33">
                  <c:v>17/02/25</c:v>
                </c:pt>
                <c:pt idx="34">
                  <c:v>24/02/25</c:v>
                </c:pt>
                <c:pt idx="35">
                  <c:v>03/03/25</c:v>
                </c:pt>
                <c:pt idx="36">
                  <c:v>10/03/25</c:v>
                </c:pt>
                <c:pt idx="37">
                  <c:v>17/03/25</c:v>
                </c:pt>
                <c:pt idx="38">
                  <c:v>24/03/25</c:v>
                </c:pt>
                <c:pt idx="39">
                  <c:v>31/03/25</c:v>
                </c:pt>
                <c:pt idx="40">
                  <c:v>07/04/25</c:v>
                </c:pt>
                <c:pt idx="41">
                  <c:v>14/04/25</c:v>
                </c:pt>
                <c:pt idx="42">
                  <c:v>21/04/25</c:v>
                </c:pt>
                <c:pt idx="43">
                  <c:v>28/04/25</c:v>
                </c:pt>
                <c:pt idx="44">
                  <c:v>05/05/25</c:v>
                </c:pt>
                <c:pt idx="45">
                  <c:v>12/05/25</c:v>
                </c:pt>
                <c:pt idx="46">
                  <c:v>19/05/25</c:v>
                </c:pt>
                <c:pt idx="47">
                  <c:v>26/05/25</c:v>
                </c:pt>
                <c:pt idx="48">
                  <c:v>02/06/25</c:v>
                </c:pt>
                <c:pt idx="49">
                  <c:v>09/06/25</c:v>
                </c:pt>
                <c:pt idx="50">
                  <c:v>16/06/25</c:v>
                </c:pt>
                <c:pt idx="51">
                  <c:v>23/06/25</c:v>
                </c:pt>
                <c:pt idx="52">
                  <c:v>30/06/25</c:v>
                </c:pt>
                <c:pt idx="53">
                  <c:v>07/07/25</c:v>
                </c:pt>
                <c:pt idx="54">
                  <c:v>14/07/25</c:v>
                </c:pt>
                <c:pt idx="55">
                  <c:v>21/07/25</c:v>
                </c:pt>
                <c:pt idx="56">
                  <c:v>28/07/25</c:v>
                </c:pt>
                <c:pt idx="57">
                  <c:v>04/08/25</c:v>
                </c:pt>
                <c:pt idx="58">
                  <c:v>11/08/25</c:v>
                </c:pt>
                <c:pt idx="59">
                  <c:v>18/08/25</c:v>
                </c:pt>
                <c:pt idx="60">
                  <c:v>25/08/25</c:v>
                </c:pt>
                <c:pt idx="61">
                  <c:v>01/09/25</c:v>
                </c:pt>
                <c:pt idx="62">
                  <c:v>08/09/25</c:v>
                </c:pt>
                <c:pt idx="63">
                  <c:v>15/09/25</c:v>
                </c:pt>
                <c:pt idx="64">
                  <c:v>22/09/25</c:v>
                </c:pt>
                <c:pt idx="65">
                  <c:v>29/09/25</c:v>
                </c:pt>
                <c:pt idx="66">
                  <c:v>06/10/25</c:v>
                </c:pt>
                <c:pt idx="67">
                  <c:v>13/10/25</c:v>
                </c:pt>
                <c:pt idx="68">
                  <c:v>20/10/25</c:v>
                </c:pt>
                <c:pt idx="69">
                  <c:v>27/10/25</c:v>
                </c:pt>
                <c:pt idx="70">
                  <c:v>03/11/25</c:v>
                </c:pt>
                <c:pt idx="71">
                  <c:v>10/11/25</c:v>
                </c:pt>
                <c:pt idx="72">
                  <c:v>17/11/25</c:v>
                </c:pt>
                <c:pt idx="73">
                  <c:v>24/11/25</c:v>
                </c:pt>
                <c:pt idx="74">
                  <c:v>01/12/25</c:v>
                </c:pt>
                <c:pt idx="75">
                  <c:v>08/12/25</c:v>
                </c:pt>
                <c:pt idx="76">
                  <c:v>15/12/25</c:v>
                </c:pt>
                <c:pt idx="77">
                  <c:v>22/12/25</c:v>
                </c:pt>
                <c:pt idx="78">
                  <c:v>29/12/25</c:v>
                </c:pt>
                <c:pt idx="79">
                  <c:v>05/01/26</c:v>
                </c:pt>
                <c:pt idx="80">
                  <c:v>12/01/26</c:v>
                </c:pt>
                <c:pt idx="81">
                  <c:v>19/01/26</c:v>
                </c:pt>
                <c:pt idx="82">
                  <c:v>26/01/26</c:v>
                </c:pt>
                <c:pt idx="83">
                  <c:v>02/02/26</c:v>
                </c:pt>
                <c:pt idx="84">
                  <c:v>09/02/26</c:v>
                </c:pt>
                <c:pt idx="85">
                  <c:v>16/02/26</c:v>
                </c:pt>
                <c:pt idx="86">
                  <c:v>23/02/26</c:v>
                </c:pt>
                <c:pt idx="87">
                  <c:v>02/03/26</c:v>
                </c:pt>
                <c:pt idx="88">
                  <c:v>09/03/26</c:v>
                </c:pt>
                <c:pt idx="89">
                  <c:v>16/03/26</c:v>
                </c:pt>
                <c:pt idx="90">
                  <c:v>23/03/26</c:v>
                </c:pt>
                <c:pt idx="91">
                  <c:v>30/03/26</c:v>
                </c:pt>
                <c:pt idx="92">
                  <c:v>06/04/26</c:v>
                </c:pt>
                <c:pt idx="93">
                  <c:v>13/04/26</c:v>
                </c:pt>
                <c:pt idx="94">
                  <c:v>20/04/26</c:v>
                </c:pt>
                <c:pt idx="95">
                  <c:v>27/04/26</c:v>
                </c:pt>
                <c:pt idx="96">
                  <c:v>04/05/26</c:v>
                </c:pt>
                <c:pt idx="97">
                  <c:v>11/05/26</c:v>
                </c:pt>
                <c:pt idx="98">
                  <c:v>18/05/26</c:v>
                </c:pt>
                <c:pt idx="99">
                  <c:v>25/05/26</c:v>
                </c:pt>
                <c:pt idx="100">
                  <c:v>01/06/26</c:v>
                </c:pt>
                <c:pt idx="101">
                  <c:v>08/06/26</c:v>
                </c:pt>
                <c:pt idx="102">
                  <c:v>15/06/26</c:v>
                </c:pt>
                <c:pt idx="103">
                  <c:v>22/06/26</c:v>
                </c:pt>
                <c:pt idx="104">
                  <c:v>29/06/26</c:v>
                </c:pt>
                <c:pt idx="105">
                  <c:v>06/07/26</c:v>
                </c:pt>
                <c:pt idx="106">
                  <c:v>13/07/26</c:v>
                </c:pt>
                <c:pt idx="107">
                  <c:v>20/07/26</c:v>
                </c:pt>
                <c:pt idx="108">
                  <c:v>27/07/26</c:v>
                </c:pt>
                <c:pt idx="109">
                  <c:v>03/08/26</c:v>
                </c:pt>
                <c:pt idx="110">
                  <c:v>10/08/26</c:v>
                </c:pt>
                <c:pt idx="111">
                  <c:v>17/08/26</c:v>
                </c:pt>
                <c:pt idx="112">
                  <c:v>24/08/26</c:v>
                </c:pt>
                <c:pt idx="113">
                  <c:v>31/08/26</c:v>
                </c:pt>
                <c:pt idx="114">
                  <c:v>07/09/26</c:v>
                </c:pt>
                <c:pt idx="115">
                  <c:v>14/09/26</c:v>
                </c:pt>
                <c:pt idx="116">
                  <c:v>21/09/26</c:v>
                </c:pt>
                <c:pt idx="117">
                  <c:v>28/09/26</c:v>
                </c:pt>
                <c:pt idx="118">
                  <c:v>05/10/26</c:v>
                </c:pt>
                <c:pt idx="119">
                  <c:v>12/10/26</c:v>
                </c:pt>
                <c:pt idx="120">
                  <c:v>19/10/26</c:v>
                </c:pt>
                <c:pt idx="121">
                  <c:v>26/10/26</c:v>
                </c:pt>
                <c:pt idx="122">
                  <c:v>02/11/26</c:v>
                </c:pt>
                <c:pt idx="123">
                  <c:v>09/11/26</c:v>
                </c:pt>
                <c:pt idx="124">
                  <c:v>16/11/26</c:v>
                </c:pt>
                <c:pt idx="125">
                  <c:v>23/11/26</c:v>
                </c:pt>
                <c:pt idx="126">
                  <c:v>30/11/26</c:v>
                </c:pt>
                <c:pt idx="127">
                  <c:v>07/12/26</c:v>
                </c:pt>
                <c:pt idx="128">
                  <c:v>14/12/26</c:v>
                </c:pt>
                <c:pt idx="129">
                  <c:v>21/12/26</c:v>
                </c:pt>
                <c:pt idx="130">
                  <c:v>28/12/26</c:v>
                </c:pt>
              </c:strCache>
            </c:strRef>
          </c:cat>
          <c:val>
            <c:numRef>
              <c:f>'Plan 100'!$I$5:$DE$5</c:f>
              <c:numCache>
                <c:formatCode>0.0%</c:formatCode>
                <c:ptCount val="101"/>
                <c:pt idx="0">
                  <c:v>8.7813632965295718E-5</c:v>
                </c:pt>
                <c:pt idx="1">
                  <c:v>6.6812110374114548E-4</c:v>
                </c:pt>
                <c:pt idx="2">
                  <c:v>1.3453056290573008E-3</c:v>
                </c:pt>
                <c:pt idx="3">
                  <c:v>2.743673774785885E-3</c:v>
                </c:pt>
                <c:pt idx="4">
                  <c:v>4.1585334948187752E-3</c:v>
                </c:pt>
                <c:pt idx="5">
                  <c:v>5.4130936391348109E-3</c:v>
                </c:pt>
                <c:pt idx="6">
                  <c:v>1.8234166299858048E-2</c:v>
                </c:pt>
                <c:pt idx="7">
                  <c:v>3.8009615156600562E-2</c:v>
                </c:pt>
                <c:pt idx="8">
                  <c:v>6.4491758140071215E-2</c:v>
                </c:pt>
                <c:pt idx="9">
                  <c:v>7.8331185624393451E-2</c:v>
                </c:pt>
                <c:pt idx="10">
                  <c:v>0.1146234467659399</c:v>
                </c:pt>
                <c:pt idx="11">
                  <c:v>0.11920820609673356</c:v>
                </c:pt>
                <c:pt idx="12">
                  <c:v>0.13918839051965826</c:v>
                </c:pt>
                <c:pt idx="13">
                  <c:v>0.15298330131138119</c:v>
                </c:pt>
                <c:pt idx="14">
                  <c:v>0.16313526936210079</c:v>
                </c:pt>
                <c:pt idx="15">
                  <c:v>0.17728442608939621</c:v>
                </c:pt>
                <c:pt idx="16">
                  <c:v>0.20244558590632325</c:v>
                </c:pt>
                <c:pt idx="17">
                  <c:v>0.23473980960886717</c:v>
                </c:pt>
                <c:pt idx="18">
                  <c:v>0.26643267561223716</c:v>
                </c:pt>
                <c:pt idx="19">
                  <c:v>0.28328482684440498</c:v>
                </c:pt>
                <c:pt idx="20">
                  <c:v>0.3129128908072582</c:v>
                </c:pt>
                <c:pt idx="21">
                  <c:v>0.3318461408551564</c:v>
                </c:pt>
                <c:pt idx="22">
                  <c:v>0.35521971985243211</c:v>
                </c:pt>
                <c:pt idx="23">
                  <c:v>0.36936995170488518</c:v>
                </c:pt>
                <c:pt idx="24">
                  <c:v>0.39055046494770779</c:v>
                </c:pt>
                <c:pt idx="25">
                  <c:v>0.40022233281096736</c:v>
                </c:pt>
                <c:pt idx="26">
                  <c:v>0.40022233281096736</c:v>
                </c:pt>
                <c:pt idx="27">
                  <c:v>0.40022233281096736</c:v>
                </c:pt>
                <c:pt idx="28">
                  <c:v>0.40517273761708056</c:v>
                </c:pt>
                <c:pt idx="29">
                  <c:v>0.4147678820587265</c:v>
                </c:pt>
                <c:pt idx="30">
                  <c:v>0.42172392947076015</c:v>
                </c:pt>
                <c:pt idx="31">
                  <c:v>0.43081721131666628</c:v>
                </c:pt>
                <c:pt idx="32">
                  <c:v>0.44850107513083781</c:v>
                </c:pt>
                <c:pt idx="33">
                  <c:v>0.47155100266317362</c:v>
                </c:pt>
                <c:pt idx="34">
                  <c:v>0.48557969288829339</c:v>
                </c:pt>
                <c:pt idx="35">
                  <c:v>0.50019776900572688</c:v>
                </c:pt>
                <c:pt idx="36">
                  <c:v>0.50402420656869551</c:v>
                </c:pt>
                <c:pt idx="37">
                  <c:v>0.53131084800846784</c:v>
                </c:pt>
                <c:pt idx="38">
                  <c:v>0.53319567765529641</c:v>
                </c:pt>
                <c:pt idx="39">
                  <c:v>0.54287761586807926</c:v>
                </c:pt>
                <c:pt idx="40">
                  <c:v>0.55384079721710877</c:v>
                </c:pt>
                <c:pt idx="41">
                  <c:v>0.5677999952687578</c:v>
                </c:pt>
                <c:pt idx="42">
                  <c:v>0.5678734066993717</c:v>
                </c:pt>
                <c:pt idx="43">
                  <c:v>0.58011831452834006</c:v>
                </c:pt>
                <c:pt idx="44">
                  <c:v>0.59171744695428674</c:v>
                </c:pt>
                <c:pt idx="45">
                  <c:v>0.59738334398600546</c:v>
                </c:pt>
                <c:pt idx="46">
                  <c:v>0.60399272726556053</c:v>
                </c:pt>
                <c:pt idx="47">
                  <c:v>0.61188614291034515</c:v>
                </c:pt>
                <c:pt idx="48">
                  <c:v>0.62059980576921137</c:v>
                </c:pt>
                <c:pt idx="49">
                  <c:v>0.62984999386677698</c:v>
                </c:pt>
                <c:pt idx="50">
                  <c:v>0.63879943816024209</c:v>
                </c:pt>
                <c:pt idx="51">
                  <c:v>0.64693829505567158</c:v>
                </c:pt>
                <c:pt idx="52">
                  <c:v>0.65394168971494349</c:v>
                </c:pt>
                <c:pt idx="53">
                  <c:v>0.66201789515669174</c:v>
                </c:pt>
                <c:pt idx="54">
                  <c:v>0.67052045482174694</c:v>
                </c:pt>
                <c:pt idx="55">
                  <c:v>0.67989855405729638</c:v>
                </c:pt>
                <c:pt idx="56">
                  <c:v>0.68857823412373698</c:v>
                </c:pt>
                <c:pt idx="57">
                  <c:v>0.69718797763484974</c:v>
                </c:pt>
                <c:pt idx="58">
                  <c:v>0.70682330581369746</c:v>
                </c:pt>
                <c:pt idx="59">
                  <c:v>0.71690411949561117</c:v>
                </c:pt>
                <c:pt idx="60">
                  <c:v>0.7282931852009088</c:v>
                </c:pt>
                <c:pt idx="61">
                  <c:v>0.73986883317569385</c:v>
                </c:pt>
                <c:pt idx="62">
                  <c:v>0.75438991044151926</c:v>
                </c:pt>
                <c:pt idx="63">
                  <c:v>0.77014603163930673</c:v>
                </c:pt>
                <c:pt idx="64">
                  <c:v>0.78655528575921563</c:v>
                </c:pt>
                <c:pt idx="65">
                  <c:v>0.80625281827126849</c:v>
                </c:pt>
                <c:pt idx="66">
                  <c:v>0.82645788965959466</c:v>
                </c:pt>
                <c:pt idx="67">
                  <c:v>0.84677863548621557</c:v>
                </c:pt>
                <c:pt idx="68">
                  <c:v>0.87029231351431213</c:v>
                </c:pt>
                <c:pt idx="69">
                  <c:v>0.89380599154240847</c:v>
                </c:pt>
                <c:pt idx="70">
                  <c:v>0.91469055529594789</c:v>
                </c:pt>
                <c:pt idx="71">
                  <c:v>0.93171347732307741</c:v>
                </c:pt>
                <c:pt idx="72">
                  <c:v>0.94705739830421887</c:v>
                </c:pt>
                <c:pt idx="73">
                  <c:v>0.95886333576244653</c:v>
                </c:pt>
                <c:pt idx="74">
                  <c:v>0.96620757018969616</c:v>
                </c:pt>
                <c:pt idx="75">
                  <c:v>0.98591659618825234</c:v>
                </c:pt>
                <c:pt idx="76">
                  <c:v>0.98882308336905866</c:v>
                </c:pt>
                <c:pt idx="77">
                  <c:v>0.99079458921426833</c:v>
                </c:pt>
                <c:pt idx="78">
                  <c:v>0.99999999999999978</c:v>
                </c:pt>
                <c:pt idx="79">
                  <c:v>0.99999999999999978</c:v>
                </c:pt>
                <c:pt idx="80">
                  <c:v>0.99999999999999978</c:v>
                </c:pt>
                <c:pt idx="81">
                  <c:v>0.99999999999999978</c:v>
                </c:pt>
                <c:pt idx="82">
                  <c:v>0.99999999999999978</c:v>
                </c:pt>
                <c:pt idx="83">
                  <c:v>0.99999999999999978</c:v>
                </c:pt>
                <c:pt idx="84">
                  <c:v>0.99999999999999978</c:v>
                </c:pt>
                <c:pt idx="85">
                  <c:v>0.99999999999999978</c:v>
                </c:pt>
                <c:pt idx="86">
                  <c:v>0.99999999999999978</c:v>
                </c:pt>
                <c:pt idx="87">
                  <c:v>0.99999999999999978</c:v>
                </c:pt>
                <c:pt idx="88">
                  <c:v>0.99999999999999978</c:v>
                </c:pt>
                <c:pt idx="89">
                  <c:v>0.99999999999999978</c:v>
                </c:pt>
                <c:pt idx="90">
                  <c:v>0.99999999999999978</c:v>
                </c:pt>
                <c:pt idx="91">
                  <c:v>0.99999999999999978</c:v>
                </c:pt>
                <c:pt idx="92">
                  <c:v>0.99999999999999978</c:v>
                </c:pt>
                <c:pt idx="93">
                  <c:v>0.99999999999999978</c:v>
                </c:pt>
                <c:pt idx="94">
                  <c:v>0.99999999999999978</c:v>
                </c:pt>
                <c:pt idx="95">
                  <c:v>0.99999999999999978</c:v>
                </c:pt>
                <c:pt idx="96">
                  <c:v>0.99999999999999978</c:v>
                </c:pt>
                <c:pt idx="97">
                  <c:v>0.99999999999999978</c:v>
                </c:pt>
                <c:pt idx="98">
                  <c:v>0.99999999999999978</c:v>
                </c:pt>
                <c:pt idx="99">
                  <c:v>0.99999999999999978</c:v>
                </c:pt>
                <c:pt idx="100">
                  <c:v>0.99999999999999978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 100'!$I$144:$DE$144</c15:f>
                <c15:dlblRangeCache>
                  <c:ptCount val="101"/>
                  <c:pt idx="0">
                    <c:v>0,0%</c:v>
                  </c:pt>
                  <c:pt idx="4">
                    <c:v>0,4%</c:v>
                  </c:pt>
                  <c:pt idx="8">
                    <c:v>6,4%</c:v>
                  </c:pt>
                  <c:pt idx="12">
                    <c:v>13,9%</c:v>
                  </c:pt>
                  <c:pt idx="16">
                    <c:v>20,2%</c:v>
                  </c:pt>
                  <c:pt idx="20">
                    <c:v>31,3%</c:v>
                  </c:pt>
                  <c:pt idx="24">
                    <c:v>39,1%</c:v>
                  </c:pt>
                  <c:pt idx="28">
                    <c:v>40,5%</c:v>
                  </c:pt>
                  <c:pt idx="32">
                    <c:v>44,9%</c:v>
                  </c:pt>
                  <c:pt idx="36">
                    <c:v>50,4%</c:v>
                  </c:pt>
                  <c:pt idx="40">
                    <c:v>55,4%</c:v>
                  </c:pt>
                  <c:pt idx="44">
                    <c:v>59,2%</c:v>
                  </c:pt>
                  <c:pt idx="48">
                    <c:v>62,1%</c:v>
                  </c:pt>
                  <c:pt idx="52">
                    <c:v>65,4%</c:v>
                  </c:pt>
                  <c:pt idx="56">
                    <c:v>68,9%</c:v>
                  </c:pt>
                  <c:pt idx="60">
                    <c:v>72,8%</c:v>
                  </c:pt>
                  <c:pt idx="64">
                    <c:v>78,7%</c:v>
                  </c:pt>
                  <c:pt idx="68">
                    <c:v>87,0%</c:v>
                  </c:pt>
                  <c:pt idx="72">
                    <c:v>94,7%</c:v>
                  </c:pt>
                  <c:pt idx="76">
                    <c:v>98,9%</c:v>
                  </c:pt>
                  <c:pt idx="80">
                    <c:v>100,0%</c:v>
                  </c:pt>
                  <c:pt idx="84">
                    <c:v>100,0%</c:v>
                  </c:pt>
                  <c:pt idx="88">
                    <c:v>100,0%</c:v>
                  </c:pt>
                  <c:pt idx="92">
                    <c:v>100,0%</c:v>
                  </c:pt>
                  <c:pt idx="96">
                    <c:v>100,0%</c:v>
                  </c:pt>
                  <c:pt idx="100">
                    <c:v>100,0%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1-9038-403A-ADF3-596B3D3D5D30}"/>
            </c:ext>
          </c:extLst>
        </c:ser>
        <c:ser>
          <c:idx val="2"/>
          <c:order val="2"/>
          <c:tx>
            <c:strRef>
              <c:f>'Dashboard Completo'!$O$3</c:f>
              <c:strCache>
                <c:ptCount val="1"/>
                <c:pt idx="0">
                  <c:v>Real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4302-4B77-BD47-11E0A04EE6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6C3AFC-5CF5-4692-A745-E74DC104841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4302-4B77-BD47-11E0A04EE6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CA3E40A-FBBD-44A1-A6A4-CE0B4DDD828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4302-4B77-BD47-11E0A04EE6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F18464-7997-4ACE-BADB-A36708B654C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4302-4B77-BD47-11E0A04EE6F4}"/>
                </c:ext>
              </c:extLst>
            </c:dLbl>
            <c:dLbl>
              <c:idx val="4"/>
              <c:layout>
                <c:manualLayout>
                  <c:x val="-1.3388804248754042E-2"/>
                  <c:y val="3.0178917870230575E-2"/>
                </c:manualLayout>
              </c:layout>
              <c:tx>
                <c:rich>
                  <a:bodyPr/>
                  <a:lstStyle/>
                  <a:p>
                    <a:fld id="{8CF6BB15-7DD1-4742-8335-E00B73000B1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4302-4B77-BD47-11E0A04EE6F4}"/>
                </c:ext>
              </c:extLst>
            </c:dLbl>
            <c:dLbl>
              <c:idx val="5"/>
              <c:layout>
                <c:manualLayout>
                  <c:x val="-2.6921526113583647E-2"/>
                  <c:y val="-3.5028910216477825E-2"/>
                </c:manualLayout>
              </c:layout>
              <c:tx>
                <c:rich>
                  <a:bodyPr/>
                  <a:lstStyle/>
                  <a:p>
                    <a:fld id="{1A0CFE42-97B3-42F0-8E3C-774724DACB9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9038-403A-ADF3-596B3D3D5D3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7384230-51B4-491D-9389-F5CC4135AF3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4302-4B77-BD47-11E0A04EE6F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137CE8D-BC7A-46DB-BF10-643C5D61F6E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4302-4B77-BD47-11E0A04EE6F4}"/>
                </c:ext>
              </c:extLst>
            </c:dLbl>
            <c:dLbl>
              <c:idx val="8"/>
              <c:layout>
                <c:manualLayout>
                  <c:x val="-1.5301490570004621E-2"/>
                  <c:y val="2.5867643888769051E-2"/>
                </c:manualLayout>
              </c:layout>
              <c:tx>
                <c:rich>
                  <a:bodyPr/>
                  <a:lstStyle/>
                  <a:p>
                    <a:fld id="{CD54DD17-8A69-44DD-ABF4-28D0D7E010D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4302-4B77-BD47-11E0A04EE6F4}"/>
                </c:ext>
              </c:extLst>
            </c:dLbl>
            <c:dLbl>
              <c:idx val="9"/>
              <c:layout>
                <c:manualLayout>
                  <c:x val="-5.004783860876566E-2"/>
                  <c:y val="-3.9752449013903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rgbClr val="0070C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3C8660D-E78D-4524-89F2-18A115B5A39E}" type="CELLRANGE">
                      <a:rPr lang="en-US"/>
                      <a:pPr>
                        <a:defRPr sz="800" b="1" i="0" u="none" strike="noStrike" kern="1200" baseline="0">
                          <a:solidFill>
                            <a:srgbClr val="0070C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s-VE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7.279578043472755E-2"/>
                      <c:h val="7.126498597237161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9038-403A-ADF3-596B3D3D5D3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6B7178B-4609-4C84-933D-5517EDFDA7F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4302-4B77-BD47-11E0A04EE6F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7AF8525-27FD-46E4-B706-EE61CC85B99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4302-4B77-BD47-11E0A04EE6F4}"/>
                </c:ext>
              </c:extLst>
            </c:dLbl>
            <c:dLbl>
              <c:idx val="12"/>
              <c:layout>
                <c:manualLayout>
                  <c:x val="-1.5301490570004621E-2"/>
                  <c:y val="3.0178917870230575E-2"/>
                </c:manualLayout>
              </c:layout>
              <c:tx>
                <c:rich>
                  <a:bodyPr/>
                  <a:lstStyle/>
                  <a:p>
                    <a:fld id="{FDB0CCCC-2EC3-402B-848E-75A9895DFA7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4302-4B77-BD47-11E0A04EE6F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F8BCA43-2DA8-4DF1-96DE-857EE8D0C8E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4302-4B77-BD47-11E0A04EE6F4}"/>
                </c:ext>
              </c:extLst>
            </c:dLbl>
            <c:dLbl>
              <c:idx val="14"/>
              <c:layout>
                <c:manualLayout>
                  <c:x val="-5.3903874480220215E-2"/>
                  <c:y val="-3.524778153994363E-2"/>
                </c:manualLayout>
              </c:layout>
              <c:tx>
                <c:rich>
                  <a:bodyPr/>
                  <a:lstStyle/>
                  <a:p>
                    <a:fld id="{6BF27796-0D23-489E-9A12-03FFF2CD5E2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9038-403A-ADF3-596B3D3D5D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C6A51DE-CCB0-4FEA-B11F-BBF51C03048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4302-4B77-BD47-11E0A04EE6F4}"/>
                </c:ext>
              </c:extLst>
            </c:dLbl>
            <c:dLbl>
              <c:idx val="16"/>
              <c:layout>
                <c:manualLayout>
                  <c:x val="-1.3388804248754042E-2"/>
                  <c:y val="2.586764388876913E-2"/>
                </c:manualLayout>
              </c:layout>
              <c:tx>
                <c:rich>
                  <a:bodyPr/>
                  <a:lstStyle/>
                  <a:p>
                    <a:fld id="{305F375E-670C-48A8-9D5C-82BDA7A83CD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4302-4B77-BD47-11E0A04EE6F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97ED62C-C505-45BF-B942-B52600191DE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4302-4B77-BD47-11E0A04EE6F4}"/>
                </c:ext>
              </c:extLst>
            </c:dLbl>
            <c:dLbl>
              <c:idx val="18"/>
              <c:layout>
                <c:manualLayout>
                  <c:x val="-4.8129596026326431E-2"/>
                  <c:y val="-2.6145870354960701E-2"/>
                </c:manualLayout>
              </c:layout>
              <c:tx>
                <c:rich>
                  <a:bodyPr/>
                  <a:lstStyle/>
                  <a:p>
                    <a:fld id="{FA366E80-DD94-4A36-BD64-A8D319C653F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9038-403A-ADF3-596B3D3D5D3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4C3C8A5-8D58-454C-B090-FB7C1510A05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4302-4B77-BD47-11E0A04EE6F4}"/>
                </c:ext>
              </c:extLst>
            </c:dLbl>
            <c:dLbl>
              <c:idx val="20"/>
              <c:layout>
                <c:manualLayout>
                  <c:x val="-2.2952235855006931E-2"/>
                  <c:y val="3.4490191851692095E-2"/>
                </c:manualLayout>
              </c:layout>
              <c:tx>
                <c:rich>
                  <a:bodyPr/>
                  <a:lstStyle/>
                  <a:p>
                    <a:fld id="{17BAF9E8-139C-4AAC-9BEA-D6DD404C112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4302-4B77-BD47-11E0A04EE6F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71A63B5-4D78-4980-8680-C10973D6C67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4302-4B77-BD47-11E0A04EE6F4}"/>
                </c:ext>
              </c:extLst>
            </c:dLbl>
            <c:dLbl>
              <c:idx val="22"/>
              <c:layout>
                <c:manualLayout>
                  <c:x val="-5.0059508410365425E-2"/>
                  <c:y val="-3.524778153994363E-2"/>
                </c:manualLayout>
              </c:layout>
              <c:tx>
                <c:rich>
                  <a:bodyPr/>
                  <a:lstStyle/>
                  <a:p>
                    <a:fld id="{EAC758EF-2897-46D1-95E3-B09C594C555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9038-403A-ADF3-596B3D3D5D3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0EAF166-8194-4429-93B9-A5E0CF052B9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E-4302-4B77-BD47-11E0A04EE6F4}"/>
                </c:ext>
              </c:extLst>
            </c:dLbl>
            <c:dLbl>
              <c:idx val="24"/>
              <c:layout>
                <c:manualLayout>
                  <c:x val="-3.0602981140009242E-2"/>
                  <c:y val="3.4490191851692178E-2"/>
                </c:manualLayout>
              </c:layout>
              <c:tx>
                <c:rich>
                  <a:bodyPr/>
                  <a:lstStyle/>
                  <a:p>
                    <a:fld id="{95000714-13C6-4A53-8862-CE63CA29705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4302-4B77-BD47-11E0A04EE6F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F9857C0-BD0F-43F8-B519-D975EE9A5A5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0-4302-4B77-BD47-11E0A04EE6F4}"/>
                </c:ext>
              </c:extLst>
            </c:dLbl>
            <c:dLbl>
              <c:idx val="26"/>
              <c:layout>
                <c:manualLayout>
                  <c:x val="-3.6636731284985707E-2"/>
                  <c:y val="-5.127291097374868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rgbClr val="0070C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C7A8C99-FBAF-4EA2-A630-978C7AA24F1F}" type="CELLRANGE">
                      <a:rPr lang="en-US"/>
                      <a:pPr>
                        <a:defRPr sz="800" b="1" i="0" u="none" strike="noStrike" kern="1200" baseline="0">
                          <a:solidFill>
                            <a:srgbClr val="0070C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s-VE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5440934201568433E-2"/>
                      <c:h val="4.904478504983050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9038-403A-ADF3-596B3D3D5D3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522E01C-83AB-409E-AEC0-852DE0E19DC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1-4302-4B77-BD47-11E0A04EE6F4}"/>
                </c:ext>
              </c:extLst>
            </c:dLbl>
            <c:dLbl>
              <c:idx val="28"/>
              <c:layout>
                <c:manualLayout>
                  <c:x val="-2.4864922176257475E-2"/>
                  <c:y val="3.0178917870230575E-2"/>
                </c:manualLayout>
              </c:layout>
              <c:tx>
                <c:rich>
                  <a:bodyPr/>
                  <a:lstStyle/>
                  <a:p>
                    <a:fld id="{28AB42E6-3865-41A1-BEA3-CED178F8292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2-4302-4B77-BD47-11E0A04EE6F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261EC11-876C-4D0B-ABA8-0D600A80299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3-4302-4B77-BD47-11E0A04EE6F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4BBD1F5C-FC7E-4B93-A1E1-F5DF3FB4E67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4-4302-4B77-BD47-11E0A04EE6F4}"/>
                </c:ext>
              </c:extLst>
            </c:dLbl>
            <c:dLbl>
              <c:idx val="31"/>
              <c:layout>
                <c:manualLayout>
                  <c:x val="-3.6592557364273769E-2"/>
                  <c:y val="-4.435004742315294E-2"/>
                </c:manualLayout>
              </c:layout>
              <c:tx>
                <c:rich>
                  <a:bodyPr/>
                  <a:lstStyle/>
                  <a:p>
                    <a:fld id="{EFE40DCF-B9FF-4DBD-8F31-F302068BCF6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9038-403A-ADF3-596B3D3D5D30}"/>
                </c:ext>
              </c:extLst>
            </c:dLbl>
            <c:dLbl>
              <c:idx val="32"/>
              <c:layout>
                <c:manualLayout>
                  <c:x val="-2.1039549533756422E-2"/>
                  <c:y val="3.4490191851692178E-2"/>
                </c:manualLayout>
              </c:layout>
              <c:tx>
                <c:rich>
                  <a:bodyPr/>
                  <a:lstStyle/>
                  <a:p>
                    <a:fld id="{05C885E5-46F4-42EA-953F-678DA9A40DD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5-4302-4B77-BD47-11E0A04EE6F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F4B3E777-B30D-40EC-9E9F-3076F100CAE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6-4302-4B77-BD47-11E0A04EE6F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18E0D31B-550E-4834-91ED-4A9FA71BFE7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7-4302-4B77-BD47-11E0A04EE6F4}"/>
                </c:ext>
              </c:extLst>
            </c:dLbl>
            <c:dLbl>
              <c:idx val="35"/>
              <c:layout>
                <c:manualLayout>
                  <c:x val="-3.6590435582164724E-2"/>
                  <c:y val="-3.5480108878167584E-2"/>
                </c:manualLayout>
              </c:layout>
              <c:tx>
                <c:rich>
                  <a:bodyPr/>
                  <a:lstStyle/>
                  <a:p>
                    <a:fld id="{EC484D5C-8AEC-4D9C-B0CF-90A85E692B6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9038-403A-ADF3-596B3D3D5D30}"/>
                </c:ext>
              </c:extLst>
            </c:dLbl>
            <c:dLbl>
              <c:idx val="36"/>
              <c:layout>
                <c:manualLayout>
                  <c:x val="-2.2952235855006931E-2"/>
                  <c:y val="3.4490191851692178E-2"/>
                </c:manualLayout>
              </c:layout>
              <c:tx>
                <c:rich>
                  <a:bodyPr/>
                  <a:lstStyle/>
                  <a:p>
                    <a:fld id="{6B0465F2-DED2-4A28-B088-4FCC7D801BE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8-4302-4B77-BD47-11E0A04EE6F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69D65E28-98F2-4C05-AADC-27D2211588F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9-4302-4B77-BD47-11E0A04EE6F4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53DA6559-1A5E-4511-9597-CA6B07A3F9E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4302-4B77-BD47-11E0A04EE6F4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641D0BAC-34EE-4756-B24C-0B695DD553A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B-4302-4B77-BD47-11E0A04EE6F4}"/>
                </c:ext>
              </c:extLst>
            </c:dLbl>
            <c:dLbl>
              <c:idx val="40"/>
              <c:layout>
                <c:manualLayout>
                  <c:x val="-2.5134204313454117E-2"/>
                  <c:y val="2.8802365429693135E-2"/>
                </c:manualLayout>
              </c:layout>
              <c:tx>
                <c:rich>
                  <a:bodyPr/>
                  <a:lstStyle/>
                  <a:p>
                    <a:fld id="{DDDAD149-791B-472C-8677-D6C3D637526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9038-403A-ADF3-596B3D3D5D30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AACF7CE-D43E-4F37-B9E8-367A192A9A1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C-4302-4B77-BD47-11E0A04EE6F4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F715C874-0C13-4FED-919A-4B14CDC0A84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D-4302-4B77-BD47-11E0A04EE6F4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EE1E74CA-7E7E-40E9-908A-3EBB54800D1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4302-4B77-BD47-11E0A04EE6F4}"/>
                </c:ext>
              </c:extLst>
            </c:dLbl>
            <c:dLbl>
              <c:idx val="44"/>
              <c:layout>
                <c:manualLayout>
                  <c:x val="-2.3201638102880236E-2"/>
                  <c:y val="2.9135046414089299E-2"/>
                </c:manualLayout>
              </c:layout>
              <c:tx>
                <c:rich>
                  <a:bodyPr/>
                  <a:lstStyle/>
                  <a:p>
                    <a:fld id="{BD3533AA-7E99-4F8B-9DF6-778C58ACA5F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9038-403A-ADF3-596B3D3D5D30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BFCE51BF-AFE2-4325-8B0E-9999C754A1C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F-4302-4B77-BD47-11E0A04EE6F4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159110A-5814-43FA-AB5A-FFFEDEAAE3A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4302-4B77-BD47-11E0A04EE6F4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4B7CC6DD-369F-4B7A-AA8A-FA08A923E62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1-4302-4B77-BD47-11E0A04EE6F4}"/>
                </c:ext>
              </c:extLst>
            </c:dLbl>
            <c:dLbl>
              <c:idx val="48"/>
              <c:layout>
                <c:manualLayout>
                  <c:x val="-2.7013908091054781E-2"/>
                  <c:y val="-3.170246099060859E-2"/>
                </c:manualLayout>
              </c:layout>
              <c:tx>
                <c:rich>
                  <a:bodyPr/>
                  <a:lstStyle/>
                  <a:p>
                    <a:fld id="{8D8AF365-99C4-4E13-98F8-D3C4D42B9CD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9038-403A-ADF3-596B3D3D5D30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6BFFA32C-866F-4B6E-8F83-915BF21E3A6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2-4302-4B77-BD47-11E0A04EE6F4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CF71E5C3-3EF9-44F2-AD05-1721C8CF48C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3-4302-4B77-BD47-11E0A04EE6F4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EDC91060-2A48-4E34-9C1E-EFDCC01A584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4-4302-4B77-BD47-11E0A04EE6F4}"/>
                </c:ext>
              </c:extLst>
            </c:dLbl>
            <c:dLbl>
              <c:idx val="52"/>
              <c:layout>
                <c:manualLayout>
                  <c:x val="-2.1039549533756422E-2"/>
                  <c:y val="-4.3112739814615261E-2"/>
                </c:manualLayout>
              </c:layout>
              <c:tx>
                <c:rich>
                  <a:bodyPr/>
                  <a:lstStyle/>
                  <a:p>
                    <a:fld id="{93E7B925-71E6-4F2B-8679-AA6EE3E4A7A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5-4302-4B77-BD47-11E0A04EE6F4}"/>
                </c:ext>
              </c:extLst>
            </c:dLbl>
            <c:dLbl>
              <c:idx val="53"/>
              <c:layout>
                <c:manualLayout>
                  <c:x val="-5.2089214916923816E-2"/>
                  <c:y val="-4.9120368368486607E-2"/>
                </c:manualLayout>
              </c:layout>
              <c:tx>
                <c:rich>
                  <a:bodyPr/>
                  <a:lstStyle/>
                  <a:p>
                    <a:fld id="{F01C3977-F0DF-438E-BFBC-41993313AD5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9038-403A-ADF3-596B3D3D5D30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ED849B38-C7A1-4C6B-A92A-2A2DFC60EF0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6-4302-4B77-BD47-11E0A04EE6F4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EE00FC18-AA03-48BD-9277-0F708ACEEE0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7-4302-4B77-BD47-11E0A04EE6F4}"/>
                </c:ext>
              </c:extLst>
            </c:dLbl>
            <c:dLbl>
              <c:idx val="56"/>
              <c:layout>
                <c:manualLayout>
                  <c:x val="-3.4655767667950428E-2"/>
                  <c:y val="-6.5835869460055374E-2"/>
                </c:manualLayout>
              </c:layout>
              <c:tx>
                <c:rich>
                  <a:bodyPr/>
                  <a:lstStyle/>
                  <a:p>
                    <a:fld id="{4EDA2E58-4E50-453B-8C5F-64E8EB8CDEF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9038-403A-ADF3-596B3D3D5D30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E127E42B-2B38-41F8-9068-32A5C1C0DDE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8-4302-4B77-BD47-11E0A04EE6F4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9DAB6DFC-3CA6-4DF3-BBEA-127C797DFBA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9-4302-4B77-BD47-11E0A04EE6F4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F91FE65B-730E-4F4B-89CB-AD3CD5E09B9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A-4302-4B77-BD47-11E0A04EE6F4}"/>
                </c:ext>
              </c:extLst>
            </c:dLbl>
            <c:dLbl>
              <c:idx val="60"/>
              <c:layout>
                <c:manualLayout>
                  <c:x val="-2.2952235855007001E-2"/>
                  <c:y val="-3.4490191851692213E-2"/>
                </c:manualLayout>
              </c:layout>
              <c:tx>
                <c:rich>
                  <a:bodyPr/>
                  <a:lstStyle/>
                  <a:p>
                    <a:fld id="{DC7E1B62-8C5F-4C43-B470-524815E74A1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B-4302-4B77-BD47-11E0A04EE6F4}"/>
                </c:ext>
              </c:extLst>
            </c:dLbl>
            <c:dLbl>
              <c:idx val="61"/>
              <c:layout>
                <c:manualLayout>
                  <c:x val="-3.2918394856984896E-2"/>
                  <c:y val="-4.6047593632524246E-2"/>
                </c:manualLayout>
              </c:layout>
              <c:tx>
                <c:rich>
                  <a:bodyPr/>
                  <a:lstStyle/>
                  <a:p>
                    <a:fld id="{54DC27E3-B3A3-4BA1-AF79-CF16DEBAC1B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2C3-4252-A4F2-D7E9703DCA50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795DFE23-CD5B-4688-8AD8-57BD3D1F69D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C-4302-4B77-BD47-11E0A04EE6F4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7A9A5346-E7C6-4D8B-A457-020417CA768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D-4302-4B77-BD47-11E0A04EE6F4}"/>
                </c:ext>
              </c:extLst>
            </c:dLbl>
            <c:dLbl>
              <c:idx val="64"/>
              <c:layout>
                <c:manualLayout>
                  <c:x val="-3.251566746125982E-2"/>
                  <c:y val="3.4490191851692178E-2"/>
                </c:manualLayout>
              </c:layout>
              <c:tx>
                <c:rich>
                  <a:bodyPr/>
                  <a:lstStyle/>
                  <a:p>
                    <a:fld id="{4E24FA5D-F7D8-4ADA-8099-90307D556E5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E-4302-4B77-BD47-11E0A04EE6F4}"/>
                </c:ext>
              </c:extLst>
            </c:dLbl>
            <c:dLbl>
              <c:idx val="65"/>
              <c:layout>
                <c:manualLayout>
                  <c:x val="-9.6376737278317786E-3"/>
                  <c:y val="1.9696220051051715E-2"/>
                </c:manualLayout>
              </c:layout>
              <c:tx>
                <c:rich>
                  <a:bodyPr/>
                  <a:lstStyle/>
                  <a:p>
                    <a:fld id="{A802F6E7-6D81-4199-98C0-D31B96DA979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627-4683-A2BF-AE7D1C0C8082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2DD36721-14DC-42C7-98E0-62A69935F31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F-4302-4B77-BD47-11E0A04EE6F4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5629DAA7-A222-4425-AC2A-CED9B57181E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0-4302-4B77-BD47-11E0A04EE6F4}"/>
                </c:ext>
              </c:extLst>
            </c:dLbl>
            <c:dLbl>
              <c:idx val="68"/>
              <c:layout>
                <c:manualLayout>
                  <c:x val="-2.8690294818758805E-2"/>
                  <c:y val="3.0178917870230613E-2"/>
                </c:manualLayout>
              </c:layout>
              <c:tx>
                <c:rich>
                  <a:bodyPr/>
                  <a:lstStyle/>
                  <a:p>
                    <a:fld id="{4FE26D56-2621-4723-9929-EEFEC14EDFA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1-4302-4B77-BD47-11E0A04EE6F4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2750EE41-56B2-4562-B9E4-D7DCDE24477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2-4302-4B77-BD47-11E0A04EE6F4}"/>
                </c:ext>
              </c:extLst>
            </c:dLbl>
            <c:dLbl>
              <c:idx val="70"/>
              <c:layout>
                <c:manualLayout>
                  <c:x val="-2.1198371942637604E-2"/>
                  <c:y val="-3.2738536261137159E-2"/>
                </c:manualLayout>
              </c:layout>
              <c:tx>
                <c:rich>
                  <a:bodyPr/>
                  <a:lstStyle/>
                  <a:p>
                    <a:fld id="{C834F974-4BD3-4B84-8558-403FA23930B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011-4D50-9D9C-288CCDDC9978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7B93F723-06F6-4FC4-A477-C9F46541925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3-4302-4B77-BD47-11E0A04EE6F4}"/>
                </c:ext>
              </c:extLst>
            </c:dLbl>
            <c:dLbl>
              <c:idx val="72"/>
              <c:layout>
                <c:manualLayout>
                  <c:x val="-2.486492217625751E-2"/>
                  <c:y val="3.0178917870230654E-2"/>
                </c:manualLayout>
              </c:layout>
              <c:tx>
                <c:rich>
                  <a:bodyPr/>
                  <a:lstStyle/>
                  <a:p>
                    <a:fld id="{C145A0A8-5741-4A8A-9CA6-1ECB2F609D1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4-4302-4B77-BD47-11E0A04EE6F4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FF65E178-14BF-4DD2-A902-8E5E4923F80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5-4302-4B77-BD47-11E0A04EE6F4}"/>
                </c:ext>
              </c:extLst>
            </c:dLbl>
            <c:dLbl>
              <c:idx val="74"/>
              <c:layout>
                <c:manualLayout>
                  <c:x val="-4.0515348624900145E-2"/>
                  <c:y val="4.9065003747753869E-2"/>
                </c:manualLayout>
              </c:layout>
              <c:tx>
                <c:rich>
                  <a:bodyPr/>
                  <a:lstStyle/>
                  <a:p>
                    <a:fld id="{1174741A-E4E9-462B-A06D-0A0D2A78648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BB7-4015-BA34-BE97AC013623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A7ADB2AB-9A1D-4EA0-9428-ED26F6722D0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6-4302-4B77-BD47-11E0A04EE6F4}"/>
                </c:ext>
              </c:extLst>
            </c:dLbl>
            <c:dLbl>
              <c:idx val="76"/>
              <c:layout>
                <c:manualLayout>
                  <c:x val="-1.5301490570004761E-2"/>
                  <c:y val="-2.5867643888769151E-2"/>
                </c:manualLayout>
              </c:layout>
              <c:tx>
                <c:rich>
                  <a:bodyPr/>
                  <a:lstStyle/>
                  <a:p>
                    <a:fld id="{6BDAF574-1C01-428A-8D33-857E9577E6C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7-4302-4B77-BD47-11E0A04EE6F4}"/>
                </c:ext>
              </c:extLst>
            </c:dLbl>
            <c:dLbl>
              <c:idx val="77"/>
              <c:layout>
                <c:manualLayout>
                  <c:x val="-1.7391256021638848E-2"/>
                  <c:y val="2.8385278206783639E-2"/>
                </c:manualLayout>
              </c:layout>
              <c:tx>
                <c:rich>
                  <a:bodyPr/>
                  <a:lstStyle/>
                  <a:p>
                    <a:fld id="{CE4E0131-8B09-4142-891A-6AEDBEAA682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663-4032-A485-FD324832259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88AD17E0-277C-4055-8908-ACBB54BECFC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8-4302-4B77-BD47-11E0A04EE6F4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E6142F1B-A099-45E2-ABB1-9F0D8A5DDA7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9-4302-4B77-BD47-11E0A04EE6F4}"/>
                </c:ext>
              </c:extLst>
            </c:dLbl>
            <c:dLbl>
              <c:idx val="80"/>
              <c:layout>
                <c:manualLayout>
                  <c:x val="-3.2515667461259959E-2"/>
                  <c:y val="3.0178917870230654E-2"/>
                </c:manualLayout>
              </c:layout>
              <c:tx>
                <c:rich>
                  <a:bodyPr/>
                  <a:lstStyle/>
                  <a:p>
                    <a:fld id="{6783051C-CDA6-472C-AE5A-A46602B96D8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A-4302-4B77-BD47-11E0A04EE6F4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55BE6687-6940-4E7C-8368-EA854CD9F5A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B-4302-4B77-BD47-11E0A04EE6F4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CD44C132-5821-4B12-9401-558A146575C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C-4302-4B77-BD47-11E0A04EE6F4}"/>
                </c:ext>
              </c:extLst>
            </c:dLbl>
            <c:dLbl>
              <c:idx val="83"/>
              <c:layout>
                <c:manualLayout>
                  <c:x val="-2.3158950283168434E-2"/>
                  <c:y val="3.6157695241345413E-2"/>
                </c:manualLayout>
              </c:layout>
              <c:tx>
                <c:rich>
                  <a:bodyPr/>
                  <a:lstStyle/>
                  <a:p>
                    <a:fld id="{6F66E864-DA79-4484-B170-BE59211E2CA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1A1-4999-AB5B-4D50BC0E78BC}"/>
                </c:ext>
              </c:extLst>
            </c:dLbl>
            <c:dLbl>
              <c:idx val="84"/>
              <c:layout>
                <c:manualLayout>
                  <c:x val="-3.0602981140009242E-2"/>
                  <c:y val="-3.0178917870230672E-2"/>
                </c:manualLayout>
              </c:layout>
              <c:tx>
                <c:rich>
                  <a:bodyPr/>
                  <a:lstStyle/>
                  <a:p>
                    <a:fld id="{C5CE44BC-044C-4062-BF3A-42FB243AED1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D-4302-4B77-BD47-11E0A04EE6F4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147A4BA1-F7F3-4D31-89F4-1267DA6602B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E-4302-4B77-BD47-11E0A04EE6F4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2E70E0AE-1BAA-4934-92FF-81918B3837B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4302-4B77-BD47-11E0A04EE6F4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AC1D96D7-5C42-4613-BEE4-476BFB31E5E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4302-4B77-BD47-11E0A04EE6F4}"/>
                </c:ext>
              </c:extLst>
            </c:dLbl>
            <c:dLbl>
              <c:idx val="88"/>
              <c:layout>
                <c:manualLayout>
                  <c:x val="-3.4428353782510399E-2"/>
                  <c:y val="3.4490191851692178E-2"/>
                </c:manualLayout>
              </c:layout>
              <c:tx>
                <c:rich>
                  <a:bodyPr/>
                  <a:lstStyle/>
                  <a:p>
                    <a:fld id="{8F49CA14-77A2-4043-804F-82DB858A77C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1-4302-4B77-BD47-11E0A04EE6F4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05296CF1-BFB9-43EA-9CE9-A479A70A85D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2-4302-4B77-BD47-11E0A04EE6F4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88E1D6C4-A9FE-4694-8C3A-B4AEF917B6E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3-4302-4B77-BD47-11E0A04EE6F4}"/>
                </c:ext>
              </c:extLst>
            </c:dLbl>
            <c:dLbl>
              <c:idx val="91"/>
              <c:layout>
                <c:manualLayout>
                  <c:x val="-4.3916357348592359E-2"/>
                  <c:y val="3.4464727278865064E-2"/>
                </c:manualLayout>
              </c:layout>
              <c:tx>
                <c:rich>
                  <a:bodyPr/>
                  <a:lstStyle/>
                  <a:p>
                    <a:fld id="{9DC3ADE7-1642-427A-91B8-F2AEA2E4B2A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D64-419A-B187-BE71B6609AC9}"/>
                </c:ext>
              </c:extLst>
            </c:dLbl>
            <c:dLbl>
              <c:idx val="92"/>
              <c:layout>
                <c:manualLayout>
                  <c:x val="-3.8253726425011549E-2"/>
                  <c:y val="-4.311273981461524E-2"/>
                </c:manualLayout>
              </c:layout>
              <c:tx>
                <c:rich>
                  <a:bodyPr/>
                  <a:lstStyle/>
                  <a:p>
                    <a:fld id="{48DCC33C-B1F4-4EAD-940B-D03698394BF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4-4302-4B77-BD47-11E0A04EE6F4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55B7F9A1-1FEF-41BA-98C6-C3705C4A6C7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5-4302-4B77-BD47-11E0A04EE6F4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FA307268-7E26-4F6E-BF22-D34B8F968E9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6-4302-4B77-BD47-11E0A04EE6F4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1B7AE8E8-599F-416D-9F47-28C46DDFF38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7-4302-4B77-BD47-11E0A04EE6F4}"/>
                </c:ext>
              </c:extLst>
            </c:dLbl>
            <c:dLbl>
              <c:idx val="96"/>
              <c:layout>
                <c:manualLayout>
                  <c:x val="-3.8143708755857181E-2"/>
                  <c:y val="3.0178947099913138E-2"/>
                </c:manualLayout>
              </c:layout>
              <c:tx>
                <c:rich>
                  <a:bodyPr/>
                  <a:lstStyle/>
                  <a:p>
                    <a:fld id="{B08E7545-28CA-43AC-8E0E-6C636FCB7FE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38A-432B-B4DC-5C95C99B819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BFD11F48-3C47-4E71-A190-0C38ACF3F85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E1E-48D3-A09B-CB4D05E5A0C5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AEFC45A3-26F9-410D-A3F9-0728BE130EE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E1E-48D3-A09B-CB4D05E5A0C5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4CC5B911-5DE6-471E-97FC-67A7E395166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E1E-48D3-A09B-CB4D05E5A0C5}"/>
                </c:ext>
              </c:extLst>
            </c:dLbl>
            <c:dLbl>
              <c:idx val="100"/>
              <c:layout>
                <c:manualLayout>
                  <c:x val="-4.1570907603632808E-2"/>
                  <c:y val="-2.5331739005744643E-2"/>
                </c:manualLayout>
              </c:layout>
              <c:tx>
                <c:rich>
                  <a:bodyPr/>
                  <a:lstStyle/>
                  <a:p>
                    <a:fld id="{ABC54675-436D-46D6-B140-E3E3B53FE3C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E1E-48D3-A09B-CB4D05E5A0C5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DD1B530B-3822-4D62-8D41-1D66DC3EB2D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A4C-407D-B192-35789B62E684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D4447283-BACE-4CD2-81E6-32ABFA20CD6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A4C-407D-B192-35789B62E684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E95B2ACF-CFFE-424D-89D4-84C91A15C6E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A4C-407D-B192-35789B62E684}"/>
                </c:ext>
              </c:extLst>
            </c:dLbl>
            <c:dLbl>
              <c:idx val="104"/>
              <c:layout>
                <c:manualLayout>
                  <c:x val="-1.1491841621912217E-2"/>
                  <c:y val="-2.1731497255671237E-2"/>
                </c:manualLayout>
              </c:layout>
              <c:tx>
                <c:rich>
                  <a:bodyPr/>
                  <a:lstStyle/>
                  <a:p>
                    <a:fld id="{039F6593-CBC1-4101-AD0D-200611F2768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A7A-4E8D-9B3A-85873BAA683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100'!$I$4:$EI$4</c:f>
              <c:strCache>
                <c:ptCount val="131"/>
                <c:pt idx="0">
                  <c:v>01/07/24</c:v>
                </c:pt>
                <c:pt idx="1">
                  <c:v>08/07/24</c:v>
                </c:pt>
                <c:pt idx="2">
                  <c:v>15/07/24</c:v>
                </c:pt>
                <c:pt idx="3">
                  <c:v>22/07/24</c:v>
                </c:pt>
                <c:pt idx="4">
                  <c:v>29/07/24</c:v>
                </c:pt>
                <c:pt idx="5">
                  <c:v>05/08/24</c:v>
                </c:pt>
                <c:pt idx="6">
                  <c:v>12/08/24</c:v>
                </c:pt>
                <c:pt idx="7">
                  <c:v>19/08/24</c:v>
                </c:pt>
                <c:pt idx="8">
                  <c:v>26/08/24</c:v>
                </c:pt>
                <c:pt idx="9">
                  <c:v>02/09/24</c:v>
                </c:pt>
                <c:pt idx="10">
                  <c:v>09/09/24</c:v>
                </c:pt>
                <c:pt idx="11">
                  <c:v>16/09/24</c:v>
                </c:pt>
                <c:pt idx="12">
                  <c:v>23/09/24</c:v>
                </c:pt>
                <c:pt idx="13">
                  <c:v>30/09/24</c:v>
                </c:pt>
                <c:pt idx="14">
                  <c:v>07/10/24</c:v>
                </c:pt>
                <c:pt idx="15">
                  <c:v>14/10/24</c:v>
                </c:pt>
                <c:pt idx="16">
                  <c:v>21/10/24</c:v>
                </c:pt>
                <c:pt idx="17">
                  <c:v>28/10/24</c:v>
                </c:pt>
                <c:pt idx="18">
                  <c:v>04/11/24</c:v>
                </c:pt>
                <c:pt idx="19">
                  <c:v>11/11/24</c:v>
                </c:pt>
                <c:pt idx="20">
                  <c:v>18/11/24</c:v>
                </c:pt>
                <c:pt idx="21">
                  <c:v>25/11/24</c:v>
                </c:pt>
                <c:pt idx="22">
                  <c:v>02/12/24</c:v>
                </c:pt>
                <c:pt idx="23">
                  <c:v>09/12/24</c:v>
                </c:pt>
                <c:pt idx="24">
                  <c:v>16/12/24</c:v>
                </c:pt>
                <c:pt idx="25">
                  <c:v>23/12/24</c:v>
                </c:pt>
                <c:pt idx="26">
                  <c:v>30/12/24</c:v>
                </c:pt>
                <c:pt idx="27">
                  <c:v>06/01/25</c:v>
                </c:pt>
                <c:pt idx="28">
                  <c:v>13/01/25</c:v>
                </c:pt>
                <c:pt idx="29">
                  <c:v>20/01/25</c:v>
                </c:pt>
                <c:pt idx="30">
                  <c:v>27/01/25</c:v>
                </c:pt>
                <c:pt idx="31">
                  <c:v>03/02/25</c:v>
                </c:pt>
                <c:pt idx="32">
                  <c:v>10/02/25</c:v>
                </c:pt>
                <c:pt idx="33">
                  <c:v>17/02/25</c:v>
                </c:pt>
                <c:pt idx="34">
                  <c:v>24/02/25</c:v>
                </c:pt>
                <c:pt idx="35">
                  <c:v>03/03/25</c:v>
                </c:pt>
                <c:pt idx="36">
                  <c:v>10/03/25</c:v>
                </c:pt>
                <c:pt idx="37">
                  <c:v>17/03/25</c:v>
                </c:pt>
                <c:pt idx="38">
                  <c:v>24/03/25</c:v>
                </c:pt>
                <c:pt idx="39">
                  <c:v>31/03/25</c:v>
                </c:pt>
                <c:pt idx="40">
                  <c:v>07/04/25</c:v>
                </c:pt>
                <c:pt idx="41">
                  <c:v>14/04/25</c:v>
                </c:pt>
                <c:pt idx="42">
                  <c:v>21/04/25</c:v>
                </c:pt>
                <c:pt idx="43">
                  <c:v>28/04/25</c:v>
                </c:pt>
                <c:pt idx="44">
                  <c:v>05/05/25</c:v>
                </c:pt>
                <c:pt idx="45">
                  <c:v>12/05/25</c:v>
                </c:pt>
                <c:pt idx="46">
                  <c:v>19/05/25</c:v>
                </c:pt>
                <c:pt idx="47">
                  <c:v>26/05/25</c:v>
                </c:pt>
                <c:pt idx="48">
                  <c:v>02/06/25</c:v>
                </c:pt>
                <c:pt idx="49">
                  <c:v>09/06/25</c:v>
                </c:pt>
                <c:pt idx="50">
                  <c:v>16/06/25</c:v>
                </c:pt>
                <c:pt idx="51">
                  <c:v>23/06/25</c:v>
                </c:pt>
                <c:pt idx="52">
                  <c:v>30/06/25</c:v>
                </c:pt>
                <c:pt idx="53">
                  <c:v>07/07/25</c:v>
                </c:pt>
                <c:pt idx="54">
                  <c:v>14/07/25</c:v>
                </c:pt>
                <c:pt idx="55">
                  <c:v>21/07/25</c:v>
                </c:pt>
                <c:pt idx="56">
                  <c:v>28/07/25</c:v>
                </c:pt>
                <c:pt idx="57">
                  <c:v>04/08/25</c:v>
                </c:pt>
                <c:pt idx="58">
                  <c:v>11/08/25</c:v>
                </c:pt>
                <c:pt idx="59">
                  <c:v>18/08/25</c:v>
                </c:pt>
                <c:pt idx="60">
                  <c:v>25/08/25</c:v>
                </c:pt>
                <c:pt idx="61">
                  <c:v>01/09/25</c:v>
                </c:pt>
                <c:pt idx="62">
                  <c:v>08/09/25</c:v>
                </c:pt>
                <c:pt idx="63">
                  <c:v>15/09/25</c:v>
                </c:pt>
                <c:pt idx="64">
                  <c:v>22/09/25</c:v>
                </c:pt>
                <c:pt idx="65">
                  <c:v>29/09/25</c:v>
                </c:pt>
                <c:pt idx="66">
                  <c:v>06/10/25</c:v>
                </c:pt>
                <c:pt idx="67">
                  <c:v>13/10/25</c:v>
                </c:pt>
                <c:pt idx="68">
                  <c:v>20/10/25</c:v>
                </c:pt>
                <c:pt idx="69">
                  <c:v>27/10/25</c:v>
                </c:pt>
                <c:pt idx="70">
                  <c:v>03/11/25</c:v>
                </c:pt>
                <c:pt idx="71">
                  <c:v>10/11/25</c:v>
                </c:pt>
                <c:pt idx="72">
                  <c:v>17/11/25</c:v>
                </c:pt>
                <c:pt idx="73">
                  <c:v>24/11/25</c:v>
                </c:pt>
                <c:pt idx="74">
                  <c:v>01/12/25</c:v>
                </c:pt>
                <c:pt idx="75">
                  <c:v>08/12/25</c:v>
                </c:pt>
                <c:pt idx="76">
                  <c:v>15/12/25</c:v>
                </c:pt>
                <c:pt idx="77">
                  <c:v>22/12/25</c:v>
                </c:pt>
                <c:pt idx="78">
                  <c:v>29/12/25</c:v>
                </c:pt>
                <c:pt idx="79">
                  <c:v>05/01/26</c:v>
                </c:pt>
                <c:pt idx="80">
                  <c:v>12/01/26</c:v>
                </c:pt>
                <c:pt idx="81">
                  <c:v>19/01/26</c:v>
                </c:pt>
                <c:pt idx="82">
                  <c:v>26/01/26</c:v>
                </c:pt>
                <c:pt idx="83">
                  <c:v>02/02/26</c:v>
                </c:pt>
                <c:pt idx="84">
                  <c:v>09/02/26</c:v>
                </c:pt>
                <c:pt idx="85">
                  <c:v>16/02/26</c:v>
                </c:pt>
                <c:pt idx="86">
                  <c:v>23/02/26</c:v>
                </c:pt>
                <c:pt idx="87">
                  <c:v>02/03/26</c:v>
                </c:pt>
                <c:pt idx="88">
                  <c:v>09/03/26</c:v>
                </c:pt>
                <c:pt idx="89">
                  <c:v>16/03/26</c:v>
                </c:pt>
                <c:pt idx="90">
                  <c:v>23/03/26</c:v>
                </c:pt>
                <c:pt idx="91">
                  <c:v>30/03/26</c:v>
                </c:pt>
                <c:pt idx="92">
                  <c:v>06/04/26</c:v>
                </c:pt>
                <c:pt idx="93">
                  <c:v>13/04/26</c:v>
                </c:pt>
                <c:pt idx="94">
                  <c:v>20/04/26</c:v>
                </c:pt>
                <c:pt idx="95">
                  <c:v>27/04/26</c:v>
                </c:pt>
                <c:pt idx="96">
                  <c:v>04/05/26</c:v>
                </c:pt>
                <c:pt idx="97">
                  <c:v>11/05/26</c:v>
                </c:pt>
                <c:pt idx="98">
                  <c:v>18/05/26</c:v>
                </c:pt>
                <c:pt idx="99">
                  <c:v>25/05/26</c:v>
                </c:pt>
                <c:pt idx="100">
                  <c:v>01/06/26</c:v>
                </c:pt>
                <c:pt idx="101">
                  <c:v>08/06/26</c:v>
                </c:pt>
                <c:pt idx="102">
                  <c:v>15/06/26</c:v>
                </c:pt>
                <c:pt idx="103">
                  <c:v>22/06/26</c:v>
                </c:pt>
                <c:pt idx="104">
                  <c:v>29/06/26</c:v>
                </c:pt>
                <c:pt idx="105">
                  <c:v>06/07/26</c:v>
                </c:pt>
                <c:pt idx="106">
                  <c:v>13/07/26</c:v>
                </c:pt>
                <c:pt idx="107">
                  <c:v>20/07/26</c:v>
                </c:pt>
                <c:pt idx="108">
                  <c:v>27/07/26</c:v>
                </c:pt>
                <c:pt idx="109">
                  <c:v>03/08/26</c:v>
                </c:pt>
                <c:pt idx="110">
                  <c:v>10/08/26</c:v>
                </c:pt>
                <c:pt idx="111">
                  <c:v>17/08/26</c:v>
                </c:pt>
                <c:pt idx="112">
                  <c:v>24/08/26</c:v>
                </c:pt>
                <c:pt idx="113">
                  <c:v>31/08/26</c:v>
                </c:pt>
                <c:pt idx="114">
                  <c:v>07/09/26</c:v>
                </c:pt>
                <c:pt idx="115">
                  <c:v>14/09/26</c:v>
                </c:pt>
                <c:pt idx="116">
                  <c:v>21/09/26</c:v>
                </c:pt>
                <c:pt idx="117">
                  <c:v>28/09/26</c:v>
                </c:pt>
                <c:pt idx="118">
                  <c:v>05/10/26</c:v>
                </c:pt>
                <c:pt idx="119">
                  <c:v>12/10/26</c:v>
                </c:pt>
                <c:pt idx="120">
                  <c:v>19/10/26</c:v>
                </c:pt>
                <c:pt idx="121">
                  <c:v>26/10/26</c:v>
                </c:pt>
                <c:pt idx="122">
                  <c:v>02/11/26</c:v>
                </c:pt>
                <c:pt idx="123">
                  <c:v>09/11/26</c:v>
                </c:pt>
                <c:pt idx="124">
                  <c:v>16/11/26</c:v>
                </c:pt>
                <c:pt idx="125">
                  <c:v>23/11/26</c:v>
                </c:pt>
                <c:pt idx="126">
                  <c:v>30/11/26</c:v>
                </c:pt>
                <c:pt idx="127">
                  <c:v>07/12/26</c:v>
                </c:pt>
                <c:pt idx="128">
                  <c:v>14/12/26</c:v>
                </c:pt>
                <c:pt idx="129">
                  <c:v>21/12/26</c:v>
                </c:pt>
                <c:pt idx="130">
                  <c:v>28/12/26</c:v>
                </c:pt>
              </c:strCache>
            </c:strRef>
          </c:cat>
          <c:val>
            <c:numRef>
              <c:f>'Avance 100'!$I$6:$DI$6</c:f>
              <c:numCache>
                <c:formatCode>0.0%</c:formatCode>
                <c:ptCount val="105"/>
                <c:pt idx="0">
                  <c:v>8.7813632965295718E-5</c:v>
                </c:pt>
                <c:pt idx="1">
                  <c:v>6.6812110374114548E-4</c:v>
                </c:pt>
                <c:pt idx="2">
                  <c:v>1.3453056290573008E-3</c:v>
                </c:pt>
                <c:pt idx="3">
                  <c:v>2.743673774785885E-3</c:v>
                </c:pt>
                <c:pt idx="4">
                  <c:v>4.1585334948187752E-3</c:v>
                </c:pt>
                <c:pt idx="5">
                  <c:v>5.4130936391348109E-3</c:v>
                </c:pt>
                <c:pt idx="6">
                  <c:v>1.8234166299858048E-2</c:v>
                </c:pt>
                <c:pt idx="7">
                  <c:v>3.8009615156600562E-2</c:v>
                </c:pt>
                <c:pt idx="8">
                  <c:v>6.4491758140071215E-2</c:v>
                </c:pt>
                <c:pt idx="9">
                  <c:v>7.8331185624393451E-2</c:v>
                </c:pt>
                <c:pt idx="10">
                  <c:v>0.1146234467659399</c:v>
                </c:pt>
                <c:pt idx="11">
                  <c:v>0.11920820609673356</c:v>
                </c:pt>
                <c:pt idx="12">
                  <c:v>0.13918839051965826</c:v>
                </c:pt>
                <c:pt idx="13">
                  <c:v>0.15298330131138119</c:v>
                </c:pt>
                <c:pt idx="14">
                  <c:v>0.16313526936210079</c:v>
                </c:pt>
                <c:pt idx="15">
                  <c:v>0.17728442608939621</c:v>
                </c:pt>
                <c:pt idx="16">
                  <c:v>0.20244558590632325</c:v>
                </c:pt>
                <c:pt idx="17">
                  <c:v>0.23473980960886717</c:v>
                </c:pt>
                <c:pt idx="18">
                  <c:v>0.26643267561223716</c:v>
                </c:pt>
                <c:pt idx="19">
                  <c:v>0.28328482684440498</c:v>
                </c:pt>
                <c:pt idx="20">
                  <c:v>0.3129128908072582</c:v>
                </c:pt>
                <c:pt idx="21">
                  <c:v>0.3318461408551564</c:v>
                </c:pt>
                <c:pt idx="22">
                  <c:v>0.35521971985243211</c:v>
                </c:pt>
                <c:pt idx="23">
                  <c:v>0.36936995170488518</c:v>
                </c:pt>
                <c:pt idx="24">
                  <c:v>0.39055046494770779</c:v>
                </c:pt>
                <c:pt idx="25">
                  <c:v>0.40022233281096736</c:v>
                </c:pt>
                <c:pt idx="26">
                  <c:v>0.40022233281096736</c:v>
                </c:pt>
                <c:pt idx="27">
                  <c:v>0.40022233281096736</c:v>
                </c:pt>
                <c:pt idx="28">
                  <c:v>0.40517273761708056</c:v>
                </c:pt>
                <c:pt idx="29">
                  <c:v>0.41476788205872644</c:v>
                </c:pt>
                <c:pt idx="30">
                  <c:v>0.42172392947076015</c:v>
                </c:pt>
                <c:pt idx="31">
                  <c:v>0.43081721131666628</c:v>
                </c:pt>
                <c:pt idx="32">
                  <c:v>0.44850107513083781</c:v>
                </c:pt>
                <c:pt idx="33">
                  <c:v>0.47155100266317362</c:v>
                </c:pt>
                <c:pt idx="34">
                  <c:v>0.48557969288829339</c:v>
                </c:pt>
                <c:pt idx="35">
                  <c:v>0.50019776900572688</c:v>
                </c:pt>
                <c:pt idx="36">
                  <c:v>0.50402420656869551</c:v>
                </c:pt>
                <c:pt idx="37">
                  <c:v>0.53131084800846784</c:v>
                </c:pt>
                <c:pt idx="38">
                  <c:v>0.53319567765529641</c:v>
                </c:pt>
                <c:pt idx="39">
                  <c:v>0.54287761586807926</c:v>
                </c:pt>
                <c:pt idx="40">
                  <c:v>0.55384079721710877</c:v>
                </c:pt>
                <c:pt idx="41">
                  <c:v>0.5677999952687578</c:v>
                </c:pt>
                <c:pt idx="42">
                  <c:v>0.5678734066993717</c:v>
                </c:pt>
                <c:pt idx="43">
                  <c:v>0.58011831452833995</c:v>
                </c:pt>
                <c:pt idx="44">
                  <c:v>0.59171744695428674</c:v>
                </c:pt>
                <c:pt idx="45">
                  <c:v>0.60833830405168365</c:v>
                </c:pt>
                <c:pt idx="46">
                  <c:v>0.61691402902776593</c:v>
                </c:pt>
                <c:pt idx="47">
                  <c:v>0.62616605052204077</c:v>
                </c:pt>
                <c:pt idx="48">
                  <c:v>0.64025716391163345</c:v>
                </c:pt>
                <c:pt idx="49">
                  <c:v>0.64793985333465398</c:v>
                </c:pt>
                <c:pt idx="50">
                  <c:v>0.65979008450735477</c:v>
                </c:pt>
                <c:pt idx="51">
                  <c:v>0.6730360685434813</c:v>
                </c:pt>
                <c:pt idx="52">
                  <c:v>0.68715882876783518</c:v>
                </c:pt>
                <c:pt idx="53">
                  <c:v>0.69982528165328928</c:v>
                </c:pt>
                <c:pt idx="54">
                  <c:v>0.70757587803208832</c:v>
                </c:pt>
                <c:pt idx="55">
                  <c:v>0.71473806854181932</c:v>
                </c:pt>
                <c:pt idx="56">
                  <c:v>0.7218657760917162</c:v>
                </c:pt>
                <c:pt idx="57">
                  <c:v>0.72450245751086406</c:v>
                </c:pt>
                <c:pt idx="58">
                  <c:v>0.73299968309583019</c:v>
                </c:pt>
                <c:pt idx="59">
                  <c:v>0.7399562233280037</c:v>
                </c:pt>
                <c:pt idx="60">
                  <c:v>0.74502624318891664</c:v>
                </c:pt>
                <c:pt idx="61">
                  <c:v>0.74957628191305004</c:v>
                </c:pt>
                <c:pt idx="62">
                  <c:v>0.75620971770143919</c:v>
                </c:pt>
                <c:pt idx="63">
                  <c:v>0.7639359234712475</c:v>
                </c:pt>
                <c:pt idx="64">
                  <c:v>0.77585898361926176</c:v>
                </c:pt>
                <c:pt idx="65">
                  <c:v>0.78374288248176049</c:v>
                </c:pt>
                <c:pt idx="66">
                  <c:v>0.79449292446039321</c:v>
                </c:pt>
                <c:pt idx="67">
                  <c:v>0.795897330002448</c:v>
                </c:pt>
                <c:pt idx="68">
                  <c:v>0.8004229342151411</c:v>
                </c:pt>
                <c:pt idx="69">
                  <c:v>0.80224397756826837</c:v>
                </c:pt>
                <c:pt idx="70">
                  <c:v>0.80321760494652195</c:v>
                </c:pt>
                <c:pt idx="71">
                  <c:v>0.81006591572938336</c:v>
                </c:pt>
                <c:pt idx="72">
                  <c:v>0.82271072897239161</c:v>
                </c:pt>
                <c:pt idx="73">
                  <c:v>0.82558275159095129</c:v>
                </c:pt>
                <c:pt idx="74">
                  <c:v>0.83165873973535809</c:v>
                </c:pt>
                <c:pt idx="75">
                  <c:v>0.83408610170264397</c:v>
                </c:pt>
                <c:pt idx="76">
                  <c:v>0.8354534249540706</c:v>
                </c:pt>
                <c:pt idx="77">
                  <c:v>0.83604064045644755</c:v>
                </c:pt>
                <c:pt idx="78">
                  <c:v>0.83652905544202105</c:v>
                </c:pt>
                <c:pt idx="79">
                  <c:v>0.83655235120878313</c:v>
                </c:pt>
                <c:pt idx="80">
                  <c:v>0.83656399909216406</c:v>
                </c:pt>
                <c:pt idx="81">
                  <c:v>0.83656399909216406</c:v>
                </c:pt>
                <c:pt idx="82">
                  <c:v>0.83785093815723466</c:v>
                </c:pt>
                <c:pt idx="83">
                  <c:v>0.83868886207226168</c:v>
                </c:pt>
                <c:pt idx="84">
                  <c:v>0.83868886207226168</c:v>
                </c:pt>
                <c:pt idx="85">
                  <c:v>0.8392865433590162</c:v>
                </c:pt>
                <c:pt idx="86">
                  <c:v>0.8392865433590162</c:v>
                </c:pt>
                <c:pt idx="87">
                  <c:v>0.84320038934369457</c:v>
                </c:pt>
                <c:pt idx="88">
                  <c:v>0.84362316423153705</c:v>
                </c:pt>
                <c:pt idx="89">
                  <c:v>0.84449880449951853</c:v>
                </c:pt>
                <c:pt idx="90">
                  <c:v>0.84619147490380187</c:v>
                </c:pt>
                <c:pt idx="91">
                  <c:v>0.84668551793408497</c:v>
                </c:pt>
                <c:pt idx="92">
                  <c:v>0.84668551793408497</c:v>
                </c:pt>
                <c:pt idx="93">
                  <c:v>0.84774029930038997</c:v>
                </c:pt>
                <c:pt idx="94">
                  <c:v>0.84869916048592864</c:v>
                </c:pt>
                <c:pt idx="95">
                  <c:v>0.84955807307043518</c:v>
                </c:pt>
                <c:pt idx="96">
                  <c:v>0.85002709617708627</c:v>
                </c:pt>
                <c:pt idx="97">
                  <c:v>0.85051987785614103</c:v>
                </c:pt>
                <c:pt idx="98">
                  <c:v>0.85127516806613279</c:v>
                </c:pt>
                <c:pt idx="99">
                  <c:v>0.85164366265205349</c:v>
                </c:pt>
                <c:pt idx="100">
                  <c:v>0.86158882528271385</c:v>
                </c:pt>
                <c:pt idx="101">
                  <c:v>0.86195731986863455</c:v>
                </c:pt>
                <c:pt idx="102">
                  <c:v>0.86222296965919054</c:v>
                </c:pt>
                <c:pt idx="103">
                  <c:v>0.86292312162339324</c:v>
                </c:pt>
                <c:pt idx="104">
                  <c:v>0.86351524994197115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100'!$I$150:$DI$150</c15:f>
                <c15:dlblRangeCache>
                  <c:ptCount val="105"/>
                  <c:pt idx="0">
                    <c:v>0,0%</c:v>
                  </c:pt>
                  <c:pt idx="4">
                    <c:v>0,4%</c:v>
                  </c:pt>
                  <c:pt idx="8">
                    <c:v>6,4%</c:v>
                  </c:pt>
                  <c:pt idx="12">
                    <c:v>13,9%</c:v>
                  </c:pt>
                  <c:pt idx="16">
                    <c:v>20,2%</c:v>
                  </c:pt>
                  <c:pt idx="20">
                    <c:v>31,3%</c:v>
                  </c:pt>
                  <c:pt idx="24">
                    <c:v>39,1%</c:v>
                  </c:pt>
                  <c:pt idx="28">
                    <c:v>40,5%</c:v>
                  </c:pt>
                  <c:pt idx="32">
                    <c:v>44,9%</c:v>
                  </c:pt>
                  <c:pt idx="36">
                    <c:v>50,4%</c:v>
                  </c:pt>
                  <c:pt idx="40">
                    <c:v>55,4%</c:v>
                  </c:pt>
                  <c:pt idx="44">
                    <c:v>59,2%</c:v>
                  </c:pt>
                  <c:pt idx="48">
                    <c:v>64,0%</c:v>
                  </c:pt>
                  <c:pt idx="52">
                    <c:v>68,7%</c:v>
                  </c:pt>
                  <c:pt idx="56">
                    <c:v>72,2%</c:v>
                  </c:pt>
                  <c:pt idx="60">
                    <c:v>74,5%</c:v>
                  </c:pt>
                  <c:pt idx="64">
                    <c:v>77,6%</c:v>
                  </c:pt>
                  <c:pt idx="68">
                    <c:v>80,0%</c:v>
                  </c:pt>
                  <c:pt idx="72">
                    <c:v>82,3%</c:v>
                  </c:pt>
                  <c:pt idx="76">
                    <c:v>83,5%</c:v>
                  </c:pt>
                  <c:pt idx="80">
                    <c:v>83,7%</c:v>
                  </c:pt>
                  <c:pt idx="84">
                    <c:v>83,9%</c:v>
                  </c:pt>
                  <c:pt idx="88">
                    <c:v>84,4%</c:v>
                  </c:pt>
                  <c:pt idx="92">
                    <c:v>84,7%</c:v>
                  </c:pt>
                  <c:pt idx="96">
                    <c:v>85,0%</c:v>
                  </c:pt>
                  <c:pt idx="100">
                    <c:v>86,2%</c:v>
                  </c:pt>
                  <c:pt idx="104">
                    <c:v>86,4%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9038-403A-ADF3-596B3D3D5D30}"/>
            </c:ext>
          </c:extLst>
        </c:ser>
        <c:ser>
          <c:idx val="0"/>
          <c:order val="3"/>
          <c:tx>
            <c:strRef>
              <c:f>'Avance 100'!$B$144</c:f>
              <c:strCache>
                <c:ptCount val="1"/>
                <c:pt idx="0">
                  <c:v>Desviación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02-4B77-BD47-11E0A04EE6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3E7B08B-E287-4F9B-ACCC-6BA4AB9A345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302-4B77-BD47-11E0A04EE6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9BCA33C-8C6C-4F76-854A-DC1393BD5BF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302-4B77-BD47-11E0A04EE6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B970DE0-00C4-481E-8DF5-64CE2959812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302-4B77-BD47-11E0A04EE6F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02-4B77-BD47-11E0A04EE6F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3809184-F640-4508-849C-665837879BF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302-4B77-BD47-11E0A04EE6F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99726C6-8D0C-475C-A861-9C5677A074E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302-4B77-BD47-11E0A04EE6F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AF60354-10DB-40DD-A22B-3B6B0A48351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302-4B77-BD47-11E0A04EE6F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02-4B77-BD47-11E0A04EE6F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1F68F93-F374-44C5-A21F-C05F4EA806D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302-4B77-BD47-11E0A04EE6F4}"/>
                </c:ext>
              </c:extLst>
            </c:dLbl>
            <c:dLbl>
              <c:idx val="10"/>
              <c:layout>
                <c:manualLayout>
                  <c:x val="-2.1210392179238466E-2"/>
                  <c:y val="4.0668164809094659E-2"/>
                </c:manualLayout>
              </c:layout>
              <c:tx>
                <c:rich>
                  <a:bodyPr/>
                  <a:lstStyle/>
                  <a:p>
                    <a:fld id="{657E59CA-4A2B-430E-8C47-0F43329D26D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9038-403A-ADF3-596B3D3D5D3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D2136DF-1C11-4E45-A150-54F61B638E6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302-4B77-BD47-11E0A04EE6F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02-4B77-BD47-11E0A04EE6F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B454DC0-AAF9-470C-ADFE-1FE303BE98C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4302-4B77-BD47-11E0A04EE6F4}"/>
                </c:ext>
              </c:extLst>
            </c:dLbl>
            <c:dLbl>
              <c:idx val="14"/>
              <c:layout>
                <c:manualLayout>
                  <c:x val="-1.5398075240594925E-2"/>
                  <c:y val="4.5235964625807194E-2"/>
                </c:manualLayout>
              </c:layout>
              <c:tx>
                <c:rich>
                  <a:bodyPr/>
                  <a:lstStyle/>
                  <a:p>
                    <a:fld id="{60202BB5-66C8-41A8-B048-6ECE1FB1E74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9038-403A-ADF3-596B3D3D5D3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6C8AFB3-7CDB-4EC5-9224-977A1DF15AD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302-4B77-BD47-11E0A04EE6F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02-4B77-BD47-11E0A04EE6F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2BAF185-8A0C-4659-9A33-7FC667BC179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4302-4B77-BD47-11E0A04EE6F4}"/>
                </c:ext>
              </c:extLst>
            </c:dLbl>
            <c:dLbl>
              <c:idx val="18"/>
              <c:layout>
                <c:manualLayout>
                  <c:x val="-2.3104720605576477E-2"/>
                  <c:y val="-1.8713232808168317E-2"/>
                </c:manualLayout>
              </c:layout>
              <c:tx>
                <c:rich>
                  <a:bodyPr/>
                  <a:lstStyle/>
                  <a:p>
                    <a:fld id="{1428F606-B5F4-4A4A-B55A-F7CE3C9CCE8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9038-403A-ADF3-596B3D3D5D3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A00CDB6-EBF0-4AD9-B980-F9817EE0B39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302-4B77-BD47-11E0A04EE6F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02-4B77-BD47-11E0A04EE6F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A4B57D4-7270-480F-A8E2-753C3666272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4302-4B77-BD47-11E0A04EE6F4}"/>
                </c:ext>
              </c:extLst>
            </c:dLbl>
            <c:dLbl>
              <c:idx val="22"/>
              <c:layout>
                <c:manualLayout>
                  <c:x val="-3.4660884780706759E-2"/>
                  <c:y val="4.9740822319061094E-2"/>
                </c:manualLayout>
              </c:layout>
              <c:tx>
                <c:rich>
                  <a:bodyPr/>
                  <a:lstStyle/>
                  <a:p>
                    <a:fld id="{4B2A5DCB-4CB0-43E7-8802-196D5D3E51F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9038-403A-ADF3-596B3D3D5D3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0FCF754-444C-4730-A097-F4F5877975D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4302-4B77-BD47-11E0A04EE6F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02-4B77-BD47-11E0A04EE6F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A146CFD-4A0F-4688-938C-12B263729BB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4302-4B77-BD47-11E0A04EE6F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2C9BF2A-7CBE-423B-A4DA-3473DABBB18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4302-4B77-BD47-11E0A04EE6F4}"/>
                </c:ext>
              </c:extLst>
            </c:dLbl>
            <c:dLbl>
              <c:idx val="27"/>
              <c:layout>
                <c:manualLayout>
                  <c:x val="-4.233709916695199E-2"/>
                  <c:y val="1.7892467518267518E-2"/>
                </c:manualLayout>
              </c:layout>
              <c:tx>
                <c:rich>
                  <a:bodyPr/>
                  <a:lstStyle/>
                  <a:p>
                    <a:fld id="{8F1DE507-9204-45A2-A429-D0CB720F7AC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9038-403A-ADF3-596B3D3D5D30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02-4B77-BD47-11E0A04EE6F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FBD521E-7382-4758-A769-00CAE4D8332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4302-4B77-BD47-11E0A04EE6F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EC0DA62-C7A4-43EB-9EB3-31E6F6C0CA2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4302-4B77-BD47-11E0A04EE6F4}"/>
                </c:ext>
              </c:extLst>
            </c:dLbl>
            <c:dLbl>
              <c:idx val="31"/>
              <c:layout>
                <c:manualLayout>
                  <c:x val="-3.0796151754100075E-2"/>
                  <c:y val="2.7028004843758897E-2"/>
                </c:manualLayout>
              </c:layout>
              <c:tx>
                <c:rich>
                  <a:bodyPr/>
                  <a:lstStyle/>
                  <a:p>
                    <a:fld id="{05030047-A96F-4715-BD83-51F4E9BE304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9038-403A-ADF3-596B3D3D5D30}"/>
                </c:ext>
              </c:extLst>
            </c:dLbl>
            <c:dLbl>
              <c:idx val="32"/>
              <c:layout>
                <c:manualLayout>
                  <c:x val="-4.0022059402820449E-2"/>
                  <c:y val="4.2577772324246678E-2"/>
                </c:manualLayout>
              </c:layout>
              <c:tx>
                <c:rich>
                  <a:bodyPr/>
                  <a:lstStyle/>
                  <a:p>
                    <a:fld id="{B4E16741-C9D0-46C8-8850-0683A0A4996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302-4B77-BD47-11E0A04EE6F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C7FEC900-CE74-4DC5-90D2-1FF7454E4C4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4302-4B77-BD47-11E0A04EE6F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913380B3-5854-4DEF-B1E9-7BEE853E20C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4302-4B77-BD47-11E0A04EE6F4}"/>
                </c:ext>
              </c:extLst>
            </c:dLbl>
            <c:dLbl>
              <c:idx val="35"/>
              <c:layout>
                <c:manualLayout>
                  <c:x val="-2.8871392269468752E-2"/>
                  <c:y val="-2.7028004843758977E-2"/>
                </c:manualLayout>
              </c:layout>
              <c:tx>
                <c:rich>
                  <a:bodyPr/>
                  <a:lstStyle/>
                  <a:p>
                    <a:fld id="{A1516084-EE6A-4B92-A1E2-5A7C5FC84B2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9038-403A-ADF3-596B3D3D5D30}"/>
                </c:ext>
              </c:extLst>
            </c:dLbl>
            <c:dLbl>
              <c:idx val="36"/>
              <c:layout>
                <c:manualLayout>
                  <c:x val="-3.621043469778986E-2"/>
                  <c:y val="2.5546663394548023E-2"/>
                </c:manualLayout>
              </c:layout>
              <c:tx>
                <c:rich>
                  <a:bodyPr/>
                  <a:lstStyle/>
                  <a:p>
                    <a:fld id="{34E5B35E-A37B-430A-A2D4-64836C50ED5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4302-4B77-BD47-11E0A04EE6F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4D3D9F0-A226-467C-9E9D-F7A8A0E673B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4302-4B77-BD47-11E0A04EE6F4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CBB9900B-9BA3-4497-9BD4-3701050AB85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4302-4B77-BD47-11E0A04EE6F4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8E4AD4A9-503D-486F-A4ED-3ADD06B001A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4302-4B77-BD47-11E0A04EE6F4}"/>
                </c:ext>
              </c:extLst>
            </c:dLbl>
            <c:dLbl>
              <c:idx val="40"/>
              <c:layout>
                <c:manualLayout>
                  <c:x val="-4.0514719399143952E-2"/>
                  <c:y val="3.6284308213453437E-2"/>
                </c:manualLayout>
              </c:layout>
              <c:tx>
                <c:rich>
                  <a:bodyPr/>
                  <a:lstStyle/>
                  <a:p>
                    <a:fld id="{562ADA53-4411-47B8-AE49-B57C0BAF0EF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9038-403A-ADF3-596B3D3D5D30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E1E9E502-B479-49A6-9B80-9BC33C449F9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4302-4B77-BD47-11E0A04EE6F4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57FC3CB3-736D-4A87-9AAA-C4139BE3E90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4302-4B77-BD47-11E0A04EE6F4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4BFBB30D-4366-40E3-BFD3-DD8FFF35A07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4302-4B77-BD47-11E0A04EE6F4}"/>
                </c:ext>
              </c:extLst>
            </c:dLbl>
            <c:dLbl>
              <c:idx val="44"/>
              <c:layout>
                <c:manualLayout>
                  <c:x val="-6.683623894685109E-2"/>
                  <c:y val="1.2463218001211467E-2"/>
                </c:manualLayout>
              </c:layout>
              <c:tx>
                <c:rich>
                  <a:bodyPr/>
                  <a:lstStyle/>
                  <a:p>
                    <a:fld id="{C5782082-52B0-48A9-91CF-F3E345E58BC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9038-403A-ADF3-596B3D3D5D30}"/>
                </c:ext>
              </c:extLst>
            </c:dLbl>
            <c:dLbl>
              <c:idx val="45"/>
              <c:layout>
                <c:manualLayout>
                  <c:x val="-5.5818025054306324E-2"/>
                  <c:y val="-1.3514002421879407E-2"/>
                </c:manualLayout>
              </c:layout>
              <c:tx>
                <c:rich>
                  <a:bodyPr/>
                  <a:lstStyle/>
                  <a:p>
                    <a:fld id="{A8AAF5ED-8899-4C09-A124-35C9A0D7856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9038-403A-ADF3-596B3D3D5D30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76F2623E-A3D2-4542-82A9-F5392F8A6A5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4302-4B77-BD47-11E0A04EE6F4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B4D79D7E-CE93-461A-A977-D706EFC4BF1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4302-4B77-BD47-11E0A04EE6F4}"/>
                </c:ext>
              </c:extLst>
            </c:dLbl>
            <c:dLbl>
              <c:idx val="48"/>
              <c:layout>
                <c:manualLayout>
                  <c:x val="-3.6532471966175581E-2"/>
                  <c:y val="3.23339626126928E-2"/>
                </c:manualLayout>
              </c:layout>
              <c:tx>
                <c:rich>
                  <a:bodyPr/>
                  <a:lstStyle/>
                  <a:p>
                    <a:fld id="{A0154344-980B-4E1A-9D84-5C6150C7168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9038-403A-ADF3-596B3D3D5D30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0B791673-FB95-4484-B9E5-5014A65465E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4302-4B77-BD47-11E0A04EE6F4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0B4EFF4E-D2DC-415B-AB7B-36DA500512F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4302-4B77-BD47-11E0A04EE6F4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76454C63-D904-4594-8E4C-63486395F6D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4302-4B77-BD47-11E0A04EE6F4}"/>
                </c:ext>
              </c:extLst>
            </c:dLbl>
            <c:dLbl>
              <c:idx val="52"/>
              <c:layout>
                <c:manualLayout>
                  <c:x val="-4.1991519215159964E-2"/>
                  <c:y val="-2.6623843578382385E-2"/>
                </c:manualLayout>
              </c:layout>
              <c:tx>
                <c:rich>
                  <a:bodyPr/>
                  <a:lstStyle/>
                  <a:p>
                    <a:fld id="{6723DE79-00D6-4669-B78E-1A2ADD1528E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4302-4B77-BD47-11E0A04EE6F4}"/>
                </c:ext>
              </c:extLst>
            </c:dLbl>
            <c:dLbl>
              <c:idx val="53"/>
              <c:layout>
                <c:manualLayout>
                  <c:x val="-3.4653277036022813E-2"/>
                  <c:y val="-2.6838521442762952E-2"/>
                </c:manualLayout>
              </c:layout>
              <c:tx>
                <c:rich>
                  <a:bodyPr/>
                  <a:lstStyle/>
                  <a:p>
                    <a:fld id="{A8735B78-8882-4C72-9267-E4477A33DBD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9038-403A-ADF3-596B3D3D5D30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46C2EC4F-B0A9-4DDB-8B06-F1403AD85F6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4302-4B77-BD47-11E0A04EE6F4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8E81A313-7A76-432B-B7A0-E7A9333971E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4302-4B77-BD47-11E0A04EE6F4}"/>
                </c:ext>
              </c:extLst>
            </c:dLbl>
            <c:dLbl>
              <c:idx val="56"/>
              <c:layout>
                <c:manualLayout>
                  <c:x val="-3.6263420703937434E-2"/>
                  <c:y val="3.8319987859880049E-2"/>
                </c:manualLayout>
              </c:layout>
              <c:tx>
                <c:rich>
                  <a:bodyPr/>
                  <a:lstStyle/>
                  <a:p>
                    <a:fld id="{519639CD-D8D6-442E-8D7F-5CE85658C5F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4302-4B77-BD47-11E0A04EE6F4}"/>
                </c:ext>
              </c:extLst>
            </c:dLbl>
            <c:dLbl>
              <c:idx val="57"/>
              <c:layout>
                <c:manualLayout>
                  <c:x val="-3.660846741983332E-2"/>
                  <c:y val="4.1552231891730913E-2"/>
                </c:manualLayout>
              </c:layout>
              <c:tx>
                <c:rich>
                  <a:bodyPr/>
                  <a:lstStyle/>
                  <a:p>
                    <a:fld id="{164CB17B-C2A7-45E9-96FB-3DBFDBE8DED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9038-403A-ADF3-596B3D3D5D30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2F7C13B5-67FA-4EBE-BB22-D555F3BA743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4302-4B77-BD47-11E0A04EE6F4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B5C3DBB6-DDA2-45B0-A76E-DD638BEDAA0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4302-4B77-BD47-11E0A04EE6F4}"/>
                </c:ext>
              </c:extLst>
            </c:dLbl>
            <c:dLbl>
              <c:idx val="60"/>
              <c:layout>
                <c:manualLayout>
                  <c:x val="-2.2869748230183114E-2"/>
                  <c:y val="2.9804440626972704E-2"/>
                </c:manualLayout>
              </c:layout>
              <c:tx>
                <c:rich>
                  <a:bodyPr/>
                  <a:lstStyle/>
                  <a:p>
                    <a:fld id="{BAD9E317-8547-4F23-A8E6-BDD7ACDA674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4302-4B77-BD47-11E0A04EE6F4}"/>
                </c:ext>
              </c:extLst>
            </c:dLbl>
            <c:dLbl>
              <c:idx val="61"/>
              <c:layout>
                <c:manualLayout>
                  <c:x val="-3.2906386701662294E-2"/>
                  <c:y val="-4.1405846496030053E-2"/>
                </c:manualLayout>
              </c:layout>
              <c:tx>
                <c:rich>
                  <a:bodyPr/>
                  <a:lstStyle/>
                  <a:p>
                    <a:fld id="{5E1F36B8-35E9-47EE-8937-112A27DC7F3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2C3-4252-A4F2-D7E9703DCA50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BDB2AAAF-933D-4A66-9AF4-6F8CF04EC6A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4302-4B77-BD47-11E0A04EE6F4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5E677DF0-2663-46FB-90F0-2A4D239AC2D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4302-4B77-BD47-11E0A04EE6F4}"/>
                </c:ext>
              </c:extLst>
            </c:dLbl>
            <c:dLbl>
              <c:idx val="64"/>
              <c:layout>
                <c:manualLayout>
                  <c:x val="-1.9058123525152595E-2"/>
                  <c:y val="3.831999509182215E-2"/>
                </c:manualLayout>
              </c:layout>
              <c:tx>
                <c:rich>
                  <a:bodyPr/>
                  <a:lstStyle/>
                  <a:p>
                    <a:fld id="{DFE93442-89ED-4899-BC9D-9202D5787BB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4302-4B77-BD47-11E0A04EE6F4}"/>
                </c:ext>
              </c:extLst>
            </c:dLbl>
            <c:dLbl>
              <c:idx val="65"/>
              <c:layout>
                <c:manualLayout>
                  <c:x val="-2.8962988322111909E-2"/>
                  <c:y val="-3.1303455846280227E-2"/>
                </c:manualLayout>
              </c:layout>
              <c:tx>
                <c:rich>
                  <a:bodyPr/>
                  <a:lstStyle/>
                  <a:p>
                    <a:fld id="{D34C96D8-A7AB-4A71-A9B4-C0364CB152A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627-4683-A2BF-AE7D1C0C8082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622C5D89-2AC2-4BEB-B628-388B726347A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4302-4B77-BD47-11E0A04EE6F4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1228873A-6734-4A1B-8D6B-543B6C7858B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4302-4B77-BD47-11E0A04EE6F4}"/>
                </c:ext>
              </c:extLst>
            </c:dLbl>
            <c:dLbl>
              <c:idx val="68"/>
              <c:layout>
                <c:manualLayout>
                  <c:x val="-3.811624705030519E-2"/>
                  <c:y val="5.5351104021520887E-2"/>
                </c:manualLayout>
              </c:layout>
              <c:tx>
                <c:rich>
                  <a:bodyPr/>
                  <a:lstStyle/>
                  <a:p>
                    <a:fld id="{312E819B-3483-46B5-8178-A12A444782C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4302-4B77-BD47-11E0A04EE6F4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625F6CEF-0F15-4BE9-AC72-4A14DBBBECB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4302-4B77-BD47-11E0A04EE6F4}"/>
                </c:ext>
              </c:extLst>
            </c:dLbl>
            <c:dLbl>
              <c:idx val="70"/>
              <c:layout>
                <c:manualLayout>
                  <c:x val="-7.7231998174141281E-2"/>
                  <c:y val="9.5244021217609151E-3"/>
                </c:manualLayout>
              </c:layout>
              <c:tx>
                <c:rich>
                  <a:bodyPr/>
                  <a:lstStyle/>
                  <a:p>
                    <a:fld id="{CCE89641-F7ED-4D02-87B2-469C26327FB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011-4D50-9D9C-288CCDDC9978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AF4AAD0E-0356-469B-8665-C7C36F87ED0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4302-4B77-BD47-11E0A04EE6F4}"/>
                </c:ext>
              </c:extLst>
            </c:dLbl>
            <c:dLbl>
              <c:idx val="72"/>
              <c:layout>
                <c:manualLayout>
                  <c:x val="-3.2412502884090144E-2"/>
                  <c:y val="-3.416905286063221E-2"/>
                </c:manualLayout>
              </c:layout>
              <c:tx>
                <c:rich>
                  <a:bodyPr/>
                  <a:lstStyle/>
                  <a:p>
                    <a:fld id="{FAA01AD7-0CD8-4DEC-A94A-5A94E5CFB76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4302-4B77-BD47-11E0A04EE6F4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5BBDCF17-FB22-4FA7-BD7E-719429C0CE4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4302-4B77-BD47-11E0A04EE6F4}"/>
                </c:ext>
              </c:extLst>
            </c:dLbl>
            <c:dLbl>
              <c:idx val="74"/>
              <c:layout>
                <c:manualLayout>
                  <c:x val="-5.6002424029886311E-2"/>
                  <c:y val="-4.0936347138967898E-2"/>
                </c:manualLayout>
              </c:layout>
              <c:tx>
                <c:rich>
                  <a:bodyPr/>
                  <a:lstStyle/>
                  <a:p>
                    <a:fld id="{71CE7B9A-1AE9-47AA-9D1B-1680E3B7156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BB7-4015-BA34-BE97AC013623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B8648C6C-50F6-47D7-BE6F-7D6E537F19B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4302-4B77-BD47-11E0A04EE6F4}"/>
                </c:ext>
              </c:extLst>
            </c:dLbl>
            <c:dLbl>
              <c:idx val="76"/>
              <c:layout>
                <c:manualLayout>
                  <c:x val="-4.0166412746262127E-2"/>
                  <c:y val="1.7245095925846089E-2"/>
                </c:manualLayout>
              </c:layout>
              <c:tx>
                <c:rich>
                  <a:bodyPr/>
                  <a:lstStyle/>
                  <a:p>
                    <a:fld id="{534D07BB-4CC6-48AE-8FB3-C667C46689B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4302-4B77-BD47-11E0A04EE6F4}"/>
                </c:ext>
              </c:extLst>
            </c:dLbl>
            <c:dLbl>
              <c:idx val="77"/>
              <c:layout>
                <c:manualLayout>
                  <c:x val="-3.6700056446906423E-2"/>
                  <c:y val="-3.2456601198171051E-2"/>
                </c:manualLayout>
              </c:layout>
              <c:tx>
                <c:rich>
                  <a:bodyPr/>
                  <a:lstStyle/>
                  <a:p>
                    <a:fld id="{870251CF-70F1-44EF-884D-5B9B6D261B0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663-4032-A485-FD324832259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50C219BC-DAD4-42CD-84A9-C812334701D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4302-4B77-BD47-11E0A04EE6F4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402B3338-8EEF-4A60-A40F-B546CD9B7F1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4302-4B77-BD47-11E0A04EE6F4}"/>
                </c:ext>
              </c:extLst>
            </c:dLbl>
            <c:dLbl>
              <c:idx val="80"/>
              <c:layout>
                <c:manualLayout>
                  <c:x val="-3.0602981140009242E-2"/>
                  <c:y val="-3.8801465833153699E-2"/>
                </c:manualLayout>
              </c:layout>
              <c:tx>
                <c:rich>
                  <a:bodyPr/>
                  <a:lstStyle/>
                  <a:p>
                    <a:fld id="{AD0677DE-F2BB-47F4-8C1B-68EBD3354EA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4302-4B77-BD47-11E0A04EE6F4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C25C9ED2-E338-4B48-962B-B94A9676B92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4302-4B77-BD47-11E0A04EE6F4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36EE27A7-1C0A-400F-8CE8-666644B5E4A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4302-4B77-BD47-11E0A04EE6F4}"/>
                </c:ext>
              </c:extLst>
            </c:dLbl>
            <c:dLbl>
              <c:idx val="83"/>
              <c:layout>
                <c:manualLayout>
                  <c:x val="-3.0657114979747071E-2"/>
                  <c:y val="-3.68419032973748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rgbClr val="70AD47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095F139-DA91-4D1B-9BC6-F57F17C033C7}" type="CELLRANGE">
                      <a:rPr lang="en-US"/>
                      <a:pPr>
                        <a:defRPr sz="800" b="1" i="0" u="none" strike="noStrike" kern="1200" baseline="0">
                          <a:solidFill>
                            <a:srgbClr val="70AD47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s-VE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125227862146365E-2"/>
                      <c:h val="6.674381364801081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1A1-4999-AB5B-4D50BC0E78BC}"/>
                </c:ext>
              </c:extLst>
            </c:dLbl>
            <c:dLbl>
              <c:idx val="84"/>
              <c:layout>
                <c:manualLayout>
                  <c:x val="-3.0602981140009242E-2"/>
                  <c:y val="2.586764388876913E-2"/>
                </c:manualLayout>
              </c:layout>
              <c:tx>
                <c:rich>
                  <a:bodyPr/>
                  <a:lstStyle/>
                  <a:p>
                    <a:fld id="{34F6522C-9595-4C2A-8213-95E78273379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4302-4B77-BD47-11E0A04EE6F4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EBE33E66-00DF-4F24-9B73-A0F51DC766D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4302-4B77-BD47-11E0A04EE6F4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E5791900-D71E-49EF-A6AD-372C606ED57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4302-4B77-BD47-11E0A04EE6F4}"/>
                </c:ext>
              </c:extLst>
            </c:dLbl>
            <c:dLbl>
              <c:idx val="87"/>
              <c:layout>
                <c:manualLayout>
                  <c:x val="-4.4366023184082365E-2"/>
                  <c:y val="2.118858952929599E-2"/>
                </c:manualLayout>
              </c:layout>
              <c:tx>
                <c:rich>
                  <a:bodyPr/>
                  <a:lstStyle/>
                  <a:p>
                    <a:fld id="{EB642E31-E482-43F2-A6AE-1C94F72B89D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DAD-45E1-AF8E-27F28BD29F17}"/>
                </c:ext>
              </c:extLst>
            </c:dLbl>
            <c:dLbl>
              <c:idx val="88"/>
              <c:layout>
                <c:manualLayout>
                  <c:x val="-2.1039549533756353E-2"/>
                  <c:y val="-3.0178917870230654E-2"/>
                </c:manualLayout>
              </c:layout>
              <c:tx>
                <c:rich>
                  <a:bodyPr/>
                  <a:lstStyle/>
                  <a:p>
                    <a:fld id="{825D0EC1-0B83-4628-B285-AC47D3A4409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4302-4B77-BD47-11E0A04EE6F4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915A0D33-4D8D-486B-9407-A90DDFA81E9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4302-4B77-BD47-11E0A04EE6F4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5D506A09-680C-463B-A8C5-3800310B725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4302-4B77-BD47-11E0A04EE6F4}"/>
                </c:ext>
              </c:extLst>
            </c:dLbl>
            <c:dLbl>
              <c:idx val="91"/>
              <c:layout>
                <c:manualLayout>
                  <c:x val="-2.4882781567566722E-2"/>
                  <c:y val="-3.4965018440219243E-2"/>
                </c:manualLayout>
              </c:layout>
              <c:tx>
                <c:rich>
                  <a:bodyPr/>
                  <a:lstStyle/>
                  <a:p>
                    <a:fld id="{B51242F8-2680-4F5E-9031-84C9EE65F6E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D64-419A-B187-BE71B6609AC9}"/>
                </c:ext>
              </c:extLst>
            </c:dLbl>
            <c:dLbl>
              <c:idx val="92"/>
              <c:layout>
                <c:manualLayout>
                  <c:x val="-2.1039549533756353E-2"/>
                  <c:y val="1.7245095925846089E-2"/>
                </c:manualLayout>
              </c:layout>
              <c:tx>
                <c:rich>
                  <a:bodyPr/>
                  <a:lstStyle/>
                  <a:p>
                    <a:fld id="{5FD1DC59-13CB-4750-A855-404A640E0F8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4302-4B77-BD47-11E0A04EE6F4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FCBDEFF8-E32D-4FD1-8145-E92509A3054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4302-4B77-BD47-11E0A04EE6F4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4F82020A-3130-4B2C-8D6C-A95A4546088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4302-4B77-BD47-11E0A04EE6F4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F5FE1084-E5E5-4FB6-A249-DD6AD399598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38A-432B-B4DC-5C95C99B819A}"/>
                </c:ext>
              </c:extLst>
            </c:dLbl>
            <c:dLbl>
              <c:idx val="96"/>
              <c:layout>
                <c:manualLayout>
                  <c:x val="-1.5301490570004761E-2"/>
                  <c:y val="-4.3112739814615296E-2"/>
                </c:manualLayout>
              </c:layout>
              <c:tx>
                <c:rich>
                  <a:bodyPr/>
                  <a:lstStyle/>
                  <a:p>
                    <a:fld id="{D327B24D-E7FA-49ED-971E-63E7D15EB51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4302-4B77-BD47-11E0A04EE6F4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EB1C202C-6E79-421A-8091-2824443259B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E1E-48D3-A09B-CB4D05E5A0C5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4B43FF13-288A-4404-91FC-B14B5FB818C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E1E-48D3-A09B-CB4D05E5A0C5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A5CA0034-8C4B-4A79-BD11-161AE62224F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E1E-48D3-A09B-CB4D05E5A0C5}"/>
                </c:ext>
              </c:extLst>
            </c:dLbl>
            <c:dLbl>
              <c:idx val="100"/>
              <c:layout>
                <c:manualLayout>
                  <c:x val="-3.7128677408170462E-2"/>
                  <c:y val="2.6899486862882124E-2"/>
                </c:manualLayout>
              </c:layout>
              <c:tx>
                <c:rich>
                  <a:bodyPr/>
                  <a:lstStyle/>
                  <a:p>
                    <a:fld id="{4B8606C1-05F6-40E5-80EF-6A302F5B41F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866465660631293E-2"/>
                      <c:h val="6.094812327542043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E1E-48D3-A09B-CB4D05E5A0C5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0B655849-BB6F-4627-8EA8-359B737EC4E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A4C-407D-B192-35789B62E684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60FE3397-8D37-456B-AC48-51404784B8F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A4C-407D-B192-35789B62E684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906707E7-EE4E-4BB2-A2C7-0A0372DCDAB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A4C-407D-B192-35789B62E684}"/>
                </c:ext>
              </c:extLst>
            </c:dLbl>
            <c:dLbl>
              <c:idx val="104"/>
              <c:layout>
                <c:manualLayout>
                  <c:x val="-1.1469536639750885E-2"/>
                  <c:y val="-8.6371554786599351E-3"/>
                </c:manualLayout>
              </c:layout>
              <c:tx>
                <c:rich>
                  <a:bodyPr/>
                  <a:lstStyle/>
                  <a:p>
                    <a:fld id="{A119CDF6-66C4-4E3A-8E0F-8A2EA462655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A7A-4E8D-9B3A-85873BAA683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70AD47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100'!$I$4:$EI$4</c:f>
              <c:strCache>
                <c:ptCount val="131"/>
                <c:pt idx="0">
                  <c:v>01/07/24</c:v>
                </c:pt>
                <c:pt idx="1">
                  <c:v>08/07/24</c:v>
                </c:pt>
                <c:pt idx="2">
                  <c:v>15/07/24</c:v>
                </c:pt>
                <c:pt idx="3">
                  <c:v>22/07/24</c:v>
                </c:pt>
                <c:pt idx="4">
                  <c:v>29/07/24</c:v>
                </c:pt>
                <c:pt idx="5">
                  <c:v>05/08/24</c:v>
                </c:pt>
                <c:pt idx="6">
                  <c:v>12/08/24</c:v>
                </c:pt>
                <c:pt idx="7">
                  <c:v>19/08/24</c:v>
                </c:pt>
                <c:pt idx="8">
                  <c:v>26/08/24</c:v>
                </c:pt>
                <c:pt idx="9">
                  <c:v>02/09/24</c:v>
                </c:pt>
                <c:pt idx="10">
                  <c:v>09/09/24</c:v>
                </c:pt>
                <c:pt idx="11">
                  <c:v>16/09/24</c:v>
                </c:pt>
                <c:pt idx="12">
                  <c:v>23/09/24</c:v>
                </c:pt>
                <c:pt idx="13">
                  <c:v>30/09/24</c:v>
                </c:pt>
                <c:pt idx="14">
                  <c:v>07/10/24</c:v>
                </c:pt>
                <c:pt idx="15">
                  <c:v>14/10/24</c:v>
                </c:pt>
                <c:pt idx="16">
                  <c:v>21/10/24</c:v>
                </c:pt>
                <c:pt idx="17">
                  <c:v>28/10/24</c:v>
                </c:pt>
                <c:pt idx="18">
                  <c:v>04/11/24</c:v>
                </c:pt>
                <c:pt idx="19">
                  <c:v>11/11/24</c:v>
                </c:pt>
                <c:pt idx="20">
                  <c:v>18/11/24</c:v>
                </c:pt>
                <c:pt idx="21">
                  <c:v>25/11/24</c:v>
                </c:pt>
                <c:pt idx="22">
                  <c:v>02/12/24</c:v>
                </c:pt>
                <c:pt idx="23">
                  <c:v>09/12/24</c:v>
                </c:pt>
                <c:pt idx="24">
                  <c:v>16/12/24</c:v>
                </c:pt>
                <c:pt idx="25">
                  <c:v>23/12/24</c:v>
                </c:pt>
                <c:pt idx="26">
                  <c:v>30/12/24</c:v>
                </c:pt>
                <c:pt idx="27">
                  <c:v>06/01/25</c:v>
                </c:pt>
                <c:pt idx="28">
                  <c:v>13/01/25</c:v>
                </c:pt>
                <c:pt idx="29">
                  <c:v>20/01/25</c:v>
                </c:pt>
                <c:pt idx="30">
                  <c:v>27/01/25</c:v>
                </c:pt>
                <c:pt idx="31">
                  <c:v>03/02/25</c:v>
                </c:pt>
                <c:pt idx="32">
                  <c:v>10/02/25</c:v>
                </c:pt>
                <c:pt idx="33">
                  <c:v>17/02/25</c:v>
                </c:pt>
                <c:pt idx="34">
                  <c:v>24/02/25</c:v>
                </c:pt>
                <c:pt idx="35">
                  <c:v>03/03/25</c:v>
                </c:pt>
                <c:pt idx="36">
                  <c:v>10/03/25</c:v>
                </c:pt>
                <c:pt idx="37">
                  <c:v>17/03/25</c:v>
                </c:pt>
                <c:pt idx="38">
                  <c:v>24/03/25</c:v>
                </c:pt>
                <c:pt idx="39">
                  <c:v>31/03/25</c:v>
                </c:pt>
                <c:pt idx="40">
                  <c:v>07/04/25</c:v>
                </c:pt>
                <c:pt idx="41">
                  <c:v>14/04/25</c:v>
                </c:pt>
                <c:pt idx="42">
                  <c:v>21/04/25</c:v>
                </c:pt>
                <c:pt idx="43">
                  <c:v>28/04/25</c:v>
                </c:pt>
                <c:pt idx="44">
                  <c:v>05/05/25</c:v>
                </c:pt>
                <c:pt idx="45">
                  <c:v>12/05/25</c:v>
                </c:pt>
                <c:pt idx="46">
                  <c:v>19/05/25</c:v>
                </c:pt>
                <c:pt idx="47">
                  <c:v>26/05/25</c:v>
                </c:pt>
                <c:pt idx="48">
                  <c:v>02/06/25</c:v>
                </c:pt>
                <c:pt idx="49">
                  <c:v>09/06/25</c:v>
                </c:pt>
                <c:pt idx="50">
                  <c:v>16/06/25</c:v>
                </c:pt>
                <c:pt idx="51">
                  <c:v>23/06/25</c:v>
                </c:pt>
                <c:pt idx="52">
                  <c:v>30/06/25</c:v>
                </c:pt>
                <c:pt idx="53">
                  <c:v>07/07/25</c:v>
                </c:pt>
                <c:pt idx="54">
                  <c:v>14/07/25</c:v>
                </c:pt>
                <c:pt idx="55">
                  <c:v>21/07/25</c:v>
                </c:pt>
                <c:pt idx="56">
                  <c:v>28/07/25</c:v>
                </c:pt>
                <c:pt idx="57">
                  <c:v>04/08/25</c:v>
                </c:pt>
                <c:pt idx="58">
                  <c:v>11/08/25</c:v>
                </c:pt>
                <c:pt idx="59">
                  <c:v>18/08/25</c:v>
                </c:pt>
                <c:pt idx="60">
                  <c:v>25/08/25</c:v>
                </c:pt>
                <c:pt idx="61">
                  <c:v>01/09/25</c:v>
                </c:pt>
                <c:pt idx="62">
                  <c:v>08/09/25</c:v>
                </c:pt>
                <c:pt idx="63">
                  <c:v>15/09/25</c:v>
                </c:pt>
                <c:pt idx="64">
                  <c:v>22/09/25</c:v>
                </c:pt>
                <c:pt idx="65">
                  <c:v>29/09/25</c:v>
                </c:pt>
                <c:pt idx="66">
                  <c:v>06/10/25</c:v>
                </c:pt>
                <c:pt idx="67">
                  <c:v>13/10/25</c:v>
                </c:pt>
                <c:pt idx="68">
                  <c:v>20/10/25</c:v>
                </c:pt>
                <c:pt idx="69">
                  <c:v>27/10/25</c:v>
                </c:pt>
                <c:pt idx="70">
                  <c:v>03/11/25</c:v>
                </c:pt>
                <c:pt idx="71">
                  <c:v>10/11/25</c:v>
                </c:pt>
                <c:pt idx="72">
                  <c:v>17/11/25</c:v>
                </c:pt>
                <c:pt idx="73">
                  <c:v>24/11/25</c:v>
                </c:pt>
                <c:pt idx="74">
                  <c:v>01/12/25</c:v>
                </c:pt>
                <c:pt idx="75">
                  <c:v>08/12/25</c:v>
                </c:pt>
                <c:pt idx="76">
                  <c:v>15/12/25</c:v>
                </c:pt>
                <c:pt idx="77">
                  <c:v>22/12/25</c:v>
                </c:pt>
                <c:pt idx="78">
                  <c:v>29/12/25</c:v>
                </c:pt>
                <c:pt idx="79">
                  <c:v>05/01/26</c:v>
                </c:pt>
                <c:pt idx="80">
                  <c:v>12/01/26</c:v>
                </c:pt>
                <c:pt idx="81">
                  <c:v>19/01/26</c:v>
                </c:pt>
                <c:pt idx="82">
                  <c:v>26/01/26</c:v>
                </c:pt>
                <c:pt idx="83">
                  <c:v>02/02/26</c:v>
                </c:pt>
                <c:pt idx="84">
                  <c:v>09/02/26</c:v>
                </c:pt>
                <c:pt idx="85">
                  <c:v>16/02/26</c:v>
                </c:pt>
                <c:pt idx="86">
                  <c:v>23/02/26</c:v>
                </c:pt>
                <c:pt idx="87">
                  <c:v>02/03/26</c:v>
                </c:pt>
                <c:pt idx="88">
                  <c:v>09/03/26</c:v>
                </c:pt>
                <c:pt idx="89">
                  <c:v>16/03/26</c:v>
                </c:pt>
                <c:pt idx="90">
                  <c:v>23/03/26</c:v>
                </c:pt>
                <c:pt idx="91">
                  <c:v>30/03/26</c:v>
                </c:pt>
                <c:pt idx="92">
                  <c:v>06/04/26</c:v>
                </c:pt>
                <c:pt idx="93">
                  <c:v>13/04/26</c:v>
                </c:pt>
                <c:pt idx="94">
                  <c:v>20/04/26</c:v>
                </c:pt>
                <c:pt idx="95">
                  <c:v>27/04/26</c:v>
                </c:pt>
                <c:pt idx="96">
                  <c:v>04/05/26</c:v>
                </c:pt>
                <c:pt idx="97">
                  <c:v>11/05/26</c:v>
                </c:pt>
                <c:pt idx="98">
                  <c:v>18/05/26</c:v>
                </c:pt>
                <c:pt idx="99">
                  <c:v>25/05/26</c:v>
                </c:pt>
                <c:pt idx="100">
                  <c:v>01/06/26</c:v>
                </c:pt>
                <c:pt idx="101">
                  <c:v>08/06/26</c:v>
                </c:pt>
                <c:pt idx="102">
                  <c:v>15/06/26</c:v>
                </c:pt>
                <c:pt idx="103">
                  <c:v>22/06/26</c:v>
                </c:pt>
                <c:pt idx="104">
                  <c:v>29/06/26</c:v>
                </c:pt>
                <c:pt idx="105">
                  <c:v>06/07/26</c:v>
                </c:pt>
                <c:pt idx="106">
                  <c:v>13/07/26</c:v>
                </c:pt>
                <c:pt idx="107">
                  <c:v>20/07/26</c:v>
                </c:pt>
                <c:pt idx="108">
                  <c:v>27/07/26</c:v>
                </c:pt>
                <c:pt idx="109">
                  <c:v>03/08/26</c:v>
                </c:pt>
                <c:pt idx="110">
                  <c:v>10/08/26</c:v>
                </c:pt>
                <c:pt idx="111">
                  <c:v>17/08/26</c:v>
                </c:pt>
                <c:pt idx="112">
                  <c:v>24/08/26</c:v>
                </c:pt>
                <c:pt idx="113">
                  <c:v>31/08/26</c:v>
                </c:pt>
                <c:pt idx="114">
                  <c:v>07/09/26</c:v>
                </c:pt>
                <c:pt idx="115">
                  <c:v>14/09/26</c:v>
                </c:pt>
                <c:pt idx="116">
                  <c:v>21/09/26</c:v>
                </c:pt>
                <c:pt idx="117">
                  <c:v>28/09/26</c:v>
                </c:pt>
                <c:pt idx="118">
                  <c:v>05/10/26</c:v>
                </c:pt>
                <c:pt idx="119">
                  <c:v>12/10/26</c:v>
                </c:pt>
                <c:pt idx="120">
                  <c:v>19/10/26</c:v>
                </c:pt>
                <c:pt idx="121">
                  <c:v>26/10/26</c:v>
                </c:pt>
                <c:pt idx="122">
                  <c:v>02/11/26</c:v>
                </c:pt>
                <c:pt idx="123">
                  <c:v>09/11/26</c:v>
                </c:pt>
                <c:pt idx="124">
                  <c:v>16/11/26</c:v>
                </c:pt>
                <c:pt idx="125">
                  <c:v>23/11/26</c:v>
                </c:pt>
                <c:pt idx="126">
                  <c:v>30/11/26</c:v>
                </c:pt>
                <c:pt idx="127">
                  <c:v>07/12/26</c:v>
                </c:pt>
                <c:pt idx="128">
                  <c:v>14/12/26</c:v>
                </c:pt>
                <c:pt idx="129">
                  <c:v>21/12/26</c:v>
                </c:pt>
                <c:pt idx="130">
                  <c:v>28/12/26</c:v>
                </c:pt>
              </c:strCache>
            </c:strRef>
          </c:cat>
          <c:val>
            <c:numRef>
              <c:f>'Avance 100'!$I$144:$DI$144</c:f>
              <c:numCache>
                <c:formatCode>0.0%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-5.4553709452032084E-4</c:v>
                </c:pt>
                <c:pt idx="31">
                  <c:v>7.9376061715774604E-4</c:v>
                </c:pt>
                <c:pt idx="32">
                  <c:v>1.0630968315981815E-2</c:v>
                </c:pt>
                <c:pt idx="33">
                  <c:v>2.5903572109516881E-2</c:v>
                </c:pt>
                <c:pt idx="34">
                  <c:v>2.8381403655421411E-2</c:v>
                </c:pt>
                <c:pt idx="35">
                  <c:v>2.8553194740161214E-2</c:v>
                </c:pt>
                <c:pt idx="36">
                  <c:v>1.5326064303715747E-2</c:v>
                </c:pt>
                <c:pt idx="37">
                  <c:v>2.3757850205382902E-2</c:v>
                </c:pt>
                <c:pt idx="38">
                  <c:v>5.3226424397385674E-3</c:v>
                </c:pt>
                <c:pt idx="39">
                  <c:v>-5.0733845824570967E-3</c:v>
                </c:pt>
                <c:pt idx="40">
                  <c:v>-2.6466871743318299E-2</c:v>
                </c:pt>
                <c:pt idx="41">
                  <c:v>-5.052558081241576E-2</c:v>
                </c:pt>
                <c:pt idx="42">
                  <c:v>-0.1033700480324361</c:v>
                </c:pt>
                <c:pt idx="43">
                  <c:v>-0.13788137009615742</c:v>
                </c:pt>
                <c:pt idx="44">
                  <c:v>-0.17131619758836569</c:v>
                </c:pt>
                <c:pt idx="45">
                  <c:v>1.0954960065678199E-2</c:v>
                </c:pt>
                <c:pt idx="46">
                  <c:v>1.2921301762205406E-2</c:v>
                </c:pt>
                <c:pt idx="47">
                  <c:v>1.4279907611695619E-2</c:v>
                </c:pt>
                <c:pt idx="48">
                  <c:v>1.9657358142422088E-2</c:v>
                </c:pt>
                <c:pt idx="49">
                  <c:v>1.8089859467877001E-2</c:v>
                </c:pt>
                <c:pt idx="50">
                  <c:v>2.0990646347112674E-2</c:v>
                </c:pt>
                <c:pt idx="51">
                  <c:v>2.6097773487809728E-2</c:v>
                </c:pt>
                <c:pt idx="52">
                  <c:v>3.3217139052891698E-2</c:v>
                </c:pt>
                <c:pt idx="53">
                  <c:v>3.7807386496597539E-2</c:v>
                </c:pt>
                <c:pt idx="54">
                  <c:v>3.7055423210341387E-2</c:v>
                </c:pt>
                <c:pt idx="55">
                  <c:v>3.4839514484522938E-2</c:v>
                </c:pt>
                <c:pt idx="56">
                  <c:v>3.3287541967979228E-2</c:v>
                </c:pt>
                <c:pt idx="57">
                  <c:v>2.7314479876014319E-2</c:v>
                </c:pt>
                <c:pt idx="58">
                  <c:v>2.6176377282132735E-2</c:v>
                </c:pt>
                <c:pt idx="59">
                  <c:v>2.3052103832392534E-2</c:v>
                </c:pt>
                <c:pt idx="60">
                  <c:v>1.6733057988007838E-2</c:v>
                </c:pt>
                <c:pt idx="61">
                  <c:v>9.7074487373561835E-3</c:v>
                </c:pt>
                <c:pt idx="62">
                  <c:v>1.8198072599199255E-3</c:v>
                </c:pt>
                <c:pt idx="63">
                  <c:v>-6.2101081680592252E-3</c:v>
                </c:pt>
                <c:pt idx="64">
                  <c:v>-1.0696302139953873E-2</c:v>
                </c:pt>
                <c:pt idx="65">
                  <c:v>-2.2509935789507995E-2</c:v>
                </c:pt>
                <c:pt idx="66">
                  <c:v>-3.1964965199201445E-2</c:v>
                </c:pt>
                <c:pt idx="67">
                  <c:v>-5.0881305483767569E-2</c:v>
                </c:pt>
                <c:pt idx="68">
                  <c:v>-6.9869379299171031E-2</c:v>
                </c:pt>
                <c:pt idx="69">
                  <c:v>-9.15620139741401E-2</c:v>
                </c:pt>
                <c:pt idx="70">
                  <c:v>-0.11147295034942595</c:v>
                </c:pt>
                <c:pt idx="71">
                  <c:v>-0.12164756159369405</c:v>
                </c:pt>
                <c:pt idx="72">
                  <c:v>-0.12434666933182725</c:v>
                </c:pt>
                <c:pt idx="73">
                  <c:v>-0.13328058417149524</c:v>
                </c:pt>
                <c:pt idx="74">
                  <c:v>-0.13454883045433808</c:v>
                </c:pt>
                <c:pt idx="75">
                  <c:v>-0.15183049448560837</c:v>
                </c:pt>
                <c:pt idx="76">
                  <c:v>-0.15336965841498806</c:v>
                </c:pt>
                <c:pt idx="77">
                  <c:v>-0.15475394875782078</c:v>
                </c:pt>
                <c:pt idx="78">
                  <c:v>-0.16347094455797873</c:v>
                </c:pt>
                <c:pt idx="79">
                  <c:v>-0.16344764879121665</c:v>
                </c:pt>
                <c:pt idx="80">
                  <c:v>-0.16343600090783572</c:v>
                </c:pt>
                <c:pt idx="81">
                  <c:v>-0.16343600090783572</c:v>
                </c:pt>
                <c:pt idx="82">
                  <c:v>-0.16214906184276512</c:v>
                </c:pt>
                <c:pt idx="83">
                  <c:v>-0.1613111379277381</c:v>
                </c:pt>
                <c:pt idx="84">
                  <c:v>-0.1613111379277381</c:v>
                </c:pt>
                <c:pt idx="85">
                  <c:v>-0.16071345664098358</c:v>
                </c:pt>
                <c:pt idx="86">
                  <c:v>-0.16071345664098358</c:v>
                </c:pt>
                <c:pt idx="87">
                  <c:v>-0.15679961065630521</c:v>
                </c:pt>
                <c:pt idx="88">
                  <c:v>-0.15637683576846273</c:v>
                </c:pt>
                <c:pt idx="89">
                  <c:v>-0.15550119550048125</c:v>
                </c:pt>
                <c:pt idx="90">
                  <c:v>-0.15380852509619791</c:v>
                </c:pt>
                <c:pt idx="91">
                  <c:v>-0.1533144820659148</c:v>
                </c:pt>
                <c:pt idx="92">
                  <c:v>-0.1533144820659148</c:v>
                </c:pt>
                <c:pt idx="93">
                  <c:v>-0.15225970069960981</c:v>
                </c:pt>
                <c:pt idx="94">
                  <c:v>-0.15130083951407114</c:v>
                </c:pt>
                <c:pt idx="95">
                  <c:v>-0.1504419269295646</c:v>
                </c:pt>
                <c:pt idx="96">
                  <c:v>-0.14997290382291351</c:v>
                </c:pt>
                <c:pt idx="97">
                  <c:v>-0.14948012214385875</c:v>
                </c:pt>
                <c:pt idx="98">
                  <c:v>-0.14872483193386699</c:v>
                </c:pt>
                <c:pt idx="99">
                  <c:v>-0.14835633734794629</c:v>
                </c:pt>
                <c:pt idx="100">
                  <c:v>-0.13841117471728592</c:v>
                </c:pt>
                <c:pt idx="101">
                  <c:v>-0.13804268013136523</c:v>
                </c:pt>
                <c:pt idx="102">
                  <c:v>-0.13777703034080924</c:v>
                </c:pt>
                <c:pt idx="103">
                  <c:v>-0.13707687837660654</c:v>
                </c:pt>
                <c:pt idx="104">
                  <c:v>-0.13648475005802863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100'!$I$146:$DI$146</c15:f>
                <c15:dlblRangeCache>
                  <c:ptCount val="105"/>
                  <c:pt idx="0">
                    <c:v>0,0%</c:v>
                  </c:pt>
                  <c:pt idx="4">
                    <c:v>0,0%</c:v>
                  </c:pt>
                  <c:pt idx="8">
                    <c:v>0,0%</c:v>
                  </c:pt>
                  <c:pt idx="12">
                    <c:v>0,0%</c:v>
                  </c:pt>
                  <c:pt idx="16">
                    <c:v>0,0%</c:v>
                  </c:pt>
                  <c:pt idx="20">
                    <c:v>0,0%</c:v>
                  </c:pt>
                  <c:pt idx="24">
                    <c:v>0,0%</c:v>
                  </c:pt>
                  <c:pt idx="28">
                    <c:v>0,0%</c:v>
                  </c:pt>
                  <c:pt idx="32">
                    <c:v>1,1%</c:v>
                  </c:pt>
                  <c:pt idx="36">
                    <c:v>1,5%</c:v>
                  </c:pt>
                  <c:pt idx="40">
                    <c:v>-2,6%</c:v>
                  </c:pt>
                  <c:pt idx="44">
                    <c:v>-17,1%</c:v>
                  </c:pt>
                  <c:pt idx="48">
                    <c:v>2,0%</c:v>
                  </c:pt>
                  <c:pt idx="52">
                    <c:v>3,3%</c:v>
                  </c:pt>
                  <c:pt idx="56">
                    <c:v>3,3%</c:v>
                  </c:pt>
                  <c:pt idx="60">
                    <c:v>1,7%</c:v>
                  </c:pt>
                  <c:pt idx="64">
                    <c:v>-1,1%</c:v>
                  </c:pt>
                  <c:pt idx="68">
                    <c:v>-7,0%</c:v>
                  </c:pt>
                  <c:pt idx="72">
                    <c:v>-12,4%</c:v>
                  </c:pt>
                  <c:pt idx="76">
                    <c:v>-15,3%</c:v>
                  </c:pt>
                  <c:pt idx="80">
                    <c:v>-16,3%</c:v>
                  </c:pt>
                  <c:pt idx="84">
                    <c:v>-16,1%</c:v>
                  </c:pt>
                  <c:pt idx="88">
                    <c:v>-15,6%</c:v>
                  </c:pt>
                  <c:pt idx="92">
                    <c:v>-15,3%</c:v>
                  </c:pt>
                  <c:pt idx="96">
                    <c:v>-15,0%</c:v>
                  </c:pt>
                  <c:pt idx="100">
                    <c:v>-13,8%</c:v>
                  </c:pt>
                  <c:pt idx="104">
                    <c:v>-13,6%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F-9038-403A-ADF3-596B3D3D5D30}"/>
            </c:ext>
          </c:extLst>
        </c:ser>
        <c:ser>
          <c:idx val="4"/>
          <c:order val="4"/>
          <c:tx>
            <c:v>Líneas Guía</c:v>
          </c:tx>
          <c:marker>
            <c:symbol val="none"/>
          </c:marker>
          <c:errBars>
            <c:errDir val="y"/>
            <c:errBarType val="minus"/>
            <c:errValType val="fixedVal"/>
            <c:noEndCap val="0"/>
            <c:val val="1.1000000000000001"/>
            <c:spPr>
              <a:ln>
                <a:solidFill>
                  <a:schemeClr val="tx1"/>
                </a:solidFill>
                <a:prstDash val="lgDashDotDot"/>
              </a:ln>
            </c:spPr>
          </c:errBars>
          <c:cat>
            <c:strRef>
              <c:f>'Plan 100'!$I$4:$EI$4</c:f>
              <c:strCache>
                <c:ptCount val="131"/>
                <c:pt idx="0">
                  <c:v>01/07/24</c:v>
                </c:pt>
                <c:pt idx="1">
                  <c:v>08/07/24</c:v>
                </c:pt>
                <c:pt idx="2">
                  <c:v>15/07/24</c:v>
                </c:pt>
                <c:pt idx="3">
                  <c:v>22/07/24</c:v>
                </c:pt>
                <c:pt idx="4">
                  <c:v>29/07/24</c:v>
                </c:pt>
                <c:pt idx="5">
                  <c:v>05/08/24</c:v>
                </c:pt>
                <c:pt idx="6">
                  <c:v>12/08/24</c:v>
                </c:pt>
                <c:pt idx="7">
                  <c:v>19/08/24</c:v>
                </c:pt>
                <c:pt idx="8">
                  <c:v>26/08/24</c:v>
                </c:pt>
                <c:pt idx="9">
                  <c:v>02/09/24</c:v>
                </c:pt>
                <c:pt idx="10">
                  <c:v>09/09/24</c:v>
                </c:pt>
                <c:pt idx="11">
                  <c:v>16/09/24</c:v>
                </c:pt>
                <c:pt idx="12">
                  <c:v>23/09/24</c:v>
                </c:pt>
                <c:pt idx="13">
                  <c:v>30/09/24</c:v>
                </c:pt>
                <c:pt idx="14">
                  <c:v>07/10/24</c:v>
                </c:pt>
                <c:pt idx="15">
                  <c:v>14/10/24</c:v>
                </c:pt>
                <c:pt idx="16">
                  <c:v>21/10/24</c:v>
                </c:pt>
                <c:pt idx="17">
                  <c:v>28/10/24</c:v>
                </c:pt>
                <c:pt idx="18">
                  <c:v>04/11/24</c:v>
                </c:pt>
                <c:pt idx="19">
                  <c:v>11/11/24</c:v>
                </c:pt>
                <c:pt idx="20">
                  <c:v>18/11/24</c:v>
                </c:pt>
                <c:pt idx="21">
                  <c:v>25/11/24</c:v>
                </c:pt>
                <c:pt idx="22">
                  <c:v>02/12/24</c:v>
                </c:pt>
                <c:pt idx="23">
                  <c:v>09/12/24</c:v>
                </c:pt>
                <c:pt idx="24">
                  <c:v>16/12/24</c:v>
                </c:pt>
                <c:pt idx="25">
                  <c:v>23/12/24</c:v>
                </c:pt>
                <c:pt idx="26">
                  <c:v>30/12/24</c:v>
                </c:pt>
                <c:pt idx="27">
                  <c:v>06/01/25</c:v>
                </c:pt>
                <c:pt idx="28">
                  <c:v>13/01/25</c:v>
                </c:pt>
                <c:pt idx="29">
                  <c:v>20/01/25</c:v>
                </c:pt>
                <c:pt idx="30">
                  <c:v>27/01/25</c:v>
                </c:pt>
                <c:pt idx="31">
                  <c:v>03/02/25</c:v>
                </c:pt>
                <c:pt idx="32">
                  <c:v>10/02/25</c:v>
                </c:pt>
                <c:pt idx="33">
                  <c:v>17/02/25</c:v>
                </c:pt>
                <c:pt idx="34">
                  <c:v>24/02/25</c:v>
                </c:pt>
                <c:pt idx="35">
                  <c:v>03/03/25</c:v>
                </c:pt>
                <c:pt idx="36">
                  <c:v>10/03/25</c:v>
                </c:pt>
                <c:pt idx="37">
                  <c:v>17/03/25</c:v>
                </c:pt>
                <c:pt idx="38">
                  <c:v>24/03/25</c:v>
                </c:pt>
                <c:pt idx="39">
                  <c:v>31/03/25</c:v>
                </c:pt>
                <c:pt idx="40">
                  <c:v>07/04/25</c:v>
                </c:pt>
                <c:pt idx="41">
                  <c:v>14/04/25</c:v>
                </c:pt>
                <c:pt idx="42">
                  <c:v>21/04/25</c:v>
                </c:pt>
                <c:pt idx="43">
                  <c:v>28/04/25</c:v>
                </c:pt>
                <c:pt idx="44">
                  <c:v>05/05/25</c:v>
                </c:pt>
                <c:pt idx="45">
                  <c:v>12/05/25</c:v>
                </c:pt>
                <c:pt idx="46">
                  <c:v>19/05/25</c:v>
                </c:pt>
                <c:pt idx="47">
                  <c:v>26/05/25</c:v>
                </c:pt>
                <c:pt idx="48">
                  <c:v>02/06/25</c:v>
                </c:pt>
                <c:pt idx="49">
                  <c:v>09/06/25</c:v>
                </c:pt>
                <c:pt idx="50">
                  <c:v>16/06/25</c:v>
                </c:pt>
                <c:pt idx="51">
                  <c:v>23/06/25</c:v>
                </c:pt>
                <c:pt idx="52">
                  <c:v>30/06/25</c:v>
                </c:pt>
                <c:pt idx="53">
                  <c:v>07/07/25</c:v>
                </c:pt>
                <c:pt idx="54">
                  <c:v>14/07/25</c:v>
                </c:pt>
                <c:pt idx="55">
                  <c:v>21/07/25</c:v>
                </c:pt>
                <c:pt idx="56">
                  <c:v>28/07/25</c:v>
                </c:pt>
                <c:pt idx="57">
                  <c:v>04/08/25</c:v>
                </c:pt>
                <c:pt idx="58">
                  <c:v>11/08/25</c:v>
                </c:pt>
                <c:pt idx="59">
                  <c:v>18/08/25</c:v>
                </c:pt>
                <c:pt idx="60">
                  <c:v>25/08/25</c:v>
                </c:pt>
                <c:pt idx="61">
                  <c:v>01/09/25</c:v>
                </c:pt>
                <c:pt idx="62">
                  <c:v>08/09/25</c:v>
                </c:pt>
                <c:pt idx="63">
                  <c:v>15/09/25</c:v>
                </c:pt>
                <c:pt idx="64">
                  <c:v>22/09/25</c:v>
                </c:pt>
                <c:pt idx="65">
                  <c:v>29/09/25</c:v>
                </c:pt>
                <c:pt idx="66">
                  <c:v>06/10/25</c:v>
                </c:pt>
                <c:pt idx="67">
                  <c:v>13/10/25</c:v>
                </c:pt>
                <c:pt idx="68">
                  <c:v>20/10/25</c:v>
                </c:pt>
                <c:pt idx="69">
                  <c:v>27/10/25</c:v>
                </c:pt>
                <c:pt idx="70">
                  <c:v>03/11/25</c:v>
                </c:pt>
                <c:pt idx="71">
                  <c:v>10/11/25</c:v>
                </c:pt>
                <c:pt idx="72">
                  <c:v>17/11/25</c:v>
                </c:pt>
                <c:pt idx="73">
                  <c:v>24/11/25</c:v>
                </c:pt>
                <c:pt idx="74">
                  <c:v>01/12/25</c:v>
                </c:pt>
                <c:pt idx="75">
                  <c:v>08/12/25</c:v>
                </c:pt>
                <c:pt idx="76">
                  <c:v>15/12/25</c:v>
                </c:pt>
                <c:pt idx="77">
                  <c:v>22/12/25</c:v>
                </c:pt>
                <c:pt idx="78">
                  <c:v>29/12/25</c:v>
                </c:pt>
                <c:pt idx="79">
                  <c:v>05/01/26</c:v>
                </c:pt>
                <c:pt idx="80">
                  <c:v>12/01/26</c:v>
                </c:pt>
                <c:pt idx="81">
                  <c:v>19/01/26</c:v>
                </c:pt>
                <c:pt idx="82">
                  <c:v>26/01/26</c:v>
                </c:pt>
                <c:pt idx="83">
                  <c:v>02/02/26</c:v>
                </c:pt>
                <c:pt idx="84">
                  <c:v>09/02/26</c:v>
                </c:pt>
                <c:pt idx="85">
                  <c:v>16/02/26</c:v>
                </c:pt>
                <c:pt idx="86">
                  <c:v>23/02/26</c:v>
                </c:pt>
                <c:pt idx="87">
                  <c:v>02/03/26</c:v>
                </c:pt>
                <c:pt idx="88">
                  <c:v>09/03/26</c:v>
                </c:pt>
                <c:pt idx="89">
                  <c:v>16/03/26</c:v>
                </c:pt>
                <c:pt idx="90">
                  <c:v>23/03/26</c:v>
                </c:pt>
                <c:pt idx="91">
                  <c:v>30/03/26</c:v>
                </c:pt>
                <c:pt idx="92">
                  <c:v>06/04/26</c:v>
                </c:pt>
                <c:pt idx="93">
                  <c:v>13/04/26</c:v>
                </c:pt>
                <c:pt idx="94">
                  <c:v>20/04/26</c:v>
                </c:pt>
                <c:pt idx="95">
                  <c:v>27/04/26</c:v>
                </c:pt>
                <c:pt idx="96">
                  <c:v>04/05/26</c:v>
                </c:pt>
                <c:pt idx="97">
                  <c:v>11/05/26</c:v>
                </c:pt>
                <c:pt idx="98">
                  <c:v>18/05/26</c:v>
                </c:pt>
                <c:pt idx="99">
                  <c:v>25/05/26</c:v>
                </c:pt>
                <c:pt idx="100">
                  <c:v>01/06/26</c:v>
                </c:pt>
                <c:pt idx="101">
                  <c:v>08/06/26</c:v>
                </c:pt>
                <c:pt idx="102">
                  <c:v>15/06/26</c:v>
                </c:pt>
                <c:pt idx="103">
                  <c:v>22/06/26</c:v>
                </c:pt>
                <c:pt idx="104">
                  <c:v>29/06/26</c:v>
                </c:pt>
                <c:pt idx="105">
                  <c:v>06/07/26</c:v>
                </c:pt>
                <c:pt idx="106">
                  <c:v>13/07/26</c:v>
                </c:pt>
                <c:pt idx="107">
                  <c:v>20/07/26</c:v>
                </c:pt>
                <c:pt idx="108">
                  <c:v>27/07/26</c:v>
                </c:pt>
                <c:pt idx="109">
                  <c:v>03/08/26</c:v>
                </c:pt>
                <c:pt idx="110">
                  <c:v>10/08/26</c:v>
                </c:pt>
                <c:pt idx="111">
                  <c:v>17/08/26</c:v>
                </c:pt>
                <c:pt idx="112">
                  <c:v>24/08/26</c:v>
                </c:pt>
                <c:pt idx="113">
                  <c:v>31/08/26</c:v>
                </c:pt>
                <c:pt idx="114">
                  <c:v>07/09/26</c:v>
                </c:pt>
                <c:pt idx="115">
                  <c:v>14/09/26</c:v>
                </c:pt>
                <c:pt idx="116">
                  <c:v>21/09/26</c:v>
                </c:pt>
                <c:pt idx="117">
                  <c:v>28/09/26</c:v>
                </c:pt>
                <c:pt idx="118">
                  <c:v>05/10/26</c:v>
                </c:pt>
                <c:pt idx="119">
                  <c:v>12/10/26</c:v>
                </c:pt>
                <c:pt idx="120">
                  <c:v>19/10/26</c:v>
                </c:pt>
                <c:pt idx="121">
                  <c:v>26/10/26</c:v>
                </c:pt>
                <c:pt idx="122">
                  <c:v>02/11/26</c:v>
                </c:pt>
                <c:pt idx="123">
                  <c:v>09/11/26</c:v>
                </c:pt>
                <c:pt idx="124">
                  <c:v>16/11/26</c:v>
                </c:pt>
                <c:pt idx="125">
                  <c:v>23/11/26</c:v>
                </c:pt>
                <c:pt idx="126">
                  <c:v>30/11/26</c:v>
                </c:pt>
                <c:pt idx="127">
                  <c:v>07/12/26</c:v>
                </c:pt>
                <c:pt idx="128">
                  <c:v>14/12/26</c:v>
                </c:pt>
                <c:pt idx="129">
                  <c:v>21/12/26</c:v>
                </c:pt>
                <c:pt idx="130">
                  <c:v>28/12/26</c:v>
                </c:pt>
              </c:strCache>
            </c:strRef>
          </c:cat>
          <c:val>
            <c:numRef>
              <c:f>'Avance 100'!$I$152:$DI$152</c:f>
              <c:numCache>
                <c:formatCode>0.0%</c:formatCode>
                <c:ptCount val="105"/>
                <c:pt idx="0">
                  <c:v>8.7813632965295718E-5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4.1585334948187752E-3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6.4491758140071215E-2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0.13918839051965826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0.20244558590632325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0.3129128908072582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0.39055046494770779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0.40517273761708056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0.44850107513083781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0.50402420656869551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0.55384079721710877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0.59171744695428674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0.64025716391163345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0.68715882876783518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0.7218657760917162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0.74502624318891664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0.77585898361926176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0.8004229342151411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0.82271072897239161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0.8354534249540706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0.83656399909216406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0.83868886207226168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0.84362316423153705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0.84668551793408497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0.85002709617708627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0.86158882528271385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0.86351524994197115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BA-4E1D-9DC5-1C0A672AD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396416"/>
        <c:axId val="954395168"/>
        <c:extLst/>
      </c:lineChart>
      <c:catAx>
        <c:axId val="954396416"/>
        <c:scaling>
          <c:orientation val="minMax"/>
        </c:scaling>
        <c:delete val="0"/>
        <c:axPos val="b"/>
        <c:numFmt formatCode="dd/mm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954395168"/>
        <c:crosses val="autoZero"/>
        <c:auto val="1"/>
        <c:lblAlgn val="ctr"/>
        <c:lblOffset val="150"/>
        <c:tickLblSkip val="4"/>
        <c:tickMarkSkip val="5"/>
        <c:noMultiLvlLbl val="0"/>
      </c:catAx>
      <c:valAx>
        <c:axId val="954395168"/>
        <c:scaling>
          <c:orientation val="minMax"/>
          <c:max val="1"/>
          <c:min val="-0.2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95439641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/>
          <a:lstStyle/>
          <a:p>
            <a:pPr>
              <a:defRPr sz="800" b="1">
                <a:solidFill>
                  <a:srgbClr val="FFC000"/>
                </a:solidFill>
              </a:defRPr>
            </a:pPr>
            <a:endParaRPr lang="es-VE"/>
          </a:p>
        </c:txPr>
      </c:legendEntry>
      <c:legendEntry>
        <c:idx val="1"/>
        <c:txPr>
          <a:bodyPr/>
          <a:lstStyle/>
          <a:p>
            <a:pPr>
              <a:defRPr sz="800" b="1">
                <a:solidFill>
                  <a:schemeClr val="bg1">
                    <a:lumMod val="50000"/>
                  </a:schemeClr>
                </a:solidFill>
              </a:defRPr>
            </a:pPr>
            <a:endParaRPr lang="es-VE"/>
          </a:p>
        </c:txPr>
      </c:legendEntry>
      <c:legendEntry>
        <c:idx val="2"/>
        <c:txPr>
          <a:bodyPr/>
          <a:lstStyle/>
          <a:p>
            <a:pPr>
              <a:defRPr sz="800" b="1">
                <a:solidFill>
                  <a:schemeClr val="accent1"/>
                </a:solidFill>
              </a:defRPr>
            </a:pPr>
            <a:endParaRPr lang="es-VE"/>
          </a:p>
        </c:txPr>
      </c:legendEntry>
      <c:legendEntry>
        <c:idx val="3"/>
        <c:txPr>
          <a:bodyPr/>
          <a:lstStyle/>
          <a:p>
            <a:pPr>
              <a:defRPr sz="800" b="1">
                <a:solidFill>
                  <a:srgbClr val="70AD47"/>
                </a:solidFill>
              </a:defRPr>
            </a:pPr>
            <a:endParaRPr lang="es-VE"/>
          </a:p>
        </c:txPr>
      </c:legendEntry>
      <c:legendEntry>
        <c:idx val="4"/>
        <c:delete val="1"/>
      </c:legendEntry>
      <c:layout>
        <c:manualLayout>
          <c:xMode val="edge"/>
          <c:yMode val="edge"/>
          <c:x val="5.2590486765097963E-2"/>
          <c:y val="0.11439581715029043"/>
          <c:w val="0.16295934035169782"/>
          <c:h val="0.15383623970775598"/>
        </c:manualLayout>
      </c:layout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810229888863309E-2"/>
          <c:y val="6.7359474518763146E-2"/>
          <c:w val="0.81958788590567888"/>
          <c:h val="0.79204931282718727"/>
        </c:manualLayout>
      </c:layout>
      <c:doughnutChart>
        <c:varyColors val="1"/>
        <c:ser>
          <c:idx val="0"/>
          <c:order val="0"/>
          <c:tx>
            <c:strRef>
              <c:f>'Dashboard Completo'!$N$3</c:f>
              <c:strCache>
                <c:ptCount val="1"/>
                <c:pt idx="0">
                  <c:v>Reprogramación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99-46FF-AF70-B656293F7B39}"/>
              </c:ext>
            </c:extLst>
          </c:dPt>
          <c:dPt>
            <c:idx val="1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99-46FF-AF70-B656293F7B39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99-46FF-AF70-B656293F7B39}"/>
              </c:ext>
            </c:extLst>
          </c:dPt>
          <c:dLbls>
            <c:dLbl>
              <c:idx val="0"/>
              <c:layout>
                <c:manualLayout>
                  <c:x val="8.9722048827087786E-3"/>
                  <c:y val="1.159401586881426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6610644257703"/>
                      <c:h val="7.87712114611364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E99-46FF-AF70-B656293F7B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'Dashboard Completo'!$N$4:$N$6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99-46FF-AF70-B656293F7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catterChart>
        <c:scatterStyle val="lineMarker"/>
        <c:varyColors val="0"/>
        <c:ser>
          <c:idx val="1"/>
          <c:order val="1"/>
          <c:tx>
            <c:strRef>
              <c:f>'Dashboard Completo'!$O$3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none" w="sm" len="sm"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  <a:softEdge rad="0"/>
            </a:effectLst>
          </c:spPr>
          <c:marker>
            <c:symbol val="none"/>
          </c:marker>
          <c:xVal>
            <c:numRef>
              <c:f>'Dashboard Completo'!$N$9:$N$10</c:f>
              <c:numCache>
                <c:formatCode>0.000</c:formatCode>
                <c:ptCount val="2"/>
                <c:pt idx="0">
                  <c:v>0</c:v>
                </c:pt>
                <c:pt idx="1">
                  <c:v>0.91455193221762043</c:v>
                </c:pt>
              </c:numCache>
            </c:numRef>
          </c:xVal>
          <c:yVal>
            <c:numRef>
              <c:f>'Dashboard Completo'!$O$9:$O$10</c:f>
              <c:numCache>
                <c:formatCode>0.000</c:formatCode>
                <c:ptCount val="2"/>
                <c:pt idx="0">
                  <c:v>0</c:v>
                </c:pt>
                <c:pt idx="1">
                  <c:v>0.40446849478917013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E99-46FF-AF70-B656293F7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541007"/>
        <c:axId val="1185542671"/>
      </c:scatterChart>
      <c:valAx>
        <c:axId val="1185541007"/>
        <c:scaling>
          <c:orientation val="minMax"/>
          <c:max val="1"/>
          <c:min val="-1"/>
        </c:scaling>
        <c:delete val="1"/>
        <c:axPos val="b"/>
        <c:numFmt formatCode="0.000" sourceLinked="1"/>
        <c:majorTickMark val="none"/>
        <c:minorTickMark val="none"/>
        <c:tickLblPos val="nextTo"/>
        <c:crossAx val="1185542671"/>
        <c:crosses val="autoZero"/>
        <c:crossBetween val="midCat"/>
      </c:valAx>
      <c:valAx>
        <c:axId val="1185542671"/>
        <c:scaling>
          <c:orientation val="minMax"/>
          <c:max val="1"/>
          <c:min val="-1"/>
        </c:scaling>
        <c:delete val="1"/>
        <c:axPos val="l"/>
        <c:numFmt formatCode="0.000" sourceLinked="1"/>
        <c:majorTickMark val="none"/>
        <c:minorTickMark val="none"/>
        <c:tickLblPos val="nextTo"/>
        <c:crossAx val="118554100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ayout>
        <c:manualLayout>
          <c:xMode val="edge"/>
          <c:yMode val="edge"/>
          <c:x val="0.16823809766854927"/>
          <c:y val="0.5256874908679593"/>
          <c:w val="0.61331850253525688"/>
          <c:h val="8.2622656559320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810229888863309E-2"/>
          <c:y val="6.7359474518763146E-2"/>
          <c:w val="0.81958788590567888"/>
          <c:h val="0.79204931282718727"/>
        </c:manualLayout>
      </c:layout>
      <c:doughnutChart>
        <c:varyColors val="1"/>
        <c:ser>
          <c:idx val="0"/>
          <c:order val="0"/>
          <c:tx>
            <c:strRef>
              <c:f>'Dashboard Completo'!$N$3</c:f>
              <c:strCache>
                <c:ptCount val="1"/>
                <c:pt idx="0">
                  <c:v>Reprogramación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FB-433C-B07F-727DB7CC3D3D}"/>
              </c:ext>
            </c:extLst>
          </c:dPt>
          <c:dPt>
            <c:idx val="1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FB-433C-B07F-727DB7CC3D3D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FB-433C-B07F-727DB7CC3D3D}"/>
              </c:ext>
            </c:extLst>
          </c:dPt>
          <c:dLbls>
            <c:dLbl>
              <c:idx val="0"/>
              <c:layout>
                <c:manualLayout>
                  <c:x val="-6.7007023200105225E-17"/>
                  <c:y val="6.410256410256395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FB-433C-B07F-727DB7CC3D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'Dashboard Completo'!$N$4:$N$6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FB-433C-B07F-727DB7CC3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catterChart>
        <c:scatterStyle val="lineMarker"/>
        <c:varyColors val="0"/>
        <c:ser>
          <c:idx val="1"/>
          <c:order val="1"/>
          <c:tx>
            <c:strRef>
              <c:f>'Dashboard Completo'!$O$3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'Dashboard Completo'!$N$9:$N$10</c:f>
              <c:numCache>
                <c:formatCode>0.000</c:formatCode>
                <c:ptCount val="2"/>
                <c:pt idx="0">
                  <c:v>0</c:v>
                </c:pt>
                <c:pt idx="1">
                  <c:v>0.91455193221762043</c:v>
                </c:pt>
              </c:numCache>
            </c:numRef>
          </c:xVal>
          <c:yVal>
            <c:numRef>
              <c:f>'Dashboard Completo'!$O$9:$O$10</c:f>
              <c:numCache>
                <c:formatCode>0.000</c:formatCode>
                <c:ptCount val="2"/>
                <c:pt idx="0">
                  <c:v>0</c:v>
                </c:pt>
                <c:pt idx="1">
                  <c:v>0.40446849478917013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FB-433C-B07F-727DB7CC3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541007"/>
        <c:axId val="1185542671"/>
      </c:scatterChart>
      <c:valAx>
        <c:axId val="1185541007"/>
        <c:scaling>
          <c:orientation val="minMax"/>
          <c:max val="1"/>
          <c:min val="-1"/>
        </c:scaling>
        <c:delete val="1"/>
        <c:axPos val="b"/>
        <c:numFmt formatCode="0.000" sourceLinked="1"/>
        <c:majorTickMark val="none"/>
        <c:minorTickMark val="none"/>
        <c:tickLblPos val="nextTo"/>
        <c:crossAx val="1185542671"/>
        <c:crosses val="autoZero"/>
        <c:crossBetween val="midCat"/>
      </c:valAx>
      <c:valAx>
        <c:axId val="1185542671"/>
        <c:scaling>
          <c:orientation val="minMax"/>
          <c:max val="1"/>
          <c:min val="-1"/>
        </c:scaling>
        <c:delete val="1"/>
        <c:axPos val="l"/>
        <c:numFmt formatCode="0.000" sourceLinked="1"/>
        <c:majorTickMark val="none"/>
        <c:minorTickMark val="none"/>
        <c:tickLblPos val="nextTo"/>
        <c:crossAx val="118554100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ayout>
        <c:manualLayout>
          <c:xMode val="edge"/>
          <c:yMode val="edge"/>
          <c:x val="3.18921779403286E-2"/>
          <c:y val="0.5256874908679593"/>
          <c:w val="0.92624371398959449"/>
          <c:h val="8.2622656559320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8581899259660749E-2"/>
          <c:y val="6.0957151691041711E-2"/>
          <c:w val="0.79719592729422861"/>
          <c:h val="0.93904284830895823"/>
        </c:manualLayout>
      </c:layout>
      <c:doughnutChart>
        <c:varyColors val="1"/>
        <c:ser>
          <c:idx val="0"/>
          <c:order val="0"/>
          <c:tx>
            <c:strRef>
              <c:f>'Dashboard General'!$P$3</c:f>
              <c:strCache>
                <c:ptCount val="1"/>
                <c:pt idx="0">
                  <c:v>Plan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E99-4BE3-A1D7-18F03381E249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99-4BE3-A1D7-18F03381E249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99-4BE3-A1D7-18F03381E24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99-4BE3-A1D7-18F03381E2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'Dashboard General'!$P$4:$P$6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99-4BE3-A1D7-18F03381E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catterChart>
        <c:scatterStyle val="lineMarker"/>
        <c:varyColors val="0"/>
        <c:ser>
          <c:idx val="1"/>
          <c:order val="1"/>
          <c:tx>
            <c:strRef>
              <c:f>'Dashboard General'!$Q$3</c:f>
              <c:strCache>
                <c:ptCount val="1"/>
                <c:pt idx="0">
                  <c:v>Real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'Dashboard General'!$P$9:$P$10</c:f>
              <c:numCache>
                <c:formatCode>0.00</c:formatCode>
                <c:ptCount val="2"/>
                <c:pt idx="0">
                  <c:v>0</c:v>
                </c:pt>
                <c:pt idx="1">
                  <c:v>0.77847295452652798</c:v>
                </c:pt>
              </c:numCache>
            </c:numRef>
          </c:xVal>
          <c:yVal>
            <c:numRef>
              <c:f>'Dashboard General'!$Q$9:$Q$10</c:f>
              <c:numCache>
                <c:formatCode>0.00</c:formatCode>
                <c:ptCount val="2"/>
                <c:pt idx="0">
                  <c:v>0</c:v>
                </c:pt>
                <c:pt idx="1">
                  <c:v>0.6276781492697816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99-4BE3-A1D7-18F03381E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541007"/>
        <c:axId val="1185542671"/>
      </c:scatterChart>
      <c:valAx>
        <c:axId val="1185541007"/>
        <c:scaling>
          <c:orientation val="minMax"/>
          <c:max val="1"/>
          <c:min val="-1"/>
        </c:scaling>
        <c:delete val="1"/>
        <c:axPos val="b"/>
        <c:numFmt formatCode="0.00" sourceLinked="1"/>
        <c:majorTickMark val="none"/>
        <c:minorTickMark val="none"/>
        <c:tickLblPos val="nextTo"/>
        <c:crossAx val="1185542671"/>
        <c:crosses val="autoZero"/>
        <c:crossBetween val="midCat"/>
      </c:valAx>
      <c:valAx>
        <c:axId val="1185542671"/>
        <c:scaling>
          <c:orientation val="minMax"/>
          <c:max val="1"/>
          <c:min val="-1"/>
        </c:scaling>
        <c:delete val="1"/>
        <c:axPos val="l"/>
        <c:numFmt formatCode="0.00" sourceLinked="1"/>
        <c:majorTickMark val="none"/>
        <c:minorTickMark val="none"/>
        <c:tickLblPos val="nextTo"/>
        <c:crossAx val="118554100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ayout>
        <c:manualLayout>
          <c:xMode val="edge"/>
          <c:yMode val="edge"/>
          <c:x val="8.1181948871008616E-2"/>
          <c:y val="0.59396960088191209"/>
          <c:w val="0.68131454418662496"/>
          <c:h val="0.10897491960891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8687324664713"/>
          <c:y val="4.9578687623392195E-2"/>
          <c:w val="0.83687443429525377"/>
          <c:h val="0.76646532670258305"/>
        </c:manualLayout>
      </c:layout>
      <c:lineChart>
        <c:grouping val="standard"/>
        <c:varyColors val="0"/>
        <c:ser>
          <c:idx val="0"/>
          <c:order val="0"/>
          <c:tx>
            <c:strRef>
              <c:f>'Dashboard Turbina'!$X$4</c:f>
              <c:strCache>
                <c:ptCount val="1"/>
                <c:pt idx="0">
                  <c:v>Plan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1C51-4F20-A41D-C3121CF8B8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84B8DF6-643B-4244-B31C-CA7869F5002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1C51-4F20-A41D-C3121CF8B8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B95CAD-D178-49C4-BB3E-95F3544EFA3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1C51-4F20-A41D-C3121CF8B8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FD12F8F-77F7-4C68-93CD-AA94AD5A3E9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1C51-4F20-A41D-C3121CF8B899}"/>
                </c:ext>
              </c:extLst>
            </c:dLbl>
            <c:dLbl>
              <c:idx val="4"/>
              <c:layout>
                <c:manualLayout>
                  <c:x val="-2.3871252015037487E-17"/>
                  <c:y val="-6.5789473684210523E-2"/>
                </c:manualLayout>
              </c:layout>
              <c:tx>
                <c:rich>
                  <a:bodyPr/>
                  <a:lstStyle/>
                  <a:p>
                    <a:fld id="{74D29296-27C0-4BAA-BDAC-4F00E6393FE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5E8-4768-9052-2F8695F5884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1945E90-03E5-4FC9-8FA8-F10D408BCB5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1C51-4F20-A41D-C3121CF8B8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B9616AF-52FF-4BD9-974B-890D138DB10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1C51-4F20-A41D-C3121CF8B8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0B8E8F0-1493-43BF-931C-87E9C1AC45F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1C51-4F20-A41D-C3121CF8B899}"/>
                </c:ext>
              </c:extLst>
            </c:dLbl>
            <c:dLbl>
              <c:idx val="8"/>
              <c:layout>
                <c:manualLayout>
                  <c:x val="-2.0833333333333356E-2"/>
                  <c:y val="-5.7017543859649085E-2"/>
                </c:manualLayout>
              </c:layout>
              <c:tx>
                <c:rich>
                  <a:bodyPr/>
                  <a:lstStyle/>
                  <a:p>
                    <a:fld id="{974D206D-65AC-4537-B55B-FCC382D7784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1C51-4F20-A41D-C3121CF8B89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A732D49-5207-4ADC-AD78-E6A7E8F37E4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5E8-4768-9052-2F8695F5884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47AFFAA-4922-41B0-AC3B-B6545FFBEDA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1C51-4F20-A41D-C3121CF8B89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BF4E3AF-B5F7-4255-A518-43C951C5023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1C51-4F20-A41D-C3121CF8B899}"/>
                </c:ext>
              </c:extLst>
            </c:dLbl>
            <c:dLbl>
              <c:idx val="12"/>
              <c:layout>
                <c:manualLayout>
                  <c:x val="-0.14322916666666666"/>
                  <c:y val="-7.4561403508771926E-2"/>
                </c:manualLayout>
              </c:layout>
              <c:tx>
                <c:rich>
                  <a:bodyPr/>
                  <a:lstStyle/>
                  <a:p>
                    <a:fld id="{0CAF898B-B375-4C08-8523-AE8F1399DC9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C-1C51-4F20-A41D-C3121CF8B89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46190E6-3057-46BE-B457-75FE5B9DAEA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5E8-4768-9052-2F8695F5884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41481D2-BED3-4BB9-94B8-CC4994D43F2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1C51-4F20-A41D-C3121CF8B89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5CE5A70-2D9E-4D6C-B3C0-5B588C95DB0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1C51-4F20-A41D-C3121CF8B899}"/>
                </c:ext>
              </c:extLst>
            </c:dLbl>
            <c:dLbl>
              <c:idx val="16"/>
              <c:layout>
                <c:manualLayout>
                  <c:x val="-0.14322916666666666"/>
                  <c:y val="-7.0175438596491224E-2"/>
                </c:manualLayout>
              </c:layout>
              <c:tx>
                <c:rich>
                  <a:bodyPr/>
                  <a:lstStyle/>
                  <a:p>
                    <a:fld id="{8C53FBDF-C957-4AA6-9B7D-DDC725ABA89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1C51-4F20-A41D-C3121CF8B89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0224A7F-3C51-439E-97CD-55E80ABE5B6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5E8-4768-9052-2F8695F5884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D2C514D-6C2F-41A9-B589-235ADEC7B85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1C51-4F20-A41D-C3121CF8B89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93B0FE9-36F6-4CD7-90F3-6CD879588C9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1C51-4F20-A41D-C3121CF8B899}"/>
                </c:ext>
              </c:extLst>
            </c:dLbl>
            <c:dLbl>
              <c:idx val="20"/>
              <c:layout>
                <c:manualLayout>
                  <c:x val="-5.46875E-2"/>
                  <c:y val="0.10087719298245613"/>
                </c:manualLayout>
              </c:layout>
              <c:tx>
                <c:rich>
                  <a:bodyPr/>
                  <a:lstStyle/>
                  <a:p>
                    <a:fld id="{F024AAB0-D88B-4FAE-B265-38A8A5C7D4C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1C51-4F20-A41D-C3121CF8B89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8D5AF63-C9E6-4A56-98FF-AC765BD35F9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462-4D2D-9F74-5491E52C323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2C5700F-EB5B-428C-B818-51F93CA4442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1C51-4F20-A41D-C3121CF8B89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64C6C21-D47C-4E54-BA20-235EAA33F5F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E-1C51-4F20-A41D-C3121CF8B899}"/>
                </c:ext>
              </c:extLst>
            </c:dLbl>
            <c:dLbl>
              <c:idx val="24"/>
              <c:layout>
                <c:manualLayout>
                  <c:x val="-0.10936247481394375"/>
                  <c:y val="3.4999207174435019E-2"/>
                </c:manualLayout>
              </c:layout>
              <c:tx>
                <c:rich>
                  <a:bodyPr/>
                  <a:lstStyle/>
                  <a:p>
                    <a:fld id="{E587A2FA-1300-49B4-9EE8-F8486A02B3D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1C51-4F20-A41D-C3121CF8B89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6F45B9F-A002-4F39-A622-B7A047E7053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1C51-4F20-A41D-C3121CF8B89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B24A26C-C8A6-4E4E-A282-E1D091459E8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5E8-4768-9052-2F8695F5884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4D11304C-946E-4163-8D62-F3A4C4904EA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0-1C51-4F20-A41D-C3121CF8B899}"/>
                </c:ext>
              </c:extLst>
            </c:dLbl>
            <c:dLbl>
              <c:idx val="28"/>
              <c:layout>
                <c:manualLayout>
                  <c:x val="-8.0685494920598691E-2"/>
                  <c:y val="-3.4664191078872214E-3"/>
                </c:manualLayout>
              </c:layout>
              <c:tx>
                <c:rich>
                  <a:bodyPr/>
                  <a:lstStyle/>
                  <a:p>
                    <a:fld id="{2D822ED8-1F6C-4416-B832-46B5195A6C8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1C51-4F20-A41D-C3121CF8B89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DC4BEEA-777D-43D0-B12A-83FB49F2852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1-1C51-4F20-A41D-C3121CF8B89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938904E-A3C5-4C38-AD25-8DACB337739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5E8-4768-9052-2F8695F5884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1AFF42B-2679-484C-A423-A0C00AE2F68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2-1C51-4F20-A41D-C3121CF8B899}"/>
                </c:ext>
              </c:extLst>
            </c:dLbl>
            <c:dLbl>
              <c:idx val="32"/>
              <c:layout>
                <c:manualLayout>
                  <c:x val="-5.9895810932642887E-2"/>
                  <c:y val="-2.161163379507541E-2"/>
                </c:manualLayout>
              </c:layout>
              <c:tx>
                <c:rich>
                  <a:bodyPr/>
                  <a:lstStyle/>
                  <a:p>
                    <a:fld id="{AF263990-50B2-4279-9352-1E3FE4FD163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1C51-4F20-A41D-C3121CF8B89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7E85F6D-596F-4674-AD3E-5FE4571FE8E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3-1C51-4F20-A41D-C3121CF8B89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C4FBA264-8E36-411B-8479-51E501E72D6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4-1C51-4F20-A41D-C3121CF8B89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01EB5518-F10B-4923-BCB6-01ACAFABA35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5-1C51-4F20-A41D-C3121CF8B899}"/>
                </c:ext>
              </c:extLst>
            </c:dLbl>
            <c:dLbl>
              <c:idx val="36"/>
              <c:layout>
                <c:manualLayout>
                  <c:x val="0.14768807295481365"/>
                  <c:y val="-1.9008202099737533E-2"/>
                </c:manualLayout>
              </c:layout>
              <c:tx>
                <c:rich>
                  <a:bodyPr/>
                  <a:lstStyle/>
                  <a:p>
                    <a:fld id="{43372491-E6A2-4EEC-852A-910CEA3662C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1C51-4F20-A41D-C3121CF8B89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23FF25F0-BF21-41DB-9150-A9F5360F5D1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6-1C51-4F20-A41D-C3121CF8B89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941E428A-6B05-4C1D-AB7B-89A073BE2A7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7-1C51-4F20-A41D-C3121CF8B89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0AA6AD4D-2AA0-4E0F-BC81-0DA97D6477C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8-1C51-4F20-A41D-C3121CF8B899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1C51-4F20-A41D-C3121CF8B89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AEBCE6E8-59D7-4BD2-8B68-C54B45F715A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9-1C51-4F20-A41D-C3121CF8B89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0B7BC484-B245-46C1-A208-D0C86F103A2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1C51-4F20-A41D-C3121CF8B89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55FE6927-B021-4C68-B85D-E94EC9A8436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358-4E21-BFDD-E650D3A588A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1C51-4F20-A41D-C3121CF8B89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A24D8D27-6A54-42D7-8A8F-B68780E1020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B-1C51-4F20-A41D-C3121CF8B89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48CEBD39-9761-43EF-978E-68F8F26453D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C-1C51-4F20-A41D-C3121CF8B89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43C23712-8DC5-4D39-9ADD-1CAF6FF8F80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D-1C51-4F20-A41D-C3121CF8B899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1C51-4F20-A41D-C3121CF8B89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BAF63B48-8C02-4233-B4F1-067C17906D5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1C51-4F20-A41D-C3121CF8B89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553B4312-1DCC-477B-A63A-96608893967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F-1C51-4F20-A41D-C3121CF8B89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76CBC5E6-C13F-43E4-97B0-7E55CB1BA64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1C51-4F20-A41D-C3121CF8B899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1C51-4F20-A41D-C3121CF8B899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3BCDCDFA-19A1-4CFE-9C90-228D5339DE6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1-1C51-4F20-A41D-C3121CF8B89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7E126A6C-DC64-4EBA-9572-A28AFF66118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2-1C51-4F20-A41D-C3121CF8B89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4E628800-FFAA-42DE-9472-FEA3300F7EC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3-1C51-4F20-A41D-C3121CF8B899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1C51-4F20-A41D-C3121CF8B89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CD6B917D-124A-4B61-B868-5AC9F0EE195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4-1C51-4F20-A41D-C3121CF8B899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854C784A-969D-430F-AEA2-D40EEDEE545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5-1C51-4F20-A41D-C3121CF8B89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A49AA01D-0D7A-4019-AB86-D6530E408B7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6-1C51-4F20-A41D-C3121CF8B899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1C51-4F20-A41D-C3121CF8B899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5C77AA07-49F6-463C-A3A9-A037A357360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7-1C51-4F20-A41D-C3121CF8B899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A2BE6C4B-5F5C-4412-95FB-BD78866B0AB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8-1C51-4F20-A41D-C3121CF8B899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85CC69DD-DFB8-44CE-8530-BCB5E24C9B9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9-1C51-4F20-A41D-C3121CF8B899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1C51-4F20-A41D-C3121CF8B899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51B7A72B-E32C-4201-BEAB-965D1509DDA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A-1C51-4F20-A41D-C3121CF8B899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94C770B0-1F60-457E-AD1C-BF985A4CEC1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B-1C51-4F20-A41D-C3121CF8B899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D0903601-F192-4141-A4B2-C9B4ACBE76C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C-1C51-4F20-A41D-C3121CF8B899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1C51-4F20-A41D-C3121CF8B899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B520A9A2-F33D-4907-B834-D71722A6BFC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D-1C51-4F20-A41D-C3121CF8B899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E39F6B7A-73F8-4B90-BF43-9DAD6229EE4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E-1C51-4F20-A41D-C3121CF8B899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E1ADAD3B-4CC9-4AF4-8B91-EB790CD4D97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F-1C51-4F20-A41D-C3121CF8B899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1C51-4F20-A41D-C3121CF8B899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09C5F6DD-81EC-4912-9DB0-DE3A31A19AF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0-1C51-4F20-A41D-C3121CF8B899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2939DDD2-779F-4971-B1AE-1A2A9FBBD99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1-1C51-4F20-A41D-C3121CF8B899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48FB71B1-960A-4A4F-A82B-708EE81C7D7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2-1C51-4F20-A41D-C3121CF8B899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1C51-4F20-A41D-C3121CF8B899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07B54E94-2872-44C9-9E9E-FD617654C02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3-1C51-4F20-A41D-C3121CF8B899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9AD8823C-E1EE-4E84-AD14-D98190F37DB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4-1C51-4F20-A41D-C3121CF8B899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B33D5364-54F6-434B-827F-2E5AC99349F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5-1C51-4F20-A41D-C3121CF8B899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1C51-4F20-A41D-C3121CF8B899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1AC16381-7291-4E54-A11B-5F9346D7CBE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6-1C51-4F20-A41D-C3121CF8B899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0088F528-24D7-4489-9ED7-50AEB8E5DBD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7-1C51-4F20-A41D-C3121CF8B899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9FC67E8A-4AD5-46E7-982A-89662A1FAAA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8-1C51-4F20-A41D-C3121CF8B899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1C51-4F20-A41D-C3121CF8B899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9006F102-3A65-40FB-BD3B-6E3E95D5133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9-1C51-4F20-A41D-C3121CF8B899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4E77B6E5-CEF5-4261-BFDE-19C4F793DE2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A-1C51-4F20-A41D-C3121CF8B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'Plan 39'!$H$5:$CP$5</c:f>
              <c:numCache>
                <c:formatCode>0.0%</c:formatCode>
                <c:ptCount val="87"/>
                <c:pt idx="0">
                  <c:v>0</c:v>
                </c:pt>
                <c:pt idx="1">
                  <c:v>2.1860362105501886E-2</c:v>
                </c:pt>
                <c:pt idx="2">
                  <c:v>4.7601839062014775E-2</c:v>
                </c:pt>
                <c:pt idx="3">
                  <c:v>7.7857760367006631E-2</c:v>
                </c:pt>
                <c:pt idx="4">
                  <c:v>0.11055051270270631</c:v>
                </c:pt>
                <c:pt idx="5">
                  <c:v>0.14451984653034061</c:v>
                </c:pt>
                <c:pt idx="6">
                  <c:v>0.17781260909075236</c:v>
                </c:pt>
                <c:pt idx="7">
                  <c:v>0.20821040392662593</c:v>
                </c:pt>
                <c:pt idx="8">
                  <c:v>0.23406787529719483</c:v>
                </c:pt>
                <c:pt idx="9">
                  <c:v>0.26776355032341986</c:v>
                </c:pt>
                <c:pt idx="10">
                  <c:v>0.31050096091996099</c:v>
                </c:pt>
                <c:pt idx="11">
                  <c:v>0.34904208839573914</c:v>
                </c:pt>
                <c:pt idx="12">
                  <c:v>0.37457273040618533</c:v>
                </c:pt>
                <c:pt idx="13">
                  <c:v>0.39865776292048355</c:v>
                </c:pt>
                <c:pt idx="14">
                  <c:v>0.42530408441107281</c:v>
                </c:pt>
                <c:pt idx="15">
                  <c:v>0.45186805019276127</c:v>
                </c:pt>
                <c:pt idx="16">
                  <c:v>0.47995701019325843</c:v>
                </c:pt>
                <c:pt idx="17">
                  <c:v>0.5096214300406704</c:v>
                </c:pt>
                <c:pt idx="18">
                  <c:v>0.54687557657962549</c:v>
                </c:pt>
                <c:pt idx="19">
                  <c:v>0.58510567548611148</c:v>
                </c:pt>
                <c:pt idx="20">
                  <c:v>0.62946835941029922</c:v>
                </c:pt>
                <c:pt idx="21">
                  <c:v>0.67030687395563981</c:v>
                </c:pt>
                <c:pt idx="22">
                  <c:v>0.70872639363203449</c:v>
                </c:pt>
                <c:pt idx="23">
                  <c:v>0.74609315995833059</c:v>
                </c:pt>
                <c:pt idx="24">
                  <c:v>0.78720657294560636</c:v>
                </c:pt>
                <c:pt idx="25">
                  <c:v>0.82831998593288214</c:v>
                </c:pt>
                <c:pt idx="26">
                  <c:v>0.86510186238655096</c:v>
                </c:pt>
                <c:pt idx="27">
                  <c:v>0.90097818042165834</c:v>
                </c:pt>
                <c:pt idx="28">
                  <c:v>0.93407842173686539</c:v>
                </c:pt>
                <c:pt idx="29">
                  <c:v>0.96146192915699391</c:v>
                </c:pt>
                <c:pt idx="30">
                  <c:v>0.97794809175622288</c:v>
                </c:pt>
                <c:pt idx="31">
                  <c:v>0.98509114529702424</c:v>
                </c:pt>
                <c:pt idx="32">
                  <c:v>0.99038538334087012</c:v>
                </c:pt>
                <c:pt idx="33">
                  <c:v>0.99452961465946066</c:v>
                </c:pt>
                <c:pt idx="34">
                  <c:v>1.0000000000000002</c:v>
                </c:pt>
                <c:pt idx="35">
                  <c:v>1.0000000000000002</c:v>
                </c:pt>
                <c:pt idx="36">
                  <c:v>1.0000000000000002</c:v>
                </c:pt>
                <c:pt idx="37">
                  <c:v>1.0000000000000002</c:v>
                </c:pt>
                <c:pt idx="38">
                  <c:v>1.0000000000000002</c:v>
                </c:pt>
                <c:pt idx="39">
                  <c:v>1.0000000000000002</c:v>
                </c:pt>
                <c:pt idx="40">
                  <c:v>1.0000000000000002</c:v>
                </c:pt>
                <c:pt idx="41">
                  <c:v>1.0000000000000002</c:v>
                </c:pt>
                <c:pt idx="42">
                  <c:v>1.0000000000000002</c:v>
                </c:pt>
                <c:pt idx="43">
                  <c:v>1.0000000000000002</c:v>
                </c:pt>
                <c:pt idx="44">
                  <c:v>1.0000000000000002</c:v>
                </c:pt>
                <c:pt idx="45">
                  <c:v>1.0000000000000002</c:v>
                </c:pt>
                <c:pt idx="46">
                  <c:v>1.0000000000000002</c:v>
                </c:pt>
                <c:pt idx="47">
                  <c:v>1.0000000000000002</c:v>
                </c:pt>
                <c:pt idx="48">
                  <c:v>1.0000000000000002</c:v>
                </c:pt>
                <c:pt idx="49">
                  <c:v>1.0000000000000002</c:v>
                </c:pt>
                <c:pt idx="50">
                  <c:v>1.0000000000000002</c:v>
                </c:pt>
                <c:pt idx="51">
                  <c:v>1.0000000000000002</c:v>
                </c:pt>
                <c:pt idx="52">
                  <c:v>1.0000000000000002</c:v>
                </c:pt>
                <c:pt idx="53">
                  <c:v>1.0000000000000002</c:v>
                </c:pt>
                <c:pt idx="54">
                  <c:v>1.0000000000000002</c:v>
                </c:pt>
                <c:pt idx="55">
                  <c:v>1.0000000000000002</c:v>
                </c:pt>
                <c:pt idx="56">
                  <c:v>1.0000000000000002</c:v>
                </c:pt>
                <c:pt idx="57">
                  <c:v>1.0000000000000002</c:v>
                </c:pt>
                <c:pt idx="58">
                  <c:v>1.0000000000000002</c:v>
                </c:pt>
                <c:pt idx="59">
                  <c:v>1.0000000000000002</c:v>
                </c:pt>
                <c:pt idx="60">
                  <c:v>1.0000000000000002</c:v>
                </c:pt>
                <c:pt idx="61">
                  <c:v>1.0000000000000002</c:v>
                </c:pt>
                <c:pt idx="62">
                  <c:v>1.0000000000000002</c:v>
                </c:pt>
                <c:pt idx="63">
                  <c:v>1.0000000000000002</c:v>
                </c:pt>
                <c:pt idx="64">
                  <c:v>1.0000000000000002</c:v>
                </c:pt>
                <c:pt idx="65">
                  <c:v>1.0000000000000002</c:v>
                </c:pt>
                <c:pt idx="66">
                  <c:v>1.0000000000000002</c:v>
                </c:pt>
                <c:pt idx="67">
                  <c:v>1.0000000000000002</c:v>
                </c:pt>
                <c:pt idx="68">
                  <c:v>1.0000000000000002</c:v>
                </c:pt>
                <c:pt idx="69">
                  <c:v>1.0000000000000002</c:v>
                </c:pt>
                <c:pt idx="70">
                  <c:v>1.0000000000000002</c:v>
                </c:pt>
                <c:pt idx="71">
                  <c:v>1.0000000000000002</c:v>
                </c:pt>
                <c:pt idx="72">
                  <c:v>1.0000000000000002</c:v>
                </c:pt>
                <c:pt idx="73">
                  <c:v>1.0000000000000002</c:v>
                </c:pt>
                <c:pt idx="74">
                  <c:v>1.0000000000000002</c:v>
                </c:pt>
                <c:pt idx="75">
                  <c:v>1.0000000000000002</c:v>
                </c:pt>
                <c:pt idx="76">
                  <c:v>1.0000000000000002</c:v>
                </c:pt>
                <c:pt idx="77">
                  <c:v>1.0000000000000002</c:v>
                </c:pt>
                <c:pt idx="78">
                  <c:v>1.0000000000000002</c:v>
                </c:pt>
                <c:pt idx="79">
                  <c:v>1.0000000000000002</c:v>
                </c:pt>
                <c:pt idx="80">
                  <c:v>1.0000000000000002</c:v>
                </c:pt>
                <c:pt idx="81">
                  <c:v>1.0000000000000002</c:v>
                </c:pt>
                <c:pt idx="82">
                  <c:v>1.0000000000000002</c:v>
                </c:pt>
                <c:pt idx="83">
                  <c:v>1.0000000000000002</c:v>
                </c:pt>
                <c:pt idx="84">
                  <c:v>1.0000000000000002</c:v>
                </c:pt>
                <c:pt idx="85">
                  <c:v>1.0000000000000002</c:v>
                </c:pt>
                <c:pt idx="86">
                  <c:v>1.0000000000000002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 39'!$H$96:$CP$96</c15:f>
                <c15:dlblRangeCache>
                  <c:ptCount val="87"/>
                  <c:pt idx="0">
                    <c:v>0,0%</c:v>
                  </c:pt>
                  <c:pt idx="4">
                    <c:v>11,1%</c:v>
                  </c:pt>
                  <c:pt idx="8">
                    <c:v>23,4%</c:v>
                  </c:pt>
                  <c:pt idx="12">
                    <c:v>37,5%</c:v>
                  </c:pt>
                  <c:pt idx="16">
                    <c:v>48,0%</c:v>
                  </c:pt>
                  <c:pt idx="20">
                    <c:v>62,9%</c:v>
                  </c:pt>
                  <c:pt idx="24">
                    <c:v>78,7%</c:v>
                  </c:pt>
                  <c:pt idx="28">
                    <c:v>93,4%</c:v>
                  </c:pt>
                  <c:pt idx="32">
                    <c:v>99,0%</c:v>
                  </c:pt>
                  <c:pt idx="36">
                    <c:v>100,0%</c:v>
                  </c:pt>
                  <c:pt idx="40">
                    <c:v>100,0%</c:v>
                  </c:pt>
                  <c:pt idx="44">
                    <c:v>100,0%</c:v>
                  </c:pt>
                  <c:pt idx="48">
                    <c:v>100,0%</c:v>
                  </c:pt>
                  <c:pt idx="52">
                    <c:v>100,0%</c:v>
                  </c:pt>
                  <c:pt idx="56">
                    <c:v>100,0%</c:v>
                  </c:pt>
                  <c:pt idx="60">
                    <c:v>100,0%</c:v>
                  </c:pt>
                  <c:pt idx="64">
                    <c:v>100,0%</c:v>
                  </c:pt>
                  <c:pt idx="68">
                    <c:v>100,0%</c:v>
                  </c:pt>
                  <c:pt idx="72">
                    <c:v>100,0%</c:v>
                  </c:pt>
                  <c:pt idx="76">
                    <c:v>100,0%</c:v>
                  </c:pt>
                  <c:pt idx="80">
                    <c:v>100,0%</c:v>
                  </c:pt>
                  <c:pt idx="84">
                    <c:v>100,0%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95E8-4768-9052-2F8695F5884E}"/>
            </c:ext>
          </c:extLst>
        </c:ser>
        <c:ser>
          <c:idx val="1"/>
          <c:order val="1"/>
          <c:tx>
            <c:strRef>
              <c:f>'Dashboard Turbina'!$Y$4</c:f>
              <c:strCache>
                <c:ptCount val="1"/>
                <c:pt idx="0">
                  <c:v>Real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51-4F20-A41D-C3121CF8B8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CB5DCDB-8173-440A-9ED2-C8D9B24A740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C51-4F20-A41D-C3121CF8B8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387170-74B9-49B0-AB76-700DC6C3380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C51-4F20-A41D-C3121CF8B8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85AFBDF-B1E7-444B-B461-02771617453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C51-4F20-A41D-C3121CF8B899}"/>
                </c:ext>
              </c:extLst>
            </c:dLbl>
            <c:dLbl>
              <c:idx val="4"/>
              <c:layout>
                <c:manualLayout>
                  <c:x val="-7.03125E-2"/>
                  <c:y val="-2.6315789473684292E-2"/>
                </c:manualLayout>
              </c:layout>
              <c:tx>
                <c:rich>
                  <a:bodyPr/>
                  <a:lstStyle/>
                  <a:p>
                    <a:fld id="{95ECC314-2F8A-46B7-80EC-C562B0BE1E0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5E8-4768-9052-2F8695F5884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0C83EFB-7F97-4E8F-ABC5-E134A1E3E1E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C51-4F20-A41D-C3121CF8B8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CE3F758-D450-471A-944B-D70427FE0D5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C51-4F20-A41D-C3121CF8B8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401FDD9-D490-4E62-89C3-6EE864014FE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C51-4F20-A41D-C3121CF8B899}"/>
                </c:ext>
              </c:extLst>
            </c:dLbl>
            <c:dLbl>
              <c:idx val="8"/>
              <c:layout>
                <c:manualLayout>
                  <c:x val="-8.59375E-2"/>
                  <c:y val="-1.3157894736842146E-2"/>
                </c:manualLayout>
              </c:layout>
              <c:tx>
                <c:rich>
                  <a:bodyPr/>
                  <a:lstStyle/>
                  <a:p>
                    <a:fld id="{36C8D9D7-9601-4AEF-8E2E-F790DA97C51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C51-4F20-A41D-C3121CF8B89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B199D46-032F-43F4-BB5A-98FC3700E2B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5E8-4768-9052-2F8695F5884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FD4813B-4B59-4915-8274-1E1D41E2153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C51-4F20-A41D-C3121CF8B89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8826930-3C33-4175-BEB7-F78A147ED57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C51-4F20-A41D-C3121CF8B899}"/>
                </c:ext>
              </c:extLst>
            </c:dLbl>
            <c:dLbl>
              <c:idx val="12"/>
              <c:layout>
                <c:manualLayout>
                  <c:x val="-7.5520833333333329E-2"/>
                  <c:y val="-2.1929824561403508E-2"/>
                </c:manualLayout>
              </c:layout>
              <c:tx>
                <c:rich>
                  <a:bodyPr/>
                  <a:lstStyle/>
                  <a:p>
                    <a:fld id="{968D54F6-AAF0-458C-8098-2AD02D567C0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C51-4F20-A41D-C3121CF8B89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2242FDF-96C8-4596-947C-89FC2E000E3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5E8-4768-9052-2F8695F5884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95D4E7A-D343-4695-918E-453E7A7EF6C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C51-4F20-A41D-C3121CF8B89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2AF5AF8-AC68-4554-AE9B-9A5D54867BA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C51-4F20-A41D-C3121CF8B899}"/>
                </c:ext>
              </c:extLst>
            </c:dLbl>
            <c:dLbl>
              <c:idx val="16"/>
              <c:layout>
                <c:manualLayout>
                  <c:x val="-7.0312500000000042E-2"/>
                  <c:y val="-3.5087719298245695E-2"/>
                </c:manualLayout>
              </c:layout>
              <c:tx>
                <c:rich>
                  <a:bodyPr/>
                  <a:lstStyle/>
                  <a:p>
                    <a:fld id="{A978E3EC-CAF7-4BAE-874F-B69D155AEEF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C51-4F20-A41D-C3121CF8B89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03DCDF4-2D62-489E-A54B-6FF539CCEB6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3B6-4139-A179-B6A7F3B31D4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5D74154-0A7F-4CD1-BA22-37F0E5953F2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C51-4F20-A41D-C3121CF8B89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740282A-FFDC-446C-B424-95D3432CC4C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C51-4F20-A41D-C3121CF8B899}"/>
                </c:ext>
              </c:extLst>
            </c:dLbl>
            <c:dLbl>
              <c:idx val="20"/>
              <c:layout>
                <c:manualLayout>
                  <c:x val="-4.6875E-2"/>
                  <c:y val="4.3859649122807015E-2"/>
                </c:manualLayout>
              </c:layout>
              <c:tx>
                <c:rich>
                  <a:bodyPr/>
                  <a:lstStyle/>
                  <a:p>
                    <a:fld id="{3BAE75DD-3798-44BF-A8E6-6B9AAA4DA04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C51-4F20-A41D-C3121CF8B89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316BA66-9736-4FD9-B3EA-494F993E9AF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462-4D2D-9F74-5491E52C323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B54147C-86C0-4D06-AA8C-7884AEF7272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C51-4F20-A41D-C3121CF8B89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59FE589-8766-4C1D-9B9F-E5EDF476737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C51-4F20-A41D-C3121CF8B899}"/>
                </c:ext>
              </c:extLst>
            </c:dLbl>
            <c:dLbl>
              <c:idx val="24"/>
              <c:layout>
                <c:manualLayout>
                  <c:x val="-4.6890610081140163E-2"/>
                  <c:y val="-2.1929795898150979E-2"/>
                </c:manualLayout>
              </c:layout>
              <c:tx>
                <c:rich>
                  <a:bodyPr/>
                  <a:lstStyle/>
                  <a:p>
                    <a:fld id="{D2D403D1-B902-45AF-9452-849FB185A97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C51-4F20-A41D-C3121CF8B89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15382C7-A7F2-4F32-B73F-7C06D9EF7FF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1C51-4F20-A41D-C3121CF8B89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707C9F3-0C49-4FB2-8081-43D404DC2D9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2A1-48D8-9874-503F4B9D247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F35C99C-30A6-42A8-901C-D2E592C07DB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1C51-4F20-A41D-C3121CF8B899}"/>
                </c:ext>
              </c:extLst>
            </c:dLbl>
            <c:dLbl>
              <c:idx val="28"/>
              <c:layout>
                <c:manualLayout>
                  <c:x val="-5.7291666666666664E-2"/>
                  <c:y val="5.701754385964912E-2"/>
                </c:manualLayout>
              </c:layout>
              <c:tx>
                <c:rich>
                  <a:bodyPr/>
                  <a:lstStyle/>
                  <a:p>
                    <a:fld id="{3B560302-336D-4CC0-A915-E2E0B82E037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1C51-4F20-A41D-C3121CF8B89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04C036EC-48AB-4675-9B15-D824143603B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1C51-4F20-A41D-C3121CF8B89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F23993A-8493-4309-A9F2-F6A718126F4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304-481A-A903-AB6BB0157CA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206E58F-A348-4330-8106-B4C9FA7300E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1C51-4F20-A41D-C3121CF8B899}"/>
                </c:ext>
              </c:extLst>
            </c:dLbl>
            <c:dLbl>
              <c:idx val="32"/>
              <c:layout>
                <c:manualLayout>
                  <c:x val="-6.2500000000000097E-2"/>
                  <c:y val="-3.5087719298245612E-2"/>
                </c:manualLayout>
              </c:layout>
              <c:tx>
                <c:rich>
                  <a:bodyPr/>
                  <a:lstStyle/>
                  <a:p>
                    <a:fld id="{9B2EA2F4-86F3-458E-8A2B-26E80F7E4D6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1C51-4F20-A41D-C3121CF8B89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4DB1B15-CE82-413A-B948-BCDBC233572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78E-4D08-80A4-5B35CFFDC1DE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65B3BEBD-334F-4EB2-83D8-BE02ABBE085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1C51-4F20-A41D-C3121CF8B89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81B2D833-6301-4C4E-99F2-A0A7F922C49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C51-4F20-A41D-C3121CF8B899}"/>
                </c:ext>
              </c:extLst>
            </c:dLbl>
            <c:dLbl>
              <c:idx val="36"/>
              <c:layout>
                <c:manualLayout>
                  <c:x val="-5.7291666666666664E-2"/>
                  <c:y val="4.385964912280698E-2"/>
                </c:manualLayout>
              </c:layout>
              <c:tx>
                <c:rich>
                  <a:bodyPr/>
                  <a:lstStyle/>
                  <a:p>
                    <a:fld id="{4F41B79D-DE33-43E5-A33B-A1CE18249A9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C51-4F20-A41D-C3121CF8B89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1913EC7B-9389-4A9F-8630-9620A5B076D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1C51-4F20-A41D-C3121CF8B89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37EA77FE-A3FF-4CAF-AC6B-8542D170056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1C51-4F20-A41D-C3121CF8B89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B86A53DF-9FE8-4CB4-B90E-DD325065A44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555-48D0-A75A-7C034DA6A33A}"/>
                </c:ext>
              </c:extLst>
            </c:dLbl>
            <c:dLbl>
              <c:idx val="40"/>
              <c:layout>
                <c:manualLayout>
                  <c:x val="-5.7291666666666664E-2"/>
                  <c:y val="-3.0701754385964911E-2"/>
                </c:manualLayout>
              </c:layout>
              <c:tx>
                <c:rich>
                  <a:bodyPr/>
                  <a:lstStyle/>
                  <a:p>
                    <a:fld id="{9377FC3B-60BA-483F-AB84-617AE2B73A0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1C51-4F20-A41D-C3121CF8B89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9B3B36FF-5196-4495-BAE8-F500FFFBEA0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1C51-4F20-A41D-C3121CF8B89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4A3AC8D2-F06E-4F2C-8897-8F4F2D0AD40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1C51-4F20-A41D-C3121CF8B89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515B9909-18AC-4273-8AD6-77DF77298E0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358-4E21-BFDD-E650D3A588AE}"/>
                </c:ext>
              </c:extLst>
            </c:dLbl>
            <c:dLbl>
              <c:idx val="44"/>
              <c:layout>
                <c:manualLayout>
                  <c:x val="-6.25E-2"/>
                  <c:y val="3.9473684210526279E-2"/>
                </c:manualLayout>
              </c:layout>
              <c:tx>
                <c:rich>
                  <a:bodyPr/>
                  <a:lstStyle/>
                  <a:p>
                    <a:fld id="{E7923B77-F188-4546-954B-0163D4FB3B3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1C51-4F20-A41D-C3121CF8B89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8E4200A8-1DB5-4F1D-9D5F-FABEBC266CB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1C51-4F20-A41D-C3121CF8B89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B3007B37-B062-40EF-97B9-AE1076986DD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1C51-4F20-A41D-C3121CF8B89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794ED8B0-2D42-437C-8F12-95475D722CF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C96-4AF0-8011-296F2609FE32}"/>
                </c:ext>
              </c:extLst>
            </c:dLbl>
            <c:dLbl>
              <c:idx val="48"/>
              <c:layout>
                <c:manualLayout>
                  <c:x val="-5.9895833333333426E-2"/>
                  <c:y val="-2.6315789473684251E-2"/>
                </c:manualLayout>
              </c:layout>
              <c:tx>
                <c:rich>
                  <a:bodyPr/>
                  <a:lstStyle/>
                  <a:p>
                    <a:fld id="{4C9276D1-CC32-41CB-8678-419D308BFA3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1C51-4F20-A41D-C3121CF8B89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99F931A0-80B8-4B0C-9065-5C048FA0264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1C51-4F20-A41D-C3121CF8B89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89FFAE03-2653-4002-9159-235CA5F7D35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C51-4F20-A41D-C3121CF8B89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8B9D692A-84AA-46CD-A1FA-2490F5B4936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C51-4F20-A41D-C3121CF8B899}"/>
                </c:ext>
              </c:extLst>
            </c:dLbl>
            <c:dLbl>
              <c:idx val="52"/>
              <c:layout>
                <c:manualLayout>
                  <c:x val="-5.7291666666666761E-2"/>
                  <c:y val="4.3859649122807015E-2"/>
                </c:manualLayout>
              </c:layout>
              <c:tx>
                <c:rich>
                  <a:bodyPr/>
                  <a:lstStyle/>
                  <a:p>
                    <a:fld id="{03FEBB54-BF5E-4C93-BF14-4B4EB9E5D14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9C8-46BE-9F0C-4E5F3C5611A5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87A2CDA6-DC23-42C5-A8A6-5DF61078406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1C51-4F20-A41D-C3121CF8B89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9503891F-29A8-4A3F-ACB2-D68E954B32C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1C51-4F20-A41D-C3121CF8B89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086BE4F5-43B0-4D99-BA4E-26DBA457A1F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1C51-4F20-A41D-C3121CF8B899}"/>
                </c:ext>
              </c:extLst>
            </c:dLbl>
            <c:dLbl>
              <c:idx val="56"/>
              <c:layout>
                <c:manualLayout>
                  <c:x val="-6.7222756766698255E-2"/>
                  <c:y val="-3.0648813358543237E-2"/>
                </c:manualLayout>
              </c:layout>
              <c:tx>
                <c:rich>
                  <a:bodyPr/>
                  <a:lstStyle/>
                  <a:p>
                    <a:fld id="{FE69D1E2-C85F-4EB6-A852-9582B56387B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1C51-4F20-A41D-C3121CF8B89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B1FCD61A-E9B1-42FB-849E-BFDE5934591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170-4A80-851D-EE9686AAB8F9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B236000D-4C4A-4E74-9747-3917E5BB1CB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170-4A80-851D-EE9686AAB8F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6466E8DD-5CE2-433B-9012-C2BAEA6AE00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170-4A80-851D-EE9686AAB8F9}"/>
                </c:ext>
              </c:extLst>
            </c:dLbl>
            <c:dLbl>
              <c:idx val="60"/>
              <c:layout>
                <c:manualLayout>
                  <c:x val="-1.0404160681202181E-2"/>
                  <c:y val="-2.6209678112820625E-2"/>
                </c:manualLayout>
              </c:layout>
              <c:tx>
                <c:rich>
                  <a:bodyPr/>
                  <a:lstStyle/>
                  <a:p>
                    <a:fld id="{F12DEE43-85F3-4A0F-99A3-AFAF6767198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170-4A80-851D-EE9686AAB8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39'!$H$6:$BP$6</c:f>
              <c:numCache>
                <c:formatCode>0.0%</c:formatCode>
                <c:ptCount val="61"/>
                <c:pt idx="0">
                  <c:v>0</c:v>
                </c:pt>
                <c:pt idx="1">
                  <c:v>6.4094548875466603E-2</c:v>
                </c:pt>
                <c:pt idx="2">
                  <c:v>0.10235533218768098</c:v>
                </c:pt>
                <c:pt idx="3">
                  <c:v>0.13146626920190052</c:v>
                </c:pt>
                <c:pt idx="4">
                  <c:v>0.17883461778899412</c:v>
                </c:pt>
                <c:pt idx="5">
                  <c:v>0.20908910701625444</c:v>
                </c:pt>
                <c:pt idx="6">
                  <c:v>0.31333235028057671</c:v>
                </c:pt>
                <c:pt idx="7">
                  <c:v>0.35438262121807473</c:v>
                </c:pt>
                <c:pt idx="8">
                  <c:v>0.38658474947173488</c:v>
                </c:pt>
                <c:pt idx="9">
                  <c:v>0.41422290163339587</c:v>
                </c:pt>
                <c:pt idx="10">
                  <c:v>0.42979411462287836</c:v>
                </c:pt>
                <c:pt idx="11">
                  <c:v>0.44390113735710368</c:v>
                </c:pt>
                <c:pt idx="12">
                  <c:v>0.46533225340257373</c:v>
                </c:pt>
                <c:pt idx="13">
                  <c:v>0.4733804478536715</c:v>
                </c:pt>
                <c:pt idx="14">
                  <c:v>0.49750883554724357</c:v>
                </c:pt>
                <c:pt idx="15">
                  <c:v>0.51666679178292407</c:v>
                </c:pt>
                <c:pt idx="16">
                  <c:v>0.54031007332414593</c:v>
                </c:pt>
                <c:pt idx="17">
                  <c:v>0.55322933172217859</c:v>
                </c:pt>
                <c:pt idx="18">
                  <c:v>0.57247904041258846</c:v>
                </c:pt>
                <c:pt idx="19">
                  <c:v>0.59057430007195111</c:v>
                </c:pt>
                <c:pt idx="20">
                  <c:v>0.61037207018897099</c:v>
                </c:pt>
                <c:pt idx="21">
                  <c:v>0.62986519202151792</c:v>
                </c:pt>
                <c:pt idx="22">
                  <c:v>0.64574520618269327</c:v>
                </c:pt>
                <c:pt idx="23">
                  <c:v>0.64758975889058901</c:v>
                </c:pt>
                <c:pt idx="24">
                  <c:v>0.65998105621028769</c:v>
                </c:pt>
                <c:pt idx="25">
                  <c:v>0.66573995168740352</c:v>
                </c:pt>
                <c:pt idx="26">
                  <c:v>0.66697235865993831</c:v>
                </c:pt>
                <c:pt idx="27">
                  <c:v>0.68537368847599567</c:v>
                </c:pt>
                <c:pt idx="28">
                  <c:v>0.70439989204253095</c:v>
                </c:pt>
                <c:pt idx="29">
                  <c:v>0.70795675576094441</c:v>
                </c:pt>
                <c:pt idx="30">
                  <c:v>0.71793004029153129</c:v>
                </c:pt>
                <c:pt idx="31">
                  <c:v>0.72126427150884664</c:v>
                </c:pt>
                <c:pt idx="32">
                  <c:v>0.72487920198370381</c:v>
                </c:pt>
                <c:pt idx="33">
                  <c:v>0.7265963368409708</c:v>
                </c:pt>
                <c:pt idx="34">
                  <c:v>0.7273204337193937</c:v>
                </c:pt>
                <c:pt idx="35">
                  <c:v>0.72739284340723598</c:v>
                </c:pt>
                <c:pt idx="36">
                  <c:v>0.72742904825115706</c:v>
                </c:pt>
                <c:pt idx="37">
                  <c:v>0.72742904825115706</c:v>
                </c:pt>
                <c:pt idx="38">
                  <c:v>0.72967657918904583</c:v>
                </c:pt>
                <c:pt idx="39">
                  <c:v>0.73089080395971273</c:v>
                </c:pt>
                <c:pt idx="40">
                  <c:v>0.73089080395971273</c:v>
                </c:pt>
                <c:pt idx="41">
                  <c:v>0.73196488099604007</c:v>
                </c:pt>
                <c:pt idx="42">
                  <c:v>0.73196488099604007</c:v>
                </c:pt>
                <c:pt idx="43">
                  <c:v>0.73783698375147944</c:v>
                </c:pt>
                <c:pt idx="44">
                  <c:v>0.74062044655546411</c:v>
                </c:pt>
                <c:pt idx="45">
                  <c:v>0.74448095166634642</c:v>
                </c:pt>
                <c:pt idx="46">
                  <c:v>0.74875182039318955</c:v>
                </c:pt>
                <c:pt idx="47">
                  <c:v>0.7502021096038578</c:v>
                </c:pt>
                <c:pt idx="48">
                  <c:v>0.7502021096038578</c:v>
                </c:pt>
                <c:pt idx="49">
                  <c:v>0.75482660968830906</c:v>
                </c:pt>
                <c:pt idx="50">
                  <c:v>0.7572419093716527</c:v>
                </c:pt>
                <c:pt idx="51">
                  <c:v>0.75848810380643683</c:v>
                </c:pt>
                <c:pt idx="52">
                  <c:v>0.75925264376422996</c:v>
                </c:pt>
                <c:pt idx="53">
                  <c:v>0.75985604664128981</c:v>
                </c:pt>
                <c:pt idx="54">
                  <c:v>0.76089489734017268</c:v>
                </c:pt>
                <c:pt idx="55">
                  <c:v>0.76137762299830836</c:v>
                </c:pt>
                <c:pt idx="56">
                  <c:v>0.78029938319267145</c:v>
                </c:pt>
                <c:pt idx="57">
                  <c:v>0.78078210885080723</c:v>
                </c:pt>
                <c:pt idx="58">
                  <c:v>0.78114415449294561</c:v>
                </c:pt>
                <c:pt idx="59">
                  <c:v>0.78268983123180569</c:v>
                </c:pt>
                <c:pt idx="60">
                  <c:v>0.78400540230155191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39'!$H$102:$BP$102</c15:f>
                <c15:dlblRangeCache>
                  <c:ptCount val="61"/>
                  <c:pt idx="0">
                    <c:v>0,0%</c:v>
                  </c:pt>
                  <c:pt idx="4">
                    <c:v>17,9%</c:v>
                  </c:pt>
                  <c:pt idx="8">
                    <c:v>38,7%</c:v>
                  </c:pt>
                  <c:pt idx="12">
                    <c:v>46,5%</c:v>
                  </c:pt>
                  <c:pt idx="16">
                    <c:v>54,0%</c:v>
                  </c:pt>
                  <c:pt idx="20">
                    <c:v>61,0%</c:v>
                  </c:pt>
                  <c:pt idx="24">
                    <c:v>66,0%</c:v>
                  </c:pt>
                  <c:pt idx="28">
                    <c:v>70,4%</c:v>
                  </c:pt>
                  <c:pt idx="32">
                    <c:v>72,5%</c:v>
                  </c:pt>
                  <c:pt idx="36">
                    <c:v>72,7%</c:v>
                  </c:pt>
                  <c:pt idx="40">
                    <c:v>73,1%</c:v>
                  </c:pt>
                  <c:pt idx="44">
                    <c:v>74,1%</c:v>
                  </c:pt>
                  <c:pt idx="48">
                    <c:v>75,0%</c:v>
                  </c:pt>
                  <c:pt idx="52">
                    <c:v>75,9%</c:v>
                  </c:pt>
                  <c:pt idx="56">
                    <c:v>78,0%</c:v>
                  </c:pt>
                  <c:pt idx="60">
                    <c:v>78,4%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95E8-4768-9052-2F8695F5884E}"/>
            </c:ext>
          </c:extLst>
        </c:ser>
        <c:ser>
          <c:idx val="2"/>
          <c:order val="2"/>
          <c:tx>
            <c:strRef>
              <c:f>'Avance 39'!$B$96</c:f>
              <c:strCache>
                <c:ptCount val="1"/>
                <c:pt idx="0">
                  <c:v>Desviación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1C51-4F20-A41D-C3121CF8B8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0E16B11-7448-40B6-9907-333D93DF933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B-1C51-4F20-A41D-C3121CF8B8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C3FE05-362A-4857-8C48-DD2B5CBC908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C-1C51-4F20-A41D-C3121CF8B8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B2CEAA3-9E5A-44CA-A20E-CA2C1521F7C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D-1C51-4F20-A41D-C3121CF8B899}"/>
                </c:ext>
              </c:extLst>
            </c:dLbl>
            <c:dLbl>
              <c:idx val="4"/>
              <c:layout>
                <c:manualLayout>
                  <c:x val="-5.46875E-2"/>
                  <c:y val="5.2631578947368418E-2"/>
                </c:manualLayout>
              </c:layout>
              <c:tx>
                <c:rich>
                  <a:bodyPr/>
                  <a:lstStyle/>
                  <a:p>
                    <a:fld id="{790AE829-27C3-4646-9C73-990D6F3B8CC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A96-437D-BF5A-B6D3F551C5E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D04D414-87E1-4E16-8FDB-D0ED4CE49CB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E-1C51-4F20-A41D-C3121CF8B8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D8EB6C0-E618-4DB3-B4FF-88D39803BA9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1C51-4F20-A41D-C3121CF8B8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759A545-CEA5-4FDD-A4D4-556FF623366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1C51-4F20-A41D-C3121CF8B899}"/>
                </c:ext>
              </c:extLst>
            </c:dLbl>
            <c:dLbl>
              <c:idx val="8"/>
              <c:layout>
                <c:manualLayout>
                  <c:x val="-5.2083333333333384E-2"/>
                  <c:y val="4.8245614035087717E-2"/>
                </c:manualLayout>
              </c:layout>
              <c:tx>
                <c:rich>
                  <a:bodyPr/>
                  <a:lstStyle/>
                  <a:p>
                    <a:fld id="{037F9DE0-D1B1-4219-BE88-888373CC4F8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1C51-4F20-A41D-C3121CF8B89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2295BE0-740E-4FB9-97AD-14B808B60AF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A96-437D-BF5A-B6D3F551C5E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5E2D6F6-8CA7-4647-9B94-07A53B16AF6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1-1C51-4F20-A41D-C3121CF8B89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64EBBA8-0139-44A8-9797-5E4AAF546C3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2-1C51-4F20-A41D-C3121CF8B899}"/>
                </c:ext>
              </c:extLst>
            </c:dLbl>
            <c:dLbl>
              <c:idx val="12"/>
              <c:layout>
                <c:manualLayout>
                  <c:x val="-4.1666666666666713E-2"/>
                  <c:y val="-2.6315789473684209E-2"/>
                </c:manualLayout>
              </c:layout>
              <c:tx>
                <c:rich>
                  <a:bodyPr/>
                  <a:lstStyle/>
                  <a:p>
                    <a:fld id="{FFFBCD63-D371-45B8-A58D-5583717A3D6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1C51-4F20-A41D-C3121CF8B89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1B68374-C1D6-488F-AFAB-4C6F06BCD4B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A96-437D-BF5A-B6D3F551C5E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53AD1FC-5B45-400E-B53A-2771F3D2A37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3-1C51-4F20-A41D-C3121CF8B89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E54531E-A862-4451-AC36-503F6F2996C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4-1C51-4F20-A41D-C3121CF8B899}"/>
                </c:ext>
              </c:extLst>
            </c:dLbl>
            <c:dLbl>
              <c:idx val="16"/>
              <c:layout>
                <c:manualLayout>
                  <c:x val="-5.2083333333333336E-2"/>
                  <c:y val="3.9473684210526314E-2"/>
                </c:manualLayout>
              </c:layout>
              <c:tx>
                <c:rich>
                  <a:bodyPr/>
                  <a:lstStyle/>
                  <a:p>
                    <a:fld id="{9EC4E26A-8773-4D33-A542-AA030D3AEF8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1C51-4F20-A41D-C3121CF8B89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0831CE0-A3F6-4F96-8C27-44D4FC1FEEE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A96-437D-BF5A-B6D3F551C5E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FE30F05-B232-43A1-AC85-0D3605C3F92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5-1C51-4F20-A41D-C3121CF8B89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8CEEBA4-4086-4BF8-8F4F-BCEE1EABA04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6-1C51-4F20-A41D-C3121CF8B899}"/>
                </c:ext>
              </c:extLst>
            </c:dLbl>
            <c:dLbl>
              <c:idx val="20"/>
              <c:layout>
                <c:manualLayout>
                  <c:x val="-2.0833333333333332E-2"/>
                  <c:y val="-2.1929824561403591E-2"/>
                </c:manualLayout>
              </c:layout>
              <c:tx>
                <c:rich>
                  <a:bodyPr/>
                  <a:lstStyle/>
                  <a:p>
                    <a:fld id="{D1DC838A-0DF5-4DA6-891A-3CEBF0E3B95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1C51-4F20-A41D-C3121CF8B89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D8FA907-2697-4A2F-A4A2-71FCC6E3054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462-4D2D-9F74-5491E52C323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69019EB-180A-40A1-B60D-71C4BF2A1E7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7-1C51-4F20-A41D-C3121CF8B89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8C42D3B-CBA0-45A0-AE05-402F89EEB2D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8-1C51-4F20-A41D-C3121CF8B899}"/>
                </c:ext>
              </c:extLst>
            </c:dLbl>
            <c:dLbl>
              <c:idx val="24"/>
              <c:layout>
                <c:manualLayout>
                  <c:x val="-6.5104166666666671E-2"/>
                  <c:y val="5.701754385964912E-2"/>
                </c:manualLayout>
              </c:layout>
              <c:tx>
                <c:rich>
                  <a:bodyPr/>
                  <a:lstStyle/>
                  <a:p>
                    <a:fld id="{5A4F7A6B-6292-426F-ABB3-113D3D3CAF0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1C51-4F20-A41D-C3121CF8B89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6554D8F-6B6E-4775-87EC-FCE1D57CD18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9-1C51-4F20-A41D-C3121CF8B89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760C9B5-0D53-4637-B678-5285CA7E7DE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2A1-48D8-9874-503F4B9D247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169C3BC-ED6F-40C0-9BD0-E223D26E17F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A-1C51-4F20-A41D-C3121CF8B899}"/>
                </c:ext>
              </c:extLst>
            </c:dLbl>
            <c:dLbl>
              <c:idx val="28"/>
              <c:layout>
                <c:manualLayout>
                  <c:x val="-4.4270833333333336E-2"/>
                  <c:y val="-3.5087719298245612E-2"/>
                </c:manualLayout>
              </c:layout>
              <c:tx>
                <c:rich>
                  <a:bodyPr/>
                  <a:lstStyle/>
                  <a:p>
                    <a:fld id="{17EA5077-3CD8-465B-B06E-1ADBB34ED78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1C51-4F20-A41D-C3121CF8B89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8146127-A3A7-4A5B-BE23-724B2F3ED78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B-1C51-4F20-A41D-C3121CF8B89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BCACFC7-FBDD-4B4A-A86F-70A5F37262E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304-481A-A903-AB6BB0157CA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B14DDB7-082E-4175-B2F4-01437AD3768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C-1C51-4F20-A41D-C3121CF8B899}"/>
                </c:ext>
              </c:extLst>
            </c:dLbl>
            <c:dLbl>
              <c:idx val="32"/>
              <c:layout>
                <c:manualLayout>
                  <c:x val="-5.7291666666666664E-2"/>
                  <c:y val="3.0701754385964831E-2"/>
                </c:manualLayout>
              </c:layout>
              <c:tx>
                <c:rich>
                  <a:bodyPr/>
                  <a:lstStyle/>
                  <a:p>
                    <a:fld id="{62E83CB6-EE91-46D7-8A4E-15E586B86F3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1C51-4F20-A41D-C3121CF8B89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450828B-148D-41BA-8476-94BDF0D2E41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78E-4D08-80A4-5B35CFFDC1DE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0D403BA1-EB47-4AD6-BAEB-B24D2778C7D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D-1C51-4F20-A41D-C3121CF8B89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F0697341-3108-4D64-89AF-1C90FC12406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E-1C51-4F20-A41D-C3121CF8B899}"/>
                </c:ext>
              </c:extLst>
            </c:dLbl>
            <c:dLbl>
              <c:idx val="36"/>
              <c:layout>
                <c:manualLayout>
                  <c:x val="-4.6875E-2"/>
                  <c:y val="-3.0701754385964911E-2"/>
                </c:manualLayout>
              </c:layout>
              <c:tx>
                <c:rich>
                  <a:bodyPr/>
                  <a:lstStyle/>
                  <a:p>
                    <a:fld id="{023F59F2-69DF-47A3-8C99-2E3FFAD785C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1C51-4F20-A41D-C3121CF8B89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2AF95F21-21B7-4970-9B35-766BB03773A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F-1C51-4F20-A41D-C3121CF8B89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8C605B9F-DD1F-4149-A068-DA6D0C5241F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0-1C51-4F20-A41D-C3121CF8B89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C6617CFD-DAB9-4D08-B32E-E19BE839B56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555-48D0-A75A-7C034DA6A33A}"/>
                </c:ext>
              </c:extLst>
            </c:dLbl>
            <c:dLbl>
              <c:idx val="40"/>
              <c:layout>
                <c:manualLayout>
                  <c:x val="-5.46875E-2"/>
                  <c:y val="3.5087719298245536E-2"/>
                </c:manualLayout>
              </c:layout>
              <c:tx>
                <c:rich>
                  <a:bodyPr/>
                  <a:lstStyle/>
                  <a:p>
                    <a:fld id="{11638801-F59F-4E7B-B479-0B11A5280A5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1C51-4F20-A41D-C3121CF8B89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75C73938-8240-4D3B-B899-73DF4B8B3C1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1-1C51-4F20-A41D-C3121CF8B89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59510214-A242-4233-A82A-99120FE1022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2-1C51-4F20-A41D-C3121CF8B89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86882483-4C2D-4CA3-95AF-04E2152DAC3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358-4E21-BFDD-E650D3A588AE}"/>
                </c:ext>
              </c:extLst>
            </c:dLbl>
            <c:dLbl>
              <c:idx val="44"/>
              <c:layout>
                <c:manualLayout>
                  <c:x val="-4.9479166666666761E-2"/>
                  <c:y val="-3.0701754385964994E-2"/>
                </c:manualLayout>
              </c:layout>
              <c:tx>
                <c:rich>
                  <a:bodyPr/>
                  <a:lstStyle/>
                  <a:p>
                    <a:fld id="{22924903-395E-464C-8A34-B16D5CB5C1F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1C51-4F20-A41D-C3121CF8B89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93E495B8-F527-4A0B-B90A-92CF6920B82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3-1C51-4F20-A41D-C3121CF8B89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7F857255-DC1C-422A-8618-D13B7307F12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4-1C51-4F20-A41D-C3121CF8B89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D8738A29-8138-4D49-BA32-1069B6FB096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C96-4AF0-8011-296F2609FE32}"/>
                </c:ext>
              </c:extLst>
            </c:dLbl>
            <c:dLbl>
              <c:idx val="48"/>
              <c:layout>
                <c:manualLayout>
                  <c:x val="-5.2083333333333426E-2"/>
                  <c:y val="3.9473684210526314E-2"/>
                </c:manualLayout>
              </c:layout>
              <c:tx>
                <c:rich>
                  <a:bodyPr/>
                  <a:lstStyle/>
                  <a:p>
                    <a:fld id="{50F00FB8-BAC1-41DA-B7A0-14D4BAE33EA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1C51-4F20-A41D-C3121CF8B89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11E2F774-1C6B-435B-8A88-64E90F49724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5-1C51-4F20-A41D-C3121CF8B89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B7E7A5A8-C20C-4A3A-8751-D5F1E664D1A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6-1C51-4F20-A41D-C3121CF8B89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89B2BBF7-4702-4293-A289-BBD8042B817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7-1C51-4F20-A41D-C3121CF8B899}"/>
                </c:ext>
              </c:extLst>
            </c:dLbl>
            <c:dLbl>
              <c:idx val="52"/>
              <c:layout>
                <c:manualLayout>
                  <c:x val="-5.2083333333333426E-2"/>
                  <c:y val="-2.1929824561403591E-2"/>
                </c:manualLayout>
              </c:layout>
              <c:tx>
                <c:rich>
                  <a:bodyPr/>
                  <a:lstStyle/>
                  <a:p>
                    <a:fld id="{E46663F7-F99F-41F4-A17B-DDD0BB9D6DC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9C8-46BE-9F0C-4E5F3C5611A5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C1247DD2-56A4-47F0-A8B2-65506254293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8-1C51-4F20-A41D-C3121CF8B89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55E7CD41-59DC-460C-A32F-4713E643595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9-1C51-4F20-A41D-C3121CF8B89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157FEE90-C6FB-482F-BDBC-EA3F63C325F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A-1C51-4F20-A41D-C3121CF8B899}"/>
                </c:ext>
              </c:extLst>
            </c:dLbl>
            <c:dLbl>
              <c:idx val="56"/>
              <c:layout>
                <c:manualLayout>
                  <c:x val="-5.6604778295118521E-2"/>
                  <c:y val="3.891139718565826E-2"/>
                </c:manualLayout>
              </c:layout>
              <c:tx>
                <c:rich>
                  <a:bodyPr/>
                  <a:lstStyle/>
                  <a:p>
                    <a:fld id="{C366A078-9074-4FC4-8788-C9D04D780A0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1C51-4F20-A41D-C3121CF8B89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6DA433D7-DFD2-435E-8CB6-257E63EB2B2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170-4A80-851D-EE9686AAB8F9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85333C1E-32FC-4BD4-B250-9C795B2B333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170-4A80-851D-EE9686AAB8F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9468F522-6683-48CF-9E8A-6696C47D229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170-4A80-851D-EE9686AAB8F9}"/>
                </c:ext>
              </c:extLst>
            </c:dLbl>
            <c:dLbl>
              <c:idx val="60"/>
              <c:layout>
                <c:manualLayout>
                  <c:x val="-1.5606241021803271E-2"/>
                  <c:y val="-4.3682796854701044E-3"/>
                </c:manualLayout>
              </c:layout>
              <c:tx>
                <c:rich>
                  <a:bodyPr/>
                  <a:lstStyle/>
                  <a:p>
                    <a:fld id="{A44C1964-A494-43FB-ABB7-695739B2559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170-4A80-851D-EE9686AAB8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548235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39'!$H$96:$BP$96</c:f>
              <c:numCache>
                <c:formatCode>0.0%</c:formatCode>
                <c:ptCount val="61"/>
                <c:pt idx="0">
                  <c:v>0</c:v>
                </c:pt>
                <c:pt idx="1">
                  <c:v>4.2234186769964717E-2</c:v>
                </c:pt>
                <c:pt idx="2">
                  <c:v>5.47534931256662E-2</c:v>
                </c:pt>
                <c:pt idx="3">
                  <c:v>5.3608508834893889E-2</c:v>
                </c:pt>
                <c:pt idx="4">
                  <c:v>6.8284105086287808E-2</c:v>
                </c:pt>
                <c:pt idx="5">
                  <c:v>6.4569260485913826E-2</c:v>
                </c:pt>
                <c:pt idx="6">
                  <c:v>0.13551974118982435</c:v>
                </c:pt>
                <c:pt idx="7">
                  <c:v>0.1461722172914488</c:v>
                </c:pt>
                <c:pt idx="8">
                  <c:v>0.15251687417454005</c:v>
                </c:pt>
                <c:pt idx="9">
                  <c:v>0.146459351309976</c:v>
                </c:pt>
                <c:pt idx="10">
                  <c:v>0.11929315370291738</c:v>
                </c:pt>
                <c:pt idx="11">
                  <c:v>9.4859048961364545E-2</c:v>
                </c:pt>
                <c:pt idx="12">
                  <c:v>9.0759522996388398E-2</c:v>
                </c:pt>
                <c:pt idx="13">
                  <c:v>7.4722684933187955E-2</c:v>
                </c:pt>
                <c:pt idx="14">
                  <c:v>7.2204751136170753E-2</c:v>
                </c:pt>
                <c:pt idx="15">
                  <c:v>6.4798741590162801E-2</c:v>
                </c:pt>
                <c:pt idx="16">
                  <c:v>6.0353063130887508E-2</c:v>
                </c:pt>
                <c:pt idx="17">
                  <c:v>4.3607901681508188E-2</c:v>
                </c:pt>
                <c:pt idx="18">
                  <c:v>2.5603463832962969E-2</c:v>
                </c:pt>
                <c:pt idx="19">
                  <c:v>5.4686245858396321E-3</c:v>
                </c:pt>
                <c:pt idx="20">
                  <c:v>-1.9096289221328222E-2</c:v>
                </c:pt>
                <c:pt idx="21">
                  <c:v>-4.0441681934121898E-2</c:v>
                </c:pt>
                <c:pt idx="22">
                  <c:v>-6.2981187449341225E-2</c:v>
                </c:pt>
                <c:pt idx="23">
                  <c:v>-9.8503401067741581E-2</c:v>
                </c:pt>
                <c:pt idx="24">
                  <c:v>-0.12722551673531868</c:v>
                </c:pt>
                <c:pt idx="25">
                  <c:v>-0.16258003424547862</c:v>
                </c:pt>
                <c:pt idx="26">
                  <c:v>-0.19812950372661264</c:v>
                </c:pt>
                <c:pt idx="27">
                  <c:v>-0.21560449194566267</c:v>
                </c:pt>
                <c:pt idx="28">
                  <c:v>-0.22967852969433444</c:v>
                </c:pt>
                <c:pt idx="29">
                  <c:v>-0.2535051733960495</c:v>
                </c:pt>
                <c:pt idx="30">
                  <c:v>-0.26001805146469159</c:v>
                </c:pt>
                <c:pt idx="31">
                  <c:v>-0.2638268737881776</c:v>
                </c:pt>
                <c:pt idx="32">
                  <c:v>-0.2655061813571663</c:v>
                </c:pt>
                <c:pt idx="33">
                  <c:v>-0.26793327781848986</c:v>
                </c:pt>
                <c:pt idx="34">
                  <c:v>-0.27267956628060652</c:v>
                </c:pt>
                <c:pt idx="35">
                  <c:v>-0.27260715659276424</c:v>
                </c:pt>
                <c:pt idx="36">
                  <c:v>-0.27257095174884316</c:v>
                </c:pt>
                <c:pt idx="37">
                  <c:v>-0.27257095174884316</c:v>
                </c:pt>
                <c:pt idx="38">
                  <c:v>-0.2703234208109544</c:v>
                </c:pt>
                <c:pt idx="39">
                  <c:v>-0.26910919604028749</c:v>
                </c:pt>
                <c:pt idx="40">
                  <c:v>-0.26910919604028749</c:v>
                </c:pt>
                <c:pt idx="41">
                  <c:v>-0.26803511900396015</c:v>
                </c:pt>
                <c:pt idx="42">
                  <c:v>-0.26803511900396015</c:v>
                </c:pt>
                <c:pt idx="43">
                  <c:v>-0.26216301624852079</c:v>
                </c:pt>
                <c:pt idx="44">
                  <c:v>-0.25937955344453612</c:v>
                </c:pt>
                <c:pt idx="45">
                  <c:v>-0.2555190483336538</c:v>
                </c:pt>
                <c:pt idx="46">
                  <c:v>-0.25124817960681067</c:v>
                </c:pt>
                <c:pt idx="47">
                  <c:v>-0.24979789039614242</c:v>
                </c:pt>
                <c:pt idx="48">
                  <c:v>-0.24979789039614242</c:v>
                </c:pt>
                <c:pt idx="49">
                  <c:v>-0.24517339031169116</c:v>
                </c:pt>
                <c:pt idx="50">
                  <c:v>-0.24275809062834752</c:v>
                </c:pt>
                <c:pt idx="51">
                  <c:v>-0.24151189619356339</c:v>
                </c:pt>
                <c:pt idx="52">
                  <c:v>-0.24074735623577026</c:v>
                </c:pt>
                <c:pt idx="53">
                  <c:v>-0.24014395335871042</c:v>
                </c:pt>
                <c:pt idx="54">
                  <c:v>-0.23910510265982754</c:v>
                </c:pt>
                <c:pt idx="55">
                  <c:v>-0.23862237700169187</c:v>
                </c:pt>
                <c:pt idx="56">
                  <c:v>-0.21970061680732877</c:v>
                </c:pt>
                <c:pt idx="57">
                  <c:v>-0.21921789114919299</c:v>
                </c:pt>
                <c:pt idx="58">
                  <c:v>-0.21885584550705461</c:v>
                </c:pt>
                <c:pt idx="59">
                  <c:v>-0.21731016876819453</c:v>
                </c:pt>
                <c:pt idx="60">
                  <c:v>-0.21599459769844831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39'!$H$104:$BP$104</c15:f>
                <c15:dlblRangeCache>
                  <c:ptCount val="61"/>
                  <c:pt idx="0">
                    <c:v>0,0%</c:v>
                  </c:pt>
                  <c:pt idx="4">
                    <c:v>6,8%</c:v>
                  </c:pt>
                  <c:pt idx="8">
                    <c:v>15,3%</c:v>
                  </c:pt>
                  <c:pt idx="12">
                    <c:v>9,1%</c:v>
                  </c:pt>
                  <c:pt idx="16">
                    <c:v>6,0%</c:v>
                  </c:pt>
                  <c:pt idx="20">
                    <c:v>-1,9%</c:v>
                  </c:pt>
                  <c:pt idx="24">
                    <c:v>-12,7%</c:v>
                  </c:pt>
                  <c:pt idx="28">
                    <c:v>-23,0%</c:v>
                  </c:pt>
                  <c:pt idx="32">
                    <c:v>-26,6%</c:v>
                  </c:pt>
                  <c:pt idx="36">
                    <c:v>-27,3%</c:v>
                  </c:pt>
                  <c:pt idx="40">
                    <c:v>-26,9%</c:v>
                  </c:pt>
                  <c:pt idx="44">
                    <c:v>-25,9%</c:v>
                  </c:pt>
                  <c:pt idx="48">
                    <c:v>-25,0%</c:v>
                  </c:pt>
                  <c:pt idx="52">
                    <c:v>-24,1%</c:v>
                  </c:pt>
                  <c:pt idx="56">
                    <c:v>-22,0%</c:v>
                  </c:pt>
                  <c:pt idx="60">
                    <c:v>-21,6%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BA96-437D-BF5A-B6D3F551C5EC}"/>
            </c:ext>
          </c:extLst>
        </c:ser>
        <c:ser>
          <c:idx val="3"/>
          <c:order val="3"/>
          <c:tx>
            <c:v>Líneas Guía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fixedVal"/>
            <c:noEndCap val="0"/>
            <c:val val="1.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lgDashDotDot"/>
                <a:round/>
              </a:ln>
              <a:effectLst/>
            </c:spPr>
          </c:errBar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39'!$H$106:$BP$106</c:f>
              <c:numCache>
                <c:formatCode>0.0%</c:formatCode>
                <c:ptCount val="6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0.17883461778899412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0.38658474947173488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0.46533225340257373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0.54031007332414593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0.61037207018897099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0.65998105621028769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0.70439989204253095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0.72487920198370381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0.72742904825115706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0.73089080395971273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0.74062044655546411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0.7502021096038578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0.75925264376422996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0.78029938319267145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0.78400540230155191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1-4F20-A41D-C3121CF8B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7684367"/>
        <c:axId val="1297684783"/>
      </c:lineChart>
      <c:catAx>
        <c:axId val="1297684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783"/>
        <c:crosses val="autoZero"/>
        <c:auto val="1"/>
        <c:lblAlgn val="ctr"/>
        <c:lblOffset val="100"/>
        <c:tickLblSkip val="4"/>
        <c:tickMarkSkip val="2"/>
        <c:noMultiLvlLbl val="0"/>
      </c:catAx>
      <c:valAx>
        <c:axId val="1297684783"/>
        <c:scaling>
          <c:orientation val="minMax"/>
          <c:max val="1"/>
          <c:min val="-0.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3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48235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0.12001547516498175"/>
          <c:y val="3.1228040365655966E-2"/>
          <c:w val="0.18030471902417164"/>
          <c:h val="0.138148392868628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8581899259660749E-2"/>
          <c:y val="6.0957151691041711E-2"/>
          <c:w val="0.79719592729422861"/>
          <c:h val="0.93904284830895823"/>
        </c:manualLayout>
      </c:layout>
      <c:doughnutChart>
        <c:varyColors val="1"/>
        <c:ser>
          <c:idx val="0"/>
          <c:order val="0"/>
          <c:tx>
            <c:strRef>
              <c:f>'Dashboard General'!$P$3</c:f>
              <c:strCache>
                <c:ptCount val="1"/>
                <c:pt idx="0">
                  <c:v>Plan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A0-4723-A2B5-65AB020C7828}"/>
              </c:ext>
            </c:extLst>
          </c:dPt>
          <c:dPt>
            <c:idx val="1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A0-4723-A2B5-65AB020C7828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A0-4723-A2B5-65AB020C7828}"/>
              </c:ext>
            </c:extLst>
          </c:dPt>
          <c:dLbls>
            <c:dLbl>
              <c:idx val="0"/>
              <c:layout>
                <c:manualLayout>
                  <c:x val="4.4245891859992653E-17"/>
                  <c:y val="1.21254535707312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A0-4723-A2B5-65AB020C7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'Dashboard General'!$P$4:$P$6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A0-4723-A2B5-65AB020C7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catterChart>
        <c:scatterStyle val="lineMarker"/>
        <c:varyColors val="0"/>
        <c:ser>
          <c:idx val="1"/>
          <c:order val="1"/>
          <c:tx>
            <c:strRef>
              <c:f>'Dashboard General'!$Q$3</c:f>
              <c:strCache>
                <c:ptCount val="1"/>
                <c:pt idx="0">
                  <c:v>Real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'Dashboard General'!$P$9:$P$10</c:f>
              <c:numCache>
                <c:formatCode>0.00</c:formatCode>
                <c:ptCount val="2"/>
                <c:pt idx="0">
                  <c:v>0</c:v>
                </c:pt>
                <c:pt idx="1">
                  <c:v>0.77847295452652798</c:v>
                </c:pt>
              </c:numCache>
            </c:numRef>
          </c:xVal>
          <c:yVal>
            <c:numRef>
              <c:f>'Dashboard General'!$Q$9:$Q$10</c:f>
              <c:numCache>
                <c:formatCode>0.00</c:formatCode>
                <c:ptCount val="2"/>
                <c:pt idx="0">
                  <c:v>0</c:v>
                </c:pt>
                <c:pt idx="1">
                  <c:v>0.6276781492697816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CA0-4723-A2B5-65AB020C7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541007"/>
        <c:axId val="1185542671"/>
      </c:scatterChart>
      <c:valAx>
        <c:axId val="1185541007"/>
        <c:scaling>
          <c:orientation val="minMax"/>
          <c:max val="1"/>
          <c:min val="-1"/>
        </c:scaling>
        <c:delete val="1"/>
        <c:axPos val="b"/>
        <c:numFmt formatCode="0.00" sourceLinked="1"/>
        <c:majorTickMark val="none"/>
        <c:minorTickMark val="none"/>
        <c:tickLblPos val="nextTo"/>
        <c:crossAx val="1185542671"/>
        <c:crosses val="autoZero"/>
        <c:crossBetween val="midCat"/>
      </c:valAx>
      <c:valAx>
        <c:axId val="1185542671"/>
        <c:scaling>
          <c:orientation val="minMax"/>
          <c:max val="1"/>
          <c:min val="-1"/>
        </c:scaling>
        <c:delete val="1"/>
        <c:axPos val="l"/>
        <c:numFmt formatCode="0.00" sourceLinked="1"/>
        <c:majorTickMark val="none"/>
        <c:minorTickMark val="none"/>
        <c:tickLblPos val="nextTo"/>
        <c:crossAx val="118554100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ayout>
        <c:manualLayout>
          <c:xMode val="edge"/>
          <c:yMode val="edge"/>
          <c:x val="8.1181948871008616E-2"/>
          <c:y val="0.59396960088191209"/>
          <c:w val="0.68131454418662496"/>
          <c:h val="0.10897491960891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8687324664713"/>
          <c:y val="4.9578687623392195E-2"/>
          <c:w val="0.83687443429525377"/>
          <c:h val="0.71821986604172205"/>
        </c:manualLayout>
      </c:layout>
      <c:lineChart>
        <c:grouping val="standard"/>
        <c:varyColors val="0"/>
        <c:ser>
          <c:idx val="0"/>
          <c:order val="0"/>
          <c:tx>
            <c:strRef>
              <c:f>'Dashboard Turbina'!$X$4</c:f>
              <c:strCache>
                <c:ptCount val="1"/>
                <c:pt idx="0">
                  <c:v>Plan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83-4997-B21B-6566EA93782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406A4A-8E5A-4BE8-82C5-98347980A03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983-4997-B21B-6566EA93782B}"/>
                </c:ext>
              </c:extLst>
            </c:dLbl>
            <c:dLbl>
              <c:idx val="2"/>
              <c:layout>
                <c:manualLayout>
                  <c:x val="-3.5127806496151451E-2"/>
                  <c:y val="-9.6379805683153609E-3"/>
                </c:manualLayout>
              </c:layout>
              <c:tx>
                <c:rich>
                  <a:bodyPr/>
                  <a:lstStyle/>
                  <a:p>
                    <a:fld id="{5B036285-7E42-4D9B-9346-6832B0F244F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983-4997-B21B-6566EA93782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AEC956B-3F99-4E95-BA89-3198551EEFB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983-4997-B21B-6566EA93782B}"/>
                </c:ext>
              </c:extLst>
            </c:dLbl>
            <c:dLbl>
              <c:idx val="4"/>
              <c:layout>
                <c:manualLayout>
                  <c:x val="-3.9776228235560741E-2"/>
                  <c:y val="-1.4050263575944013E-2"/>
                </c:manualLayout>
              </c:layout>
              <c:tx>
                <c:rich>
                  <a:bodyPr/>
                  <a:lstStyle/>
                  <a:p>
                    <a:fld id="{B72D90D9-3645-4E37-B74B-39E36E9B51E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93B-4FF7-8390-A1FD1A6B80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8A508F2-C701-4F6D-8679-9D73B5C34D9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983-4997-B21B-6566EA93782B}"/>
                </c:ext>
              </c:extLst>
            </c:dLbl>
            <c:dLbl>
              <c:idx val="6"/>
              <c:layout>
                <c:manualLayout>
                  <c:x val="-3.1996960749780104E-2"/>
                  <c:y val="-5.2994250974736602E-3"/>
                </c:manualLayout>
              </c:layout>
              <c:tx>
                <c:rich>
                  <a:bodyPr/>
                  <a:lstStyle/>
                  <a:p>
                    <a:fld id="{D0F99596-8393-464B-BBB3-9FF2F0A9ECF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983-4997-B21B-6566EA9378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5F4FE9C-8525-40A3-8E30-C256DC93273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983-4997-B21B-6566EA93782B}"/>
                </c:ext>
              </c:extLst>
            </c:dLbl>
            <c:dLbl>
              <c:idx val="8"/>
              <c:layout>
                <c:manualLayout>
                  <c:x val="-6.5813947150405797E-2"/>
                  <c:y val="-4.9016753721431869E-2"/>
                </c:manualLayout>
              </c:layout>
              <c:tx>
                <c:rich>
                  <a:bodyPr/>
                  <a:lstStyle/>
                  <a:p>
                    <a:fld id="{3947C1A4-98DB-4495-8F5D-4C6888A4967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983-4997-B21B-6566EA9378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40D736E-2B39-49C8-934E-066FA6CE88A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93B-4FF7-8390-A1FD1A6B80F6}"/>
                </c:ext>
              </c:extLst>
            </c:dLbl>
            <c:dLbl>
              <c:idx val="10"/>
              <c:layout>
                <c:manualLayout>
                  <c:x val="-2.6792203765826122E-2"/>
                  <c:y val="4.7168397483754967E-2"/>
                </c:manualLayout>
              </c:layout>
              <c:tx>
                <c:rich>
                  <a:bodyPr/>
                  <a:lstStyle/>
                  <a:p>
                    <a:fld id="{88073814-3016-43F0-82FF-4C05F851C6F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983-4997-B21B-6566EA9378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A5E7678-3521-4B99-BC90-CDC412B6CB6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983-4997-B21B-6566EA93782B}"/>
                </c:ext>
              </c:extLst>
            </c:dLbl>
            <c:dLbl>
              <c:idx val="12"/>
              <c:layout>
                <c:manualLayout>
                  <c:x val="-2.9436179331336264E-2"/>
                  <c:y val="4.7205605773348459E-2"/>
                </c:manualLayout>
              </c:layout>
              <c:tx>
                <c:rich>
                  <a:bodyPr/>
                  <a:lstStyle/>
                  <a:p>
                    <a:fld id="{7489F98E-2D69-4E4F-9DC1-22F0F13A284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983-4997-B21B-6566EA9378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BCF9D2C-C2D5-4096-AF24-3CDEDA8BC55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93B-4FF7-8390-A1FD1A6B80F6}"/>
                </c:ext>
              </c:extLst>
            </c:dLbl>
            <c:dLbl>
              <c:idx val="14"/>
              <c:layout>
                <c:manualLayout>
                  <c:x val="-3.1823195634725236E-2"/>
                  <c:y val="4.3051369144474577E-2"/>
                </c:manualLayout>
              </c:layout>
              <c:tx>
                <c:rich>
                  <a:bodyPr/>
                  <a:lstStyle/>
                  <a:p>
                    <a:fld id="{D2A73AC5-26D9-4D14-B883-DBAFA6EFFCC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983-4997-B21B-6566EA93782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717100B-CCD6-4309-86B8-4B0C2479F25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983-4997-B21B-6566EA93782B}"/>
                </c:ext>
              </c:extLst>
            </c:dLbl>
            <c:dLbl>
              <c:idx val="16"/>
              <c:layout>
                <c:manualLayout>
                  <c:x val="-2.6625405648308832E-2"/>
                  <c:y val="4.7426788383709756E-2"/>
                </c:manualLayout>
              </c:layout>
              <c:tx>
                <c:rich>
                  <a:bodyPr/>
                  <a:lstStyle/>
                  <a:p>
                    <a:fld id="{704E7B9C-812E-4E59-8DAA-61480AF062A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983-4997-B21B-6566EA93782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2CA2F98-8129-4F05-A098-76A24F0CC96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93B-4FF7-8390-A1FD1A6B80F6}"/>
                </c:ext>
              </c:extLst>
            </c:dLbl>
            <c:dLbl>
              <c:idx val="18"/>
              <c:layout>
                <c:manualLayout>
                  <c:x val="-5.7826205843439553E-2"/>
                  <c:y val="-5.3244799817439764E-2"/>
                </c:manualLayout>
              </c:layout>
              <c:tx>
                <c:rich>
                  <a:bodyPr/>
                  <a:lstStyle/>
                  <a:p>
                    <a:fld id="{A4E3CB85-79CE-45D1-BC93-C9196D2F27B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983-4997-B21B-6566EA93782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01CC097-0ADD-4805-AF04-25B53ECE9E8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983-4997-B21B-6566EA93782B}"/>
                </c:ext>
              </c:extLst>
            </c:dLbl>
            <c:dLbl>
              <c:idx val="20"/>
              <c:layout>
                <c:manualLayout>
                  <c:x val="-6.8207930411382012E-2"/>
                  <c:y val="-4.890626126269236E-2"/>
                </c:manualLayout>
              </c:layout>
              <c:tx>
                <c:rich>
                  <a:bodyPr/>
                  <a:lstStyle/>
                  <a:p>
                    <a:fld id="{46E97D8E-33C2-460A-A9E0-CB26CA876EF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C983-4997-B21B-6566EA93782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297550D-65FC-4DA5-87C8-20E101C0495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93B-4FF7-8390-A1FD1A6B80F6}"/>
                </c:ext>
              </c:extLst>
            </c:dLbl>
            <c:dLbl>
              <c:idx val="22"/>
              <c:layout>
                <c:manualLayout>
                  <c:x val="-6.820793041138197E-2"/>
                  <c:y val="-4.890626126269236E-2"/>
                </c:manualLayout>
              </c:layout>
              <c:tx>
                <c:rich>
                  <a:bodyPr/>
                  <a:lstStyle/>
                  <a:p>
                    <a:fld id="{400289CA-498B-40D8-AEE1-6B14791E18D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C983-4997-B21B-6566EA93782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A0CDCDE-6E14-4F86-A868-D449AB49D6E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C983-4997-B21B-6566EA93782B}"/>
                </c:ext>
              </c:extLst>
            </c:dLbl>
            <c:dLbl>
              <c:idx val="24"/>
              <c:layout>
                <c:manualLayout>
                  <c:x val="-7.0803361553367583E-2"/>
                  <c:y val="-4.890626126269236E-2"/>
                </c:manualLayout>
              </c:layout>
              <c:tx>
                <c:rich>
                  <a:bodyPr/>
                  <a:lstStyle/>
                  <a:p>
                    <a:fld id="{691713C3-972D-44FF-8B1E-CA77AEE940F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C983-4997-B21B-6566EA93782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255E47B-5739-4976-917C-D805FF937E5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C983-4997-B21B-6566EA93782B}"/>
                </c:ext>
              </c:extLst>
            </c:dLbl>
            <c:dLbl>
              <c:idx val="26"/>
              <c:layout>
                <c:manualLayout>
                  <c:x val="-7.5994223837338809E-2"/>
                  <c:y val="-4.890626126269236E-2"/>
                </c:manualLayout>
              </c:layout>
              <c:tx>
                <c:rich>
                  <a:bodyPr/>
                  <a:lstStyle/>
                  <a:p>
                    <a:fld id="{523D4C54-7C6F-48B2-A7E9-D1F58D9FEC6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93B-4FF7-8390-A1FD1A6B80F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F0D525E-7A92-4D3E-B949-08DF6FA35AA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C983-4997-B21B-6566EA93782B}"/>
                </c:ext>
              </c:extLst>
            </c:dLbl>
            <c:dLbl>
              <c:idx val="28"/>
              <c:layout>
                <c:manualLayout>
                  <c:x val="-7.8589654979324478E-2"/>
                  <c:y val="-4.890626126269236E-2"/>
                </c:manualLayout>
              </c:layout>
              <c:tx>
                <c:rich>
                  <a:bodyPr/>
                  <a:lstStyle/>
                  <a:p>
                    <a:fld id="{07252635-D844-446B-A12C-AFCD4941075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893B-4FF7-8390-A1FD1A6B80F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52456AE-706C-4577-9351-2FAD4E8DEBC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C983-4997-B21B-6566EA93782B}"/>
                </c:ext>
              </c:extLst>
            </c:dLbl>
            <c:dLbl>
              <c:idx val="30"/>
              <c:layout>
                <c:manualLayout>
                  <c:x val="-5.2663124563153883E-2"/>
                  <c:y val="-1.3247184658884392E-2"/>
                </c:manualLayout>
              </c:layout>
              <c:tx>
                <c:rich>
                  <a:bodyPr/>
                  <a:lstStyle/>
                  <a:p>
                    <a:fld id="{363A4A16-1128-4762-BEA0-4E29E553222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93B-4FF7-8390-A1FD1A6B80F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90E6882B-6234-41B4-9CF5-A9C70078742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C983-4997-B21B-6566EA93782B}"/>
                </c:ext>
              </c:extLst>
            </c:dLbl>
            <c:dLbl>
              <c:idx val="32"/>
              <c:layout>
                <c:manualLayout>
                  <c:x val="-7.267207197559722E-4"/>
                  <c:y val="-2.9466533982542679E-2"/>
                </c:manualLayout>
              </c:layout>
              <c:tx>
                <c:rich>
                  <a:bodyPr/>
                  <a:lstStyle/>
                  <a:p>
                    <a:fld id="{8A0C4005-B2CD-4490-A7EB-20395BDC613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C983-4997-B21B-6566EA93782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9A96ECB-A47F-41BC-9E25-1DFFABCCB0C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C983-4997-B21B-6566EA93782B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983-4997-B21B-6566EA93782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2DB77B2D-7687-44D7-AE65-5D071C2BBD0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C983-4997-B21B-6566EA93782B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983-4997-B21B-6566EA93782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8B489631-3847-4B77-BAA4-BBB573544B3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C983-4997-B21B-6566EA93782B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983-4997-B21B-6566EA93782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6BF7C3B-B67A-417C-B570-E217EBCC3E3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C983-4997-B21B-6566EA93782B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983-4997-B21B-6566EA93782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2095B10C-3E74-42AF-A23C-7CEDD9CA4F5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C983-4997-B21B-6566EA93782B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983-4997-B21B-6566EA93782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1679BA61-7A79-47A1-8EC9-ABBBEEAA204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C983-4997-B21B-6566EA93782B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983-4997-B21B-6566EA93782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51A88F59-D7AA-433B-8BD4-0311030D5DF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C983-4997-B21B-6566EA93782B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983-4997-B21B-6566EA93782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843B104F-61E1-4AAA-97B9-AFB8B5762B4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C983-4997-B21B-6566EA93782B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983-4997-B21B-6566EA93782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F8CAB134-CFF7-4E54-BDD3-7E449690412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C983-4997-B21B-6566EA93782B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14-4D05-99DF-9B656C0F896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8B01E20A-EF75-4484-98E6-1581756C60C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C983-4997-B21B-6566EA93782B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983-4997-B21B-6566EA93782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088A6AF0-3E0F-46CA-A314-2B15081AD15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C983-4997-B21B-6566EA93782B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983-4997-B21B-6566EA93782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68A60B2A-FE2D-4E90-B3E5-37BCC1C81A4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C983-4997-B21B-6566EA93782B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983-4997-B21B-6566EA93782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C03602F4-EEA3-4FAB-B3DD-5CC46128BA0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C983-4997-B21B-6566EA93782B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983-4997-B21B-6566EA93782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3DDAF12E-F2A1-4909-AC30-CB859C78346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C983-4997-B21B-6566EA93782B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983-4997-B21B-6566EA93782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F4AABEC5-03A3-42F3-9519-34A06BF806D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C983-4997-B21B-6566EA93782B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983-4997-B21B-6566EA93782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DDA274E0-694B-4F73-99D9-D3863F68BFD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C983-4997-B21B-6566EA93782B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983-4997-B21B-6566EA93782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DD7B25A4-22D1-437F-A93C-6144C3AB04D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C983-4997-B21B-6566EA93782B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983-4997-B21B-6566EA93782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A0D0DF85-763A-4FB4-8432-0C8A455A593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C983-4997-B21B-6566EA93782B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983-4997-B21B-6566EA93782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7AC4B9CF-3EB6-42CB-842A-B971E82A3D4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C983-4997-B21B-6566EA93782B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983-4997-B21B-6566EA93782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3926BA95-958B-44E1-8746-88792CA4BA8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C983-4997-B21B-6566EA93782B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983-4997-B21B-6566EA93782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2900A7D7-CFE2-451D-941E-A0EA4D57719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C983-4997-B21B-6566EA93782B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983-4997-B21B-6566EA93782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D2DA543D-D656-40D1-BDAC-A9F3A3E335F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C983-4997-B21B-6566EA93782B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983-4997-B21B-6566EA93782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08529E85-4ADA-4268-8EEF-222FA58F7E2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C983-4997-B21B-6566EA93782B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983-4997-B21B-6566EA93782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870A0767-E105-4EFA-95FC-22A3073CCC9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C983-4997-B21B-6566EA93782B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983-4997-B21B-6566EA93782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FF25EC62-2086-4C03-B3EA-007EEAC72C4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C983-4997-B21B-6566EA93782B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983-4997-B21B-6566EA93782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8F394BD5-B4ED-46D0-8EF8-2B97E5D03F5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C983-4997-B21B-6566EA93782B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983-4997-B21B-6566EA93782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78F1DCF0-158A-4D3F-9AD6-4462EDDE740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C983-4997-B21B-6566EA93782B}"/>
                </c:ext>
              </c:extLst>
            </c:dLbl>
            <c:dLbl>
              <c:idx val="86"/>
              <c:layout>
                <c:manualLayout>
                  <c:x val="-0.43004335706230179"/>
                  <c:y val="4.6486628306201852E-4"/>
                </c:manualLayout>
              </c:layout>
              <c:tx>
                <c:rich>
                  <a:bodyPr/>
                  <a:lstStyle/>
                  <a:p>
                    <a:fld id="{E8E1EEC5-D836-4CE0-A5CC-55CAE0D825F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C983-4997-B21B-6566EA93782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'Plan 39'!$H$5:$CP$5</c:f>
              <c:numCache>
                <c:formatCode>0.0%</c:formatCode>
                <c:ptCount val="87"/>
                <c:pt idx="0">
                  <c:v>0</c:v>
                </c:pt>
                <c:pt idx="1">
                  <c:v>2.1860362105501886E-2</c:v>
                </c:pt>
                <c:pt idx="2">
                  <c:v>4.7601839062014775E-2</c:v>
                </c:pt>
                <c:pt idx="3">
                  <c:v>7.7857760367006631E-2</c:v>
                </c:pt>
                <c:pt idx="4">
                  <c:v>0.11055051270270631</c:v>
                </c:pt>
                <c:pt idx="5">
                  <c:v>0.14451984653034061</c:v>
                </c:pt>
                <c:pt idx="6">
                  <c:v>0.17781260909075236</c:v>
                </c:pt>
                <c:pt idx="7">
                  <c:v>0.20821040392662593</c:v>
                </c:pt>
                <c:pt idx="8">
                  <c:v>0.23406787529719483</c:v>
                </c:pt>
                <c:pt idx="9">
                  <c:v>0.26776355032341986</c:v>
                </c:pt>
                <c:pt idx="10">
                  <c:v>0.31050096091996099</c:v>
                </c:pt>
                <c:pt idx="11">
                  <c:v>0.34904208839573914</c:v>
                </c:pt>
                <c:pt idx="12">
                  <c:v>0.37457273040618533</c:v>
                </c:pt>
                <c:pt idx="13">
                  <c:v>0.39865776292048355</c:v>
                </c:pt>
                <c:pt idx="14">
                  <c:v>0.42530408441107281</c:v>
                </c:pt>
                <c:pt idx="15">
                  <c:v>0.45186805019276127</c:v>
                </c:pt>
                <c:pt idx="16">
                  <c:v>0.47995701019325843</c:v>
                </c:pt>
                <c:pt idx="17">
                  <c:v>0.5096214300406704</c:v>
                </c:pt>
                <c:pt idx="18">
                  <c:v>0.54687557657962549</c:v>
                </c:pt>
                <c:pt idx="19">
                  <c:v>0.58510567548611148</c:v>
                </c:pt>
                <c:pt idx="20">
                  <c:v>0.62946835941029922</c:v>
                </c:pt>
                <c:pt idx="21">
                  <c:v>0.67030687395563981</c:v>
                </c:pt>
                <c:pt idx="22">
                  <c:v>0.70872639363203449</c:v>
                </c:pt>
                <c:pt idx="23">
                  <c:v>0.74609315995833059</c:v>
                </c:pt>
                <c:pt idx="24">
                  <c:v>0.78720657294560636</c:v>
                </c:pt>
                <c:pt idx="25">
                  <c:v>0.82831998593288214</c:v>
                </c:pt>
                <c:pt idx="26">
                  <c:v>0.86510186238655096</c:v>
                </c:pt>
                <c:pt idx="27">
                  <c:v>0.90097818042165834</c:v>
                </c:pt>
                <c:pt idx="28">
                  <c:v>0.93407842173686539</c:v>
                </c:pt>
                <c:pt idx="29">
                  <c:v>0.96146192915699391</c:v>
                </c:pt>
                <c:pt idx="30">
                  <c:v>0.97794809175622288</c:v>
                </c:pt>
                <c:pt idx="31">
                  <c:v>0.98509114529702424</c:v>
                </c:pt>
                <c:pt idx="32">
                  <c:v>0.99038538334087012</c:v>
                </c:pt>
                <c:pt idx="33">
                  <c:v>0.99452961465946066</c:v>
                </c:pt>
                <c:pt idx="34">
                  <c:v>1.0000000000000002</c:v>
                </c:pt>
                <c:pt idx="35">
                  <c:v>1.0000000000000002</c:v>
                </c:pt>
                <c:pt idx="36">
                  <c:v>1.0000000000000002</c:v>
                </c:pt>
                <c:pt idx="37">
                  <c:v>1.0000000000000002</c:v>
                </c:pt>
                <c:pt idx="38">
                  <c:v>1.0000000000000002</c:v>
                </c:pt>
                <c:pt idx="39">
                  <c:v>1.0000000000000002</c:v>
                </c:pt>
                <c:pt idx="40">
                  <c:v>1.0000000000000002</c:v>
                </c:pt>
                <c:pt idx="41">
                  <c:v>1.0000000000000002</c:v>
                </c:pt>
                <c:pt idx="42">
                  <c:v>1.0000000000000002</c:v>
                </c:pt>
                <c:pt idx="43">
                  <c:v>1.0000000000000002</c:v>
                </c:pt>
                <c:pt idx="44">
                  <c:v>1.0000000000000002</c:v>
                </c:pt>
                <c:pt idx="45">
                  <c:v>1.0000000000000002</c:v>
                </c:pt>
                <c:pt idx="46">
                  <c:v>1.0000000000000002</c:v>
                </c:pt>
                <c:pt idx="47">
                  <c:v>1.0000000000000002</c:v>
                </c:pt>
                <c:pt idx="48">
                  <c:v>1.0000000000000002</c:v>
                </c:pt>
                <c:pt idx="49">
                  <c:v>1.0000000000000002</c:v>
                </c:pt>
                <c:pt idx="50">
                  <c:v>1.0000000000000002</c:v>
                </c:pt>
                <c:pt idx="51">
                  <c:v>1.0000000000000002</c:v>
                </c:pt>
                <c:pt idx="52">
                  <c:v>1.0000000000000002</c:v>
                </c:pt>
                <c:pt idx="53">
                  <c:v>1.0000000000000002</c:v>
                </c:pt>
                <c:pt idx="54">
                  <c:v>1.0000000000000002</c:v>
                </c:pt>
                <c:pt idx="55">
                  <c:v>1.0000000000000002</c:v>
                </c:pt>
                <c:pt idx="56">
                  <c:v>1.0000000000000002</c:v>
                </c:pt>
                <c:pt idx="57">
                  <c:v>1.0000000000000002</c:v>
                </c:pt>
                <c:pt idx="58">
                  <c:v>1.0000000000000002</c:v>
                </c:pt>
                <c:pt idx="59">
                  <c:v>1.0000000000000002</c:v>
                </c:pt>
                <c:pt idx="60">
                  <c:v>1.0000000000000002</c:v>
                </c:pt>
                <c:pt idx="61">
                  <c:v>1.0000000000000002</c:v>
                </c:pt>
                <c:pt idx="62">
                  <c:v>1.0000000000000002</c:v>
                </c:pt>
                <c:pt idx="63">
                  <c:v>1.0000000000000002</c:v>
                </c:pt>
                <c:pt idx="64">
                  <c:v>1.0000000000000002</c:v>
                </c:pt>
                <c:pt idx="65">
                  <c:v>1.0000000000000002</c:v>
                </c:pt>
                <c:pt idx="66">
                  <c:v>1.0000000000000002</c:v>
                </c:pt>
                <c:pt idx="67">
                  <c:v>1.0000000000000002</c:v>
                </c:pt>
                <c:pt idx="68">
                  <c:v>1.0000000000000002</c:v>
                </c:pt>
                <c:pt idx="69">
                  <c:v>1.0000000000000002</c:v>
                </c:pt>
                <c:pt idx="70">
                  <c:v>1.0000000000000002</c:v>
                </c:pt>
                <c:pt idx="71">
                  <c:v>1.0000000000000002</c:v>
                </c:pt>
                <c:pt idx="72">
                  <c:v>1.0000000000000002</c:v>
                </c:pt>
                <c:pt idx="73">
                  <c:v>1.0000000000000002</c:v>
                </c:pt>
                <c:pt idx="74">
                  <c:v>1.0000000000000002</c:v>
                </c:pt>
                <c:pt idx="75">
                  <c:v>1.0000000000000002</c:v>
                </c:pt>
                <c:pt idx="76">
                  <c:v>1.0000000000000002</c:v>
                </c:pt>
                <c:pt idx="77">
                  <c:v>1.0000000000000002</c:v>
                </c:pt>
                <c:pt idx="78">
                  <c:v>1.0000000000000002</c:v>
                </c:pt>
                <c:pt idx="79">
                  <c:v>1.0000000000000002</c:v>
                </c:pt>
                <c:pt idx="80">
                  <c:v>1.0000000000000002</c:v>
                </c:pt>
                <c:pt idx="81">
                  <c:v>1.0000000000000002</c:v>
                </c:pt>
                <c:pt idx="82">
                  <c:v>1.0000000000000002</c:v>
                </c:pt>
                <c:pt idx="83">
                  <c:v>1.0000000000000002</c:v>
                </c:pt>
                <c:pt idx="84">
                  <c:v>1.0000000000000002</c:v>
                </c:pt>
                <c:pt idx="85">
                  <c:v>1.0000000000000002</c:v>
                </c:pt>
                <c:pt idx="86">
                  <c:v>1.0000000000000002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 39'!$H$95:$CP$95</c15:f>
                <c15:dlblRangeCache>
                  <c:ptCount val="87"/>
                  <c:pt idx="0">
                    <c:v>0,0%</c:v>
                  </c:pt>
                  <c:pt idx="2">
                    <c:v>4,8%</c:v>
                  </c:pt>
                  <c:pt idx="4">
                    <c:v>11,1%</c:v>
                  </c:pt>
                  <c:pt idx="6">
                    <c:v>17,8%</c:v>
                  </c:pt>
                  <c:pt idx="8">
                    <c:v>23,4%</c:v>
                  </c:pt>
                  <c:pt idx="10">
                    <c:v>31,1%</c:v>
                  </c:pt>
                  <c:pt idx="12">
                    <c:v>37,5%</c:v>
                  </c:pt>
                  <c:pt idx="14">
                    <c:v>42,5%</c:v>
                  </c:pt>
                  <c:pt idx="16">
                    <c:v>48,0%</c:v>
                  </c:pt>
                  <c:pt idx="18">
                    <c:v>54,7%</c:v>
                  </c:pt>
                  <c:pt idx="20">
                    <c:v>62,9%</c:v>
                  </c:pt>
                  <c:pt idx="22">
                    <c:v>70,9%</c:v>
                  </c:pt>
                  <c:pt idx="24">
                    <c:v>78,7%</c:v>
                  </c:pt>
                  <c:pt idx="26">
                    <c:v>86,5%</c:v>
                  </c:pt>
                  <c:pt idx="28">
                    <c:v>93,4%</c:v>
                  </c:pt>
                  <c:pt idx="30">
                    <c:v>97,8%</c:v>
                  </c:pt>
                  <c:pt idx="32">
                    <c:v>99,0%</c:v>
                  </c:pt>
                  <c:pt idx="34">
                    <c:v>100,0%</c:v>
                  </c:pt>
                  <c:pt idx="36">
                    <c:v>100,0%</c:v>
                  </c:pt>
                  <c:pt idx="38">
                    <c:v>100,0%</c:v>
                  </c:pt>
                  <c:pt idx="40">
                    <c:v>100,0%</c:v>
                  </c:pt>
                  <c:pt idx="42">
                    <c:v>100,0%</c:v>
                  </c:pt>
                  <c:pt idx="44">
                    <c:v>100,0%</c:v>
                  </c:pt>
                  <c:pt idx="46">
                    <c:v>100,0%</c:v>
                  </c:pt>
                  <c:pt idx="48">
                    <c:v>100,0%</c:v>
                  </c:pt>
                  <c:pt idx="50">
                    <c:v>100,0%</c:v>
                  </c:pt>
                  <c:pt idx="52">
                    <c:v>100,0%</c:v>
                  </c:pt>
                  <c:pt idx="54">
                    <c:v>100,0%</c:v>
                  </c:pt>
                  <c:pt idx="56">
                    <c:v>100,0%</c:v>
                  </c:pt>
                  <c:pt idx="58">
                    <c:v>100,0%</c:v>
                  </c:pt>
                  <c:pt idx="60">
                    <c:v>100,0%</c:v>
                  </c:pt>
                  <c:pt idx="62">
                    <c:v>100,0%</c:v>
                  </c:pt>
                  <c:pt idx="64">
                    <c:v>100,0%</c:v>
                  </c:pt>
                  <c:pt idx="66">
                    <c:v>100,0%</c:v>
                  </c:pt>
                  <c:pt idx="68">
                    <c:v>100,0%</c:v>
                  </c:pt>
                  <c:pt idx="70">
                    <c:v>100,0%</c:v>
                  </c:pt>
                  <c:pt idx="72">
                    <c:v>100,0%</c:v>
                  </c:pt>
                  <c:pt idx="74">
                    <c:v>100,0%</c:v>
                  </c:pt>
                  <c:pt idx="76">
                    <c:v>100,0%</c:v>
                  </c:pt>
                  <c:pt idx="78">
                    <c:v>100,0%</c:v>
                  </c:pt>
                  <c:pt idx="80">
                    <c:v>100,0%</c:v>
                  </c:pt>
                  <c:pt idx="82">
                    <c:v>100,0%</c:v>
                  </c:pt>
                  <c:pt idx="84">
                    <c:v>100,0%</c:v>
                  </c:pt>
                  <c:pt idx="86">
                    <c:v>100,0%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893B-4FF7-8390-A1FD1A6B80F6}"/>
            </c:ext>
          </c:extLst>
        </c:ser>
        <c:ser>
          <c:idx val="1"/>
          <c:order val="1"/>
          <c:tx>
            <c:strRef>
              <c:f>'Dashboard Turbina'!$Y$4</c:f>
              <c:strCache>
                <c:ptCount val="1"/>
                <c:pt idx="0">
                  <c:v>Real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C983-4997-B21B-6566EA93782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662C5A0-3394-422A-95E6-620EC12F77E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C983-4997-B21B-6566EA93782B}"/>
                </c:ext>
              </c:extLst>
            </c:dLbl>
            <c:dLbl>
              <c:idx val="2"/>
              <c:layout>
                <c:manualLayout>
                  <c:x val="-8.1101500976658705E-2"/>
                  <c:y val="-2.4818831853618391E-2"/>
                </c:manualLayout>
              </c:layout>
              <c:tx>
                <c:rich>
                  <a:bodyPr/>
                  <a:lstStyle/>
                  <a:p>
                    <a:fld id="{E8C8D475-CA79-4DA4-838D-5CCB829FA08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C983-4997-B21B-6566EA93782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CD4FB11-BC1B-4919-B375-D624715648A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C983-4997-B21B-6566EA93782B}"/>
                </c:ext>
              </c:extLst>
            </c:dLbl>
            <c:dLbl>
              <c:idx val="4"/>
              <c:layout>
                <c:manualLayout>
                  <c:x val="-8.8874715064577184E-2"/>
                  <c:y val="-2.0480293298870991E-2"/>
                </c:manualLayout>
              </c:layout>
              <c:tx>
                <c:rich>
                  <a:bodyPr/>
                  <a:lstStyle/>
                  <a:p>
                    <a:fld id="{86EA65F1-15D8-4FEF-9DAE-12186326CB2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93B-4FF7-8390-A1FD1A6B80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EED7173-DF2F-4E84-BFB5-5244A32E38F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C983-4997-B21B-6566EA93782B}"/>
                </c:ext>
              </c:extLst>
            </c:dLbl>
            <c:dLbl>
              <c:idx val="6"/>
              <c:layout>
                <c:manualLayout>
                  <c:x val="-8.3782152180550476E-2"/>
                  <c:y val="1.6793901996172236E-3"/>
                </c:manualLayout>
              </c:layout>
              <c:tx>
                <c:rich>
                  <a:bodyPr/>
                  <a:lstStyle/>
                  <a:p>
                    <a:fld id="{2EBE4090-B605-4F93-A36D-004FFE8611C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C983-4997-B21B-6566EA9378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80B83F4-A732-4CE2-9395-B11257BBA6C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C983-4997-B21B-6566EA93782B}"/>
                </c:ext>
              </c:extLst>
            </c:dLbl>
            <c:dLbl>
              <c:idx val="8"/>
              <c:layout>
                <c:manualLayout>
                  <c:x val="-8.3653402446735442E-2"/>
                  <c:y val="-3.3639388190907997E-2"/>
                </c:manualLayout>
              </c:layout>
              <c:tx>
                <c:rich>
                  <a:bodyPr/>
                  <a:lstStyle/>
                  <a:p>
                    <a:fld id="{77A38DC9-2F5A-47B8-8077-E5A378791F8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C983-4997-B21B-6566EA9378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4000AEC-4561-4060-A6DE-B1530E76F93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93B-4FF7-8390-A1FD1A6B80F6}"/>
                </c:ext>
              </c:extLst>
            </c:dLbl>
            <c:dLbl>
              <c:idx val="10"/>
              <c:layout>
                <c:manualLayout>
                  <c:x val="-7.583236702911425E-2"/>
                  <c:y val="-3.7925317695463971E-2"/>
                </c:manualLayout>
              </c:layout>
              <c:tx>
                <c:rich>
                  <a:bodyPr/>
                  <a:lstStyle/>
                  <a:p>
                    <a:fld id="{75403640-AD79-4944-AD3A-B95ED1AA8EC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C983-4997-B21B-6566EA9378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71A59E6-766F-4A8E-9759-30C2E143611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C983-4997-B21B-6566EA93782B}"/>
                </c:ext>
              </c:extLst>
            </c:dLbl>
            <c:dLbl>
              <c:idx val="12"/>
              <c:layout>
                <c:manualLayout>
                  <c:x val="-7.0682173311855973E-2"/>
                  <c:y val="-3.8650229413036731E-2"/>
                </c:manualLayout>
              </c:layout>
              <c:tx>
                <c:rich>
                  <a:bodyPr/>
                  <a:lstStyle/>
                  <a:p>
                    <a:fld id="{925695EA-4E9C-4467-9A85-A2E7DBA9D3A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C983-4997-B21B-6566EA9378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CEEE06A-1A44-4F71-BB19-B8CB6772FEE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93B-4FF7-8390-A1FD1A6B80F6}"/>
                </c:ext>
              </c:extLst>
            </c:dLbl>
            <c:dLbl>
              <c:idx val="14"/>
              <c:layout>
                <c:manualLayout>
                  <c:x val="-6.7976589619828609E-2"/>
                  <c:y val="-3.3181279513591753E-2"/>
                </c:manualLayout>
              </c:layout>
              <c:tx>
                <c:rich>
                  <a:bodyPr/>
                  <a:lstStyle/>
                  <a:p>
                    <a:fld id="{30500B17-D9AC-472A-B851-8371AA3A235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C983-4997-B21B-6566EA93782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02C2370-7B72-4F04-B3D3-069A561908C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C983-4997-B21B-6566EA93782B}"/>
                </c:ext>
              </c:extLst>
            </c:dLbl>
            <c:dLbl>
              <c:idx val="16"/>
              <c:layout>
                <c:manualLayout>
                  <c:x val="-6.8117805597711439E-2"/>
                  <c:y val="-3.8832994619870574E-2"/>
                </c:manualLayout>
              </c:layout>
              <c:tx>
                <c:rich>
                  <a:bodyPr/>
                  <a:lstStyle/>
                  <a:p>
                    <a:fld id="{E4F158F2-B3A1-46FA-8652-78F2305CC43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C983-4997-B21B-6566EA93782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A7FCBED-B12C-468A-87D6-D50501CDC23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893B-4FF7-8390-A1FD1A6B80F6}"/>
                </c:ext>
              </c:extLst>
            </c:dLbl>
            <c:dLbl>
              <c:idx val="18"/>
              <c:layout>
                <c:manualLayout>
                  <c:x val="-1.8572990876716725E-2"/>
                  <c:y val="7.5485972991605019E-2"/>
                </c:manualLayout>
              </c:layout>
              <c:tx>
                <c:rich>
                  <a:bodyPr/>
                  <a:lstStyle/>
                  <a:p>
                    <a:fld id="{F1B38D46-1177-4A2B-A5C9-FD83EB2F594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C983-4997-B21B-6566EA93782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0E13DD1-AA68-48F5-8BC8-9611309A3FB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E-C983-4997-B21B-6566EA93782B}"/>
                </c:ext>
              </c:extLst>
            </c:dLbl>
            <c:dLbl>
              <c:idx val="20"/>
              <c:layout>
                <c:manualLayout>
                  <c:x val="-5.6719556423561485E-3"/>
                  <c:y val="8.3160871762663485E-2"/>
                </c:manualLayout>
              </c:layout>
              <c:tx>
                <c:rich>
                  <a:bodyPr/>
                  <a:lstStyle/>
                  <a:p>
                    <a:fld id="{86F716CF-D2A9-4859-9E73-459A61625B7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C983-4997-B21B-6566EA93782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1DDAC19-CB25-4E60-9515-CF71311E9A6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93B-4FF7-8390-A1FD1A6B80F6}"/>
                </c:ext>
              </c:extLst>
            </c:dLbl>
            <c:dLbl>
              <c:idx val="22"/>
              <c:layout>
                <c:manualLayout>
                  <c:x val="7.5020219661235893E-3"/>
                  <c:y val="9.3024513716939275E-2"/>
                </c:manualLayout>
              </c:layout>
              <c:tx>
                <c:rich>
                  <a:bodyPr/>
                  <a:lstStyle/>
                  <a:p>
                    <a:fld id="{BAEC7711-2F2B-454D-AFE6-59BBB1E715D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0-C983-4997-B21B-6566EA93782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00D43B7-40C0-4B9C-8171-6A03E03EFCE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1-C983-4997-B21B-6566EA93782B}"/>
                </c:ext>
              </c:extLst>
            </c:dLbl>
            <c:dLbl>
              <c:idx val="24"/>
              <c:layout>
                <c:manualLayout>
                  <c:x val="-4.9505845208478179E-2"/>
                  <c:y val="3.8968448403988276E-2"/>
                </c:manualLayout>
              </c:layout>
              <c:tx>
                <c:rich>
                  <a:bodyPr/>
                  <a:lstStyle/>
                  <a:p>
                    <a:fld id="{D2C929BC-8D62-4F19-B9C5-931F0D25E60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2-C983-4997-B21B-6566EA93782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98DD6AA-0CCB-4389-BBE5-C9F946FFC3B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3-C983-4997-B21B-6566EA93782B}"/>
                </c:ext>
              </c:extLst>
            </c:dLbl>
            <c:dLbl>
              <c:idx val="26"/>
              <c:layout>
                <c:manualLayout>
                  <c:x val="-4.2290813359072379E-2"/>
                  <c:y val="3.5514866668511398E-2"/>
                </c:manualLayout>
              </c:layout>
              <c:tx>
                <c:rich>
                  <a:bodyPr/>
                  <a:lstStyle/>
                  <a:p>
                    <a:fld id="{0D5C4CE0-F71E-4E77-AF03-525EDA181EF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93B-4FF7-8390-A1FD1A6B80F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AF55B2D-692B-4A07-8C9F-90D6AC6743A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4-C983-4997-B21B-6566EA93782B}"/>
                </c:ext>
              </c:extLst>
            </c:dLbl>
            <c:dLbl>
              <c:idx val="28"/>
              <c:layout>
                <c:manualLayout>
                  <c:x val="-4.2233386890497736E-2"/>
                  <c:y val="3.6375400418071101E-2"/>
                </c:manualLayout>
              </c:layout>
              <c:tx>
                <c:rich>
                  <a:bodyPr/>
                  <a:lstStyle/>
                  <a:p>
                    <a:fld id="{8E919941-6006-4207-92DA-9D2FD322A47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893B-4FF7-8390-A1FD1A6B80F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C3BF001-1A3C-49A0-9969-54EF2B2E323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5-C983-4997-B21B-6566EA93782B}"/>
                </c:ext>
              </c:extLst>
            </c:dLbl>
            <c:dLbl>
              <c:idx val="30"/>
              <c:layout>
                <c:manualLayout>
                  <c:x val="-7.343700888618411E-2"/>
                  <c:y val="-3.3879203471650722E-2"/>
                </c:manualLayout>
              </c:layout>
              <c:tx>
                <c:rich>
                  <a:bodyPr/>
                  <a:lstStyle/>
                  <a:p>
                    <a:fld id="{368FC0FB-AA32-4F88-9ECD-0E3ABE15E11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A38-444B-9E1C-480E45441B9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CE8D3614-721C-4275-9B69-2B478EB4312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6-C983-4997-B21B-6566EA93782B}"/>
                </c:ext>
              </c:extLst>
            </c:dLbl>
            <c:dLbl>
              <c:idx val="32"/>
              <c:layout>
                <c:manualLayout>
                  <c:x val="-6.820711295275457E-2"/>
                  <c:y val="-3.7424848484227363E-2"/>
                </c:manualLayout>
              </c:layout>
              <c:tx>
                <c:rich>
                  <a:bodyPr/>
                  <a:lstStyle/>
                  <a:p>
                    <a:fld id="{5DABA0F3-0DB6-4662-91BD-4832DD9D6FB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A38-444B-9E1C-480E45441B9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5EDF6063-8464-4F3B-941A-CAD6BD27A6D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7-C983-4997-B21B-6566EA93782B}"/>
                </c:ext>
              </c:extLst>
            </c:dLbl>
            <c:dLbl>
              <c:idx val="34"/>
              <c:layout>
                <c:manualLayout>
                  <c:x val="-6.3024016525743701E-2"/>
                  <c:y val="-4.2601715669947235E-2"/>
                </c:manualLayout>
              </c:layout>
              <c:tx>
                <c:rich>
                  <a:bodyPr/>
                  <a:lstStyle/>
                  <a:p>
                    <a:fld id="{BEDCED32-305C-410C-923A-11DA5E0D59B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A38-444B-9E1C-480E45441B9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48B6D396-8D64-4E18-8BF7-48067A9CBA8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8-C983-4997-B21B-6566EA93782B}"/>
                </c:ext>
              </c:extLst>
            </c:dLbl>
            <c:dLbl>
              <c:idx val="36"/>
              <c:layout>
                <c:manualLayout>
                  <c:x val="-6.5603098495181381E-2"/>
                  <c:y val="-5.486440700547579E-2"/>
                </c:manualLayout>
              </c:layout>
              <c:tx>
                <c:rich>
                  <a:bodyPr/>
                  <a:lstStyle/>
                  <a:p>
                    <a:fld id="{A9942D60-A485-4B8A-9ED7-A99FC149069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9-C983-4997-B21B-6566EA93782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98EC8933-63D9-4E8A-AE7E-D604B311FCD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F16-4CD9-BA0A-A4A014A93BC4}"/>
                </c:ext>
              </c:extLst>
            </c:dLbl>
            <c:dLbl>
              <c:idx val="38"/>
              <c:layout>
                <c:manualLayout>
                  <c:x val="-5.2642291957801152E-2"/>
                  <c:y val="3.9830516870253442E-2"/>
                </c:manualLayout>
              </c:layout>
              <c:tx>
                <c:rich>
                  <a:bodyPr/>
                  <a:lstStyle/>
                  <a:p>
                    <a:fld id="{D118647C-085A-4361-9FD2-2476FFA1D0F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C983-4997-B21B-6566EA93782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4659C423-E41A-4A5C-B94A-C7D7E62469F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B-C983-4997-B21B-6566EA93782B}"/>
                </c:ext>
              </c:extLst>
            </c:dLbl>
            <c:dLbl>
              <c:idx val="40"/>
              <c:layout>
                <c:manualLayout>
                  <c:x val="-4.7442641993585402E-2"/>
                  <c:y val="3.624490264421968E-2"/>
                </c:manualLayout>
              </c:layout>
              <c:tx>
                <c:rich>
                  <a:bodyPr/>
                  <a:lstStyle/>
                  <a:p>
                    <a:fld id="{6F1F9C9B-DC79-482B-B48D-B4423E8DFB4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C-C983-4997-B21B-6566EA93782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EBE047B0-6DF4-4C07-9CCD-538F0D08D22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A3A-49AF-B95C-D6DDF66FCF2E}"/>
                </c:ext>
              </c:extLst>
            </c:dLbl>
            <c:dLbl>
              <c:idx val="42"/>
              <c:layout>
                <c:manualLayout>
                  <c:x val="-5.0043386616649005E-2"/>
                  <c:y val="3.1153439760758635E-2"/>
                </c:manualLayout>
              </c:layout>
              <c:tx>
                <c:rich>
                  <a:bodyPr/>
                  <a:lstStyle/>
                  <a:p>
                    <a:fld id="{E5ED7917-39A5-431A-8CC0-DA13D76DCF9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D-C983-4997-B21B-6566EA93782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786DF275-CB4F-434A-B7EF-146518CBD58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C983-4997-B21B-6566EA93782B}"/>
                </c:ext>
              </c:extLst>
            </c:dLbl>
            <c:dLbl>
              <c:idx val="44"/>
              <c:layout>
                <c:manualLayout>
                  <c:x val="-4.4844145381746955E-2"/>
                  <c:y val="3.6267449380015991E-2"/>
                </c:manualLayout>
              </c:layout>
              <c:tx>
                <c:rich>
                  <a:bodyPr/>
                  <a:lstStyle/>
                  <a:p>
                    <a:fld id="{934D02B2-51C6-426D-8477-230508D2F9F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F-C983-4997-B21B-6566EA93782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FDAC5054-D51C-4E1B-B063-4C1A9B590DF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787-4969-B39B-7E4CD8CEB210}"/>
                </c:ext>
              </c:extLst>
            </c:dLbl>
            <c:dLbl>
              <c:idx val="46"/>
              <c:layout>
                <c:manualLayout>
                  <c:x val="-4.7274654245655405E-2"/>
                  <c:y val="3.6361052495291639E-2"/>
                </c:manualLayout>
              </c:layout>
              <c:tx>
                <c:rich>
                  <a:bodyPr/>
                  <a:lstStyle/>
                  <a:p>
                    <a:fld id="{FABB6D85-A641-43A7-B5D6-39D66C77511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C983-4997-B21B-6566EA93782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534FC953-93C1-4517-A8F2-AC102329A7C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1-C983-4997-B21B-6566EA93782B}"/>
                </c:ext>
              </c:extLst>
            </c:dLbl>
            <c:dLbl>
              <c:idx val="48"/>
              <c:layout>
                <c:manualLayout>
                  <c:x val="-6.8167261844668967E-2"/>
                  <c:y val="-2.9070258020061811E-2"/>
                </c:manualLayout>
              </c:layout>
              <c:tx>
                <c:rich>
                  <a:bodyPr/>
                  <a:lstStyle/>
                  <a:p>
                    <a:fld id="{143E68CB-56B0-4D1C-BEBD-164EB9D644C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2-C983-4997-B21B-6566EA93782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52F7C28D-1D89-47C2-9A74-280088E6B2F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3-C983-4997-B21B-6566EA93782B}"/>
                </c:ext>
              </c:extLst>
            </c:dLbl>
            <c:dLbl>
              <c:idx val="50"/>
              <c:layout>
                <c:manualLayout>
                  <c:x val="-6.0384238253221707E-2"/>
                  <c:y val="-3.3634947167190538E-2"/>
                </c:manualLayout>
              </c:layout>
              <c:tx>
                <c:rich>
                  <a:bodyPr/>
                  <a:lstStyle/>
                  <a:p>
                    <a:fld id="{6AA2876E-2ED2-4EC5-97BC-737E8E807BF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A14-4D05-99DF-9B656C0F896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6F09FB00-60A0-443D-92C5-CC94B65971B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4-C983-4997-B21B-6566EA93782B}"/>
                </c:ext>
              </c:extLst>
            </c:dLbl>
            <c:dLbl>
              <c:idx val="52"/>
              <c:layout>
                <c:manualLayout>
                  <c:x val="-5.2765115116567653E-2"/>
                  <c:y val="5.3344210425268997E-2"/>
                </c:manualLayout>
              </c:layout>
              <c:tx>
                <c:rich>
                  <a:bodyPr/>
                  <a:lstStyle/>
                  <a:p>
                    <a:fld id="{71E0074C-6D19-4C6E-B45E-DAFB053CB18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5-C983-4997-B21B-6566EA93782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CC195514-F076-4FC5-8FC3-570FD048A0D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758-42D3-BA87-524E5D7E3F07}"/>
                </c:ext>
              </c:extLst>
            </c:dLbl>
            <c:dLbl>
              <c:idx val="54"/>
              <c:layout>
                <c:manualLayout>
                  <c:x val="-4.9083485823428218E-2"/>
                  <c:y val="-4.3769363290429651E-2"/>
                </c:manualLayout>
              </c:layout>
              <c:tx>
                <c:rich>
                  <a:bodyPr/>
                  <a:lstStyle/>
                  <a:p>
                    <a:fld id="{73F9747A-171B-44A2-B5C9-9E71E18C6CE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758-42D3-BA87-524E5D7E3F0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EBCC5AB5-DC9A-410C-B31E-0AB9208687B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770-4E84-8AD7-868C6D887B70}"/>
                </c:ext>
              </c:extLst>
            </c:dLbl>
            <c:dLbl>
              <c:idx val="56"/>
              <c:layout>
                <c:manualLayout>
                  <c:x val="-3.3510898971514429E-2"/>
                  <c:y val="4.733994635926584E-2"/>
                </c:manualLayout>
              </c:layout>
              <c:tx>
                <c:rich>
                  <a:bodyPr/>
                  <a:lstStyle/>
                  <a:p>
                    <a:fld id="{B32F206C-CCE6-468F-B816-7C2EA5F15C0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770-4E84-8AD7-868C6D887B70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A0973E98-794A-40B8-9C02-8D08BB27E71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770-4E84-8AD7-868C6D887B70}"/>
                </c:ext>
              </c:extLst>
            </c:dLbl>
            <c:dLbl>
              <c:idx val="58"/>
              <c:layout>
                <c:manualLayout>
                  <c:x val="-4.1297192397471275E-2"/>
                  <c:y val="-2.2076670516692622E-2"/>
                </c:manualLayout>
              </c:layout>
              <c:tx>
                <c:rich>
                  <a:bodyPr/>
                  <a:lstStyle/>
                  <a:p>
                    <a:fld id="{97C63F3C-642E-4296-9B9B-4691C8731ED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770-4E84-8AD7-868C6D887B70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668-4F65-A7DF-7F785463789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668-4F65-A7DF-7F785463789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39'!$H$6:$BP$6</c:f>
              <c:numCache>
                <c:formatCode>0.0%</c:formatCode>
                <c:ptCount val="61"/>
                <c:pt idx="0">
                  <c:v>0</c:v>
                </c:pt>
                <c:pt idx="1">
                  <c:v>6.4094548875466603E-2</c:v>
                </c:pt>
                <c:pt idx="2">
                  <c:v>0.10235533218768098</c:v>
                </c:pt>
                <c:pt idx="3">
                  <c:v>0.13146626920190052</c:v>
                </c:pt>
                <c:pt idx="4">
                  <c:v>0.17883461778899412</c:v>
                </c:pt>
                <c:pt idx="5">
                  <c:v>0.20908910701625444</c:v>
                </c:pt>
                <c:pt idx="6">
                  <c:v>0.31333235028057671</c:v>
                </c:pt>
                <c:pt idx="7">
                  <c:v>0.35438262121807473</c:v>
                </c:pt>
                <c:pt idx="8">
                  <c:v>0.38658474947173488</c:v>
                </c:pt>
                <c:pt idx="9">
                  <c:v>0.41422290163339587</c:v>
                </c:pt>
                <c:pt idx="10">
                  <c:v>0.42979411462287836</c:v>
                </c:pt>
                <c:pt idx="11">
                  <c:v>0.44390113735710368</c:v>
                </c:pt>
                <c:pt idx="12">
                  <c:v>0.46533225340257373</c:v>
                </c:pt>
                <c:pt idx="13">
                  <c:v>0.4733804478536715</c:v>
                </c:pt>
                <c:pt idx="14">
                  <c:v>0.49750883554724357</c:v>
                </c:pt>
                <c:pt idx="15">
                  <c:v>0.51666679178292407</c:v>
                </c:pt>
                <c:pt idx="16">
                  <c:v>0.54031007332414593</c:v>
                </c:pt>
                <c:pt idx="17">
                  <c:v>0.55322933172217859</c:v>
                </c:pt>
                <c:pt idx="18">
                  <c:v>0.57247904041258846</c:v>
                </c:pt>
                <c:pt idx="19">
                  <c:v>0.59057430007195111</c:v>
                </c:pt>
                <c:pt idx="20">
                  <c:v>0.61037207018897099</c:v>
                </c:pt>
                <c:pt idx="21">
                  <c:v>0.62986519202151792</c:v>
                </c:pt>
                <c:pt idx="22">
                  <c:v>0.64574520618269327</c:v>
                </c:pt>
                <c:pt idx="23">
                  <c:v>0.64758975889058901</c:v>
                </c:pt>
                <c:pt idx="24">
                  <c:v>0.65998105621028769</c:v>
                </c:pt>
                <c:pt idx="25">
                  <c:v>0.66573995168740352</c:v>
                </c:pt>
                <c:pt idx="26">
                  <c:v>0.66697235865993831</c:v>
                </c:pt>
                <c:pt idx="27">
                  <c:v>0.68537368847599567</c:v>
                </c:pt>
                <c:pt idx="28">
                  <c:v>0.70439989204253095</c:v>
                </c:pt>
                <c:pt idx="29">
                  <c:v>0.70795675576094441</c:v>
                </c:pt>
                <c:pt idx="30">
                  <c:v>0.71793004029153129</c:v>
                </c:pt>
                <c:pt idx="31">
                  <c:v>0.72126427150884664</c:v>
                </c:pt>
                <c:pt idx="32">
                  <c:v>0.72487920198370381</c:v>
                </c:pt>
                <c:pt idx="33">
                  <c:v>0.7265963368409708</c:v>
                </c:pt>
                <c:pt idx="34">
                  <c:v>0.7273204337193937</c:v>
                </c:pt>
                <c:pt idx="35">
                  <c:v>0.72739284340723598</c:v>
                </c:pt>
                <c:pt idx="36">
                  <c:v>0.72742904825115706</c:v>
                </c:pt>
                <c:pt idx="37">
                  <c:v>0.72742904825115706</c:v>
                </c:pt>
                <c:pt idx="38">
                  <c:v>0.72967657918904583</c:v>
                </c:pt>
                <c:pt idx="39">
                  <c:v>0.73089080395971273</c:v>
                </c:pt>
                <c:pt idx="40">
                  <c:v>0.73089080395971273</c:v>
                </c:pt>
                <c:pt idx="41">
                  <c:v>0.73196488099604007</c:v>
                </c:pt>
                <c:pt idx="42">
                  <c:v>0.73196488099604007</c:v>
                </c:pt>
                <c:pt idx="43">
                  <c:v>0.73783698375147944</c:v>
                </c:pt>
                <c:pt idx="44">
                  <c:v>0.74062044655546411</c:v>
                </c:pt>
                <c:pt idx="45">
                  <c:v>0.74448095166634642</c:v>
                </c:pt>
                <c:pt idx="46">
                  <c:v>0.74875182039318955</c:v>
                </c:pt>
                <c:pt idx="47">
                  <c:v>0.7502021096038578</c:v>
                </c:pt>
                <c:pt idx="48">
                  <c:v>0.7502021096038578</c:v>
                </c:pt>
                <c:pt idx="49">
                  <c:v>0.75482660968830906</c:v>
                </c:pt>
                <c:pt idx="50">
                  <c:v>0.7572419093716527</c:v>
                </c:pt>
                <c:pt idx="51">
                  <c:v>0.75848810380643683</c:v>
                </c:pt>
                <c:pt idx="52">
                  <c:v>0.75925264376422996</c:v>
                </c:pt>
                <c:pt idx="53">
                  <c:v>0.75985604664128981</c:v>
                </c:pt>
                <c:pt idx="54">
                  <c:v>0.76089489734017268</c:v>
                </c:pt>
                <c:pt idx="55">
                  <c:v>0.76137762299830836</c:v>
                </c:pt>
                <c:pt idx="56">
                  <c:v>0.78029938319267145</c:v>
                </c:pt>
                <c:pt idx="57">
                  <c:v>0.78078210885080723</c:v>
                </c:pt>
                <c:pt idx="58">
                  <c:v>0.78114415449294561</c:v>
                </c:pt>
                <c:pt idx="59">
                  <c:v>0.78268983123180569</c:v>
                </c:pt>
                <c:pt idx="60">
                  <c:v>0.78400540230155191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39'!$H$101:$BN$101</c15:f>
                <c15:dlblRangeCache>
                  <c:ptCount val="59"/>
                  <c:pt idx="0">
                    <c:v>0,0%</c:v>
                  </c:pt>
                  <c:pt idx="2">
                    <c:v>10,2%</c:v>
                  </c:pt>
                  <c:pt idx="4">
                    <c:v>17,9%</c:v>
                  </c:pt>
                  <c:pt idx="6">
                    <c:v>31,3%</c:v>
                  </c:pt>
                  <c:pt idx="8">
                    <c:v>38,7%</c:v>
                  </c:pt>
                  <c:pt idx="10">
                    <c:v>43,0%</c:v>
                  </c:pt>
                  <c:pt idx="12">
                    <c:v>46,5%</c:v>
                  </c:pt>
                  <c:pt idx="14">
                    <c:v>49,8%</c:v>
                  </c:pt>
                  <c:pt idx="16">
                    <c:v>54,0%</c:v>
                  </c:pt>
                  <c:pt idx="18">
                    <c:v>57,2%</c:v>
                  </c:pt>
                  <c:pt idx="20">
                    <c:v>61,0%</c:v>
                  </c:pt>
                  <c:pt idx="22">
                    <c:v>64,6%</c:v>
                  </c:pt>
                  <c:pt idx="24">
                    <c:v>66,0%</c:v>
                  </c:pt>
                  <c:pt idx="26">
                    <c:v>66,7%</c:v>
                  </c:pt>
                  <c:pt idx="28">
                    <c:v>70,4%</c:v>
                  </c:pt>
                  <c:pt idx="30">
                    <c:v>71,8%</c:v>
                  </c:pt>
                  <c:pt idx="32">
                    <c:v>72,5%</c:v>
                  </c:pt>
                  <c:pt idx="34">
                    <c:v>72,7%</c:v>
                  </c:pt>
                  <c:pt idx="36">
                    <c:v>72,7%</c:v>
                  </c:pt>
                  <c:pt idx="38">
                    <c:v>73,0%</c:v>
                  </c:pt>
                  <c:pt idx="40">
                    <c:v>73,1%</c:v>
                  </c:pt>
                  <c:pt idx="42">
                    <c:v>73,2%</c:v>
                  </c:pt>
                  <c:pt idx="44">
                    <c:v>74,1%</c:v>
                  </c:pt>
                  <c:pt idx="46">
                    <c:v>74,9%</c:v>
                  </c:pt>
                  <c:pt idx="48">
                    <c:v>75,0%</c:v>
                  </c:pt>
                  <c:pt idx="50">
                    <c:v>75,7%</c:v>
                  </c:pt>
                  <c:pt idx="52">
                    <c:v>75,9%</c:v>
                  </c:pt>
                  <c:pt idx="54">
                    <c:v>76,1%</c:v>
                  </c:pt>
                  <c:pt idx="56">
                    <c:v>78,0%</c:v>
                  </c:pt>
                  <c:pt idx="58">
                    <c:v>78,1%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893B-4FF7-8390-A1FD1A6B80F6}"/>
            </c:ext>
          </c:extLst>
        </c:ser>
        <c:ser>
          <c:idx val="2"/>
          <c:order val="2"/>
          <c:tx>
            <c:strRef>
              <c:f>'Avance 39'!$B$96</c:f>
              <c:strCache>
                <c:ptCount val="1"/>
                <c:pt idx="0">
                  <c:v>Desviación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983-4997-B21B-6566EA93782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2FCC4DB-F115-4306-B438-3764336812C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3-C983-4997-B21B-6566EA93782B}"/>
                </c:ext>
              </c:extLst>
            </c:dLbl>
            <c:dLbl>
              <c:idx val="2"/>
              <c:layout>
                <c:manualLayout>
                  <c:x val="-5.6207637761193384E-2"/>
                  <c:y val="6.7925799375728707E-2"/>
                </c:manualLayout>
              </c:layout>
              <c:tx>
                <c:rich>
                  <a:bodyPr/>
                  <a:lstStyle/>
                  <a:p>
                    <a:fld id="{E2B70876-1F32-41E2-82CF-8139D40A310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4-C983-4997-B21B-6566EA93782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33759B4-FF42-430B-BDB8-15E9546CCAD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5-C983-4997-B21B-6566EA93782B}"/>
                </c:ext>
              </c:extLst>
            </c:dLbl>
            <c:dLbl>
              <c:idx val="4"/>
              <c:layout>
                <c:manualLayout>
                  <c:x val="-5.3612206619207743E-2"/>
                  <c:y val="0.11998826203269747"/>
                </c:manualLayout>
              </c:layout>
              <c:tx>
                <c:rich>
                  <a:bodyPr/>
                  <a:lstStyle/>
                  <a:p>
                    <a:fld id="{7C9F24BE-9AAA-4231-9C3C-911B4DF4C37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893B-4FF7-8390-A1FD1A6B80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230A629-1608-4802-AF55-C362072063C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6-C983-4997-B21B-6566EA93782B}"/>
                </c:ext>
              </c:extLst>
            </c:dLbl>
            <c:dLbl>
              <c:idx val="6"/>
              <c:layout>
                <c:manualLayout>
                  <c:x val="-6.2060641533356192E-2"/>
                  <c:y val="9.0725331906739787E-2"/>
                </c:manualLayout>
              </c:layout>
              <c:tx>
                <c:rich>
                  <a:bodyPr/>
                  <a:lstStyle/>
                  <a:p>
                    <a:fld id="{18CDF49C-4BF7-40D5-A1F8-6C411C75D94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7-C983-4997-B21B-6566EA9378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339B695-2FE9-4373-93FC-D3DA75C73D6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8-C983-4997-B21B-6566EA93782B}"/>
                </c:ext>
              </c:extLst>
            </c:dLbl>
            <c:dLbl>
              <c:idx val="8"/>
              <c:layout>
                <c:manualLayout>
                  <c:x val="-4.6488054681442501E-2"/>
                  <c:y val="4.3001407804518353E-2"/>
                </c:manualLayout>
              </c:layout>
              <c:tx>
                <c:rich>
                  <a:bodyPr/>
                  <a:lstStyle/>
                  <a:p>
                    <a:fld id="{36694F71-9468-450C-B0E7-ABF0F4A0B40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9-C983-4997-B21B-6566EA9378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7F752B-EA76-499A-AD9F-B6C6AE0C6FE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893B-4FF7-8390-A1FD1A6B80F6}"/>
                </c:ext>
              </c:extLst>
            </c:dLbl>
            <c:dLbl>
              <c:idx val="10"/>
              <c:layout>
                <c:manualLayout>
                  <c:x val="-4.6488054681442501E-2"/>
                  <c:y val="6.0355562023508044E-2"/>
                </c:manualLayout>
              </c:layout>
              <c:tx>
                <c:rich>
                  <a:bodyPr/>
                  <a:lstStyle/>
                  <a:p>
                    <a:fld id="{477D470B-42EB-4402-9895-D5E0CC234AA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A-C983-4997-B21B-6566EA9378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73CDE29-4F46-40CB-95E6-8BFF0D3B690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B-C983-4997-B21B-6566EA93782B}"/>
                </c:ext>
              </c:extLst>
            </c:dLbl>
            <c:dLbl>
              <c:idx val="12"/>
              <c:layout>
                <c:manualLayout>
                  <c:x val="-3.5444188625308438E-2"/>
                  <c:y val="5.4910183711486503E-2"/>
                </c:manualLayout>
              </c:layout>
              <c:tx>
                <c:rich>
                  <a:bodyPr/>
                  <a:lstStyle/>
                  <a:p>
                    <a:fld id="{20806D7A-128B-4650-8AE9-FC0E1B2AA21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C-C983-4997-B21B-6566EA9378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E03C886-D54A-4912-A395-D80753A1A08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893B-4FF7-8390-A1FD1A6B80F6}"/>
                </c:ext>
              </c:extLst>
            </c:dLbl>
            <c:dLbl>
              <c:idx val="14"/>
              <c:layout>
                <c:manualLayout>
                  <c:x val="-3.5444188625308438E-2"/>
                  <c:y val="5.0571645156739099E-2"/>
                </c:manualLayout>
              </c:layout>
              <c:tx>
                <c:rich>
                  <a:bodyPr/>
                  <a:lstStyle/>
                  <a:p>
                    <a:fld id="{3D1998A8-AA2D-4E89-8EDC-2B9554DA90F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D-C983-4997-B21B-6566EA93782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EA15F15-0AE9-4BF7-9106-7B075985C71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E-C983-4997-B21B-6566EA93782B}"/>
                </c:ext>
              </c:extLst>
            </c:dLbl>
            <c:dLbl>
              <c:idx val="16"/>
              <c:layout>
                <c:manualLayout>
                  <c:x val="-4.0635050909279713E-2"/>
                  <c:y val="8.0941415039970849E-2"/>
                </c:manualLayout>
              </c:layout>
              <c:tx>
                <c:rich>
                  <a:bodyPr/>
                  <a:lstStyle/>
                  <a:p>
                    <a:fld id="{9C538FCA-E758-4914-96F2-F17C8638075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C983-4997-B21B-6566EA93782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913891D-2DB4-4988-B9BC-E679DE22B6D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893B-4FF7-8390-A1FD1A6B80F6}"/>
                </c:ext>
              </c:extLst>
            </c:dLbl>
            <c:dLbl>
              <c:idx val="18"/>
              <c:layout>
                <c:manualLayout>
                  <c:x val="-2.7657895199351638E-2"/>
                  <c:y val="-3.6199125938209044E-2"/>
                </c:manualLayout>
              </c:layout>
              <c:tx>
                <c:rich>
                  <a:bodyPr/>
                  <a:lstStyle/>
                  <a:p>
                    <a:fld id="{5D0A6EE1-795D-4CC4-BE60-DABDC9D77BD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C983-4997-B21B-6566EA93782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3192F3E-8E73-42E0-816B-7827C6D628D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1-C983-4997-B21B-6566EA93782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432E669-2E27-40D6-9515-05C37D4984A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C983-4997-B21B-6566EA93782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74622B5-5F4B-44D8-B702-21EAE140895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893B-4FF7-8390-A1FD1A6B80F6}"/>
                </c:ext>
              </c:extLst>
            </c:dLbl>
            <c:dLbl>
              <c:idx val="22"/>
              <c:layout>
                <c:manualLayout>
                  <c:x val="-2.1839837783510029E-2"/>
                  <c:y val="-2.4231933488495869E-2"/>
                </c:manualLayout>
              </c:layout>
              <c:tx>
                <c:rich>
                  <a:bodyPr/>
                  <a:lstStyle/>
                  <a:p>
                    <a:fld id="{A1778652-ACDF-4BEE-AB0D-5B845ABC146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1-C983-4997-B21B-6566EA93782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DA51B58-5368-41AB-93D9-3E83D83789F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3-C983-4997-B21B-6566EA93782B}"/>
                </c:ext>
              </c:extLst>
            </c:dLbl>
            <c:dLbl>
              <c:idx val="24"/>
              <c:layout>
                <c:manualLayout>
                  <c:x val="-5.624278848217143E-2"/>
                  <c:y val="6.7984557535682777E-2"/>
                </c:manualLayout>
              </c:layout>
              <c:tx>
                <c:rich>
                  <a:bodyPr/>
                  <a:lstStyle/>
                  <a:p>
                    <a:fld id="{B19D0A6D-E260-4F85-BFCC-479FF3E451A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2-C983-4997-B21B-6566EA93782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02E9862-5578-43EB-9F70-82536DF9C91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4-C983-4997-B21B-6566EA93782B}"/>
                </c:ext>
              </c:extLst>
            </c:dLbl>
            <c:dLbl>
              <c:idx val="26"/>
              <c:layout>
                <c:manualLayout>
                  <c:x val="-2.2104898743443471E-2"/>
                  <c:y val="-4.8047435599177873E-2"/>
                </c:manualLayout>
              </c:layout>
              <c:tx>
                <c:rich>
                  <a:bodyPr/>
                  <a:lstStyle/>
                  <a:p>
                    <a:fld id="{7BB31052-0154-4965-8D60-9A69CF3CCFF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893B-4FF7-8390-A1FD1A6B80F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61ED3F5-2706-408F-9B56-8E43AD88CA7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5-C983-4997-B21B-6566EA93782B}"/>
                </c:ext>
              </c:extLst>
            </c:dLbl>
            <c:dLbl>
              <c:idx val="28"/>
              <c:layout>
                <c:manualLayout>
                  <c:x val="-3.5082054453371501E-2"/>
                  <c:y val="6.0416028269507364E-2"/>
                </c:manualLayout>
              </c:layout>
              <c:tx>
                <c:rich>
                  <a:bodyPr/>
                  <a:lstStyle/>
                  <a:p>
                    <a:fld id="{3701FC31-8E1D-4905-99DB-1277CD6A53C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893B-4FF7-8390-A1FD1A6B80F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0A04917-22F2-4C0B-9B0C-2F5D6B6283B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6-C983-4997-B21B-6566EA93782B}"/>
                </c:ext>
              </c:extLst>
            </c:dLbl>
            <c:dLbl>
              <c:idx val="30"/>
              <c:layout>
                <c:manualLayout>
                  <c:x val="-2.9891192169400269E-2"/>
                  <c:y val="-4.370889704443031E-2"/>
                </c:manualLayout>
              </c:layout>
              <c:tx>
                <c:rich>
                  <a:bodyPr/>
                  <a:lstStyle/>
                  <a:p>
                    <a:fld id="{ADFB541B-1072-4706-9C3E-0A93430562C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0-C983-4997-B21B-6566EA93782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E4862D4-0D0C-40CB-AAE3-C5A49E30179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7-C983-4997-B21B-6566EA93782B}"/>
                </c:ext>
              </c:extLst>
            </c:dLbl>
            <c:dLbl>
              <c:idx val="32"/>
              <c:layout>
                <c:manualLayout>
                  <c:x val="-4.5463779021314009E-2"/>
                  <c:y val="4.3061874050517666E-2"/>
                </c:manualLayout>
              </c:layout>
              <c:tx>
                <c:rich>
                  <a:bodyPr/>
                  <a:lstStyle/>
                  <a:p>
                    <a:fld id="{2822EAB7-FE5E-42E6-BC67-9E44DD42451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A38-444B-9E1C-480E45441B9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FC374FC6-8280-456F-A150-9D4D603E3F0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8-C983-4997-B21B-6566EA93782B}"/>
                </c:ext>
              </c:extLst>
            </c:dLbl>
            <c:dLbl>
              <c:idx val="34"/>
              <c:layout>
                <c:manualLayout>
                  <c:x val="-3.248662331138593E-2"/>
                  <c:y val="-3.9370358489683066E-2"/>
                </c:manualLayout>
              </c:layout>
              <c:tx>
                <c:rich>
                  <a:bodyPr/>
                  <a:lstStyle/>
                  <a:p>
                    <a:fld id="{94007EE6-215D-4A94-B6BD-425FECE29F3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A38-444B-9E1C-480E45441B9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338E8D8D-93B9-4707-8F45-B7E0B8E140B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9-C983-4997-B21B-6566EA93782B}"/>
                </c:ext>
              </c:extLst>
            </c:dLbl>
            <c:dLbl>
              <c:idx val="36"/>
              <c:layout>
                <c:manualLayout>
                  <c:x val="-4.2868347879328389E-2"/>
                  <c:y val="3.872333549577027E-2"/>
                </c:manualLayout>
              </c:layout>
              <c:tx>
                <c:rich>
                  <a:bodyPr/>
                  <a:lstStyle/>
                  <a:p>
                    <a:fld id="{4AA9EA59-9779-4338-97BC-7AF7CC39DCD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F-C983-4997-B21B-6566EA93782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B4893710-B1A8-43C3-AE54-AA9A03CE62F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F16-4CD9-BA0A-A4A014A93BC4}"/>
                </c:ext>
              </c:extLst>
            </c:dLbl>
            <c:dLbl>
              <c:idx val="38"/>
              <c:layout>
                <c:manualLayout>
                  <c:x val="-2.7295761027414701E-2"/>
                  <c:y val="-3.937035848968299E-2"/>
                </c:manualLayout>
              </c:layout>
              <c:tx>
                <c:rich>
                  <a:bodyPr/>
                  <a:lstStyle/>
                  <a:p>
                    <a:fld id="{2793577B-3CDC-4004-B8C6-635721CB487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E-C983-4997-B21B-6566EA93782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FC4F479C-60A3-497E-906A-9DD89BD6277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A-C983-4997-B21B-6566EA93782B}"/>
                </c:ext>
              </c:extLst>
            </c:dLbl>
            <c:dLbl>
              <c:idx val="40"/>
              <c:layout>
                <c:manualLayout>
                  <c:x val="-3.7677485595357163E-2"/>
                  <c:y val="3.8723335495770186E-2"/>
                </c:manualLayout>
              </c:layout>
              <c:tx>
                <c:rich>
                  <a:bodyPr/>
                  <a:lstStyle/>
                  <a:p>
                    <a:fld id="{2E7F3970-F56D-48DE-A7B4-188EDEC6759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D-C983-4997-B21B-6566EA93782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2A8516CA-BE9D-42C8-A9D6-FC3282012CB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A3A-49AF-B95C-D6DDF66FCF2E}"/>
                </c:ext>
              </c:extLst>
            </c:dLbl>
            <c:dLbl>
              <c:idx val="42"/>
              <c:layout>
                <c:manualLayout>
                  <c:x val="-2.9891192169400317E-2"/>
                  <c:y val="-4.3708897044430393E-2"/>
                </c:manualLayout>
              </c:layout>
              <c:tx>
                <c:rich>
                  <a:bodyPr/>
                  <a:lstStyle/>
                  <a:p>
                    <a:fld id="{2055D22D-7996-4FEA-9741-450B4E9A426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C-C983-4997-B21B-6566EA93782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09367B02-A1D9-4ED9-89E6-693D703A4F1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B-C983-4997-B21B-6566EA93782B}"/>
                </c:ext>
              </c:extLst>
            </c:dLbl>
            <c:dLbl>
              <c:idx val="44"/>
              <c:layout>
                <c:manualLayout>
                  <c:x val="-4.2868347879328486E-2"/>
                  <c:y val="3.4384796941022866E-2"/>
                </c:manualLayout>
              </c:layout>
              <c:tx>
                <c:rich>
                  <a:bodyPr/>
                  <a:lstStyle/>
                  <a:p>
                    <a:fld id="{26ECB783-A100-4A80-9A0C-1D46D476D5D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B-C983-4997-B21B-6566EA93782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7414FF4-6A9A-4081-ABF4-72A165F0F3B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787-4969-B39B-7E4CD8CEB210}"/>
                </c:ext>
              </c:extLst>
            </c:dLbl>
            <c:dLbl>
              <c:idx val="46"/>
              <c:layout>
                <c:manualLayout>
                  <c:x val="-3.2486623311386027E-2"/>
                  <c:y val="-4.8047435599177873E-2"/>
                </c:manualLayout>
              </c:layout>
              <c:tx>
                <c:rich>
                  <a:bodyPr/>
                  <a:lstStyle/>
                  <a:p>
                    <a:fld id="{278431CC-EBA8-4DA8-911E-812184FFFFE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A-C983-4997-B21B-6566EA93782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2CD42529-F584-4269-841A-678692A341A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C-C983-4997-B21B-6566EA93782B}"/>
                </c:ext>
              </c:extLst>
            </c:dLbl>
            <c:dLbl>
              <c:idx val="48"/>
              <c:layout>
                <c:manualLayout>
                  <c:x val="-4.5463779021314106E-2"/>
                  <c:y val="3.4384796941022866E-2"/>
                </c:manualLayout>
              </c:layout>
              <c:tx>
                <c:rich>
                  <a:bodyPr/>
                  <a:lstStyle/>
                  <a:p>
                    <a:fld id="{FF8753EC-8357-4201-B4F3-DA49FD03794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9-C983-4997-B21B-6566EA93782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26C9BEB3-B178-4195-9276-FD525A50050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D-C983-4997-B21B-6566EA93782B}"/>
                </c:ext>
              </c:extLst>
            </c:dLbl>
            <c:dLbl>
              <c:idx val="50"/>
              <c:layout>
                <c:manualLayout>
                  <c:x val="-2.4700329885429088E-2"/>
                  <c:y val="-4.370889704443047E-2"/>
                </c:manualLayout>
              </c:layout>
              <c:tx>
                <c:rich>
                  <a:bodyPr/>
                  <a:lstStyle/>
                  <a:p>
                    <a:fld id="{3E8F6F16-20F5-4A83-AB3A-E9A0219ADA9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A14-4D05-99DF-9B656C0F896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012F2BBE-3B0C-43A9-8551-9B8AF675292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E-C983-4997-B21B-6566EA93782B}"/>
                </c:ext>
              </c:extLst>
            </c:dLbl>
            <c:dLbl>
              <c:idx val="52"/>
              <c:layout>
                <c:manualLayout>
                  <c:x val="-4.2379711984801907E-2"/>
                  <c:y val="3.9796013532140885E-2"/>
                </c:manualLayout>
              </c:layout>
              <c:tx>
                <c:rich>
                  <a:bodyPr/>
                  <a:lstStyle/>
                  <a:p>
                    <a:fld id="{27E358B9-DDBB-42E9-94FA-2430D99A13D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8-C983-4997-B21B-6566EA93782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594DABA9-074C-4F3A-8A48-91DDCBFB3F1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758-42D3-BA87-524E5D7E3F07}"/>
                </c:ext>
              </c:extLst>
            </c:dLbl>
            <c:dLbl>
              <c:idx val="54"/>
              <c:layout>
                <c:manualLayout>
                  <c:x val="-2.7582596348157712E-2"/>
                  <c:y val="-3.9973497637187591E-2"/>
                </c:manualLayout>
              </c:layout>
              <c:tx>
                <c:rich>
                  <a:bodyPr/>
                  <a:lstStyle/>
                  <a:p>
                    <a:fld id="{DA62A331-182A-4C04-8886-BBFC9052302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758-42D3-BA87-524E5D7E3F0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F87399AD-295F-4F87-A653-329462865C3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770-4E84-8AD7-868C6D887B70}"/>
                </c:ext>
              </c:extLst>
            </c:dLbl>
            <c:dLbl>
              <c:idx val="56"/>
              <c:layout>
                <c:manualLayout>
                  <c:x val="-4.8515965171357818E-2"/>
                  <c:y val="4.6391275369775088E-2"/>
                </c:manualLayout>
              </c:layout>
              <c:tx>
                <c:rich>
                  <a:bodyPr/>
                  <a:lstStyle/>
                  <a:p>
                    <a:fld id="{0FE28C17-911C-473E-8664-08B1803FD12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770-4E84-8AD7-868C6D887B70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CC1DFDC1-E2F4-4467-8CA6-C8DE720F450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770-4E84-8AD7-868C6D887B70}"/>
                </c:ext>
              </c:extLst>
            </c:dLbl>
            <c:dLbl>
              <c:idx val="58"/>
              <c:layout>
                <c:manualLayout>
                  <c:x val="-2.2561653751501664E-2"/>
                  <c:y val="-3.6040957170425734E-2"/>
                </c:manualLayout>
              </c:layout>
              <c:tx>
                <c:rich>
                  <a:bodyPr/>
                  <a:lstStyle/>
                  <a:p>
                    <a:fld id="{9EF96A61-AC3F-4570-A9E8-DCB90CF5209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770-4E84-8AD7-868C6D887B70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C7D34569-8C35-4B54-B34C-657292767C5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668-4F65-A7DF-7F7854637897}"/>
                </c:ext>
              </c:extLst>
            </c:dLbl>
            <c:dLbl>
              <c:idx val="60"/>
              <c:layout>
                <c:manualLayout>
                  <c:x val="-2.8287910557884297E-2"/>
                  <c:y val="3.6115955512852849E-2"/>
                </c:manualLayout>
              </c:layout>
              <c:tx>
                <c:rich>
                  <a:bodyPr/>
                  <a:lstStyle/>
                  <a:p>
                    <a:fld id="{17FE7E61-D565-45B8-8E47-89BA3819C5C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668-4F65-A7DF-7F785463789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39'!$H$96:$BP$96</c:f>
              <c:numCache>
                <c:formatCode>0.0%</c:formatCode>
                <c:ptCount val="61"/>
                <c:pt idx="0">
                  <c:v>0</c:v>
                </c:pt>
                <c:pt idx="1">
                  <c:v>4.2234186769964717E-2</c:v>
                </c:pt>
                <c:pt idx="2">
                  <c:v>5.47534931256662E-2</c:v>
                </c:pt>
                <c:pt idx="3">
                  <c:v>5.3608508834893889E-2</c:v>
                </c:pt>
                <c:pt idx="4">
                  <c:v>6.8284105086287808E-2</c:v>
                </c:pt>
                <c:pt idx="5">
                  <c:v>6.4569260485913826E-2</c:v>
                </c:pt>
                <c:pt idx="6">
                  <c:v>0.13551974118982435</c:v>
                </c:pt>
                <c:pt idx="7">
                  <c:v>0.1461722172914488</c:v>
                </c:pt>
                <c:pt idx="8">
                  <c:v>0.15251687417454005</c:v>
                </c:pt>
                <c:pt idx="9">
                  <c:v>0.146459351309976</c:v>
                </c:pt>
                <c:pt idx="10">
                  <c:v>0.11929315370291738</c:v>
                </c:pt>
                <c:pt idx="11">
                  <c:v>9.4859048961364545E-2</c:v>
                </c:pt>
                <c:pt idx="12">
                  <c:v>9.0759522996388398E-2</c:v>
                </c:pt>
                <c:pt idx="13">
                  <c:v>7.4722684933187955E-2</c:v>
                </c:pt>
                <c:pt idx="14">
                  <c:v>7.2204751136170753E-2</c:v>
                </c:pt>
                <c:pt idx="15">
                  <c:v>6.4798741590162801E-2</c:v>
                </c:pt>
                <c:pt idx="16">
                  <c:v>6.0353063130887508E-2</c:v>
                </c:pt>
                <c:pt idx="17">
                  <c:v>4.3607901681508188E-2</c:v>
                </c:pt>
                <c:pt idx="18">
                  <c:v>2.5603463832962969E-2</c:v>
                </c:pt>
                <c:pt idx="19">
                  <c:v>5.4686245858396321E-3</c:v>
                </c:pt>
                <c:pt idx="20">
                  <c:v>-1.9096289221328222E-2</c:v>
                </c:pt>
                <c:pt idx="21">
                  <c:v>-4.0441681934121898E-2</c:v>
                </c:pt>
                <c:pt idx="22">
                  <c:v>-6.2981187449341225E-2</c:v>
                </c:pt>
                <c:pt idx="23">
                  <c:v>-9.8503401067741581E-2</c:v>
                </c:pt>
                <c:pt idx="24">
                  <c:v>-0.12722551673531868</c:v>
                </c:pt>
                <c:pt idx="25">
                  <c:v>-0.16258003424547862</c:v>
                </c:pt>
                <c:pt idx="26">
                  <c:v>-0.19812950372661264</c:v>
                </c:pt>
                <c:pt idx="27">
                  <c:v>-0.21560449194566267</c:v>
                </c:pt>
                <c:pt idx="28">
                  <c:v>-0.22967852969433444</c:v>
                </c:pt>
                <c:pt idx="29">
                  <c:v>-0.2535051733960495</c:v>
                </c:pt>
                <c:pt idx="30">
                  <c:v>-0.26001805146469159</c:v>
                </c:pt>
                <c:pt idx="31">
                  <c:v>-0.2638268737881776</c:v>
                </c:pt>
                <c:pt idx="32">
                  <c:v>-0.2655061813571663</c:v>
                </c:pt>
                <c:pt idx="33">
                  <c:v>-0.26793327781848986</c:v>
                </c:pt>
                <c:pt idx="34">
                  <c:v>-0.27267956628060652</c:v>
                </c:pt>
                <c:pt idx="35">
                  <c:v>-0.27260715659276424</c:v>
                </c:pt>
                <c:pt idx="36">
                  <c:v>-0.27257095174884316</c:v>
                </c:pt>
                <c:pt idx="37">
                  <c:v>-0.27257095174884316</c:v>
                </c:pt>
                <c:pt idx="38">
                  <c:v>-0.2703234208109544</c:v>
                </c:pt>
                <c:pt idx="39">
                  <c:v>-0.26910919604028749</c:v>
                </c:pt>
                <c:pt idx="40">
                  <c:v>-0.26910919604028749</c:v>
                </c:pt>
                <c:pt idx="41">
                  <c:v>-0.26803511900396015</c:v>
                </c:pt>
                <c:pt idx="42">
                  <c:v>-0.26803511900396015</c:v>
                </c:pt>
                <c:pt idx="43">
                  <c:v>-0.26216301624852079</c:v>
                </c:pt>
                <c:pt idx="44">
                  <c:v>-0.25937955344453612</c:v>
                </c:pt>
                <c:pt idx="45">
                  <c:v>-0.2555190483336538</c:v>
                </c:pt>
                <c:pt idx="46">
                  <c:v>-0.25124817960681067</c:v>
                </c:pt>
                <c:pt idx="47">
                  <c:v>-0.24979789039614242</c:v>
                </c:pt>
                <c:pt idx="48">
                  <c:v>-0.24979789039614242</c:v>
                </c:pt>
                <c:pt idx="49">
                  <c:v>-0.24517339031169116</c:v>
                </c:pt>
                <c:pt idx="50">
                  <c:v>-0.24275809062834752</c:v>
                </c:pt>
                <c:pt idx="51">
                  <c:v>-0.24151189619356339</c:v>
                </c:pt>
                <c:pt idx="52">
                  <c:v>-0.24074735623577026</c:v>
                </c:pt>
                <c:pt idx="53">
                  <c:v>-0.24014395335871042</c:v>
                </c:pt>
                <c:pt idx="54">
                  <c:v>-0.23910510265982754</c:v>
                </c:pt>
                <c:pt idx="55">
                  <c:v>-0.23862237700169187</c:v>
                </c:pt>
                <c:pt idx="56">
                  <c:v>-0.21970061680732877</c:v>
                </c:pt>
                <c:pt idx="57">
                  <c:v>-0.21921789114919299</c:v>
                </c:pt>
                <c:pt idx="58">
                  <c:v>-0.21885584550705461</c:v>
                </c:pt>
                <c:pt idx="59">
                  <c:v>-0.21731016876819453</c:v>
                </c:pt>
                <c:pt idx="60">
                  <c:v>-0.21599459769844831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39'!$H$103:$CP$103</c15:f>
                <c15:dlblRangeCache>
                  <c:ptCount val="87"/>
                  <c:pt idx="0">
                    <c:v>0,0%</c:v>
                  </c:pt>
                  <c:pt idx="2">
                    <c:v>5,5%</c:v>
                  </c:pt>
                  <c:pt idx="4">
                    <c:v>6,8%</c:v>
                  </c:pt>
                  <c:pt idx="6">
                    <c:v>13,6%</c:v>
                  </c:pt>
                  <c:pt idx="8">
                    <c:v>15,3%</c:v>
                  </c:pt>
                  <c:pt idx="10">
                    <c:v>11,9%</c:v>
                  </c:pt>
                  <c:pt idx="12">
                    <c:v>9,1%</c:v>
                  </c:pt>
                  <c:pt idx="14">
                    <c:v>7,2%</c:v>
                  </c:pt>
                  <c:pt idx="16">
                    <c:v>6,0%</c:v>
                  </c:pt>
                  <c:pt idx="18">
                    <c:v>2,6%</c:v>
                  </c:pt>
                  <c:pt idx="20">
                    <c:v>-1,9%</c:v>
                  </c:pt>
                  <c:pt idx="22">
                    <c:v>-6,3%</c:v>
                  </c:pt>
                  <c:pt idx="24">
                    <c:v>-12,7%</c:v>
                  </c:pt>
                  <c:pt idx="26">
                    <c:v>-19,8%</c:v>
                  </c:pt>
                  <c:pt idx="28">
                    <c:v>-23,0%</c:v>
                  </c:pt>
                  <c:pt idx="30">
                    <c:v>-26,0%</c:v>
                  </c:pt>
                  <c:pt idx="32">
                    <c:v>-26,6%</c:v>
                  </c:pt>
                  <c:pt idx="34">
                    <c:v>-27,3%</c:v>
                  </c:pt>
                  <c:pt idx="36">
                    <c:v>-27,3%</c:v>
                  </c:pt>
                  <c:pt idx="38">
                    <c:v>-27,0%</c:v>
                  </c:pt>
                  <c:pt idx="40">
                    <c:v>-26,9%</c:v>
                  </c:pt>
                  <c:pt idx="42">
                    <c:v>-26,8%</c:v>
                  </c:pt>
                  <c:pt idx="44">
                    <c:v>-25,9%</c:v>
                  </c:pt>
                  <c:pt idx="46">
                    <c:v>-25,1%</c:v>
                  </c:pt>
                  <c:pt idx="48">
                    <c:v>-25,0%</c:v>
                  </c:pt>
                  <c:pt idx="50">
                    <c:v>-24,3%</c:v>
                  </c:pt>
                  <c:pt idx="52">
                    <c:v>-24,1%</c:v>
                  </c:pt>
                  <c:pt idx="54">
                    <c:v>-23,9%</c:v>
                  </c:pt>
                  <c:pt idx="56">
                    <c:v>-22,0%</c:v>
                  </c:pt>
                  <c:pt idx="58">
                    <c:v>-21,9%</c:v>
                  </c:pt>
                  <c:pt idx="60">
                    <c:v>-21,6%</c:v>
                  </c:pt>
                  <c:pt idx="62">
                    <c:v>-27,3%</c:v>
                  </c:pt>
                  <c:pt idx="64">
                    <c:v>-27,3%</c:v>
                  </c:pt>
                  <c:pt idx="66">
                    <c:v>-27,3%</c:v>
                  </c:pt>
                  <c:pt idx="68">
                    <c:v>-27,3%</c:v>
                  </c:pt>
                  <c:pt idx="70">
                    <c:v>-27,3%</c:v>
                  </c:pt>
                  <c:pt idx="72">
                    <c:v>-27,3%</c:v>
                  </c:pt>
                  <c:pt idx="74">
                    <c:v>-27,3%</c:v>
                  </c:pt>
                  <c:pt idx="76">
                    <c:v>-27,3%</c:v>
                  </c:pt>
                  <c:pt idx="78">
                    <c:v>-27,3%</c:v>
                  </c:pt>
                  <c:pt idx="80">
                    <c:v>-27,3%</c:v>
                  </c:pt>
                  <c:pt idx="82">
                    <c:v>-27,3%</c:v>
                  </c:pt>
                  <c:pt idx="84">
                    <c:v>-27,3%</c:v>
                  </c:pt>
                  <c:pt idx="86">
                    <c:v>-23,9%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893B-4FF7-8390-A1FD1A6B80F6}"/>
            </c:ext>
          </c:extLst>
        </c:ser>
        <c:ser>
          <c:idx val="3"/>
          <c:order val="3"/>
          <c:tx>
            <c:v>Líneas Guía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.2"/>
            <c:spPr>
              <a:noFill/>
              <a:ln w="6350" cap="flat" cmpd="sng" algn="ctr">
                <a:solidFill>
                  <a:schemeClr val="tx1"/>
                </a:solidFill>
                <a:prstDash val="lgDashDotDot"/>
                <a:round/>
              </a:ln>
              <a:effectLst/>
            </c:spPr>
          </c:errBar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39'!$H$105:$BP$105</c:f>
              <c:numCache>
                <c:formatCode>0.0%</c:formatCode>
                <c:ptCount val="61"/>
                <c:pt idx="0">
                  <c:v>0</c:v>
                </c:pt>
                <c:pt idx="1">
                  <c:v>#N/A</c:v>
                </c:pt>
                <c:pt idx="2">
                  <c:v>0.10235533218768098</c:v>
                </c:pt>
                <c:pt idx="3">
                  <c:v>#N/A</c:v>
                </c:pt>
                <c:pt idx="4">
                  <c:v>0.17883461778899412</c:v>
                </c:pt>
                <c:pt idx="5">
                  <c:v>#N/A</c:v>
                </c:pt>
                <c:pt idx="6">
                  <c:v>0.31333235028057671</c:v>
                </c:pt>
                <c:pt idx="7">
                  <c:v>#N/A</c:v>
                </c:pt>
                <c:pt idx="8">
                  <c:v>0.38658474947173488</c:v>
                </c:pt>
                <c:pt idx="9">
                  <c:v>#N/A</c:v>
                </c:pt>
                <c:pt idx="10">
                  <c:v>0.42979411462287836</c:v>
                </c:pt>
                <c:pt idx="11">
                  <c:v>#N/A</c:v>
                </c:pt>
                <c:pt idx="12">
                  <c:v>0.46533225340257373</c:v>
                </c:pt>
                <c:pt idx="13">
                  <c:v>#N/A</c:v>
                </c:pt>
                <c:pt idx="14">
                  <c:v>0.49750883554724357</c:v>
                </c:pt>
                <c:pt idx="15">
                  <c:v>#N/A</c:v>
                </c:pt>
                <c:pt idx="16">
                  <c:v>0.54031007332414593</c:v>
                </c:pt>
                <c:pt idx="17">
                  <c:v>#N/A</c:v>
                </c:pt>
                <c:pt idx="18">
                  <c:v>0.57247904041258846</c:v>
                </c:pt>
                <c:pt idx="19">
                  <c:v>#N/A</c:v>
                </c:pt>
                <c:pt idx="20">
                  <c:v>0.61037207018897099</c:v>
                </c:pt>
                <c:pt idx="21">
                  <c:v>#N/A</c:v>
                </c:pt>
                <c:pt idx="22">
                  <c:v>0.64574520618269327</c:v>
                </c:pt>
                <c:pt idx="23">
                  <c:v>#N/A</c:v>
                </c:pt>
                <c:pt idx="24">
                  <c:v>0.65998105621028769</c:v>
                </c:pt>
                <c:pt idx="25">
                  <c:v>#N/A</c:v>
                </c:pt>
                <c:pt idx="26">
                  <c:v>0.66697235865993831</c:v>
                </c:pt>
                <c:pt idx="27">
                  <c:v>#N/A</c:v>
                </c:pt>
                <c:pt idx="28">
                  <c:v>0.70439989204253095</c:v>
                </c:pt>
                <c:pt idx="29">
                  <c:v>#N/A</c:v>
                </c:pt>
                <c:pt idx="30">
                  <c:v>0.71793004029153129</c:v>
                </c:pt>
                <c:pt idx="31">
                  <c:v>#N/A</c:v>
                </c:pt>
                <c:pt idx="32">
                  <c:v>0.72487920198370381</c:v>
                </c:pt>
                <c:pt idx="33">
                  <c:v>#N/A</c:v>
                </c:pt>
                <c:pt idx="34">
                  <c:v>0.7273204337193937</c:v>
                </c:pt>
                <c:pt idx="35">
                  <c:v>#N/A</c:v>
                </c:pt>
                <c:pt idx="36">
                  <c:v>0.72742904825115706</c:v>
                </c:pt>
                <c:pt idx="37">
                  <c:v>#N/A</c:v>
                </c:pt>
                <c:pt idx="38">
                  <c:v>0.72967657918904583</c:v>
                </c:pt>
                <c:pt idx="39">
                  <c:v>#N/A</c:v>
                </c:pt>
                <c:pt idx="40">
                  <c:v>0.73089080395971273</c:v>
                </c:pt>
                <c:pt idx="41">
                  <c:v>#N/A</c:v>
                </c:pt>
                <c:pt idx="42">
                  <c:v>0.73196488099604007</c:v>
                </c:pt>
                <c:pt idx="43">
                  <c:v>#N/A</c:v>
                </c:pt>
                <c:pt idx="44">
                  <c:v>0.74062044655546411</c:v>
                </c:pt>
                <c:pt idx="45">
                  <c:v>#N/A</c:v>
                </c:pt>
                <c:pt idx="46">
                  <c:v>0.74875182039318955</c:v>
                </c:pt>
                <c:pt idx="47">
                  <c:v>#N/A</c:v>
                </c:pt>
                <c:pt idx="48">
                  <c:v>0.7502021096038578</c:v>
                </c:pt>
                <c:pt idx="49">
                  <c:v>#N/A</c:v>
                </c:pt>
                <c:pt idx="50">
                  <c:v>0.7572419093716527</c:v>
                </c:pt>
                <c:pt idx="51">
                  <c:v>#N/A</c:v>
                </c:pt>
                <c:pt idx="52">
                  <c:v>0.75925264376422996</c:v>
                </c:pt>
                <c:pt idx="53">
                  <c:v>#N/A</c:v>
                </c:pt>
                <c:pt idx="54">
                  <c:v>0.76089489734017268</c:v>
                </c:pt>
                <c:pt idx="55">
                  <c:v>#N/A</c:v>
                </c:pt>
                <c:pt idx="56">
                  <c:v>0.78029938319267145</c:v>
                </c:pt>
                <c:pt idx="57">
                  <c:v>#N/A</c:v>
                </c:pt>
                <c:pt idx="58">
                  <c:v>0.78114415449294561</c:v>
                </c:pt>
                <c:pt idx="59">
                  <c:v>#N/A</c:v>
                </c:pt>
                <c:pt idx="60">
                  <c:v>0.78400540230155191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983-4997-B21B-6566EA937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7684367"/>
        <c:axId val="1297684783"/>
      </c:lineChart>
      <c:catAx>
        <c:axId val="129768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accent3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783"/>
        <c:crosses val="autoZero"/>
        <c:auto val="1"/>
        <c:lblAlgn val="ctr"/>
        <c:lblOffset val="300"/>
        <c:tickLblSkip val="2"/>
        <c:tickMarkSkip val="1"/>
        <c:noMultiLvlLbl val="0"/>
      </c:catAx>
      <c:valAx>
        <c:axId val="1297684783"/>
        <c:scaling>
          <c:orientation val="minMax"/>
          <c:max val="1"/>
          <c:min val="-0.4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3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0.11324142459838038"/>
          <c:y val="3.5782287827976954E-2"/>
          <c:w val="0.16511558798696244"/>
          <c:h val="0.13044463512671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09569374928972"/>
          <c:y val="0.11342592592592593"/>
          <c:w val="0.3231066747144995"/>
          <c:h val="0.77314814814814814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BA8-4D32-A474-3AA492296F93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590-4571-9DB9-B510F5113015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A9-4648-9C58-F7C4C47D1979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'Análisis de Desviación'!$D$8:$D$17</c15:sqref>
                  </c15:fullRef>
                </c:ext>
              </c:extLst>
              <c:f>('Análisis de Desviación'!$D$10,'Análisis de Desviación'!$D$12,'Análisis de Desviación'!$D$15)</c:f>
              <c:strCache>
                <c:ptCount val="3"/>
                <c:pt idx="0">
                  <c:v>1.3 Reparación envoltura metálica </c:v>
                </c:pt>
                <c:pt idx="1">
                  <c:v>1.5 Reparación ductos de aire y gas</c:v>
                </c:pt>
                <c:pt idx="2">
                  <c:v>1.9 Matenimiento de equipos y sistema de instrumentación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de Desviación'!$L$8:$L$17</c15:sqref>
                  </c15:fullRef>
                </c:ext>
              </c:extLst>
              <c:f>('Análisis de Desviación'!$L$10,'Análisis de Desviación'!$L$12,'Análisis de Desviación'!$L$15)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'Análisis de Desviación'!$L$8</c15:sqref>
                  <c15:spPr xmlns:c15="http://schemas.microsoft.com/office/drawing/2012/chart">
                    <a:solidFill>
                      <a:schemeClr val="accent1"/>
                    </a:solidFill>
                    <a:ln w="19050"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'Análisis de Desviación'!$L$9</c15:sqref>
                  <c15:spPr xmlns:c15="http://schemas.microsoft.com/office/drawing/2012/chart">
                    <a:solidFill>
                      <a:schemeClr val="accent2"/>
                    </a:solidFill>
                    <a:ln w="19050"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'Análisis de Desviación'!$L$11</c15:sqref>
                  <c15:spPr xmlns:c15="http://schemas.microsoft.com/office/drawing/2012/chart">
                    <a:solidFill>
                      <a:schemeClr val="accent4"/>
                    </a:solidFill>
                    <a:ln w="19050"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'Análisis de Desviación'!$L$14</c15:sqref>
                  <c15:spPr xmlns:c15="http://schemas.microsoft.com/office/drawing/2012/chart"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9050"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'Análisis de Desviación'!$L$16</c15:sqref>
                  <c15:spPr xmlns:c15="http://schemas.microsoft.com/office/drawing/2012/chart">
                    <a:solidFill>
                      <a:schemeClr val="accent3">
                        <a:lumMod val="60000"/>
                      </a:schemeClr>
                    </a:solidFill>
                    <a:ln w="19050"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C3A9-4648-9C58-F7C4C47D1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079813092028347"/>
          <c:y val="0.29725676565394676"/>
          <c:w val="0.48621483630775097"/>
          <c:h val="0.418041062838546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09569374928972"/>
          <c:y val="0.11342592592592593"/>
          <c:w val="0.3231066747144995"/>
          <c:h val="0.77314814814814814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F-4901-A5D0-68F06B525D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'Análisis de Desviación'!$D$19:$D$31</c15:sqref>
                  </c15:fullRef>
                </c:ext>
              </c:extLst>
              <c:f>'Análisis de Desviación'!$D$25</c:f>
              <c:strCache>
                <c:ptCount val="1"/>
                <c:pt idx="0">
                  <c:v>2.11 Inspección y pruebas eléctricas del generador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de Desviación'!$L$19:$L$31</c15:sqref>
                  </c15:fullRef>
                </c:ext>
              </c:extLst>
              <c:f>'Análisis de Desviación'!$L$25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'Análisis de Desviación'!$L$19</c15:sqref>
                  <c15:spPr xmlns:c15="http://schemas.microsoft.com/office/drawing/2012/chart">
                    <a:solidFill>
                      <a:schemeClr val="accent1"/>
                    </a:solidFill>
                    <a:ln w="19050"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'Análisis de Desviación'!$L$20</c15:sqref>
                  <c15:spPr xmlns:c15="http://schemas.microsoft.com/office/drawing/2012/chart">
                    <a:solidFill>
                      <a:schemeClr val="accent2"/>
                    </a:solidFill>
                    <a:ln w="19050"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'Análisis de Desviación'!$L$24</c15:sqref>
                  <c15:spPr xmlns:c15="http://schemas.microsoft.com/office/drawing/2012/chart">
                    <a:solidFill>
                      <a:schemeClr val="accent6"/>
                    </a:solidFill>
                    <a:ln w="19050"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'Análisis de Desviación'!$L$27</c15:sqref>
                  <c15:spPr xmlns:c15="http://schemas.microsoft.com/office/drawing/2012/chart">
                    <a:solidFill>
                      <a:schemeClr val="accent3">
                        <a:lumMod val="60000"/>
                      </a:schemeClr>
                    </a:solidFill>
                    <a:ln w="19050"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'Análisis de Desviación'!$L$28</c15:sqref>
                  <c15:spPr xmlns:c15="http://schemas.microsoft.com/office/drawing/2012/chart">
                    <a:solidFill>
                      <a:srgbClr val="7030A0"/>
                    </a:solidFill>
                    <a:ln w="19050"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'Análisis de Desviación'!$L$29</c15:sqref>
                  <c15:spPr xmlns:c15="http://schemas.microsoft.com/office/drawing/2012/chart">
                    <a:solidFill>
                      <a:schemeClr val="accent5">
                        <a:lumMod val="60000"/>
                      </a:schemeClr>
                    </a:solidFill>
                    <a:ln w="19050"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9C6A-43D1-B72E-A38402CA5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079813092028347"/>
          <c:y val="0.22421617436272276"/>
          <c:w val="0.48621483630775097"/>
          <c:h val="0.42599240085689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09569374928972"/>
          <c:y val="0.11342592592592593"/>
          <c:w val="0.3231066747144995"/>
          <c:h val="0.77314814814814814"/>
        </c:manualLayout>
      </c:layout>
      <c:pieChart>
        <c:varyColors val="1"/>
        <c:ser>
          <c:idx val="0"/>
          <c:order val="0"/>
          <c:spPr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D41-4C9D-B4D2-E39EF332632C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73-4B7A-8F0E-FD919812FC9D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E28-4865-9979-FA9C2A3B963B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1905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6F-4DA2-BEE9-B8221BE1F18F}"/>
              </c:ext>
            </c:extLst>
          </c:dPt>
          <c:dLbls>
            <c:dLbl>
              <c:idx val="0"/>
              <c:layout>
                <c:manualLayout>
                  <c:x val="-3.2939251390065177E-3"/>
                  <c:y val="4.532090121992808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41-4C9D-B4D2-E39EF332632C}"/>
                </c:ext>
              </c:extLst>
            </c:dLbl>
            <c:dLbl>
              <c:idx val="1"/>
              <c:layout>
                <c:manualLayout>
                  <c:x val="1.319416643117273E-2"/>
                  <c:y val="3.289812868824847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ysClr val="windowText" lastClr="000000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814B9EB4-6B91-431E-B67B-E7906DE9CF3B}" type="VALUE">
                      <a:rPr lang="en-US" b="1">
                        <a:solidFill>
                          <a:srgbClr val="BF8F00"/>
                        </a:solidFill>
                        <a:effectLst/>
                      </a:rPr>
                      <a:pPr>
                        <a:defRPr sz="1100">
                          <a:solidFill>
                            <a:sysClr val="windowText" lastClr="000000"/>
                          </a:solidFill>
                          <a:effectLst/>
                        </a:defRPr>
                      </a:pPr>
                      <a:t>[VALOR]</a:t>
                    </a:fld>
                    <a:endParaRPr lang="es-VE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86710444978161E-2"/>
                      <c:h val="8.989511866854872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373-4B7A-8F0E-FD919812FC9D}"/>
                </c:ext>
              </c:extLst>
            </c:dLbl>
            <c:dLbl>
              <c:idx val="2"/>
              <c:layout>
                <c:manualLayout>
                  <c:x val="-1.5570628659277534E-3"/>
                  <c:y val="1.11491041406084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E28-4865-9979-FA9C2A3B963B}"/>
                </c:ext>
              </c:extLst>
            </c:dLbl>
            <c:dLbl>
              <c:idx val="3"/>
              <c:layout>
                <c:manualLayout>
                  <c:x val="1.7368649587494493E-3"/>
                  <c:y val="5.053238051280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7030A0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6F-4DA2-BEE9-B8221BE1F1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'Análisis de Desviación'!$D$8:$D$17</c15:sqref>
                  </c15:fullRef>
                </c:ext>
              </c:extLst>
              <c:f>('Análisis de Desviación'!$D$10:$D$11,'Análisis de Desviación'!$D$13:$D$14)</c:f>
              <c:strCache>
                <c:ptCount val="4"/>
                <c:pt idx="0">
                  <c:v>1.3 Reparación envoltura metálica </c:v>
                </c:pt>
                <c:pt idx="1">
                  <c:v>1.4 Reparación de cámaras muertas</c:v>
                </c:pt>
                <c:pt idx="2">
                  <c:v>1.6 Reemplazo de tuberías ácido y soda</c:v>
                </c:pt>
                <c:pt idx="3">
                  <c:v>1.7 Mantenimiento en los equipos de balance BOP y equipos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de Desviación'!$N$8:$N$17</c15:sqref>
                  </c15:fullRef>
                </c:ext>
              </c:extLst>
              <c:f>('Análisis de Desviación'!$N$10:$N$11,'Análisis de Desviación'!$N$13:$N$14)</c:f>
              <c:numCache>
                <c:formatCode>0.0%</c:formatCode>
                <c:ptCount val="4"/>
                <c:pt idx="0">
                  <c:v>6.9392841915739106E-2</c:v>
                </c:pt>
                <c:pt idx="1">
                  <c:v>3.9900884101549919E-2</c:v>
                </c:pt>
                <c:pt idx="2">
                  <c:v>0.43370526197336939</c:v>
                </c:pt>
                <c:pt idx="3">
                  <c:v>0.41208023571664165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'Análisis de Desviación'!$N$8</c15:sqref>
                  <c15:spPr xmlns:c15="http://schemas.microsoft.com/office/drawing/2012/chart">
                    <a:solidFill>
                      <a:schemeClr val="accent1"/>
                    </a:solidFill>
                    <a:ln w="19050"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40000"/>
                        </a:prstClr>
                      </a:outerShdw>
                    </a:effectLst>
                  </c15:spPr>
                  <c15:bubble3D val="0"/>
                  <c15:dLbl>
                    <c:idx val="-1"/>
                    <c:layout>
                      <c:manualLayout>
                        <c:x val="1.8267619766543031E-3"/>
                        <c:y val="-1.0523302090609317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100" b="1" i="0" u="none" strike="noStrike" kern="1200" baseline="0">
                            <a:solidFill>
                              <a:schemeClr val="accent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VE"/>
                      </a:p>
                    </c:txPr>
                    <c:dLblPos val="bestFi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DE49-45F1-AC44-3A090B6C627F}"/>
                      </c:ext>
                    </c:extLst>
                  </c15:dLbl>
                </c15:categoryFilterException>
                <c15:categoryFilterException>
                  <c15:sqref>'Análisis de Desviación'!$N$9</c15:sqref>
                  <c15:spPr xmlns:c15="http://schemas.microsoft.com/office/drawing/2012/chart">
                    <a:solidFill>
                      <a:schemeClr val="accent2"/>
                    </a:solidFill>
                    <a:ln w="19050"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4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'Análisis de Desviación'!$N$12</c15:sqref>
                  <c15:spPr xmlns:c15="http://schemas.microsoft.com/office/drawing/2012/chart">
                    <a:solidFill>
                      <a:schemeClr val="accent5"/>
                    </a:solidFill>
                    <a:ln w="19050"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4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'Análisis de Desviación'!$N$15</c15:sqref>
                  <c15:spPr xmlns:c15="http://schemas.microsoft.com/office/drawing/2012/chart">
                    <a:solidFill>
                      <a:schemeClr val="accent2">
                        <a:lumMod val="60000"/>
                      </a:schemeClr>
                    </a:solidFill>
                    <a:ln w="19050"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40000"/>
                        </a:prstClr>
                      </a:outerShdw>
                    </a:effectLst>
                  </c15:spPr>
                  <c15:bubble3D val="0"/>
                  <c15:dLbl>
                    <c:idx val="3"/>
                    <c:layout>
                      <c:manualLayout>
                        <c:x val="-3.0605455085245058E-2"/>
                        <c:y val="4.7404200711489387E-3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100" b="1" i="0" u="none" strike="noStrike" kern="1200" baseline="0">
                            <a:solidFill>
                              <a:schemeClr val="accent6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VE"/>
                      </a:p>
                    </c:txPr>
                    <c:dLblPos val="bestFi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DE49-45F1-AC44-3A090B6C627F}"/>
                      </c:ext>
                    </c:extLst>
                  </c15:dLbl>
                </c15:categoryFilterException>
                <c15:categoryFilterException>
                  <c15:sqref>'Análisis de Desviación'!$N$16</c15:sqref>
                  <c15:spPr xmlns:c15="http://schemas.microsoft.com/office/drawing/2012/chart">
                    <a:solidFill>
                      <a:schemeClr val="accent3">
                        <a:lumMod val="60000"/>
                      </a:schemeClr>
                    </a:solidFill>
                    <a:ln w="19050"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4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1E8B-49E2-838C-2BD5D6DC8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64454668656614"/>
          <c:y val="0.11053764266454692"/>
          <c:w val="0.52376333350488047"/>
          <c:h val="0.77892471467090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09569374928972"/>
          <c:y val="0.11342592592592593"/>
          <c:w val="0.3231066747144995"/>
          <c:h val="0.77314814814814814"/>
        </c:manualLayout>
      </c:layout>
      <c:pieChart>
        <c:varyColors val="1"/>
        <c:ser>
          <c:idx val="0"/>
          <c:order val="0"/>
          <c:spPr>
            <a:ln>
              <a:noFill/>
            </a:ln>
            <a:effectLst>
              <a:outerShdw blurRad="63500" algn="c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59-4FF7-8428-DC67CDDBD219}"/>
              </c:ext>
            </c:extLst>
          </c:dPt>
          <c:dPt>
            <c:idx val="1"/>
            <c:bubble3D val="0"/>
            <c:spPr>
              <a:solidFill>
                <a:srgbClr val="FF00FF"/>
              </a:solidFill>
              <a:ln w="19050">
                <a:noFill/>
              </a:ln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DE7-4474-A010-79AB820BAB22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noFill/>
              </a:ln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95-4BE8-9C32-C42A593AC82E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8CB-47BF-8E0B-8CECE38C06C0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9FA-42B6-892E-3E17AB4BB026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noFill/>
              </a:ln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DA-4F1B-9DAB-36FA1F23C4CD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noFill/>
              </a:ln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95-4BE8-9C32-C42A593AC82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>
                  <a:outerShdw blurRad="50800" dist="50800" dir="5400000" sx="1000" sy="1000" algn="ctr" rotWithShape="0">
                    <a:srgbClr val="000000">
                      <a:alpha val="4400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0070C0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859-4FF7-8428-DC67CDDBD219}"/>
                </c:ext>
              </c:extLst>
            </c:dLbl>
            <c:dLbl>
              <c:idx val="1"/>
              <c:layout>
                <c:manualLayout>
                  <c:x val="1.8025899953700406E-3"/>
                  <c:y val="4.639479559987375E-2"/>
                </c:manualLayout>
              </c:layout>
              <c:tx>
                <c:rich>
                  <a:bodyPr/>
                  <a:lstStyle/>
                  <a:p>
                    <a:fld id="{31C51C97-C26F-43BA-8C71-E0B254B19779}" type="VALUE">
                      <a:rPr lang="en-US" b="1">
                        <a:solidFill>
                          <a:srgbClr val="FF66CC"/>
                        </a:solidFill>
                      </a:rPr>
                      <a:pPr/>
                      <a:t>[VALOR]</a:t>
                    </a:fld>
                    <a:endParaRPr lang="es-VE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3DE7-4474-A010-79AB820BAB22}"/>
                </c:ext>
              </c:extLst>
            </c:dLbl>
            <c:dLbl>
              <c:idx val="2"/>
              <c:layout>
                <c:manualLayout>
                  <c:x val="-7.2103599814802282E-3"/>
                  <c:y val="-1.8557918239949584E-2"/>
                </c:manualLayout>
              </c:layout>
              <c:spPr>
                <a:noFill/>
                <a:ln>
                  <a:noFill/>
                </a:ln>
                <a:effectLst>
                  <a:outerShdw blurRad="50800" dist="50800" dir="5400000" sx="1000" sy="1000" algn="ctr" rotWithShape="0">
                    <a:srgbClr val="000000">
                      <a:alpha val="4400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chemeClr val="bg1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95-4BE8-9C32-C42A593AC82E}"/>
                </c:ext>
              </c:extLst>
            </c:dLbl>
            <c:dLbl>
              <c:idx val="3"/>
              <c:layout>
                <c:manualLayout>
                  <c:x val="9.0129499768501695E-3"/>
                  <c:y val="-2.783687735992442E-2"/>
                </c:manualLayout>
              </c:layout>
              <c:spPr>
                <a:noFill/>
                <a:ln>
                  <a:noFill/>
                </a:ln>
                <a:effectLst>
                  <a:outerShdw blurRad="50800" dist="50800" dir="5400000" sx="1000" sy="1000" algn="ctr" rotWithShape="0">
                    <a:srgbClr val="000000">
                      <a:alpha val="4400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ln w="3175">
                        <a:noFill/>
                      </a:ln>
                      <a:solidFill>
                        <a:srgbClr val="99663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CB-47BF-8E0B-8CECE38C06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5C239F4-A734-4337-A478-E9852915138F}" type="VALUE">
                      <a:rPr lang="en-US" b="1">
                        <a:solidFill>
                          <a:schemeClr val="accent2"/>
                        </a:solidFill>
                      </a:rPr>
                      <a:pPr/>
                      <a:t>[VALOR]</a:t>
                    </a:fld>
                    <a:endParaRPr lang="es-VE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B9FA-42B6-892E-3E17AB4BB026}"/>
                </c:ext>
              </c:extLst>
            </c:dLbl>
            <c:dLbl>
              <c:idx val="5"/>
              <c:layout>
                <c:manualLayout>
                  <c:x val="0"/>
                  <c:y val="2.783687735992425E-2"/>
                </c:manualLayout>
              </c:layout>
              <c:tx>
                <c:rich>
                  <a:bodyPr/>
                  <a:lstStyle/>
                  <a:p>
                    <a:fld id="{7D1430BA-FFE5-4B1B-ACF8-954BE1D0775D}" type="VALUE">
                      <a:rPr lang="en-US" b="1">
                        <a:solidFill>
                          <a:srgbClr val="7030A0"/>
                        </a:solidFill>
                      </a:rPr>
                      <a:pPr/>
                      <a:t>[VALOR]</a:t>
                    </a:fld>
                    <a:endParaRPr lang="es-VE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3DA-4F1B-9DAB-36FA1F23C4CD}"/>
                </c:ext>
              </c:extLst>
            </c:dLbl>
            <c:dLbl>
              <c:idx val="6"/>
              <c:layout>
                <c:manualLayout>
                  <c:x val="-1.8025899953700406E-3"/>
                  <c:y val="2.3197397799936875E-2"/>
                </c:manualLayout>
              </c:layout>
              <c:tx>
                <c:rich>
                  <a:bodyPr/>
                  <a:lstStyle/>
                  <a:p>
                    <a:fld id="{3B02A5FD-82D1-4575-B605-3158B3665D46}" type="VALUE">
                      <a:rPr lang="en-US" b="1">
                        <a:solidFill>
                          <a:srgbClr val="C00000"/>
                        </a:solidFill>
                      </a:rPr>
                      <a:pPr/>
                      <a:t>[VALOR]</a:t>
                    </a:fld>
                    <a:endParaRPr lang="es-VE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8895-4BE8-9C32-C42A593AC82E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400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ln w="3175">
                      <a:noFill/>
                    </a:ln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'Análisis de Desviación'!$D$19:$D$31</c15:sqref>
                  </c15:fullRef>
                </c:ext>
              </c:extLst>
              <c:f>('Análisis de Desviación'!$D$20,'Análisis de Desviación'!$D$22,'Análisis de Desviación'!$D$24,'Análisis de Desviación'!$D$26,'Análisis de Desviación'!$D$28:$D$30)</c:f>
              <c:strCache>
                <c:ptCount val="7"/>
                <c:pt idx="0">
                  <c:v>2.4 Reparación de componentes en talleres</c:v>
                </c:pt>
                <c:pt idx="1">
                  <c:v>2.7 Alineación de la turbina</c:v>
                </c:pt>
                <c:pt idx="2">
                  <c:v>2.10 Aislamiento térmico</c:v>
                </c:pt>
                <c:pt idx="3">
                  <c:v>2.12 Preparación de superficie metálica y cubrimiento</c:v>
                </c:pt>
                <c:pt idx="4">
                  <c:v>2.14 Mantenimiento de equipos auxiliares </c:v>
                </c:pt>
                <c:pt idx="5">
                  <c:v>2.15 Desarmado de componentes y mantenimientos</c:v>
                </c:pt>
                <c:pt idx="6">
                  <c:v>2.16 Armado y ajustes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de Desviación'!$N$19:$N$31</c15:sqref>
                  </c15:fullRef>
                </c:ext>
              </c:extLst>
              <c:f>('Análisis de Desviación'!$N$20,'Análisis de Desviación'!$N$22,'Análisis de Desviación'!$N$24,'Análisis de Desviación'!$N$26,'Análisis de Desviación'!$N$28:$N$30)</c:f>
              <c:numCache>
                <c:formatCode>0.0%</c:formatCode>
                <c:ptCount val="7"/>
                <c:pt idx="0">
                  <c:v>1.5161584348561271E-2</c:v>
                </c:pt>
                <c:pt idx="1">
                  <c:v>0.17756810498315001</c:v>
                </c:pt>
                <c:pt idx="2">
                  <c:v>0.13814798567689071</c:v>
                </c:pt>
                <c:pt idx="3">
                  <c:v>0.17756810498315001</c:v>
                </c:pt>
                <c:pt idx="4">
                  <c:v>0.15783831554057778</c:v>
                </c:pt>
                <c:pt idx="5">
                  <c:v>0.14563780834508</c:v>
                </c:pt>
                <c:pt idx="6">
                  <c:v>8.8961620596558155E-2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'Análisis de Desviación'!$N$21</c15:sqref>
                  <c15:spPr xmlns:c15="http://schemas.microsoft.com/office/drawing/2012/chart">
                    <a:solidFill>
                      <a:schemeClr val="accent3"/>
                    </a:solidFill>
                    <a:ln w="19050">
                      <a:noFill/>
                    </a:ln>
                    <a:effectLst>
                      <a:outerShdw blurRad="63500" algn="ctr" rotWithShape="0">
                        <a:prstClr val="black">
                          <a:alpha val="4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'Análisis de Desviación'!$N$23</c15:sqref>
                  <c15:spPr xmlns:c15="http://schemas.microsoft.com/office/drawing/2012/chart">
                    <a:solidFill>
                      <a:srgbClr val="00B0F0"/>
                    </a:solidFill>
                    <a:ln w="19050">
                      <a:noFill/>
                    </a:ln>
                    <a:effectLst>
                      <a:outerShdw blurRad="63500" algn="ctr" rotWithShape="0">
                        <a:prstClr val="black">
                          <a:alpha val="4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'Análisis de Desviación'!$N$25</c15:sqref>
                  <c15:spPr xmlns:c15="http://schemas.microsoft.com/office/drawing/2012/chart">
                    <a:solidFill>
                      <a:srgbClr val="FFC000"/>
                    </a:solidFill>
                    <a:ln w="19050">
                      <a:noFill/>
                    </a:ln>
                    <a:effectLst>
                      <a:outerShdw blurRad="63500" algn="ctr" rotWithShape="0">
                        <a:prstClr val="black">
                          <a:alpha val="40000"/>
                        </a:prstClr>
                      </a:outerShdw>
                    </a:effectLst>
                  </c15:spPr>
                  <c15:bubble3D val="0"/>
                  <c15:dLbl>
                    <c:idx val="2"/>
                    <c:layout>
                      <c:manualLayout>
                        <c:x val="-9.0129499768502683E-3"/>
                        <c:y val="-2.3197397799936875E-2"/>
                      </c:manualLayout>
                    </c:layout>
                    <c:tx>
                      <c:rich>
                        <a:bodyPr/>
                        <a:lstStyle/>
                        <a:p>
                          <a:fld id="{8C1F733E-AA41-4686-86F3-7D67C361CAA6}" type="VALUE">
                            <a:rPr lang="en-US" b="1">
                              <a:solidFill>
                                <a:schemeClr val="accent4">
                                  <a:lumMod val="75000"/>
                                </a:schemeClr>
                              </a:solidFill>
                            </a:rPr>
                            <a:pPr/>
                            <a:t>[VALOR]</a:t>
                          </a:fld>
                          <a:endParaRPr lang="es-VE"/>
                        </a:p>
                      </c:rich>
                    </c:tx>
                    <c:dLblPos val="bestFi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13-C598-4CD3-9FC1-D4EC9666E592}"/>
                      </c:ext>
                    </c:extLst>
                  </c15:dLbl>
                </c15:categoryFilterException>
                <c15:categoryFilterException>
                  <c15:sqref>'Análisis de Desviación'!$N$27</c15:sqref>
                  <c15:spPr xmlns:c15="http://schemas.microsoft.com/office/drawing/2012/chart">
                    <a:solidFill>
                      <a:srgbClr val="92D050"/>
                    </a:solidFill>
                    <a:ln w="19050">
                      <a:noFill/>
                    </a:ln>
                    <a:effectLst>
                      <a:outerShdw blurRad="63500" algn="ctr" rotWithShape="0">
                        <a:prstClr val="black">
                          <a:alpha val="40000"/>
                        </a:prstClr>
                      </a:outerShdw>
                    </a:effectLst>
                  </c15:spPr>
                  <c15:bubble3D val="0"/>
                  <c15:dLbl>
                    <c:idx val="3"/>
                    <c:layout>
                      <c:manualLayout>
                        <c:x val="3.2543194084518466E-2"/>
                        <c:y val="9.3883826554827417E-3"/>
                      </c:manualLayout>
                    </c:layout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noAutofit/>
                        </a:bodyPr>
                        <a:lstStyle/>
                        <a:p>
                          <a:pPr>
                            <a:defRPr sz="1200" b="0" i="0" u="none" strike="noStrike" kern="1200" baseline="0">
                              <a:ln w="3175">
                                <a:noFill/>
                              </a:ln>
                              <a:solidFill>
                                <a:sysClr val="windowText" lastClr="000000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86DB5A6A-A5D3-4092-92F0-8B053D758D57}" type="VALUE">
                            <a:rPr lang="en-US" sz="1200" b="1">
                              <a:solidFill>
                                <a:schemeClr val="accent6"/>
                              </a:solidFill>
                              <a:effectLst/>
                            </a:rPr>
                            <a:pPr>
                              <a:defRPr sz="1200">
                                <a:ln w="3175"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</a:defRPr>
                            </a:pPr>
                            <a:t>[VALOR]</a:t>
                          </a:fld>
                          <a:endParaRPr lang="es-VE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>
                        <a:outerShdw blurRad="50800" dist="50800" dir="5400000" sx="1000" sy="1000" algn="ctr" rotWithShape="0">
                          <a:srgbClr val="000000">
                            <a:alpha val="44000"/>
                          </a:srgbClr>
                        </a:outerShdw>
                      </a:effectLst>
                    </c:spPr>
                    <c:txPr>
                      <a:bodyPr rot="0" spcFirstLastPara="1" vertOverflow="ellipsis" vert="horz" wrap="square" lIns="38100" tIns="19050" rIns="38100" bIns="19050" anchor="ctr" anchorCtr="1">
                        <a:noAutofit/>
                      </a:bodyPr>
                      <a:lstStyle/>
                      <a:p>
                        <a:pPr>
                          <a:defRPr sz="1200" b="0" i="0" u="none" strike="noStrike" kern="1200" baseline="0">
                            <a:ln w="3175"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VE"/>
                      </a:p>
                    </c:txPr>
                    <c:dLblPos val="bestFi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6.3417076284348187E-2"/>
                            <c:h val="9.4528872438375086E-2"/>
                          </c:manualLayout>
                        </c15:layout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15-C598-4CD3-9FC1-D4EC9666E59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1859-4FF7-8428-DC67CDDBD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274472859131625"/>
          <c:y val="3.8192733747264583E-2"/>
          <c:w val="0.48621483630775097"/>
          <c:h val="0.939123111551563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8905131091831092E-2"/>
          <c:y val="4.5725771620319614E-2"/>
          <c:w val="0.81377521918173457"/>
          <c:h val="0.95427433032964737"/>
        </c:manualLayout>
      </c:layout>
      <c:doughnutChart>
        <c:varyColors val="1"/>
        <c:ser>
          <c:idx val="0"/>
          <c:order val="0"/>
          <c:tx>
            <c:strRef>
              <c:f>'Dashboard General'!$P$3</c:f>
              <c:strCache>
                <c:ptCount val="1"/>
                <c:pt idx="0">
                  <c:v>Plan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0D-4B26-BD20-8B0CC273E2A2}"/>
              </c:ext>
            </c:extLst>
          </c:dPt>
          <c:dPt>
            <c:idx val="1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0D-4B26-BD20-8B0CC273E2A2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0D-4B26-BD20-8B0CC273E2A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0D-4B26-BD20-8B0CC273E2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'Dashboard Caldera'!$T$5:$T$7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0D-4B26-BD20-8B0CC273E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catterChart>
        <c:scatterStyle val="lineMarker"/>
        <c:varyColors val="0"/>
        <c:ser>
          <c:idx val="1"/>
          <c:order val="1"/>
          <c:tx>
            <c:strRef>
              <c:f>'Dashboard General'!$Q$3</c:f>
              <c:strCache>
                <c:ptCount val="1"/>
                <c:pt idx="0">
                  <c:v>Real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'Dashboard Caldera'!$T$10:$T$11</c:f>
              <c:numCache>
                <c:formatCode>0.00</c:formatCode>
                <c:ptCount val="2"/>
                <c:pt idx="0">
                  <c:v>0</c:v>
                </c:pt>
                <c:pt idx="1">
                  <c:v>0.87313083181266915</c:v>
                </c:pt>
              </c:numCache>
            </c:numRef>
          </c:xVal>
          <c:yVal>
            <c:numRef>
              <c:f>'Dashboard Caldera'!$U$10:$U$11</c:f>
              <c:numCache>
                <c:formatCode>0.00</c:formatCode>
                <c:ptCount val="2"/>
                <c:pt idx="0">
                  <c:v>0</c:v>
                </c:pt>
                <c:pt idx="1">
                  <c:v>0.48748594906737208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0D-4B26-BD20-8B0CC273E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541007"/>
        <c:axId val="1185542671"/>
      </c:scatterChart>
      <c:valAx>
        <c:axId val="1185541007"/>
        <c:scaling>
          <c:orientation val="minMax"/>
          <c:max val="1"/>
          <c:min val="-1"/>
        </c:scaling>
        <c:delete val="1"/>
        <c:axPos val="b"/>
        <c:numFmt formatCode="0.00" sourceLinked="1"/>
        <c:majorTickMark val="none"/>
        <c:minorTickMark val="none"/>
        <c:tickLblPos val="nextTo"/>
        <c:crossAx val="1185542671"/>
        <c:crosses val="autoZero"/>
        <c:crossBetween val="midCat"/>
      </c:valAx>
      <c:valAx>
        <c:axId val="1185542671"/>
        <c:scaling>
          <c:orientation val="minMax"/>
          <c:max val="1"/>
          <c:min val="-1"/>
        </c:scaling>
        <c:delete val="1"/>
        <c:axPos val="l"/>
        <c:numFmt formatCode="0.00" sourceLinked="1"/>
        <c:majorTickMark val="none"/>
        <c:minorTickMark val="none"/>
        <c:tickLblPos val="nextTo"/>
        <c:crossAx val="118554100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ayout>
        <c:manualLayout>
          <c:xMode val="edge"/>
          <c:yMode val="edge"/>
          <c:x val="0.14143918477947251"/>
          <c:y val="0.57957209319954139"/>
          <c:w val="0.61164459102838042"/>
          <c:h val="0.10153500668012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114615177614835E-2"/>
          <c:y val="4.053600606338869E-2"/>
          <c:w val="0.91973778558522723"/>
          <c:h val="0.86080878033747543"/>
        </c:manualLayout>
      </c:layout>
      <c:doughnutChart>
        <c:varyColors val="1"/>
        <c:ser>
          <c:idx val="0"/>
          <c:order val="0"/>
          <c:tx>
            <c:strRef>
              <c:f>'Dashboard General'!$P$3</c:f>
              <c:strCache>
                <c:ptCount val="1"/>
                <c:pt idx="0">
                  <c:v>Plan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18-4A76-98D8-BDF91C9FE1B0}"/>
              </c:ext>
            </c:extLst>
          </c:dPt>
          <c:dPt>
            <c:idx val="1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18-4A76-98D8-BDF91C9FE1B0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18-4A76-98D8-BDF91C9FE1B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878192638887078"/>
                      <c:h val="0.141299494619411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E18-4A76-98D8-BDF91C9FE1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'Dashboard Caldera'!$T$5:$T$7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18-4A76-98D8-BDF91C9FE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catterChart>
        <c:scatterStyle val="lineMarker"/>
        <c:varyColors val="0"/>
        <c:ser>
          <c:idx val="1"/>
          <c:order val="1"/>
          <c:tx>
            <c:strRef>
              <c:f>'Dashboard General'!$Q$3</c:f>
              <c:strCache>
                <c:ptCount val="1"/>
                <c:pt idx="0">
                  <c:v>Real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'Dashboard Caldera'!$T$10:$T$11</c:f>
              <c:numCache>
                <c:formatCode>0.00</c:formatCode>
                <c:ptCount val="2"/>
                <c:pt idx="0">
                  <c:v>0</c:v>
                </c:pt>
                <c:pt idx="1">
                  <c:v>0.87313083181266915</c:v>
                </c:pt>
              </c:numCache>
            </c:numRef>
          </c:xVal>
          <c:yVal>
            <c:numRef>
              <c:f>'Dashboard Caldera'!$U$10:$U$11</c:f>
              <c:numCache>
                <c:formatCode>0.00</c:formatCode>
                <c:ptCount val="2"/>
                <c:pt idx="0">
                  <c:v>0</c:v>
                </c:pt>
                <c:pt idx="1">
                  <c:v>0.48748594906737208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18-4A76-98D8-BDF91C9FE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541007"/>
        <c:axId val="1185542671"/>
      </c:scatterChart>
      <c:valAx>
        <c:axId val="1185541007"/>
        <c:scaling>
          <c:orientation val="minMax"/>
          <c:max val="1"/>
          <c:min val="-1"/>
        </c:scaling>
        <c:delete val="1"/>
        <c:axPos val="b"/>
        <c:numFmt formatCode="0.00" sourceLinked="1"/>
        <c:majorTickMark val="none"/>
        <c:minorTickMark val="none"/>
        <c:tickLblPos val="nextTo"/>
        <c:crossAx val="1185542671"/>
        <c:crosses val="autoZero"/>
        <c:crossBetween val="midCat"/>
      </c:valAx>
      <c:valAx>
        <c:axId val="1185542671"/>
        <c:scaling>
          <c:orientation val="minMax"/>
          <c:max val="1"/>
          <c:min val="-1"/>
        </c:scaling>
        <c:delete val="1"/>
        <c:axPos val="l"/>
        <c:numFmt formatCode="0.00" sourceLinked="1"/>
        <c:majorTickMark val="none"/>
        <c:minorTickMark val="none"/>
        <c:tickLblPos val="nextTo"/>
        <c:crossAx val="118554100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ayout>
        <c:manualLayout>
          <c:xMode val="edge"/>
          <c:yMode val="edge"/>
          <c:x val="0.17633117105612842"/>
          <c:y val="0.53374246085039179"/>
          <c:w val="0.67791443599999335"/>
          <c:h val="8.3815085416971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285877304754369E-2"/>
          <c:y val="4.8888825605660054E-2"/>
          <c:w val="0.89622290816924266"/>
          <c:h val="0.78706860510257914"/>
        </c:manualLayout>
      </c:layout>
      <c:lineChart>
        <c:grouping val="standard"/>
        <c:varyColors val="0"/>
        <c:ser>
          <c:idx val="0"/>
          <c:order val="0"/>
          <c:tx>
            <c:strRef>
              <c:f>'Dashboard Turbina'!$X$4</c:f>
              <c:strCache>
                <c:ptCount val="1"/>
                <c:pt idx="0">
                  <c:v>Plan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B5-4A9D-9364-58FCD289003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33C74A5-E7BB-4CE8-A25D-3A2D8074E55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DB5-4A9D-9364-58FCD289003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C37E121-E2DB-48D2-8724-B11C8519700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DB5-4A9D-9364-58FCD289003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FB7844-BF60-46EB-B91B-92978246184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DB5-4A9D-9364-58FCD2890032}"/>
                </c:ext>
              </c:extLst>
            </c:dLbl>
            <c:dLbl>
              <c:idx val="4"/>
              <c:layout>
                <c:manualLayout>
                  <c:x val="-7.7380939874820628E-2"/>
                  <c:y val="-1.9414572669968468E-2"/>
                </c:manualLayout>
              </c:layout>
              <c:tx>
                <c:rich>
                  <a:bodyPr/>
                  <a:lstStyle/>
                  <a:p>
                    <a:fld id="{061E0B5B-D071-442E-B606-AA863DF0E9B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4-0476-44E6-BB13-C194B96FD0E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B75BCB9-FA57-4D45-A4A7-454977998FC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DB5-4A9D-9364-58FCD289003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9F9287C-D0B3-4E0A-B9D7-BF10366367C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DB5-4A9D-9364-58FCD289003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7F10CFC-54AB-4E0D-9A92-FC06D7CA214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DB5-4A9D-9364-58FCD2890032}"/>
                </c:ext>
              </c:extLst>
            </c:dLbl>
            <c:dLbl>
              <c:idx val="8"/>
              <c:layout>
                <c:manualLayout>
                  <c:x val="-0.10406402259027604"/>
                  <c:y val="-3.4946230805943314E-2"/>
                </c:manualLayout>
              </c:layout>
              <c:tx>
                <c:rich>
                  <a:bodyPr/>
                  <a:lstStyle/>
                  <a:p>
                    <a:fld id="{DCDDE0D0-3457-424B-9681-555380BE6E1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DB5-4A9D-9364-58FCD289003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8E8E86A-4566-4604-9922-AA76DABDAB0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5-0476-44E6-BB13-C194B96FD0E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71AFB39-05A6-4923-80FF-9F7D44F2A53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DB5-4A9D-9364-58FCD289003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37ABE15-3E7A-4B3B-AECE-9B8E1DFAFB7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DB5-4A9D-9364-58FCD2890032}"/>
                </c:ext>
              </c:extLst>
            </c:dLbl>
            <c:dLbl>
              <c:idx val="12"/>
              <c:layout>
                <c:manualLayout>
                  <c:x val="-4.8029548887819726E-2"/>
                  <c:y val="2.3297487203962162E-2"/>
                </c:manualLayout>
              </c:layout>
              <c:tx>
                <c:rich>
                  <a:bodyPr/>
                  <a:lstStyle/>
                  <a:p>
                    <a:fld id="{66332AE9-75BE-4679-A4C7-1D7908CF433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DB5-4A9D-9364-58FCD289003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EE93FB4-1F63-4F72-B338-F3E43318275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E362-4B78-8EBF-97E04F02C18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430ABB2-4337-426F-81C2-715F9B7BA6D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DB5-4A9D-9364-58FCD289003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DDD1A82-A5CD-426E-B5F4-C866E2BE5CC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DB5-4A9D-9364-58FCD2890032}"/>
                </c:ext>
              </c:extLst>
            </c:dLbl>
            <c:dLbl>
              <c:idx val="16"/>
              <c:layout>
                <c:manualLayout>
                  <c:x val="-0.12541048876264033"/>
                  <c:y val="-1.9414572669968468E-2"/>
                </c:manualLayout>
              </c:layout>
              <c:tx>
                <c:rich>
                  <a:bodyPr/>
                  <a:lstStyle/>
                  <a:p>
                    <a:fld id="{74DC50C2-8855-4C2C-AF76-7A3C6BE5955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DB5-4A9D-9364-58FCD289003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7BFB2C3-DFBB-4CB2-BC53-9F94A14FEDF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E362-4B78-8EBF-97E04F02C18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68A9A98-085D-4166-A6FD-E94C928095C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DB5-4A9D-9364-58FCD28900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BB6E7C4-BB9D-44F0-99F3-68405B9D7FA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7DB5-4A9D-9364-58FCD2890032}"/>
                </c:ext>
              </c:extLst>
            </c:dLbl>
            <c:dLbl>
              <c:idx val="20"/>
              <c:layout>
                <c:manualLayout>
                  <c:x val="-4.2692932344728624E-2"/>
                  <c:y val="8.9307034281854922E-2"/>
                </c:manualLayout>
              </c:layout>
              <c:tx>
                <c:rich>
                  <a:bodyPr/>
                  <a:lstStyle/>
                  <a:p>
                    <a:fld id="{04777985-409D-49A9-9507-FEA6F892431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DB5-4A9D-9364-58FCD289003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0162F5F-4836-425A-9FDA-52E8F6A00EA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7DB5-4A9D-9364-58FCD289003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4E47D33-833E-4F9F-8CD8-FFBEBA1C222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5B6-49C3-8411-ACC2E7CA315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BE96723-E82D-43EC-9E6D-BF0C4507302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DB5-4A9D-9364-58FCD2890032}"/>
                </c:ext>
              </c:extLst>
            </c:dLbl>
            <c:dLbl>
              <c:idx val="24"/>
              <c:layout>
                <c:manualLayout>
                  <c:x val="-0.12807879694106802"/>
                  <c:y val="4.2815417696007017E-2"/>
                </c:manualLayout>
              </c:layout>
              <c:tx>
                <c:rich>
                  <a:bodyPr/>
                  <a:lstStyle/>
                  <a:p>
                    <a:fld id="{243AD24F-FBCE-4F56-A62C-50460BC341F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7DB5-4A9D-9364-58FCD289003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EC0B7DC-4626-4ADA-B745-B30AC0BAD3D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7DB5-4A9D-9364-58FCD289003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0B08438-A0B9-4B8F-8CC1-B53E58BFF6C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E362-4B78-8EBF-97E04F02C18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0F7F6079-21D8-4453-A982-192A6333CB5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7DB5-4A9D-9364-58FCD2890032}"/>
                </c:ext>
              </c:extLst>
            </c:dLbl>
            <c:dLbl>
              <c:idx val="28"/>
              <c:layout>
                <c:manualLayout>
                  <c:x val="-8.7923228346456689E-2"/>
                  <c:y val="-6.801777618706757E-3"/>
                </c:manualLayout>
              </c:layout>
              <c:tx>
                <c:rich>
                  <a:bodyPr/>
                  <a:lstStyle/>
                  <a:p>
                    <a:fld id="{C2C160AF-A46D-4AD1-A3A0-DC0536F297A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7DB5-4A9D-9364-58FCD289003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88DB6C4E-B0A9-49CB-BB0C-A0A1668AC59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7DB5-4A9D-9364-58FCD289003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72CBCED-90BE-43AB-9A4F-757510D8818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7DB5-4A9D-9364-58FCD289003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B024F3A-1F1D-4AAC-9732-806E7E674B2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7DB5-4A9D-9364-58FCD2890032}"/>
                </c:ext>
              </c:extLst>
            </c:dLbl>
            <c:dLbl>
              <c:idx val="32"/>
              <c:layout>
                <c:manualLayout>
                  <c:x val="-3.6447897470263023E-2"/>
                  <c:y val="-1.8083989501312341E-2"/>
                </c:manualLayout>
              </c:layout>
              <c:tx>
                <c:rich>
                  <a:bodyPr/>
                  <a:lstStyle/>
                  <a:p>
                    <a:fld id="{08488D09-E290-43A6-806C-B0A937D7064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7DB5-4A9D-9364-58FCD289003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7472924-18FB-4FAA-B937-7B05F1D48F7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7DB5-4A9D-9364-58FCD2890032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C6712DD3-5037-4703-92CA-C2553A64DD1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7DB5-4A9D-9364-58FCD289003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17F4FA1A-5B7C-4FE9-8F66-1F3EC95986C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362-4B78-8EBF-97E04F02C18F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62-4B78-8EBF-97E04F02C18F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773A46ED-3525-4A31-9CE5-F86AF3119B2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362-4B78-8EBF-97E04F02C18F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5EC48355-38F8-4FF6-A644-F4666C87907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362-4B78-8EBF-97E04F02C18F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E3C1998A-6EC5-42D4-81FB-0284A98C083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362-4B78-8EBF-97E04F02C18F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62-4B78-8EBF-97E04F02C18F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E2455129-BE9A-42E4-8C50-8DBF7F55B7F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362-4B78-8EBF-97E04F02C18F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87F2AFC8-F7CB-4416-9553-098EFC7C8B1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362-4B78-8EBF-97E04F02C18F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8DDF22BF-FAE9-4D5E-9923-75C2707B066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362-4B78-8EBF-97E04F02C18F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62-4B78-8EBF-97E04F02C18F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22CA686E-DBCA-41C9-9E85-73B89DD53D9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362-4B78-8EBF-97E04F02C18F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17D0F73A-8439-4EA7-8E63-8C279F33183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362-4B78-8EBF-97E04F02C18F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53482E11-9326-407A-9367-239A16B8281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362-4B78-8EBF-97E04F02C18F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62-4B78-8EBF-97E04F02C18F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5AC37F90-A333-49BE-B2F5-7FE71F60005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AFC-412F-9DA3-271976277328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40558286-15F3-4B2A-8943-6654DEAF113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AFC-412F-9DA3-271976277328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4AB8CD4-11FD-4EF6-B604-4A019F1E12D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AFC-412F-9DA3-271976277328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FC-412F-9DA3-271976277328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812B9FC0-922C-4946-A8AF-34F1D6BCB98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AFC-412F-9DA3-271976277328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995030E9-5FA3-4A5D-ABFA-C440745F4E5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AFC-412F-9DA3-271976277328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1BBAA7EB-6812-4EC7-953F-465DED2BFE9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AFC-412F-9DA3-271976277328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FC-412F-9DA3-271976277328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00754E88-5065-4642-B38A-78F00A29F2B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6-0476-44E6-BB13-C194B96FD0E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57698BD8-B279-4AE4-978D-0ABCCC322E8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7-0476-44E6-BB13-C194B96FD0E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292B5E82-A6B1-4F6B-B331-F7F47BAD5CE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8-0476-44E6-BB13-C194B96FD0E3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0476-44E6-BB13-C194B96FD0E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E2BFFE9F-67B1-47F9-94C9-5043648C83A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9-0476-44E6-BB13-C194B96FD0E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415C0CC3-9D2D-4CA4-A0F2-03262EBA03F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0476-44E6-BB13-C194B96FD0E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87C4AD7A-E0F6-4DB6-8C3C-3B4FB271450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B-0476-44E6-BB13-C194B96FD0E3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0476-44E6-BB13-C194B96FD0E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EE341CCE-A084-4443-A9F4-A35EF663AF7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C-0476-44E6-BB13-C194B96FD0E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F4E144F3-F336-495F-82D1-2AEF6E5927D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D-0476-44E6-BB13-C194B96FD0E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FAC1037C-6168-4DB8-B71A-73700424304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0476-44E6-BB13-C194B96FD0E3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0476-44E6-BB13-C194B96FD0E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05A405BE-66F2-43DA-9778-025B73B6D67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F-0476-44E6-BB13-C194B96FD0E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A7E864D3-D241-4B19-AC34-BB3BE417F17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0476-44E6-BB13-C194B96FD0E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040AC71E-D9E8-4FEB-A432-CF79630881B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1-0476-44E6-BB13-C194B96FD0E3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0476-44E6-BB13-C194B96FD0E3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90E9BA4B-F86B-4F8A-9786-4EA663D0F9A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2-0476-44E6-BB13-C194B96FD0E3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8E2E9B95-5E29-472E-BB4F-8E4C65551B0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3-0476-44E6-BB13-C194B96FD0E3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B26A48FD-98DD-42BB-9B38-3708E03987F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4-0476-44E6-BB13-C194B96FD0E3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0476-44E6-BB13-C194B96FD0E3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CC1BF7D9-5A1A-4F93-B727-0590EF15DBA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5-0476-44E6-BB13-C194B96FD0E3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18F1A218-1466-4C4A-A07D-3FE95DF56B1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6-0476-44E6-BB13-C194B96FD0E3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3D876343-6363-4A33-838D-31F8352D073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7-0476-44E6-BB13-C194B96FD0E3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0476-44E6-BB13-C194B96FD0E3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31CDF9E0-7200-4437-B7AB-4E140DC724C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8-0476-44E6-BB13-C194B96FD0E3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FC278E14-A418-477E-A960-10963892910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9-0476-44E6-BB13-C194B96FD0E3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16D5A52D-D9F5-4C12-9013-1D232154FAB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A-0476-44E6-BB13-C194B96FD0E3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0476-44E6-BB13-C194B96FD0E3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5EA2515-240E-4437-ADEB-401051E7FC4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B-0476-44E6-BB13-C194B96FD0E3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17C2ACA6-B901-4080-929F-2D740B1F476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C-0476-44E6-BB13-C194B96FD0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'Plan 39'!$H$6:$CP$6</c:f>
              <c:numCache>
                <c:formatCode>0.0%</c:formatCode>
                <c:ptCount val="87"/>
                <c:pt idx="0">
                  <c:v>0</c:v>
                </c:pt>
                <c:pt idx="1">
                  <c:v>2.5282318234624394E-2</c:v>
                </c:pt>
                <c:pt idx="2">
                  <c:v>5.5583628044109809E-2</c:v>
                </c:pt>
                <c:pt idx="3">
                  <c:v>9.1135947854721788E-2</c:v>
                </c:pt>
                <c:pt idx="4">
                  <c:v>0.12881163395070261</c:v>
                </c:pt>
                <c:pt idx="5">
                  <c:v>0.1681432900052908</c:v>
                </c:pt>
                <c:pt idx="6">
                  <c:v>0.20659949452220083</c:v>
                </c:pt>
                <c:pt idx="7">
                  <c:v>0.24130974636751762</c:v>
                </c:pt>
                <c:pt idx="8">
                  <c:v>0.27014503226050457</c:v>
                </c:pt>
                <c:pt idx="9">
                  <c:v>0.30911343474105862</c:v>
                </c:pt>
                <c:pt idx="10">
                  <c:v>0.36093341502978438</c:v>
                </c:pt>
                <c:pt idx="11">
                  <c:v>0.40732360146148494</c:v>
                </c:pt>
                <c:pt idx="12">
                  <c:v>0.436878828948916</c:v>
                </c:pt>
                <c:pt idx="13">
                  <c:v>0.46456350544253927</c:v>
                </c:pt>
                <c:pt idx="14">
                  <c:v>0.49513337463185192</c:v>
                </c:pt>
                <c:pt idx="15">
                  <c:v>0.52277838931376452</c:v>
                </c:pt>
                <c:pt idx="16">
                  <c:v>0.55184231886872603</c:v>
                </c:pt>
                <c:pt idx="17">
                  <c:v>0.58243093717304328</c:v>
                </c:pt>
                <c:pt idx="18">
                  <c:v>0.62400961016677725</c:v>
                </c:pt>
                <c:pt idx="19">
                  <c:v>0.66558828316051111</c:v>
                </c:pt>
                <c:pt idx="20">
                  <c:v>0.70818341532048223</c:v>
                </c:pt>
                <c:pt idx="21">
                  <c:v>0.74928824095308755</c:v>
                </c:pt>
                <c:pt idx="22">
                  <c:v>0.78557941794615382</c:v>
                </c:pt>
                <c:pt idx="23">
                  <c:v>0.81674447196328637</c:v>
                </c:pt>
                <c:pt idx="24">
                  <c:v>0.84790952598041913</c:v>
                </c:pt>
                <c:pt idx="25">
                  <c:v>0.87907457999755201</c:v>
                </c:pt>
                <c:pt idx="26">
                  <c:v>0.90314151991006808</c:v>
                </c:pt>
                <c:pt idx="27">
                  <c:v>0.9321710136017497</c:v>
                </c:pt>
                <c:pt idx="28">
                  <c:v>0.96029285060493197</c:v>
                </c:pt>
                <c:pt idx="29">
                  <c:v>0.98499455711842243</c:v>
                </c:pt>
                <c:pt idx="30">
                  <c:v>0.99731197226169488</c:v>
                </c:pt>
                <c:pt idx="31">
                  <c:v>0.99949177041688153</c:v>
                </c:pt>
                <c:pt idx="32">
                  <c:v>1.0000000000000002</c:v>
                </c:pt>
                <c:pt idx="33">
                  <c:v>1.0000000000000002</c:v>
                </c:pt>
                <c:pt idx="34">
                  <c:v>1.0000000000000002</c:v>
                </c:pt>
                <c:pt idx="35">
                  <c:v>1.0000000000000002</c:v>
                </c:pt>
                <c:pt idx="36">
                  <c:v>1.0000000000000002</c:v>
                </c:pt>
                <c:pt idx="37">
                  <c:v>1.0000000000000002</c:v>
                </c:pt>
                <c:pt idx="38">
                  <c:v>1.0000000000000002</c:v>
                </c:pt>
                <c:pt idx="39">
                  <c:v>1.0000000000000002</c:v>
                </c:pt>
                <c:pt idx="40">
                  <c:v>1.0000000000000002</c:v>
                </c:pt>
                <c:pt idx="41">
                  <c:v>1.0000000000000002</c:v>
                </c:pt>
                <c:pt idx="42">
                  <c:v>1.0000000000000002</c:v>
                </c:pt>
                <c:pt idx="43">
                  <c:v>1.0000000000000002</c:v>
                </c:pt>
                <c:pt idx="44">
                  <c:v>1.0000000000000002</c:v>
                </c:pt>
                <c:pt idx="45">
                  <c:v>1.0000000000000002</c:v>
                </c:pt>
                <c:pt idx="46">
                  <c:v>1.0000000000000002</c:v>
                </c:pt>
                <c:pt idx="47">
                  <c:v>1.0000000000000002</c:v>
                </c:pt>
                <c:pt idx="48">
                  <c:v>1.0000000000000002</c:v>
                </c:pt>
                <c:pt idx="49">
                  <c:v>1.0000000000000002</c:v>
                </c:pt>
                <c:pt idx="50">
                  <c:v>1.0000000000000002</c:v>
                </c:pt>
                <c:pt idx="51">
                  <c:v>1.0000000000000002</c:v>
                </c:pt>
                <c:pt idx="52">
                  <c:v>1.0000000000000002</c:v>
                </c:pt>
                <c:pt idx="53">
                  <c:v>1.0000000000000002</c:v>
                </c:pt>
                <c:pt idx="54">
                  <c:v>1.0000000000000002</c:v>
                </c:pt>
                <c:pt idx="55">
                  <c:v>1.0000000000000002</c:v>
                </c:pt>
                <c:pt idx="56">
                  <c:v>1.0000000000000002</c:v>
                </c:pt>
                <c:pt idx="57">
                  <c:v>1.0000000000000002</c:v>
                </c:pt>
                <c:pt idx="58">
                  <c:v>1.0000000000000002</c:v>
                </c:pt>
                <c:pt idx="59">
                  <c:v>1.0000000000000002</c:v>
                </c:pt>
                <c:pt idx="60">
                  <c:v>1.0000000000000002</c:v>
                </c:pt>
                <c:pt idx="61">
                  <c:v>1.0000000000000002</c:v>
                </c:pt>
                <c:pt idx="62">
                  <c:v>1.0000000000000002</c:v>
                </c:pt>
                <c:pt idx="63">
                  <c:v>1.0000000000000002</c:v>
                </c:pt>
                <c:pt idx="64">
                  <c:v>1.0000000000000002</c:v>
                </c:pt>
                <c:pt idx="65">
                  <c:v>1.0000000000000002</c:v>
                </c:pt>
                <c:pt idx="66">
                  <c:v>1.0000000000000002</c:v>
                </c:pt>
                <c:pt idx="67">
                  <c:v>1.0000000000000002</c:v>
                </c:pt>
                <c:pt idx="68">
                  <c:v>1.0000000000000002</c:v>
                </c:pt>
                <c:pt idx="69">
                  <c:v>1.0000000000000002</c:v>
                </c:pt>
                <c:pt idx="70">
                  <c:v>1.0000000000000002</c:v>
                </c:pt>
                <c:pt idx="71">
                  <c:v>1.0000000000000002</c:v>
                </c:pt>
                <c:pt idx="72">
                  <c:v>1.0000000000000002</c:v>
                </c:pt>
                <c:pt idx="73">
                  <c:v>1.0000000000000002</c:v>
                </c:pt>
                <c:pt idx="74">
                  <c:v>1.0000000000000002</c:v>
                </c:pt>
                <c:pt idx="75">
                  <c:v>1.0000000000000002</c:v>
                </c:pt>
                <c:pt idx="76">
                  <c:v>1.0000000000000002</c:v>
                </c:pt>
                <c:pt idx="77">
                  <c:v>1.0000000000000002</c:v>
                </c:pt>
                <c:pt idx="78">
                  <c:v>1.0000000000000002</c:v>
                </c:pt>
                <c:pt idx="79">
                  <c:v>1.0000000000000002</c:v>
                </c:pt>
                <c:pt idx="80">
                  <c:v>1.0000000000000002</c:v>
                </c:pt>
                <c:pt idx="81">
                  <c:v>1.0000000000000002</c:v>
                </c:pt>
                <c:pt idx="82">
                  <c:v>1.0000000000000002</c:v>
                </c:pt>
                <c:pt idx="83">
                  <c:v>1.0000000000000002</c:v>
                </c:pt>
                <c:pt idx="84">
                  <c:v>1.0000000000000002</c:v>
                </c:pt>
                <c:pt idx="85">
                  <c:v>1.0000000000000002</c:v>
                </c:pt>
                <c:pt idx="86">
                  <c:v>1.0000000000000002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 39'!$H$98:$CP$98</c15:f>
                <c15:dlblRangeCache>
                  <c:ptCount val="87"/>
                  <c:pt idx="0">
                    <c:v>0,0%</c:v>
                  </c:pt>
                  <c:pt idx="4">
                    <c:v>12,9%</c:v>
                  </c:pt>
                  <c:pt idx="8">
                    <c:v>27,0%</c:v>
                  </c:pt>
                  <c:pt idx="12">
                    <c:v>43,7%</c:v>
                  </c:pt>
                  <c:pt idx="16">
                    <c:v>55,2%</c:v>
                  </c:pt>
                  <c:pt idx="20">
                    <c:v>70,8%</c:v>
                  </c:pt>
                  <c:pt idx="24">
                    <c:v>84,8%</c:v>
                  </c:pt>
                  <c:pt idx="28">
                    <c:v>96,0%</c:v>
                  </c:pt>
                  <c:pt idx="32">
                    <c:v>100,0%</c:v>
                  </c:pt>
                  <c:pt idx="36">
                    <c:v>100,0%</c:v>
                  </c:pt>
                  <c:pt idx="40">
                    <c:v>100,0%</c:v>
                  </c:pt>
                  <c:pt idx="44">
                    <c:v>100,0%</c:v>
                  </c:pt>
                  <c:pt idx="48">
                    <c:v>100,0%</c:v>
                  </c:pt>
                  <c:pt idx="52">
                    <c:v>100,0%</c:v>
                  </c:pt>
                  <c:pt idx="56">
                    <c:v>100,0%</c:v>
                  </c:pt>
                  <c:pt idx="60">
                    <c:v>100,0%</c:v>
                  </c:pt>
                  <c:pt idx="64">
                    <c:v>100,0%</c:v>
                  </c:pt>
                  <c:pt idx="68">
                    <c:v>100,0%</c:v>
                  </c:pt>
                  <c:pt idx="72">
                    <c:v>100,0%</c:v>
                  </c:pt>
                  <c:pt idx="76">
                    <c:v>100,0%</c:v>
                  </c:pt>
                  <c:pt idx="80">
                    <c:v>100,0%</c:v>
                  </c:pt>
                  <c:pt idx="84">
                    <c:v>100,0%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7DB5-4A9D-9364-58FCD2890032}"/>
            </c:ext>
          </c:extLst>
        </c:ser>
        <c:ser>
          <c:idx val="1"/>
          <c:order val="1"/>
          <c:tx>
            <c:strRef>
              <c:f>'Dashboard Turbina'!$Y$4</c:f>
              <c:strCache>
                <c:ptCount val="1"/>
                <c:pt idx="0">
                  <c:v>Real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11-4DDF-AD7A-CB718A39B5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5600416-F826-4CEE-AEB9-5FA4BBCA51B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0476-44E6-BB13-C194B96FD0E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3583BD-B00F-4F91-A74C-6B89B770302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0476-44E6-BB13-C194B96FD0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AABEE8E-8B3A-4B6E-AE1D-21CCCC6FE1F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0476-44E6-BB13-C194B96FD0E3}"/>
                </c:ext>
              </c:extLst>
            </c:dLbl>
            <c:dLbl>
              <c:idx val="4"/>
              <c:layout>
                <c:manualLayout>
                  <c:x val="-8.0049248146366159E-2"/>
                  <c:y val="-1.9414572669968468E-2"/>
                </c:manualLayout>
              </c:layout>
              <c:tx>
                <c:rich>
                  <a:bodyPr/>
                  <a:lstStyle/>
                  <a:p>
                    <a:fld id="{DE4BAF6B-7C78-4F0D-B36E-037DC650AEC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7DB5-4A9D-9364-58FCD289003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CCCC12F-B94B-4933-9246-CFE4A8AFAA2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0476-44E6-BB13-C194B96FD0E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432129F-FD86-4AF4-8821-67D250B9079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0476-44E6-BB13-C194B96FD0E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FCC14FC-93E7-4F7C-B0D4-2B0D1C13561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0476-44E6-BB13-C194B96FD0E3}"/>
                </c:ext>
              </c:extLst>
            </c:dLbl>
            <c:dLbl>
              <c:idx val="8"/>
              <c:layout>
                <c:manualLayout>
                  <c:x val="-9.872740604718494E-2"/>
                  <c:y val="1.5531658135974775E-2"/>
                </c:manualLayout>
              </c:layout>
              <c:tx>
                <c:rich>
                  <a:bodyPr/>
                  <a:lstStyle/>
                  <a:p>
                    <a:fld id="{EB05346D-907D-4288-8F3C-4B22C90FD00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476-44E6-BB13-C194B96FD0E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41A8C88-E278-46DE-B315-EC81FE5016C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7DB5-4A9D-9364-58FCD289003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B3A24B8-CDFE-483A-A98D-2E6CC9E790E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0476-44E6-BB13-C194B96FD0E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2243ACF-32AA-4DD8-B466-AB35DC7F9DC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0476-44E6-BB13-C194B96FD0E3}"/>
                </c:ext>
              </c:extLst>
            </c:dLbl>
            <c:dLbl>
              <c:idx val="12"/>
              <c:layout>
                <c:manualLayout>
                  <c:x val="-4.8029548887819698E-2"/>
                  <c:y val="4.2712059873930633E-2"/>
                </c:manualLayout>
              </c:layout>
              <c:tx>
                <c:rich>
                  <a:bodyPr/>
                  <a:lstStyle/>
                  <a:p>
                    <a:fld id="{958677B8-2AB2-4D83-9E17-0EF8329E3C2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476-44E6-BB13-C194B96FD0E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4163DA0-3C22-4ADD-AFA9-CF46DE7EADF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7DB5-4A9D-9364-58FCD289003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119E9AD-608F-4C37-98C0-BAB4D77511A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0476-44E6-BB13-C194B96FD0E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A2D4730-994A-4240-9A16-3C2172B8973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0476-44E6-BB13-C194B96FD0E3}"/>
                </c:ext>
              </c:extLst>
            </c:dLbl>
            <c:dLbl>
              <c:idx val="16"/>
              <c:layout>
                <c:manualLayout>
                  <c:x val="-8.805417296100275E-2"/>
                  <c:y val="-1.5531658135974775E-2"/>
                </c:manualLayout>
              </c:layout>
              <c:tx>
                <c:rich>
                  <a:bodyPr/>
                  <a:lstStyle/>
                  <a:p>
                    <a:fld id="{C476A7C3-5524-43A1-8C7A-C247BFC43D0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476-44E6-BB13-C194B96FD0E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AFAB45F-00F1-4DAE-82FD-E289C5E7488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DD5-4C33-989B-2481A464EF5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E600738-5E3B-4812-9081-6E26EAFD220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0476-44E6-BB13-C194B96FD0E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FA3B416-BC77-4DC4-9E48-BD05FF20811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0476-44E6-BB13-C194B96FD0E3}"/>
                </c:ext>
              </c:extLst>
            </c:dLbl>
            <c:dLbl>
              <c:idx val="20"/>
              <c:layout>
                <c:manualLayout>
                  <c:x val="-4.0024624073183079E-2"/>
                  <c:y val="4.6594974407924289E-2"/>
                </c:manualLayout>
              </c:layout>
              <c:tx>
                <c:rich>
                  <a:bodyPr/>
                  <a:lstStyle/>
                  <a:p>
                    <a:fld id="{428251A6-FC46-45EC-919E-C6F2B387638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476-44E6-BB13-C194B96FD0E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DE5670B-5993-46C8-A621-B6B8289198E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5B6-49C3-8411-ACC2E7CA315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DA9863C-9CDC-4467-9E75-133B1876AFF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0476-44E6-BB13-C194B96FD0E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BEFCD4D-39D1-4909-8556-C7E88654832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0476-44E6-BB13-C194B96FD0E3}"/>
                </c:ext>
              </c:extLst>
            </c:dLbl>
            <c:dLbl>
              <c:idx val="24"/>
              <c:layout>
                <c:manualLayout>
                  <c:x val="-5.3366165430910772E-2"/>
                  <c:y val="-3.106331627194955E-2"/>
                </c:manualLayout>
              </c:layout>
              <c:tx>
                <c:rich>
                  <a:bodyPr/>
                  <a:lstStyle/>
                  <a:p>
                    <a:fld id="{78960186-1878-4B4C-857F-31D9FF69D85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476-44E6-BB13-C194B96FD0E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22B9F29-E536-4F6F-B60F-586877B5CA5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0476-44E6-BB13-C194B96FD0E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4E807632-2E21-46AA-BB94-1CE18B8029B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156-4E1D-91CF-16E6F7B9C6A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BE814C6-EA79-4E08-9F49-8E42CB51B0C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0476-44E6-BB13-C194B96FD0E3}"/>
                </c:ext>
              </c:extLst>
            </c:dLbl>
            <c:dLbl>
              <c:idx val="28"/>
              <c:layout>
                <c:manualLayout>
                  <c:x val="-4.8029548887819747E-2"/>
                  <c:y val="4.6594974407924324E-2"/>
                </c:manualLayout>
              </c:layout>
              <c:tx>
                <c:rich>
                  <a:bodyPr/>
                  <a:lstStyle/>
                  <a:p>
                    <a:fld id="{4CD1257B-E5F4-4E04-95FF-FCC03E3C034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476-44E6-BB13-C194B96FD0E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F57866B-CBBA-460C-A553-48EA63F88DB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0476-44E6-BB13-C194B96FD0E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DFDFFC5-F479-4807-8F54-1DD4C212AF1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C0D-4811-9A52-D01285369B3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E8B5A53-E2E1-4EEF-BA2D-C136F23C63B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476-44E6-BB13-C194B96FD0E3}"/>
                </c:ext>
              </c:extLst>
            </c:dLbl>
            <c:dLbl>
              <c:idx val="32"/>
              <c:layout>
                <c:manualLayout>
                  <c:x val="-5.8702781974001902E-2"/>
                  <c:y val="-2.7180401737955873E-2"/>
                </c:manualLayout>
              </c:layout>
              <c:tx>
                <c:rich>
                  <a:bodyPr/>
                  <a:lstStyle/>
                  <a:p>
                    <a:fld id="{1156AF76-C6DD-4C56-828C-2A24D736F0E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476-44E6-BB13-C194B96FD0E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F82B316D-30CE-49F7-9D6B-1EFCC7380B0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C11-4DDF-AD7A-CB718A39B5D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2F4C0DF-CAB2-47A6-87B6-5C1A6F6CA9B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0476-44E6-BB13-C194B96FD0E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55D02E6A-5466-4162-A57C-F9B165D3F49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0476-44E6-BB13-C194B96FD0E3}"/>
                </c:ext>
              </c:extLst>
            </c:dLbl>
            <c:dLbl>
              <c:idx val="36"/>
              <c:layout>
                <c:manualLayout>
                  <c:x val="-5.3366165430910821E-2"/>
                  <c:y val="3.8829145339936935E-2"/>
                </c:manualLayout>
              </c:layout>
              <c:tx>
                <c:rich>
                  <a:bodyPr/>
                  <a:lstStyle/>
                  <a:p>
                    <a:fld id="{4BD40D7B-9C4C-410E-9320-72B9E10EB72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476-44E6-BB13-C194B96FD0E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74D3FE74-305C-4823-BE15-9FE728F6546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0476-44E6-BB13-C194B96FD0E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91BDF5F5-CFA7-4D49-88CC-56FB7E85F14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0476-44E6-BB13-C194B96FD0E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EC6B1CE1-6B21-4E90-80ED-B65C3BCD37B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0476-44E6-BB13-C194B96FD0E3}"/>
                </c:ext>
              </c:extLst>
            </c:dLbl>
            <c:dLbl>
              <c:idx val="40"/>
              <c:layout>
                <c:manualLayout>
                  <c:x val="-5.8702781974001951E-2"/>
                  <c:y val="-2.7180401737955873E-2"/>
                </c:manualLayout>
              </c:layout>
              <c:tx>
                <c:rich>
                  <a:bodyPr/>
                  <a:lstStyle/>
                  <a:p>
                    <a:fld id="{E54BA614-D19E-40F8-9E53-66D00E4AFEB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476-44E6-BB13-C194B96FD0E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4CC7471B-3B5C-433B-8DB0-4F9480881B8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0476-44E6-BB13-C194B96FD0E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A9D7B502-BE45-4496-A3D0-8D4142C532C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0476-44E6-BB13-C194B96FD0E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8F48E489-21F8-48DF-912A-67128BF956B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B43-4A4C-9B27-95C7F5DF74CA}"/>
                </c:ext>
              </c:extLst>
            </c:dLbl>
            <c:dLbl>
              <c:idx val="44"/>
              <c:layout>
                <c:manualLayout>
                  <c:x val="-5.3366165430910877E-2"/>
                  <c:y val="3.8829145339936935E-2"/>
                </c:manualLayout>
              </c:layout>
              <c:tx>
                <c:rich>
                  <a:bodyPr/>
                  <a:lstStyle/>
                  <a:p>
                    <a:fld id="{581433D9-36A6-41BA-92E3-E7FB1BA9016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476-44E6-BB13-C194B96FD0E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DD02D27F-D647-48D1-B5E2-056C6B82A04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0476-44E6-BB13-C194B96FD0E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DCC10CA1-20F3-4B89-9916-AF9889C7671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0476-44E6-BB13-C194B96FD0E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07F628CF-B1EF-4C35-A9DB-D737AA24AC3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AFC-412F-9DA3-271976277328}"/>
                </c:ext>
              </c:extLst>
            </c:dLbl>
            <c:dLbl>
              <c:idx val="48"/>
              <c:layout>
                <c:manualLayout>
                  <c:x val="-5.6034473702456414E-2"/>
                  <c:y val="-2.3297487203962162E-2"/>
                </c:manualLayout>
              </c:layout>
              <c:tx>
                <c:rich>
                  <a:bodyPr/>
                  <a:lstStyle/>
                  <a:p>
                    <a:fld id="{FDE197A4-85F3-4915-A995-096DD010DA4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476-44E6-BB13-C194B96FD0E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4535A319-2297-44F4-8419-3EAB68C8B09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0476-44E6-BB13-C194B96FD0E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DA18F20D-5C25-4BB4-8A31-65889E0F006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0476-44E6-BB13-C194B96FD0E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87993060-5323-4EAE-AA15-1FFCC6918AF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0476-44E6-BB13-C194B96FD0E3}"/>
                </c:ext>
              </c:extLst>
            </c:dLbl>
            <c:dLbl>
              <c:idx val="52"/>
              <c:layout>
                <c:manualLayout>
                  <c:x val="-4.5361240616274258E-2"/>
                  <c:y val="4.6594974407924324E-2"/>
                </c:manualLayout>
              </c:layout>
              <c:tx>
                <c:rich>
                  <a:bodyPr/>
                  <a:lstStyle/>
                  <a:p>
                    <a:fld id="{D56697C3-2879-42D1-8F43-7418165BBF9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053-4B64-8813-FF8E0BC4837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531CB52A-919D-4959-B8DE-D7AABEC5E2A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0476-44E6-BB13-C194B96FD0E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41851FBE-F2DA-4FF9-B4D9-63054F7DFA2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0476-44E6-BB13-C194B96FD0E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DFB7F22E-9D63-40B5-9553-6271C8B8C10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0476-44E6-BB13-C194B96FD0E3}"/>
                </c:ext>
              </c:extLst>
            </c:dLbl>
            <c:dLbl>
              <c:idx val="56"/>
              <c:layout>
                <c:manualLayout>
                  <c:x val="-5.1921961927255733E-2"/>
                  <c:y val="-2.2222222222222223E-2"/>
                </c:manualLayout>
              </c:layout>
              <c:tx>
                <c:rich>
                  <a:bodyPr/>
                  <a:lstStyle/>
                  <a:p>
                    <a:fld id="{010DCCC7-525F-4982-A02E-23860F407F5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476-44E6-BB13-C194B96FD0E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BD5832C7-BA88-4B17-8C78-66415E2B8A3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38B-410D-AC41-C9B493D99C22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290D9226-ED9A-4052-9A29-B2B991CA9C9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38B-410D-AC41-C9B493D99C22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37E6302B-5B6D-40F5-A01F-B90FE63D9B9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38B-410D-AC41-C9B493D99C22}"/>
                </c:ext>
              </c:extLst>
            </c:dLbl>
            <c:dLbl>
              <c:idx val="60"/>
              <c:layout>
                <c:manualLayout>
                  <c:x val="-1.60427807486632E-2"/>
                  <c:y val="-3.8314176245210726E-3"/>
                </c:manualLayout>
              </c:layout>
              <c:tx>
                <c:rich>
                  <a:bodyPr/>
                  <a:lstStyle/>
                  <a:p>
                    <a:fld id="{8C6714EA-66FB-443E-99DE-C1A97D09D7E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38B-410D-AC41-C9B493D99C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39'!$H$7:$BP$7</c:f>
              <c:numCache>
                <c:formatCode>0.0%</c:formatCode>
                <c:ptCount val="61"/>
                <c:pt idx="0">
                  <c:v>0</c:v>
                </c:pt>
                <c:pt idx="1">
                  <c:v>8.08701945310773E-2</c:v>
                </c:pt>
                <c:pt idx="2">
                  <c:v>0.12581393398292939</c:v>
                </c:pt>
                <c:pt idx="3">
                  <c:v>0.15479973032542577</c:v>
                </c:pt>
                <c:pt idx="4">
                  <c:v>0.20587010599124519</c:v>
                </c:pt>
                <c:pt idx="5">
                  <c:v>0.23698768013147462</c:v>
                </c:pt>
                <c:pt idx="6">
                  <c:v>0.36531350655976202</c:v>
                </c:pt>
                <c:pt idx="7">
                  <c:v>0.41554218687127831</c:v>
                </c:pt>
                <c:pt idx="8">
                  <c:v>0.4546649697618762</c:v>
                </c:pt>
                <c:pt idx="9">
                  <c:v>0.48922625759205796</c:v>
                </c:pt>
                <c:pt idx="10">
                  <c:v>0.50858532668640044</c:v>
                </c:pt>
                <c:pt idx="11">
                  <c:v>0.52660320609302425</c:v>
                </c:pt>
                <c:pt idx="12">
                  <c:v>0.54887209851902818</c:v>
                </c:pt>
                <c:pt idx="13">
                  <c:v>0.55872245520306496</c:v>
                </c:pt>
                <c:pt idx="14">
                  <c:v>0.58768563409806485</c:v>
                </c:pt>
                <c:pt idx="15">
                  <c:v>0.60755366713570558</c:v>
                </c:pt>
                <c:pt idx="16">
                  <c:v>0.63501553315235137</c:v>
                </c:pt>
                <c:pt idx="17">
                  <c:v>0.65087445794147181</c:v>
                </c:pt>
                <c:pt idx="18">
                  <c:v>0.67047868711639536</c:v>
                </c:pt>
                <c:pt idx="19">
                  <c:v>0.687826026117353</c:v>
                </c:pt>
                <c:pt idx="20">
                  <c:v>0.69870687896218853</c:v>
                </c:pt>
                <c:pt idx="21">
                  <c:v>0.71052625444399253</c:v>
                </c:pt>
                <c:pt idx="22">
                  <c:v>0.71863911968354177</c:v>
                </c:pt>
                <c:pt idx="23">
                  <c:v>0.71901389866476906</c:v>
                </c:pt>
                <c:pt idx="24">
                  <c:v>0.73406880449813894</c:v>
                </c:pt>
                <c:pt idx="25">
                  <c:v>0.7383570038274081</c:v>
                </c:pt>
                <c:pt idx="26">
                  <c:v>0.73890027151526771</c:v>
                </c:pt>
                <c:pt idx="27">
                  <c:v>0.76211013718847997</c:v>
                </c:pt>
                <c:pt idx="28">
                  <c:v>0.77140500744683993</c:v>
                </c:pt>
                <c:pt idx="29">
                  <c:v>0.77435697073394283</c:v>
                </c:pt>
                <c:pt idx="30">
                  <c:v>0.78086495454124094</c:v>
                </c:pt>
                <c:pt idx="31">
                  <c:v>0.78279403527107005</c:v>
                </c:pt>
                <c:pt idx="32">
                  <c:v>0.78730751901138585</c:v>
                </c:pt>
                <c:pt idx="33">
                  <c:v>0.78952941110764097</c:v>
                </c:pt>
                <c:pt idx="34">
                  <c:v>0.79046635856070913</c:v>
                </c:pt>
                <c:pt idx="35">
                  <c:v>0.79056005330601598</c:v>
                </c:pt>
                <c:pt idx="36">
                  <c:v>0.79060690067866934</c:v>
                </c:pt>
                <c:pt idx="37">
                  <c:v>0.79060690067866934</c:v>
                </c:pt>
                <c:pt idx="38">
                  <c:v>0.79265274267610286</c:v>
                </c:pt>
                <c:pt idx="39">
                  <c:v>0.79374584803801573</c:v>
                </c:pt>
                <c:pt idx="40">
                  <c:v>0.79374584803801573</c:v>
                </c:pt>
                <c:pt idx="41">
                  <c:v>0.79513565342673354</c:v>
                </c:pt>
                <c:pt idx="42">
                  <c:v>0.79513565342673354</c:v>
                </c:pt>
                <c:pt idx="43">
                  <c:v>0.79810558156420897</c:v>
                </c:pt>
                <c:pt idx="44">
                  <c:v>0.8015354823715779</c:v>
                </c:pt>
                <c:pt idx="45">
                  <c:v>0.80605848854085971</c:v>
                </c:pt>
                <c:pt idx="46">
                  <c:v>0.81116581870873272</c:v>
                </c:pt>
                <c:pt idx="47">
                  <c:v>0.81298909233817052</c:v>
                </c:pt>
                <c:pt idx="48">
                  <c:v>0.81298909233817052</c:v>
                </c:pt>
                <c:pt idx="49">
                  <c:v>0.8185006722273136</c:v>
                </c:pt>
                <c:pt idx="50">
                  <c:v>0.82120698294446659</c:v>
                </c:pt>
                <c:pt idx="51">
                  <c:v>0.8224900317958026</c:v>
                </c:pt>
                <c:pt idx="52">
                  <c:v>0.82314984230856347</c:v>
                </c:pt>
                <c:pt idx="53">
                  <c:v>0.82330600021740818</c:v>
                </c:pt>
                <c:pt idx="54">
                  <c:v>0.82418176150634326</c:v>
                </c:pt>
                <c:pt idx="55">
                  <c:v>0.82449407732403257</c:v>
                </c:pt>
                <c:pt idx="56">
                  <c:v>0.83433569782519501</c:v>
                </c:pt>
                <c:pt idx="57">
                  <c:v>0.83464801364288443</c:v>
                </c:pt>
                <c:pt idx="58">
                  <c:v>0.83496032946057386</c:v>
                </c:pt>
                <c:pt idx="59">
                  <c:v>0.83652405558839538</c:v>
                </c:pt>
                <c:pt idx="60">
                  <c:v>0.83791403436868117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39'!$H$108:$BP$108</c15:f>
                <c15:dlblRangeCache>
                  <c:ptCount val="61"/>
                  <c:pt idx="0">
                    <c:v>0,0%</c:v>
                  </c:pt>
                  <c:pt idx="4">
                    <c:v>20,6%</c:v>
                  </c:pt>
                  <c:pt idx="8">
                    <c:v>45,5%</c:v>
                  </c:pt>
                  <c:pt idx="12">
                    <c:v>54,9%</c:v>
                  </c:pt>
                  <c:pt idx="16">
                    <c:v>63,5%</c:v>
                  </c:pt>
                  <c:pt idx="20">
                    <c:v>69,9%</c:v>
                  </c:pt>
                  <c:pt idx="24">
                    <c:v>73,4%</c:v>
                  </c:pt>
                  <c:pt idx="28">
                    <c:v>77,1%</c:v>
                  </c:pt>
                  <c:pt idx="32">
                    <c:v>78,7%</c:v>
                  </c:pt>
                  <c:pt idx="36">
                    <c:v>79,1%</c:v>
                  </c:pt>
                  <c:pt idx="40">
                    <c:v>79,4%</c:v>
                  </c:pt>
                  <c:pt idx="44">
                    <c:v>80,2%</c:v>
                  </c:pt>
                  <c:pt idx="48">
                    <c:v>81,3%</c:v>
                  </c:pt>
                  <c:pt idx="52">
                    <c:v>82,3%</c:v>
                  </c:pt>
                  <c:pt idx="56">
                    <c:v>83,4%</c:v>
                  </c:pt>
                  <c:pt idx="60">
                    <c:v>83,8%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7DB5-4A9D-9364-58FCD2890032}"/>
            </c:ext>
          </c:extLst>
        </c:ser>
        <c:ser>
          <c:idx val="2"/>
          <c:order val="2"/>
          <c:tx>
            <c:strRef>
              <c:f>'Avance 39'!$B$96</c:f>
              <c:strCache>
                <c:ptCount val="1"/>
                <c:pt idx="0">
                  <c:v>Desviación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476-44E6-BB13-C194B96FD0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1DE67E-9B39-483C-ACF6-53B2E5465E3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0476-44E6-BB13-C194B96FD0E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F5CAA0-0781-4740-8830-55E30E15B75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0476-44E6-BB13-C194B96FD0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67BE774-4BDF-413D-BBF4-F009A278FFC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0476-44E6-BB13-C194B96FD0E3}"/>
                </c:ext>
              </c:extLst>
            </c:dLbl>
            <c:dLbl>
              <c:idx val="4"/>
              <c:layout>
                <c:manualLayout>
                  <c:x val="-5.0697857159365235E-2"/>
                  <c:y val="4.6594974407924324E-2"/>
                </c:manualLayout>
              </c:layout>
              <c:tx>
                <c:rich>
                  <a:bodyPr/>
                  <a:lstStyle/>
                  <a:p>
                    <a:fld id="{284D7C8A-D8BD-463E-8A24-00181BCF0B6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206-4A35-A023-AE54FB27A4A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AAF9076-5396-43E6-A733-890DC4D3264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0476-44E6-BB13-C194B96FD0E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D22C6CB-178A-4539-87E1-4D67AED3B65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0476-44E6-BB13-C194B96FD0E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3F3BFDE-4E4B-448D-838E-93FDA16524F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0476-44E6-BB13-C194B96FD0E3}"/>
                </c:ext>
              </c:extLst>
            </c:dLbl>
            <c:dLbl>
              <c:idx val="8"/>
              <c:layout>
                <c:manualLayout>
                  <c:x val="-5.0697857159365263E-2"/>
                  <c:y val="3.8829145339936866E-2"/>
                </c:manualLayout>
              </c:layout>
              <c:tx>
                <c:rich>
                  <a:bodyPr/>
                  <a:lstStyle/>
                  <a:p>
                    <a:fld id="{14F82593-BDD3-4E33-8C16-2EA998268E3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476-44E6-BB13-C194B96FD0E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E8CDD3E-1F3E-4228-B65F-AA7D7D9FEB5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206-4A35-A023-AE54FB27A4A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F221F3F-C502-409F-A8BA-A0966B6CE67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0476-44E6-BB13-C194B96FD0E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E5CE4F8-5A75-4993-9E57-086D5AC3BEB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0476-44E6-BB13-C194B96FD0E3}"/>
                </c:ext>
              </c:extLst>
            </c:dLbl>
            <c:dLbl>
              <c:idx val="12"/>
              <c:layout>
                <c:manualLayout>
                  <c:x val="-2.1346466172364336E-2"/>
                  <c:y val="-1.9414572669968468E-2"/>
                </c:manualLayout>
              </c:layout>
              <c:tx>
                <c:rich>
                  <a:bodyPr/>
                  <a:lstStyle/>
                  <a:p>
                    <a:fld id="{3F25C894-886D-4D0A-8865-51562DDF013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476-44E6-BB13-C194B96FD0E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247739D-40AC-43D6-9DEA-45ED4659964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206-4A35-A023-AE54FB27A4A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0D7D373-75C3-407D-B4F8-F63297B8E8B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0476-44E6-BB13-C194B96FD0E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28D4CEB-5300-4F09-9D1B-5075B16257F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0476-44E6-BB13-C194B96FD0E3}"/>
                </c:ext>
              </c:extLst>
            </c:dLbl>
            <c:dLbl>
              <c:idx val="16"/>
              <c:layout>
                <c:manualLayout>
                  <c:x val="-5.6034473702456337E-2"/>
                  <c:y val="3.4946230805943314E-2"/>
                </c:manualLayout>
              </c:layout>
              <c:tx>
                <c:rich>
                  <a:bodyPr/>
                  <a:lstStyle/>
                  <a:p>
                    <a:fld id="{56A226A2-CF27-487C-9E8B-AEA5D4F92FB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476-44E6-BB13-C194B96FD0E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5CE1B05-95E6-4FAC-BCF4-5DA17E10DC0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206-4A35-A023-AE54FB27A4A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3750183-A61C-43A7-8357-E7647C4B783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0476-44E6-BB13-C194B96FD0E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593F5A3-1A85-4D92-8F7B-09409B080A7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0476-44E6-BB13-C194B96FD0E3}"/>
                </c:ext>
              </c:extLst>
            </c:dLbl>
            <c:dLbl>
              <c:idx val="20"/>
              <c:layout>
                <c:manualLayout>
                  <c:x val="-6.6707706788638466E-2"/>
                  <c:y val="3.4946230805943244E-2"/>
                </c:manualLayout>
              </c:layout>
              <c:tx>
                <c:rich>
                  <a:bodyPr/>
                  <a:lstStyle/>
                  <a:p>
                    <a:fld id="{A3421115-DD49-44E6-BB61-805C220BDB8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476-44E6-BB13-C194B96FD0E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E44EE24-DCD7-4738-A4AE-58CF611873E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5B6-49C3-8411-ACC2E7CA315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6C34224-FC3A-4C23-B499-027BA2FF335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0476-44E6-BB13-C194B96FD0E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E641F60-9F73-40CD-8C38-78688FF189B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0476-44E6-BB13-C194B96FD0E3}"/>
                </c:ext>
              </c:extLst>
            </c:dLbl>
            <c:dLbl>
              <c:idx val="24"/>
              <c:layout>
                <c:manualLayout>
                  <c:x val="-7.204432333172954E-2"/>
                  <c:y val="3.4946230805943175E-2"/>
                </c:manualLayout>
              </c:layout>
              <c:tx>
                <c:rich>
                  <a:bodyPr/>
                  <a:lstStyle/>
                  <a:p>
                    <a:fld id="{84E36F4E-FB7C-41A5-870D-AB48D6D2BA4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476-44E6-BB13-C194B96FD0E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F50603F-AF24-4FD9-9C8D-76AD0B1DDE3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0476-44E6-BB13-C194B96FD0E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068996B-53F4-40D6-9FDB-1E2D55633C4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156-4E1D-91CF-16E6F7B9C6A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0A47C90-8341-41A4-AAEC-A9814E18B78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0476-44E6-BB13-C194B96FD0E3}"/>
                </c:ext>
              </c:extLst>
            </c:dLbl>
            <c:dLbl>
              <c:idx val="28"/>
              <c:layout>
                <c:manualLayout>
                  <c:x val="-3.4688007530092053E-2"/>
                  <c:y val="-2.7180401737955856E-2"/>
                </c:manualLayout>
              </c:layout>
              <c:tx>
                <c:rich>
                  <a:bodyPr/>
                  <a:lstStyle/>
                  <a:p>
                    <a:fld id="{8C4B1747-6BDC-4F29-B250-DAAF6D430B1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476-44E6-BB13-C194B96FD0E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485C89B-58C3-4C2F-A7A5-81CA1BDB141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C-0476-44E6-BB13-C194B96FD0E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FC5FB31-2ECF-4680-972B-F4E09984B71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C0D-4811-9A52-D01285369B3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7635B907-45E6-4E8A-BF67-C94137A5D1A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0476-44E6-BB13-C194B96FD0E3}"/>
                </c:ext>
              </c:extLst>
            </c:dLbl>
            <c:dLbl>
              <c:idx val="32"/>
              <c:layout>
                <c:manualLayout>
                  <c:x val="-2.6683082715455386E-2"/>
                  <c:y val="2.7180401737955856E-2"/>
                </c:manualLayout>
              </c:layout>
              <c:tx>
                <c:rich>
                  <a:bodyPr/>
                  <a:lstStyle/>
                  <a:p>
                    <a:fld id="{75E22BA7-591D-4916-B378-197BBD93431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476-44E6-BB13-C194B96FD0E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CD12307-EDFC-4361-9C6E-75EBF0528A1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C11-4DDF-AD7A-CB718A39B5D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AC7C5A71-355D-4E15-8CFB-C850C1350DD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0476-44E6-BB13-C194B96FD0E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D9C2CDC7-2DAC-4A50-A63F-137A83EDCCE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0476-44E6-BB13-C194B96FD0E3}"/>
                </c:ext>
              </c:extLst>
            </c:dLbl>
            <c:dLbl>
              <c:idx val="36"/>
              <c:layout>
                <c:manualLayout>
                  <c:x val="-4.0024624073183128E-2"/>
                  <c:y val="-2.7180401737955929E-2"/>
                </c:manualLayout>
              </c:layout>
              <c:tx>
                <c:rich>
                  <a:bodyPr/>
                  <a:lstStyle/>
                  <a:p>
                    <a:fld id="{FF384E90-9297-4A8E-A404-C0BE1A11639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476-44E6-BB13-C194B96FD0E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94268B27-5CB8-4882-BB5C-923EF9CF24B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0476-44E6-BB13-C194B96FD0E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BA99DFFF-5364-4699-A1B4-81247BF6344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0476-44E6-BB13-C194B96FD0E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36B1CA29-9316-4727-A200-7B8ED3D960F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0476-44E6-BB13-C194B96FD0E3}"/>
                </c:ext>
              </c:extLst>
            </c:dLbl>
            <c:dLbl>
              <c:idx val="40"/>
              <c:layout>
                <c:manualLayout>
                  <c:x val="-2.9351390987001024E-2"/>
                  <c:y val="3.4946230805943244E-2"/>
                </c:manualLayout>
              </c:layout>
              <c:tx>
                <c:rich>
                  <a:bodyPr/>
                  <a:lstStyle/>
                  <a:p>
                    <a:fld id="{FB751F9E-644C-4F80-B5C7-F5EA5ED84DD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476-44E6-BB13-C194B96FD0E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930CBABA-729D-475F-8D5B-96FC205A575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0476-44E6-BB13-C194B96FD0E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8044EBF8-CBCE-44FB-86E5-B02FF3A4FB2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0476-44E6-BB13-C194B96FD0E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04C94D13-5C94-4F5D-93B2-84DC244D0AF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B43-4A4C-9B27-95C7F5DF74CA}"/>
                </c:ext>
              </c:extLst>
            </c:dLbl>
            <c:dLbl>
              <c:idx val="44"/>
              <c:layout>
                <c:manualLayout>
                  <c:x val="-4.8029548887819698E-2"/>
                  <c:y val="-2.3297487203962092E-2"/>
                </c:manualLayout>
              </c:layout>
              <c:tx>
                <c:rich>
                  <a:bodyPr/>
                  <a:lstStyle/>
                  <a:p>
                    <a:fld id="{82CA4C92-25FF-4B32-AF8E-8A38EBD85D6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0476-44E6-BB13-C194B96FD0E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E22A21D8-31C2-48B9-8A27-94DC8FF7689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0476-44E6-BB13-C194B96FD0E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9ACA2127-5708-4769-91EF-83C0F3241BE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0476-44E6-BB13-C194B96FD0E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78316679-9BB8-49EB-A5ED-55219399955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AFC-412F-9DA3-271976277328}"/>
                </c:ext>
              </c:extLst>
            </c:dLbl>
            <c:dLbl>
              <c:idx val="48"/>
              <c:layout>
                <c:manualLayout>
                  <c:x val="-4.0024624073183079E-2"/>
                  <c:y val="3.4946230805943244E-2"/>
                </c:manualLayout>
              </c:layout>
              <c:tx>
                <c:rich>
                  <a:bodyPr/>
                  <a:lstStyle/>
                  <a:p>
                    <a:fld id="{BCD4F5A7-C0A8-4635-B01C-614CFE5427F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0476-44E6-BB13-C194B96FD0E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64AFC250-33DD-4908-A08D-EC76A86F01F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0476-44E6-BB13-C194B96FD0E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6D946233-B971-44BB-8092-F98F5716D82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0476-44E6-BB13-C194B96FD0E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5E515AF-7B1C-48FF-8F44-1D30D2C44C3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0476-44E6-BB13-C194B96FD0E3}"/>
                </c:ext>
              </c:extLst>
            </c:dLbl>
            <c:dLbl>
              <c:idx val="52"/>
              <c:layout>
                <c:manualLayout>
                  <c:x val="-5.3366165430910772E-2"/>
                  <c:y val="-2.3297487203962235E-2"/>
                </c:manualLayout>
              </c:layout>
              <c:tx>
                <c:rich>
                  <a:bodyPr/>
                  <a:lstStyle/>
                  <a:p>
                    <a:fld id="{D3260249-D5B4-4F81-8063-41A7E8EDA33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053-4B64-8813-FF8E0BC4837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DBEBA1B9-A9AF-4759-85AC-3D64595316E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0476-44E6-BB13-C194B96FD0E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6C592A6A-3DA0-4A66-A4F0-2139CB11DE8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0476-44E6-BB13-C194B96FD0E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3B161EF0-0A6E-4B90-9727-982348182C7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0476-44E6-BB13-C194B96FD0E3}"/>
                </c:ext>
              </c:extLst>
            </c:dLbl>
            <c:dLbl>
              <c:idx val="56"/>
              <c:layout>
                <c:manualLayout>
                  <c:x val="-5.4386372014746914E-2"/>
                  <c:y val="4.1099154272382622E-2"/>
                </c:manualLayout>
              </c:layout>
              <c:tx>
                <c:rich>
                  <a:bodyPr/>
                  <a:lstStyle/>
                  <a:p>
                    <a:fld id="{D3EBBC7A-6CD4-4F87-8B73-8BA7955E2C5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0476-44E6-BB13-C194B96FD0E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C3A1984E-A7CF-4C03-8F83-069FF1B0712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38B-410D-AC41-C9B493D99C22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E7797098-B439-437F-8E3C-0E722BBD27C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38B-410D-AC41-C9B493D99C22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597CF459-F792-42B5-A4D3-1984CAE8558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38B-410D-AC41-C9B493D99C22}"/>
                </c:ext>
              </c:extLst>
            </c:dLbl>
            <c:dLbl>
              <c:idx val="60"/>
              <c:layout>
                <c:manualLayout>
                  <c:x val="-1.336898395721935E-2"/>
                  <c:y val="-1.4048369001953096E-16"/>
                </c:manualLayout>
              </c:layout>
              <c:tx>
                <c:rich>
                  <a:bodyPr/>
                  <a:lstStyle/>
                  <a:p>
                    <a:fld id="{865143E1-6A77-411D-AE93-47FF4535B2D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38B-410D-AC41-C9B493D99C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548235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39'!$H$97:$BP$97</c:f>
              <c:numCache>
                <c:formatCode>0.0%</c:formatCode>
                <c:ptCount val="61"/>
                <c:pt idx="0">
                  <c:v>0</c:v>
                </c:pt>
                <c:pt idx="1">
                  <c:v>5.5587876296452905E-2</c:v>
                </c:pt>
                <c:pt idx="2">
                  <c:v>7.0230305938819584E-2</c:v>
                </c:pt>
                <c:pt idx="3">
                  <c:v>6.3663782470703978E-2</c:v>
                </c:pt>
                <c:pt idx="4">
                  <c:v>7.7058472040542586E-2</c:v>
                </c:pt>
                <c:pt idx="5">
                  <c:v>6.8844390126183819E-2</c:v>
                </c:pt>
                <c:pt idx="6">
                  <c:v>0.15871401203756119</c:v>
                </c:pt>
                <c:pt idx="7">
                  <c:v>0.17423244050376069</c:v>
                </c:pt>
                <c:pt idx="8">
                  <c:v>0.18451993750137163</c:v>
                </c:pt>
                <c:pt idx="9">
                  <c:v>0.18011282285099933</c:v>
                </c:pt>
                <c:pt idx="10">
                  <c:v>0.14765191165661606</c:v>
                </c:pt>
                <c:pt idx="11">
                  <c:v>0.1192796046315393</c:v>
                </c:pt>
                <c:pt idx="12">
                  <c:v>0.11199326957011219</c:v>
                </c:pt>
                <c:pt idx="13">
                  <c:v>9.415894976052569E-2</c:v>
                </c:pt>
                <c:pt idx="14">
                  <c:v>9.2552259466212927E-2</c:v>
                </c:pt>
                <c:pt idx="15">
                  <c:v>8.4775277821941053E-2</c:v>
                </c:pt>
                <c:pt idx="16">
                  <c:v>8.3173214283625341E-2</c:v>
                </c:pt>
                <c:pt idx="17">
                  <c:v>6.8443520768428523E-2</c:v>
                </c:pt>
                <c:pt idx="18">
                  <c:v>4.6469076949618104E-2</c:v>
                </c:pt>
                <c:pt idx="19">
                  <c:v>2.2237742956841888E-2</c:v>
                </c:pt>
                <c:pt idx="20">
                  <c:v>-9.4765363582937079E-3</c:v>
                </c:pt>
                <c:pt idx="21">
                  <c:v>-3.8761986509095014E-2</c:v>
                </c:pt>
                <c:pt idx="22">
                  <c:v>-6.6940298262612052E-2</c:v>
                </c:pt>
                <c:pt idx="23">
                  <c:v>-9.7730573298517309E-2</c:v>
                </c:pt>
                <c:pt idx="24">
                  <c:v>-0.11384072148228019</c:v>
                </c:pt>
                <c:pt idx="25">
                  <c:v>-0.14071757617014391</c:v>
                </c:pt>
                <c:pt idx="26">
                  <c:v>-0.16424124839480037</c:v>
                </c:pt>
                <c:pt idx="27">
                  <c:v>-0.17006087641326972</c:v>
                </c:pt>
                <c:pt idx="28">
                  <c:v>-0.18888784315809204</c:v>
                </c:pt>
                <c:pt idx="29">
                  <c:v>-0.2106375863844796</c:v>
                </c:pt>
                <c:pt idx="30">
                  <c:v>-0.21644701772045394</c:v>
                </c:pt>
                <c:pt idx="31">
                  <c:v>-0.21669773514581148</c:v>
                </c:pt>
                <c:pt idx="32">
                  <c:v>-0.21269248098861437</c:v>
                </c:pt>
                <c:pt idx="33">
                  <c:v>-0.21047058889235926</c:v>
                </c:pt>
                <c:pt idx="34">
                  <c:v>-0.2095336414392911</c:v>
                </c:pt>
                <c:pt idx="35">
                  <c:v>-0.20943994669398425</c:v>
                </c:pt>
                <c:pt idx="36">
                  <c:v>-0.20939309932133088</c:v>
                </c:pt>
                <c:pt idx="37">
                  <c:v>-0.20939309932133088</c:v>
                </c:pt>
                <c:pt idx="38">
                  <c:v>-0.20734725732389736</c:v>
                </c:pt>
                <c:pt idx="39">
                  <c:v>-0.20625415196198449</c:v>
                </c:pt>
                <c:pt idx="40">
                  <c:v>-0.20625415196198449</c:v>
                </c:pt>
                <c:pt idx="41">
                  <c:v>-0.20486434657326669</c:v>
                </c:pt>
                <c:pt idx="42">
                  <c:v>-0.20486434657326669</c:v>
                </c:pt>
                <c:pt idx="43">
                  <c:v>-0.20189441843579126</c:v>
                </c:pt>
                <c:pt idx="44">
                  <c:v>-0.19846451762842232</c:v>
                </c:pt>
                <c:pt idx="45">
                  <c:v>-0.19394151145914051</c:v>
                </c:pt>
                <c:pt idx="46">
                  <c:v>-0.1888341812912675</c:v>
                </c:pt>
                <c:pt idx="47">
                  <c:v>-0.18701090766182971</c:v>
                </c:pt>
                <c:pt idx="48">
                  <c:v>-0.18701090766182971</c:v>
                </c:pt>
                <c:pt idx="49">
                  <c:v>-0.18149932777268662</c:v>
                </c:pt>
                <c:pt idx="50">
                  <c:v>-0.17879301705553363</c:v>
                </c:pt>
                <c:pt idx="51">
                  <c:v>-0.17750996820419762</c:v>
                </c:pt>
                <c:pt idx="52">
                  <c:v>-0.17685015769143675</c:v>
                </c:pt>
                <c:pt idx="53">
                  <c:v>-0.17669399978259204</c:v>
                </c:pt>
                <c:pt idx="54">
                  <c:v>-0.17581823849365696</c:v>
                </c:pt>
                <c:pt idx="55">
                  <c:v>-0.17550592267596765</c:v>
                </c:pt>
                <c:pt idx="56">
                  <c:v>-0.16566430217480521</c:v>
                </c:pt>
                <c:pt idx="57">
                  <c:v>-0.16535198635711579</c:v>
                </c:pt>
                <c:pt idx="58">
                  <c:v>-0.16503967053942636</c:v>
                </c:pt>
                <c:pt idx="59">
                  <c:v>-0.16347594441160485</c:v>
                </c:pt>
                <c:pt idx="60">
                  <c:v>-0.16208596563131905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39'!$H$110:$BP$110</c15:f>
                <c15:dlblRangeCache>
                  <c:ptCount val="61"/>
                  <c:pt idx="0">
                    <c:v>0,0%</c:v>
                  </c:pt>
                  <c:pt idx="4">
                    <c:v>7,7%</c:v>
                  </c:pt>
                  <c:pt idx="8">
                    <c:v>18,5%</c:v>
                  </c:pt>
                  <c:pt idx="12">
                    <c:v>11,2%</c:v>
                  </c:pt>
                  <c:pt idx="16">
                    <c:v>8,3%</c:v>
                  </c:pt>
                  <c:pt idx="20">
                    <c:v>-0,9%</c:v>
                  </c:pt>
                  <c:pt idx="24">
                    <c:v>-11,4%</c:v>
                  </c:pt>
                  <c:pt idx="28">
                    <c:v>-18,9%</c:v>
                  </c:pt>
                  <c:pt idx="32">
                    <c:v>-21,3%</c:v>
                  </c:pt>
                  <c:pt idx="36">
                    <c:v>-20,9%</c:v>
                  </c:pt>
                  <c:pt idx="40">
                    <c:v>-20,6%</c:v>
                  </c:pt>
                  <c:pt idx="44">
                    <c:v>-19,8%</c:v>
                  </c:pt>
                  <c:pt idx="48">
                    <c:v>-18,7%</c:v>
                  </c:pt>
                  <c:pt idx="52">
                    <c:v>-17,7%</c:v>
                  </c:pt>
                  <c:pt idx="56">
                    <c:v>-16,6%</c:v>
                  </c:pt>
                  <c:pt idx="60">
                    <c:v>-16,2%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206-4A35-A023-AE54FB27A4A1}"/>
            </c:ext>
          </c:extLst>
        </c:ser>
        <c:ser>
          <c:idx val="3"/>
          <c:order val="3"/>
          <c:tx>
            <c:v>Líneas Guías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fixedVal"/>
            <c:noEndCap val="0"/>
            <c:val val="1.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lgDashDotDot"/>
                <a:round/>
              </a:ln>
              <a:effectLst/>
            </c:spPr>
          </c:errBar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39'!$H$112:$BP$112</c:f>
              <c:numCache>
                <c:formatCode>0.0%</c:formatCode>
                <c:ptCount val="6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0.20587010599124519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0.4546649697618762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0.54887209851902818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0.63501553315235137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0.69870687896218853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0.73406880449813894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0.77140500744683993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0.78730751901138585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0.79060690067866934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0.79374584803801573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0.8015354823715779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0.81298909233817052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0.82314984230856347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0.83433569782519501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0.83791403436868117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76-44E6-BB13-C194B96FD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7684367"/>
        <c:axId val="1297684783"/>
      </c:lineChart>
      <c:catAx>
        <c:axId val="1297684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783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297684783"/>
        <c:scaling>
          <c:orientation val="minMax"/>
          <c:max val="1"/>
          <c:min val="-0.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367"/>
        <c:crosses val="autoZero"/>
        <c:crossBetween val="between"/>
        <c:majorUnit val="0.1"/>
      </c:valAx>
      <c:spPr>
        <a:noFill/>
        <a:ln w="25400"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48235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7.1753841867945006E-2"/>
          <c:y val="3.2606787924476646E-2"/>
          <c:w val="0.18579983559348326"/>
          <c:h val="0.116053761255140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285877304754369E-2"/>
          <c:y val="4.8888825605660054E-2"/>
          <c:w val="0.89622290816924266"/>
          <c:h val="0.72214033245844278"/>
        </c:manualLayout>
      </c:layout>
      <c:lineChart>
        <c:grouping val="standard"/>
        <c:varyColors val="0"/>
        <c:ser>
          <c:idx val="0"/>
          <c:order val="0"/>
          <c:tx>
            <c:strRef>
              <c:f>'Dashboard Turbina'!$X$4</c:f>
              <c:strCache>
                <c:ptCount val="1"/>
                <c:pt idx="0">
                  <c:v>Plan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3A-4DE6-93FD-CD53E955CE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12E4EA6-7D96-4E17-9899-64DDDBB8350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D3A-4DE6-93FD-CD53E955CE5D}"/>
                </c:ext>
              </c:extLst>
            </c:dLbl>
            <c:dLbl>
              <c:idx val="2"/>
              <c:layout>
                <c:manualLayout>
                  <c:x val="-2.9297567232359302E-2"/>
                  <c:y val="3.433219082931014E-2"/>
                </c:manualLayout>
              </c:layout>
              <c:tx>
                <c:rich>
                  <a:bodyPr/>
                  <a:lstStyle/>
                  <a:p>
                    <a:fld id="{822BE5B7-CE44-4CC8-B5FB-2488D8DA0BE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D3A-4DE6-93FD-CD53E955CE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95BE850-2FA1-4EFC-878C-275EEA060CE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D3A-4DE6-93FD-CD53E955CE5D}"/>
                </c:ext>
              </c:extLst>
            </c:dLbl>
            <c:dLbl>
              <c:idx val="4"/>
              <c:layout>
                <c:manualLayout>
                  <c:x val="-4.2638975656620275E-2"/>
                  <c:y val="3.5165046102109744E-3"/>
                </c:manualLayout>
              </c:layout>
              <c:tx>
                <c:rich>
                  <a:bodyPr/>
                  <a:lstStyle/>
                  <a:p>
                    <a:fld id="{14342D7E-E01E-4154-B721-9CBFB1F90CF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9A27-4FD7-8EB6-0044B28376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42C22D1-EDD4-4CB7-A25C-6274DEA05FD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D3A-4DE6-93FD-CD53E955CE5D}"/>
                </c:ext>
              </c:extLst>
            </c:dLbl>
            <c:dLbl>
              <c:idx val="6"/>
              <c:layout>
                <c:manualLayout>
                  <c:x val="-3.7298236588042002E-2"/>
                  <c:y val="1.114602575449343E-2"/>
                </c:manualLayout>
              </c:layout>
              <c:tx>
                <c:rich>
                  <a:bodyPr/>
                  <a:lstStyle/>
                  <a:p>
                    <a:fld id="{A3106A27-DBA1-439D-BFC1-51CE10AA728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D3A-4DE6-93FD-CD53E955CE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2C3FBBA-08F4-4006-A9FD-B547D38B9C8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D3A-4DE6-93FD-CD53E955CE5D}"/>
                </c:ext>
              </c:extLst>
            </c:dLbl>
            <c:dLbl>
              <c:idx val="8"/>
              <c:layout>
                <c:manualLayout>
                  <c:x val="-3.7287812841184535E-2"/>
                  <c:y val="4.1961566569156838E-2"/>
                </c:manualLayout>
              </c:layout>
              <c:tx>
                <c:rich>
                  <a:bodyPr/>
                  <a:lstStyle/>
                  <a:p>
                    <a:fld id="{C88023A7-6FAF-478F-89EF-C9B5C8FB764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D3A-4DE6-93FD-CD53E955CE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EC6A58B-36BE-4C1C-86DF-5C6DFECB032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9A27-4FD7-8EB6-0044B283762A}"/>
                </c:ext>
              </c:extLst>
            </c:dLbl>
            <c:dLbl>
              <c:idx val="10"/>
              <c:layout>
                <c:manualLayout>
                  <c:x val="-3.7287812841184535E-2"/>
                  <c:y val="4.5776254439080184E-2"/>
                </c:manualLayout>
              </c:layout>
              <c:tx>
                <c:rich>
                  <a:bodyPr/>
                  <a:lstStyle/>
                  <a:p>
                    <a:fld id="{3576176A-7345-4D76-9A6B-A834C482EF9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D3A-4DE6-93FD-CD53E955CE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5E6006A-D7B5-4BB8-A317-5871853F084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D3A-4DE6-93FD-CD53E955CE5D}"/>
                </c:ext>
              </c:extLst>
            </c:dLbl>
            <c:dLbl>
              <c:idx val="12"/>
              <c:layout>
                <c:manualLayout>
                  <c:x val="-3.4624397638242835E-2"/>
                  <c:y val="4.5776254439080184E-2"/>
                </c:manualLayout>
              </c:layout>
              <c:tx>
                <c:rich>
                  <a:bodyPr/>
                  <a:lstStyle/>
                  <a:p>
                    <a:fld id="{465BC99F-2DC4-4247-A7FD-5FA0A18CD50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D3A-4DE6-93FD-CD53E955CE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BC7296C-B00F-4269-BA3D-B319365B63F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9A27-4FD7-8EB6-0044B283762A}"/>
                </c:ext>
              </c:extLst>
            </c:dLbl>
            <c:dLbl>
              <c:idx val="14"/>
              <c:layout>
                <c:manualLayout>
                  <c:x val="-3.196098243530103E-2"/>
                  <c:y val="4.1961566569156838E-2"/>
                </c:manualLayout>
              </c:layout>
              <c:tx>
                <c:rich>
                  <a:bodyPr/>
                  <a:lstStyle/>
                  <a:p>
                    <a:fld id="{B0C8ABF0-F657-4473-990A-1F0AD4AA829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D3A-4DE6-93FD-CD53E955CE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35BA13D-B19E-4F87-99B2-2C02D75602D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D3A-4DE6-93FD-CD53E955CE5D}"/>
                </c:ext>
              </c:extLst>
            </c:dLbl>
            <c:dLbl>
              <c:idx val="16"/>
              <c:layout>
                <c:manualLayout>
                  <c:x val="-3.4624397638242786E-2"/>
                  <c:y val="4.577625443908015E-2"/>
                </c:manualLayout>
              </c:layout>
              <c:tx>
                <c:rich>
                  <a:bodyPr/>
                  <a:lstStyle/>
                  <a:p>
                    <a:fld id="{F0DAB0A7-00B0-411F-BCAE-D369CE2671F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D3A-4DE6-93FD-CD53E955CE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A0660F6-7376-44B0-8FFA-11BC4827E55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9A27-4FD7-8EB6-0044B283762A}"/>
                </c:ext>
              </c:extLst>
            </c:dLbl>
            <c:dLbl>
              <c:idx val="18"/>
              <c:layout>
                <c:manualLayout>
                  <c:x val="-3.196098243530103E-2"/>
                  <c:y val="4.1961566569156838E-2"/>
                </c:manualLayout>
              </c:layout>
              <c:tx>
                <c:rich>
                  <a:bodyPr/>
                  <a:lstStyle/>
                  <a:p>
                    <a:fld id="{6650EA3B-49BC-4E80-87B7-995B38CD7C9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D3A-4DE6-93FD-CD53E955CE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12D40D8-3882-487B-B6DC-6EADDDC1420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D3A-4DE6-93FD-CD53E955CE5D}"/>
                </c:ext>
              </c:extLst>
            </c:dLbl>
            <c:dLbl>
              <c:idx val="20"/>
              <c:layout>
                <c:manualLayout>
                  <c:x val="-3.7287812841184535E-2"/>
                  <c:y val="4.577625443908015E-2"/>
                </c:manualLayout>
              </c:layout>
              <c:tx>
                <c:rich>
                  <a:bodyPr/>
                  <a:lstStyle/>
                  <a:p>
                    <a:fld id="{FA493A15-67FA-442E-81C0-7BFE2250BAF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D3A-4DE6-93FD-CD53E955CE5D}"/>
                </c:ext>
              </c:extLst>
            </c:dLbl>
            <c:dLbl>
              <c:idx val="21"/>
              <c:layout>
                <c:manualLayout>
                  <c:x val="-5.0156745314315604E-2"/>
                  <c:y val="-3.6607687614399045E-2"/>
                </c:manualLayout>
              </c:layout>
              <c:tx>
                <c:rich>
                  <a:bodyPr/>
                  <a:lstStyle/>
                  <a:p>
                    <a:fld id="{FC54C19E-54F1-4126-9E99-50343D99135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D3A-4DE6-93FD-CD53E955CE5D}"/>
                </c:ext>
              </c:extLst>
            </c:dLbl>
            <c:dLbl>
              <c:idx val="22"/>
              <c:layout>
                <c:manualLayout>
                  <c:x val="-7.486345734856624E-2"/>
                  <c:y val="-2.3207629401569042E-2"/>
                </c:manualLayout>
              </c:layout>
              <c:tx>
                <c:rich>
                  <a:bodyPr/>
                  <a:lstStyle/>
                  <a:p>
                    <a:fld id="{FD986F60-06C3-40B4-B68A-9B064537E17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D3A-4DE6-93FD-CD53E955CE5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604025D-4E53-40D1-AB61-EB24B253DEE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D3A-4DE6-93FD-CD53E955CE5D}"/>
                </c:ext>
              </c:extLst>
            </c:dLbl>
            <c:dLbl>
              <c:idx val="24"/>
              <c:layout>
                <c:manualLayout>
                  <c:x val="-8.2884542064484049E-2"/>
                  <c:y val="-1.9339691167974193E-2"/>
                </c:manualLayout>
              </c:layout>
              <c:tx>
                <c:rich>
                  <a:bodyPr/>
                  <a:lstStyle/>
                  <a:p>
                    <a:fld id="{E15D66C7-BC48-48AD-8934-F7934E172E8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9A27-4FD7-8EB6-0044B283762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2714117-F4B0-4387-B68B-C59BFE82254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D3A-4DE6-93FD-CD53E955CE5D}"/>
                </c:ext>
              </c:extLst>
            </c:dLbl>
            <c:dLbl>
              <c:idx val="26"/>
              <c:layout>
                <c:manualLayout>
                  <c:x val="-9.3550268937917902E-2"/>
                  <c:y val="-5.4537929093687251E-3"/>
                </c:manualLayout>
              </c:layout>
              <c:tx>
                <c:rich>
                  <a:bodyPr/>
                  <a:lstStyle/>
                  <a:p>
                    <a:fld id="{0ECF3937-A6E1-4223-95CF-BF0ED321D60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7287-4C38-9E80-991BA644F50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7623DFC-09C2-4203-A02D-CDC20C0D000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1D3A-4DE6-93FD-CD53E955CE5D}"/>
                </c:ext>
              </c:extLst>
            </c:dLbl>
            <c:dLbl>
              <c:idx val="28"/>
              <c:layout>
                <c:manualLayout>
                  <c:x val="-0.10160040640162561"/>
                  <c:y val="0"/>
                </c:manualLayout>
              </c:layout>
              <c:tx>
                <c:rich>
                  <a:bodyPr/>
                  <a:lstStyle/>
                  <a:p>
                    <a:fld id="{BDCC6C0E-B4CC-4040-8D13-A8A18ED9B44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1D3A-4DE6-93FD-CD53E955CE5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BA257BE-43FF-4639-925B-43E57AE098C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1D3A-4DE6-93FD-CD53E955CE5D}"/>
                </c:ext>
              </c:extLst>
            </c:dLbl>
            <c:dLbl>
              <c:idx val="30"/>
              <c:layout>
                <c:manualLayout>
                  <c:x val="-9.5002274745941084E-2"/>
                  <c:y val="1.584331865445691E-3"/>
                </c:manualLayout>
              </c:layout>
              <c:tx>
                <c:rich>
                  <a:bodyPr/>
                  <a:lstStyle/>
                  <a:p>
                    <a:fld id="{E5758CF4-A4A1-46F2-A1BA-4361CF8106E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1D3A-4DE6-93FD-CD53E955CE5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D2DEFF9-616B-4C65-8F73-1ED211CF418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1D3A-4DE6-93FD-CD53E955CE5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D3A-4DE6-93FD-CD53E955CE5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E2315A3-A75B-4086-ABEA-5D797EEF2EB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1D3A-4DE6-93FD-CD53E955CE5D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D3A-4DE6-93FD-CD53E955CE5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68F69391-DE40-4B8C-8579-D999241CC03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287-4C38-9E80-991BA644F50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87-4C38-9E80-991BA644F50E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FE3FA60D-5456-4BDD-B346-F2D7AFD9F0D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287-4C38-9E80-991BA644F50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87-4C38-9E80-991BA644F50E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A7C4EC65-D84E-436A-AA8F-7F8729339E6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287-4C38-9E80-991BA644F50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87-4C38-9E80-991BA644F50E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1AE8E332-0E24-41E6-867E-014711CA2C8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287-4C38-9E80-991BA644F50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87-4C38-9E80-991BA644F50E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F584A46C-8795-4F58-AD30-3BAE2F6ED2C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287-4C38-9E80-991BA644F50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87-4C38-9E80-991BA644F50E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420151D8-49EE-4EFE-9300-FC330A7FCD3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287-4C38-9E80-991BA644F50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87-4C38-9E80-991BA644F50E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7D615F3A-642E-43AA-94D8-BE5FD95A2A8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287-4C38-9E80-991BA644F50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87-4C38-9E80-991BA644F50E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D0AD4585-F425-42F3-8CD8-03121C86E55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728-4889-9951-DE41BFAEE6E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28-4889-9951-DE41BFAEE6E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15679FB4-0810-40D0-818B-506E91E6DDB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728-4889-9951-DE41BFAEE6E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728-4889-9951-DE41BFAEE6E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B81914EB-9EF9-446D-9F8A-FC0716B3768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728-4889-9951-DE41BFAEE6EA}"/>
                </c:ext>
              </c:extLst>
            </c:dLbl>
            <c:dLbl>
              <c:idx val="54"/>
              <c:layout>
                <c:manualLayout>
                  <c:x val="-4.5800849771859532E-2"/>
                  <c:y val="4.114760675232234E-5"/>
                </c:manualLayout>
              </c:layout>
              <c:tx>
                <c:rich>
                  <a:bodyPr/>
                  <a:lstStyle/>
                  <a:p>
                    <a:fld id="{C8D70126-51ED-4E5F-B1A7-DF4FCE946B2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728-4889-9951-DE41BFAEE6E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46C57E1A-5875-456A-B58C-2E2E1C52CA0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728-4889-9951-DE41BFAEE6E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28-4889-9951-DE41BFAEE6E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63B1FE33-1889-4BBB-902B-4F343C12520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5C0-4680-B7A4-886FDBF78696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C0-4680-B7A4-886FDBF78696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847FFDB6-2ED4-424A-8B3E-87B4BC820C0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5C0-4680-B7A4-886FDBF78696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5C0-4680-B7A4-886FDBF78696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9C0BAB8C-A9E7-4F04-8172-9AB16FC0E4E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5C0-4680-B7A4-886FDBF78696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5C0-4680-B7A4-886FDBF78696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4C7836EC-6AAC-4821-9878-6BCA9C2B910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5C0-4680-B7A4-886FDBF78696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5C0-4680-B7A4-886FDBF78696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1658D03F-F78F-412B-8E8D-70AC1DB5C52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5C0-4680-B7A4-886FDBF78696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5C0-4680-B7A4-886FDBF78696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6E583C1F-D45B-4F58-B312-F8A1E82E26E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5C0-4680-B7A4-886FDBF78696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5C0-4680-B7A4-886FDBF78696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158F7544-1FA4-47BA-8429-9F8F74F860C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5C0-4680-B7A4-886FDBF78696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5C0-4680-B7A4-886FDBF78696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7DEA2F7D-026F-485C-9740-9E3652769E4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5C0-4680-B7A4-886FDBF78696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5C0-4680-B7A4-886FDBF78696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2C922882-4E2C-48CF-A695-986E8EA9AB0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05C0-4680-B7A4-886FDBF78696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5C0-4680-B7A4-886FDBF78696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69CF5781-DA60-4E31-8CF5-94733B15657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05C0-4680-B7A4-886FDBF78696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5C0-4680-B7A4-886FDBF78696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5D58AFDB-944A-49CE-9AC0-A3492D06E4C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05C0-4680-B7A4-886FDBF78696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5C0-4680-B7A4-886FDBF78696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4C374C00-9AFA-4D37-A5E3-01DA1D83241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05C0-4680-B7A4-886FDBF78696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5C0-4680-B7A4-886FDBF78696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398E3A54-4F12-41A9-BF6B-29826A9900A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05C0-4680-B7A4-886FDBF78696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5C0-4680-B7A4-886FDBF78696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98E92492-D254-434F-B220-C325407BDB2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05C0-4680-B7A4-886FDBF78696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5C0-4680-B7A4-886FDBF78696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F25259F1-EC7A-4D6D-9D4D-8B1E277663A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05C0-4680-B7A4-886FDBF78696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5C0-4680-B7A4-886FDBF7869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'Plan 39'!$H$6:$CP$6</c:f>
              <c:numCache>
                <c:formatCode>0.0%</c:formatCode>
                <c:ptCount val="87"/>
                <c:pt idx="0">
                  <c:v>0</c:v>
                </c:pt>
                <c:pt idx="1">
                  <c:v>2.5282318234624394E-2</c:v>
                </c:pt>
                <c:pt idx="2">
                  <c:v>5.5583628044109809E-2</c:v>
                </c:pt>
                <c:pt idx="3">
                  <c:v>9.1135947854721788E-2</c:v>
                </c:pt>
                <c:pt idx="4">
                  <c:v>0.12881163395070261</c:v>
                </c:pt>
                <c:pt idx="5">
                  <c:v>0.1681432900052908</c:v>
                </c:pt>
                <c:pt idx="6">
                  <c:v>0.20659949452220083</c:v>
                </c:pt>
                <c:pt idx="7">
                  <c:v>0.24130974636751762</c:v>
                </c:pt>
                <c:pt idx="8">
                  <c:v>0.27014503226050457</c:v>
                </c:pt>
                <c:pt idx="9">
                  <c:v>0.30911343474105862</c:v>
                </c:pt>
                <c:pt idx="10">
                  <c:v>0.36093341502978438</c:v>
                </c:pt>
                <c:pt idx="11">
                  <c:v>0.40732360146148494</c:v>
                </c:pt>
                <c:pt idx="12">
                  <c:v>0.436878828948916</c:v>
                </c:pt>
                <c:pt idx="13">
                  <c:v>0.46456350544253927</c:v>
                </c:pt>
                <c:pt idx="14">
                  <c:v>0.49513337463185192</c:v>
                </c:pt>
                <c:pt idx="15">
                  <c:v>0.52277838931376452</c:v>
                </c:pt>
                <c:pt idx="16">
                  <c:v>0.55184231886872603</c:v>
                </c:pt>
                <c:pt idx="17">
                  <c:v>0.58243093717304328</c:v>
                </c:pt>
                <c:pt idx="18">
                  <c:v>0.62400961016677725</c:v>
                </c:pt>
                <c:pt idx="19">
                  <c:v>0.66558828316051111</c:v>
                </c:pt>
                <c:pt idx="20">
                  <c:v>0.70818341532048223</c:v>
                </c:pt>
                <c:pt idx="21">
                  <c:v>0.74928824095308755</c:v>
                </c:pt>
                <c:pt idx="22">
                  <c:v>0.78557941794615382</c:v>
                </c:pt>
                <c:pt idx="23">
                  <c:v>0.81674447196328637</c:v>
                </c:pt>
                <c:pt idx="24">
                  <c:v>0.84790952598041913</c:v>
                </c:pt>
                <c:pt idx="25">
                  <c:v>0.87907457999755201</c:v>
                </c:pt>
                <c:pt idx="26">
                  <c:v>0.90314151991006808</c:v>
                </c:pt>
                <c:pt idx="27">
                  <c:v>0.9321710136017497</c:v>
                </c:pt>
                <c:pt idx="28">
                  <c:v>0.96029285060493197</c:v>
                </c:pt>
                <c:pt idx="29">
                  <c:v>0.98499455711842243</c:v>
                </c:pt>
                <c:pt idx="30">
                  <c:v>0.99731197226169488</c:v>
                </c:pt>
                <c:pt idx="31">
                  <c:v>0.99949177041688153</c:v>
                </c:pt>
                <c:pt idx="32">
                  <c:v>1.0000000000000002</c:v>
                </c:pt>
                <c:pt idx="33">
                  <c:v>1.0000000000000002</c:v>
                </c:pt>
                <c:pt idx="34">
                  <c:v>1.0000000000000002</c:v>
                </c:pt>
                <c:pt idx="35">
                  <c:v>1.0000000000000002</c:v>
                </c:pt>
                <c:pt idx="36">
                  <c:v>1.0000000000000002</c:v>
                </c:pt>
                <c:pt idx="37">
                  <c:v>1.0000000000000002</c:v>
                </c:pt>
                <c:pt idx="38">
                  <c:v>1.0000000000000002</c:v>
                </c:pt>
                <c:pt idx="39">
                  <c:v>1.0000000000000002</c:v>
                </c:pt>
                <c:pt idx="40">
                  <c:v>1.0000000000000002</c:v>
                </c:pt>
                <c:pt idx="41">
                  <c:v>1.0000000000000002</c:v>
                </c:pt>
                <c:pt idx="42">
                  <c:v>1.0000000000000002</c:v>
                </c:pt>
                <c:pt idx="43">
                  <c:v>1.0000000000000002</c:v>
                </c:pt>
                <c:pt idx="44">
                  <c:v>1.0000000000000002</c:v>
                </c:pt>
                <c:pt idx="45">
                  <c:v>1.0000000000000002</c:v>
                </c:pt>
                <c:pt idx="46">
                  <c:v>1.0000000000000002</c:v>
                </c:pt>
                <c:pt idx="47">
                  <c:v>1.0000000000000002</c:v>
                </c:pt>
                <c:pt idx="48">
                  <c:v>1.0000000000000002</c:v>
                </c:pt>
                <c:pt idx="49">
                  <c:v>1.0000000000000002</c:v>
                </c:pt>
                <c:pt idx="50">
                  <c:v>1.0000000000000002</c:v>
                </c:pt>
                <c:pt idx="51">
                  <c:v>1.0000000000000002</c:v>
                </c:pt>
                <c:pt idx="52">
                  <c:v>1.0000000000000002</c:v>
                </c:pt>
                <c:pt idx="53">
                  <c:v>1.0000000000000002</c:v>
                </c:pt>
                <c:pt idx="54">
                  <c:v>1.0000000000000002</c:v>
                </c:pt>
                <c:pt idx="55">
                  <c:v>1.0000000000000002</c:v>
                </c:pt>
                <c:pt idx="56">
                  <c:v>1.0000000000000002</c:v>
                </c:pt>
                <c:pt idx="57">
                  <c:v>1.0000000000000002</c:v>
                </c:pt>
                <c:pt idx="58">
                  <c:v>1.0000000000000002</c:v>
                </c:pt>
                <c:pt idx="59">
                  <c:v>1.0000000000000002</c:v>
                </c:pt>
                <c:pt idx="60">
                  <c:v>1.0000000000000002</c:v>
                </c:pt>
                <c:pt idx="61">
                  <c:v>1.0000000000000002</c:v>
                </c:pt>
                <c:pt idx="62">
                  <c:v>1.0000000000000002</c:v>
                </c:pt>
                <c:pt idx="63">
                  <c:v>1.0000000000000002</c:v>
                </c:pt>
                <c:pt idx="64">
                  <c:v>1.0000000000000002</c:v>
                </c:pt>
                <c:pt idx="65">
                  <c:v>1.0000000000000002</c:v>
                </c:pt>
                <c:pt idx="66">
                  <c:v>1.0000000000000002</c:v>
                </c:pt>
                <c:pt idx="67">
                  <c:v>1.0000000000000002</c:v>
                </c:pt>
                <c:pt idx="68">
                  <c:v>1.0000000000000002</c:v>
                </c:pt>
                <c:pt idx="69">
                  <c:v>1.0000000000000002</c:v>
                </c:pt>
                <c:pt idx="70">
                  <c:v>1.0000000000000002</c:v>
                </c:pt>
                <c:pt idx="71">
                  <c:v>1.0000000000000002</c:v>
                </c:pt>
                <c:pt idx="72">
                  <c:v>1.0000000000000002</c:v>
                </c:pt>
                <c:pt idx="73">
                  <c:v>1.0000000000000002</c:v>
                </c:pt>
                <c:pt idx="74">
                  <c:v>1.0000000000000002</c:v>
                </c:pt>
                <c:pt idx="75">
                  <c:v>1.0000000000000002</c:v>
                </c:pt>
                <c:pt idx="76">
                  <c:v>1.0000000000000002</c:v>
                </c:pt>
                <c:pt idx="77">
                  <c:v>1.0000000000000002</c:v>
                </c:pt>
                <c:pt idx="78">
                  <c:v>1.0000000000000002</c:v>
                </c:pt>
                <c:pt idx="79">
                  <c:v>1.0000000000000002</c:v>
                </c:pt>
                <c:pt idx="80">
                  <c:v>1.0000000000000002</c:v>
                </c:pt>
                <c:pt idx="81">
                  <c:v>1.0000000000000002</c:v>
                </c:pt>
                <c:pt idx="82">
                  <c:v>1.0000000000000002</c:v>
                </c:pt>
                <c:pt idx="83">
                  <c:v>1.0000000000000002</c:v>
                </c:pt>
                <c:pt idx="84">
                  <c:v>1.0000000000000002</c:v>
                </c:pt>
                <c:pt idx="85">
                  <c:v>1.0000000000000002</c:v>
                </c:pt>
                <c:pt idx="86">
                  <c:v>1.0000000000000002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 39'!$H$97:$CP$97</c15:f>
                <c15:dlblRangeCache>
                  <c:ptCount val="87"/>
                  <c:pt idx="0">
                    <c:v>0,0%</c:v>
                  </c:pt>
                  <c:pt idx="2">
                    <c:v>5,6%</c:v>
                  </c:pt>
                  <c:pt idx="4">
                    <c:v>12,9%</c:v>
                  </c:pt>
                  <c:pt idx="6">
                    <c:v>20,7%</c:v>
                  </c:pt>
                  <c:pt idx="8">
                    <c:v>27,0%</c:v>
                  </c:pt>
                  <c:pt idx="10">
                    <c:v>36,1%</c:v>
                  </c:pt>
                  <c:pt idx="12">
                    <c:v>43,7%</c:v>
                  </c:pt>
                  <c:pt idx="14">
                    <c:v>49,5%</c:v>
                  </c:pt>
                  <c:pt idx="16">
                    <c:v>55,2%</c:v>
                  </c:pt>
                  <c:pt idx="18">
                    <c:v>62,4%</c:v>
                  </c:pt>
                  <c:pt idx="20">
                    <c:v>70,8%</c:v>
                  </c:pt>
                  <c:pt idx="22">
                    <c:v>78,6%</c:v>
                  </c:pt>
                  <c:pt idx="24">
                    <c:v>84,8%</c:v>
                  </c:pt>
                  <c:pt idx="26">
                    <c:v>90,3%</c:v>
                  </c:pt>
                  <c:pt idx="28">
                    <c:v>96,0%</c:v>
                  </c:pt>
                  <c:pt idx="30">
                    <c:v>99,7%</c:v>
                  </c:pt>
                  <c:pt idx="32">
                    <c:v>100,0%</c:v>
                  </c:pt>
                  <c:pt idx="34">
                    <c:v>100,0%</c:v>
                  </c:pt>
                  <c:pt idx="36">
                    <c:v>100,0%</c:v>
                  </c:pt>
                  <c:pt idx="38">
                    <c:v>100,0%</c:v>
                  </c:pt>
                  <c:pt idx="40">
                    <c:v>100,0%</c:v>
                  </c:pt>
                  <c:pt idx="42">
                    <c:v>100,0%</c:v>
                  </c:pt>
                  <c:pt idx="44">
                    <c:v>100,0%</c:v>
                  </c:pt>
                  <c:pt idx="46">
                    <c:v>100,0%</c:v>
                  </c:pt>
                  <c:pt idx="48">
                    <c:v>100,0%</c:v>
                  </c:pt>
                  <c:pt idx="50">
                    <c:v>100,0%</c:v>
                  </c:pt>
                  <c:pt idx="52">
                    <c:v>100,0%</c:v>
                  </c:pt>
                  <c:pt idx="54">
                    <c:v>100,0%</c:v>
                  </c:pt>
                  <c:pt idx="56">
                    <c:v>100,0%</c:v>
                  </c:pt>
                  <c:pt idx="58">
                    <c:v>100,0%</c:v>
                  </c:pt>
                  <c:pt idx="60">
                    <c:v>100,0%</c:v>
                  </c:pt>
                  <c:pt idx="62">
                    <c:v>100,0%</c:v>
                  </c:pt>
                  <c:pt idx="64">
                    <c:v>100,0%</c:v>
                  </c:pt>
                  <c:pt idx="66">
                    <c:v>100,0%</c:v>
                  </c:pt>
                  <c:pt idx="68">
                    <c:v>100,0%</c:v>
                  </c:pt>
                  <c:pt idx="70">
                    <c:v>100,0%</c:v>
                  </c:pt>
                  <c:pt idx="72">
                    <c:v>100,0%</c:v>
                  </c:pt>
                  <c:pt idx="74">
                    <c:v>100,0%</c:v>
                  </c:pt>
                  <c:pt idx="76">
                    <c:v>100,0%</c:v>
                  </c:pt>
                  <c:pt idx="78">
                    <c:v>100,0%</c:v>
                  </c:pt>
                  <c:pt idx="80">
                    <c:v>100,0%</c:v>
                  </c:pt>
                  <c:pt idx="82">
                    <c:v>100,0%</c:v>
                  </c:pt>
                  <c:pt idx="84">
                    <c:v>100,0%</c:v>
                  </c:pt>
                  <c:pt idx="86">
                    <c:v>100,0%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1D3A-4DE6-93FD-CD53E955CE5D}"/>
            </c:ext>
          </c:extLst>
        </c:ser>
        <c:ser>
          <c:idx val="1"/>
          <c:order val="1"/>
          <c:tx>
            <c:strRef>
              <c:f>'Dashboard Turbina'!$Y$4</c:f>
              <c:strCache>
                <c:ptCount val="1"/>
                <c:pt idx="0">
                  <c:v>Real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27-4FD7-8EB6-0044B28376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EB3F585-538D-474E-9973-803E8D22FF0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A27-4FD7-8EB6-0044B283762A}"/>
                </c:ext>
              </c:extLst>
            </c:dLbl>
            <c:dLbl>
              <c:idx val="2"/>
              <c:layout>
                <c:manualLayout>
                  <c:x val="-7.0835265763322636E-2"/>
                  <c:y val="-4.8191713961201511E-2"/>
                </c:manualLayout>
              </c:layout>
              <c:tx>
                <c:rich>
                  <a:bodyPr/>
                  <a:lstStyle/>
                  <a:p>
                    <a:fld id="{14FC78E0-530C-4700-BA2A-BE47B890AC7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A27-4FD7-8EB6-0044B28376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AEE1BD1-A2EB-4825-8317-5ED3C9CB4BB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A27-4FD7-8EB6-0044B283762A}"/>
                </c:ext>
              </c:extLst>
            </c:dLbl>
            <c:dLbl>
              <c:idx val="4"/>
              <c:layout>
                <c:manualLayout>
                  <c:x val="-7.3504068032182818E-2"/>
                  <c:y val="-4.8191713961201435E-2"/>
                </c:manualLayout>
              </c:layout>
              <c:tx>
                <c:rich>
                  <a:bodyPr/>
                  <a:lstStyle/>
                  <a:p>
                    <a:fld id="{7409FABC-D934-4306-B8DF-F945FE01432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1D3A-4DE6-93FD-CD53E955CE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8BFD951-C7C2-4D94-B11A-A67EDD6E9AD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A27-4FD7-8EB6-0044B283762A}"/>
                </c:ext>
              </c:extLst>
            </c:dLbl>
            <c:dLbl>
              <c:idx val="6"/>
              <c:layout>
                <c:manualLayout>
                  <c:x val="-8.6848079376483728E-2"/>
                  <c:y val="-3.2821872615481133E-2"/>
                </c:manualLayout>
              </c:layout>
              <c:tx>
                <c:rich>
                  <a:bodyPr/>
                  <a:lstStyle/>
                  <a:p>
                    <a:fld id="{406DAF4A-4B72-49AF-A5EC-FBA584AF858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A27-4FD7-8EB6-0044B28376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7E9D85E-3B32-47D4-B954-1CE01C01E0E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A27-4FD7-8EB6-0044B283762A}"/>
                </c:ext>
              </c:extLst>
            </c:dLbl>
            <c:dLbl>
              <c:idx val="8"/>
              <c:layout>
                <c:manualLayout>
                  <c:x val="-8.1510474838763364E-2"/>
                  <c:y val="-4.4349253624771344E-2"/>
                </c:manualLayout>
              </c:layout>
              <c:tx>
                <c:rich>
                  <a:bodyPr/>
                  <a:lstStyle/>
                  <a:p>
                    <a:fld id="{5C627618-E853-4492-8366-3E964EE69B1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A27-4FD7-8EB6-0044B28376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4DCF902-8FC8-4CF1-BC5E-D472657B95A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1D3A-4DE6-93FD-CD53E955CE5D}"/>
                </c:ext>
              </c:extLst>
            </c:dLbl>
            <c:dLbl>
              <c:idx val="10"/>
              <c:layout>
                <c:manualLayout>
                  <c:x val="-7.8841672569903182E-2"/>
                  <c:y val="-4.8191713961201435E-2"/>
                </c:manualLayout>
              </c:layout>
              <c:tx>
                <c:rich>
                  <a:bodyPr/>
                  <a:lstStyle/>
                  <a:p>
                    <a:fld id="{65852E9C-1DCA-47C0-B4DD-58C489D8E65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A27-4FD7-8EB6-0044B28376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CC67236-EFA9-4288-946C-05D51B5726D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A27-4FD7-8EB6-0044B283762A}"/>
                </c:ext>
              </c:extLst>
            </c:dLbl>
            <c:dLbl>
              <c:idx val="12"/>
              <c:layout>
                <c:manualLayout>
                  <c:x val="-7.0835265763322636E-2"/>
                  <c:y val="-4.4349253624771344E-2"/>
                </c:manualLayout>
              </c:layout>
              <c:tx>
                <c:rich>
                  <a:bodyPr/>
                  <a:lstStyle/>
                  <a:p>
                    <a:fld id="{CB12246D-BEC5-4FA1-827F-FACE47F116D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A27-4FD7-8EB6-0044B28376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6F4A983-E1CB-4146-9F5C-9A75C57BCC8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1D3A-4DE6-93FD-CD53E955CE5D}"/>
                </c:ext>
              </c:extLst>
            </c:dLbl>
            <c:dLbl>
              <c:idx val="14"/>
              <c:layout>
                <c:manualLayout>
                  <c:x val="-7.0835265763322677E-2"/>
                  <c:y val="-5.2034174297631533E-2"/>
                </c:manualLayout>
              </c:layout>
              <c:tx>
                <c:rich>
                  <a:bodyPr/>
                  <a:lstStyle/>
                  <a:p>
                    <a:fld id="{0852819B-CE5C-4545-9ABE-7C80043DF3F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A27-4FD7-8EB6-0044B283762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E28C1FA-5045-40D4-B823-9211124F693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A27-4FD7-8EB6-0044B283762A}"/>
                </c:ext>
              </c:extLst>
            </c:dLbl>
            <c:dLbl>
              <c:idx val="16"/>
              <c:layout>
                <c:manualLayout>
                  <c:x val="-6.816646349446244E-2"/>
                  <c:y val="-4.8191713961201456E-2"/>
                </c:manualLayout>
              </c:layout>
              <c:tx>
                <c:rich>
                  <a:bodyPr/>
                  <a:lstStyle/>
                  <a:p>
                    <a:fld id="{5D17EB2C-5F7A-4A9C-AFA6-3678390196D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A27-4FD7-8EB6-0044B28376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B280923-3C2A-4BF7-AB81-80F17DB8F5F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1D3A-4DE6-93FD-CD53E955CE5D}"/>
                </c:ext>
              </c:extLst>
            </c:dLbl>
            <c:dLbl>
              <c:idx val="18"/>
              <c:layout>
                <c:manualLayout>
                  <c:x val="-7.0835265763322636E-2"/>
                  <c:y val="-5.5876634634061624E-2"/>
                </c:manualLayout>
              </c:layout>
              <c:tx>
                <c:rich>
                  <a:bodyPr/>
                  <a:lstStyle/>
                  <a:p>
                    <a:fld id="{BFC3B658-9841-4F08-B19B-80327BC8DA2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9A27-4FD7-8EB6-0044B28376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9B9F6A6-B207-4F7B-9473-88BEF732FE0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A27-4FD7-8EB6-0044B283762A}"/>
                </c:ext>
              </c:extLst>
            </c:dLbl>
            <c:dLbl>
              <c:idx val="20"/>
              <c:layout>
                <c:manualLayout>
                  <c:x val="-6.8225115005723175E-2"/>
                  <c:y val="-4.8854191824762298E-2"/>
                </c:manualLayout>
              </c:layout>
              <c:tx>
                <c:rich>
                  <a:bodyPr/>
                  <a:lstStyle/>
                  <a:p>
                    <a:fld id="{06863CA3-CAF3-4A47-A6C6-8EEE12BDF1F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A27-4FD7-8EB6-0044B283762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BDE34CB-7D1E-48C0-BEC1-047290CCA5D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1D3A-4DE6-93FD-CD53E955CE5D}"/>
                </c:ext>
              </c:extLst>
            </c:dLbl>
            <c:dLbl>
              <c:idx val="22"/>
              <c:layout>
                <c:manualLayout>
                  <c:x val="-4.1478440805860606E-2"/>
                  <c:y val="4.7869794449550883E-2"/>
                </c:manualLayout>
              </c:layout>
              <c:tx>
                <c:rich>
                  <a:bodyPr/>
                  <a:lstStyle/>
                  <a:p>
                    <a:fld id="{171C2100-BB79-4401-8570-87985B63AA2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A27-4FD7-8EB6-0044B283762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09940E6-EBEA-45DD-A163-6C251813FFE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A27-4FD7-8EB6-0044B283762A}"/>
                </c:ext>
              </c:extLst>
            </c:dLbl>
            <c:dLbl>
              <c:idx val="24"/>
              <c:layout>
                <c:manualLayout>
                  <c:x val="-4.6816045343580977E-2"/>
                  <c:y val="5.1712254785980974E-2"/>
                </c:manualLayout>
              </c:layout>
              <c:tx>
                <c:rich>
                  <a:bodyPr/>
                  <a:lstStyle/>
                  <a:p>
                    <a:fld id="{291A8895-FDFC-4772-9B82-54325DCC625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768-43DA-811D-E7848A2FDFB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4FDD423-625B-497C-8B26-EC0949F673A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9A27-4FD7-8EB6-0044B283762A}"/>
                </c:ext>
              </c:extLst>
            </c:dLbl>
            <c:dLbl>
              <c:idx val="26"/>
              <c:layout>
                <c:manualLayout>
                  <c:x val="-4.6816045343581074E-2"/>
                  <c:y val="4.7869794449550918E-2"/>
                </c:manualLayout>
              </c:layout>
              <c:tx>
                <c:rich>
                  <a:bodyPr/>
                  <a:lstStyle/>
                  <a:p>
                    <a:fld id="{620A6034-C8B5-4110-BBF4-E613FA8CC84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9A27-4FD7-8EB6-0044B283762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772199B-66C2-43C5-998E-FF0141AC83D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9A27-4FD7-8EB6-0044B283762A}"/>
                </c:ext>
              </c:extLst>
            </c:dLbl>
            <c:dLbl>
              <c:idx val="28"/>
              <c:layout>
                <c:manualLayout>
                  <c:x val="-5.2153649881301341E-2"/>
                  <c:y val="5.5554715122411107E-2"/>
                </c:manualLayout>
              </c:layout>
              <c:tx>
                <c:rich>
                  <a:bodyPr/>
                  <a:lstStyle/>
                  <a:p>
                    <a:fld id="{8CD9E806-ED92-47BB-AD10-DB7A206663E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C3A-4FFD-B123-19112D4411B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66AE2B6-FC64-4D32-A494-E987FA5E654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9A27-4FD7-8EB6-0044B283762A}"/>
                </c:ext>
              </c:extLst>
            </c:dLbl>
            <c:dLbl>
              <c:idx val="30"/>
              <c:layout>
                <c:manualLayout>
                  <c:x val="-4.9484847612441256E-2"/>
                  <c:y val="6.3239635795271254E-2"/>
                </c:manualLayout>
              </c:layout>
              <c:tx>
                <c:rich>
                  <a:bodyPr/>
                  <a:lstStyle/>
                  <a:p>
                    <a:fld id="{CBF027A4-642C-4A78-8356-9C2C562E9B0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F7B-4A6F-9CF3-98894CD480B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B2DF9C63-94BB-4AA6-875F-038B1EE4E66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9A27-4FD7-8EB6-0044B283762A}"/>
                </c:ext>
              </c:extLst>
            </c:dLbl>
            <c:dLbl>
              <c:idx val="32"/>
              <c:layout>
                <c:manualLayout>
                  <c:x val="-4.6816045343580977E-2"/>
                  <c:y val="5.9397175458841198E-2"/>
                </c:manualLayout>
              </c:layout>
              <c:tx>
                <c:rich>
                  <a:bodyPr/>
                  <a:lstStyle/>
                  <a:p>
                    <a:fld id="{B00D1658-9D32-47B7-A1DB-33EAE0409A0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F7B-4A6F-9CF3-98894CD480B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EE68D946-8EC7-4733-AF4B-ED8EB5031AB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9A27-4FD7-8EB6-0044B283762A}"/>
                </c:ext>
              </c:extLst>
            </c:dLbl>
            <c:dLbl>
              <c:idx val="34"/>
              <c:layout>
                <c:manualLayout>
                  <c:x val="-4.6816045343581074E-2"/>
                  <c:y val="4.7869794449550918E-2"/>
                </c:manualLayout>
              </c:layout>
              <c:tx>
                <c:rich>
                  <a:bodyPr/>
                  <a:lstStyle/>
                  <a:p>
                    <a:fld id="{67B0D007-1467-4356-B8B3-D7C92D2B236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F7B-4A6F-9CF3-98894CD480B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B804C2E5-4DA7-424F-9543-90A0D46567D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9A27-4FD7-8EB6-0044B283762A}"/>
                </c:ext>
              </c:extLst>
            </c:dLbl>
            <c:dLbl>
              <c:idx val="36"/>
              <c:layout>
                <c:manualLayout>
                  <c:x val="-4.6816045343580977E-2"/>
                  <c:y val="5.1712254785981009E-2"/>
                </c:manualLayout>
              </c:layout>
              <c:tx>
                <c:rich>
                  <a:bodyPr/>
                  <a:lstStyle/>
                  <a:p>
                    <a:fld id="{037441C4-CC8C-4BE7-BB8E-AB9745A6F9F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9A27-4FD7-8EB6-0044B283762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1FDA6F74-59AD-4C3C-B8CE-7E0A7A0A1D8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287-4C38-9E80-991BA644F50E}"/>
                </c:ext>
              </c:extLst>
            </c:dLbl>
            <c:dLbl>
              <c:idx val="38"/>
              <c:layout>
                <c:manualLayout>
                  <c:x val="-5.2153649881301438E-2"/>
                  <c:y val="4.402733411312082E-2"/>
                </c:manualLayout>
              </c:layout>
              <c:tx>
                <c:rich>
                  <a:bodyPr/>
                  <a:lstStyle/>
                  <a:p>
                    <a:fld id="{B291B615-D78E-49BC-B58A-D3F4904D127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9A27-4FD7-8EB6-0044B283762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5792E60A-2829-49AD-BCD3-E41368C1DCC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9A27-4FD7-8EB6-0044B283762A}"/>
                </c:ext>
              </c:extLst>
            </c:dLbl>
            <c:dLbl>
              <c:idx val="40"/>
              <c:layout>
                <c:manualLayout>
                  <c:x val="-4.9484847612441159E-2"/>
                  <c:y val="4.4027334113120806E-2"/>
                </c:manualLayout>
              </c:layout>
              <c:tx>
                <c:rich>
                  <a:bodyPr/>
                  <a:lstStyle/>
                  <a:p>
                    <a:fld id="{CDD59CE9-285D-4C26-A38E-CF82D695A7D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9A27-4FD7-8EB6-0044B283762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A141EB2-3A1E-4C53-817B-0D617E3E63B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F07-4E92-A4F4-B77748231E5C}"/>
                </c:ext>
              </c:extLst>
            </c:dLbl>
            <c:dLbl>
              <c:idx val="42"/>
              <c:layout>
                <c:manualLayout>
                  <c:x val="-5.2153649881301341E-2"/>
                  <c:y val="4.7869794449550897E-2"/>
                </c:manualLayout>
              </c:layout>
              <c:tx>
                <c:rich>
                  <a:bodyPr/>
                  <a:lstStyle/>
                  <a:p>
                    <a:fld id="{CF76D612-BDC2-421C-9EBA-71169A61680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9A27-4FD7-8EB6-0044B283762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735659E2-628B-4C07-964B-BEF54E1E909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9A27-4FD7-8EB6-0044B283762A}"/>
                </c:ext>
              </c:extLst>
            </c:dLbl>
            <c:dLbl>
              <c:idx val="44"/>
              <c:layout>
                <c:manualLayout>
                  <c:x val="-5.4822452150161627E-2"/>
                  <c:y val="5.1712254785980995E-2"/>
                </c:manualLayout>
              </c:layout>
              <c:tx>
                <c:rich>
                  <a:bodyPr/>
                  <a:lstStyle/>
                  <a:p>
                    <a:fld id="{5F2AC05C-A192-4257-B752-385C804BF91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9A27-4FD7-8EB6-0044B283762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52C14F1E-AD88-4367-9346-20D98432CFD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40F-475F-AA45-3D79B913D335}"/>
                </c:ext>
              </c:extLst>
            </c:dLbl>
            <c:dLbl>
              <c:idx val="46"/>
              <c:layout>
                <c:manualLayout>
                  <c:x val="-5.4822452150161627E-2"/>
                  <c:y val="5.5554715122411107E-2"/>
                </c:manualLayout>
              </c:layout>
              <c:tx>
                <c:rich>
                  <a:bodyPr/>
                  <a:lstStyle/>
                  <a:p>
                    <a:fld id="{3940581F-950D-498E-93C7-80BF5EA6E77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9A27-4FD7-8EB6-0044B283762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AA2D09DD-AF1A-4142-8AF6-E205140F0C2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9A27-4FD7-8EB6-0044B283762A}"/>
                </c:ext>
              </c:extLst>
            </c:dLbl>
            <c:dLbl>
              <c:idx val="48"/>
              <c:layout>
                <c:manualLayout>
                  <c:x val="-5.7491254419021809E-2"/>
                  <c:y val="5.9397175458841198E-2"/>
                </c:manualLayout>
              </c:layout>
              <c:tx>
                <c:rich>
                  <a:bodyPr/>
                  <a:lstStyle/>
                  <a:p>
                    <a:fld id="{1826EF94-24CE-4BAC-A475-7A2B66B99B9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9A27-4FD7-8EB6-0044B283762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BF8419CE-DAE4-4D33-8B13-70B02FBA919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9A27-4FD7-8EB6-0044B283762A}"/>
                </c:ext>
              </c:extLst>
            </c:dLbl>
            <c:dLbl>
              <c:idx val="50"/>
              <c:layout>
                <c:manualLayout>
                  <c:x val="-6.3552462589464787E-2"/>
                  <c:y val="4.9888619266501635E-2"/>
                </c:manualLayout>
              </c:layout>
              <c:tx>
                <c:rich>
                  <a:bodyPr rot="2700000" spcFirstLastPara="1" vertOverflow="ellipsis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1" i="0" u="none" strike="noStrike" kern="1200" baseline="0">
                        <a:solidFill>
                          <a:srgbClr val="0070C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695EA2E-EF8D-418B-A6CE-80A3E25ADCF8}" type="CELLRANGE">
                      <a:rPr lang="en-US"/>
                      <a:pPr>
                        <a:defRPr sz="700" b="1">
                          <a:solidFill>
                            <a:srgbClr val="0070C0"/>
                          </a:solidFill>
                        </a:defRPr>
                      </a:pPr>
                      <a:t>[CELLRANGE]</a:t>
                    </a:fld>
                    <a:endParaRPr lang="es-VE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27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684188707631084E-2"/>
                      <c:h val="5.00787554412364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728-4889-9951-DE41BFAEE6E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766A0D00-516A-48A0-A4A5-C5085511E62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5C0-4680-B7A4-886FDBF78696}"/>
                </c:ext>
              </c:extLst>
            </c:dLbl>
            <c:dLbl>
              <c:idx val="52"/>
              <c:layout>
                <c:manualLayout>
                  <c:x val="-4.781647649704128E-2"/>
                  <c:y val="4.6609232480094055E-2"/>
                </c:manualLayout>
              </c:layout>
              <c:tx>
                <c:rich>
                  <a:bodyPr/>
                  <a:lstStyle/>
                  <a:p>
                    <a:fld id="{9AC4B58A-2D3F-46AE-9F1A-BC75E27E222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5C0-4680-B7A4-886FDBF78696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93502E40-AC2D-4AE8-AC71-373E5577944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5C0-4680-B7A4-886FDBF78696}"/>
                </c:ext>
              </c:extLst>
            </c:dLbl>
            <c:dLbl>
              <c:idx val="54"/>
              <c:layout>
                <c:manualLayout>
                  <c:x val="-2.665580285381532E-2"/>
                  <c:y val="4.2772093869283365E-2"/>
                </c:manualLayout>
              </c:layout>
              <c:tx>
                <c:rich>
                  <a:bodyPr/>
                  <a:lstStyle/>
                  <a:p>
                    <a:fld id="{A39301F0-A5CF-4035-808B-9EAE80CA9BD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5C0-4680-B7A4-886FDBF78696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36879D65-33E0-4652-83AC-0853CD80325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3C4-424F-91DA-0E6FAFD46296}"/>
                </c:ext>
              </c:extLst>
            </c:dLbl>
            <c:dLbl>
              <c:idx val="56"/>
              <c:layout>
                <c:manualLayout>
                  <c:x val="-6.3908147811298444E-2"/>
                  <c:y val="-2.9952129600438585E-2"/>
                </c:manualLayout>
              </c:layout>
              <c:tx>
                <c:rich>
                  <a:bodyPr/>
                  <a:lstStyle/>
                  <a:p>
                    <a:fld id="{335D413B-EC4E-445D-97E6-D4349397068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3C4-424F-91DA-0E6FAFD46296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B1D2DC79-3557-4DB5-818B-E53CC3481EC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3C4-424F-91DA-0E6FAFD46296}"/>
                </c:ext>
              </c:extLst>
            </c:dLbl>
            <c:dLbl>
              <c:idx val="58"/>
              <c:layout>
                <c:manualLayout>
                  <c:x val="-5.4031984795962697E-2"/>
                  <c:y val="-2.1157640034695405E-2"/>
                </c:manualLayout>
              </c:layout>
              <c:tx>
                <c:rich>
                  <a:bodyPr/>
                  <a:lstStyle/>
                  <a:p>
                    <a:fld id="{0656D67F-EDE7-46A6-89BF-CCC15EFD33A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3C4-424F-91DA-0E6FAFD46296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C9AA5473-8725-4445-AFAF-A625A6ACF97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81F-40B0-A6B4-DD49EE32B7F0}"/>
                </c:ext>
              </c:extLst>
            </c:dLbl>
            <c:dLbl>
              <c:idx val="60"/>
              <c:layout>
                <c:manualLayout>
                  <c:x val="7.9530135313004166E-2"/>
                  <c:y val="5.975304973805913E-2"/>
                </c:manualLayout>
              </c:layout>
              <c:tx>
                <c:rich>
                  <a:bodyPr/>
                  <a:lstStyle/>
                  <a:p>
                    <a:fld id="{3A2858D6-CCA0-43C6-9768-CA5097F3C35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81F-40B0-A6B4-DD49EE32B7F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39'!$H$7:$BP$7</c:f>
              <c:numCache>
                <c:formatCode>0.0%</c:formatCode>
                <c:ptCount val="61"/>
                <c:pt idx="0">
                  <c:v>0</c:v>
                </c:pt>
                <c:pt idx="1">
                  <c:v>8.08701945310773E-2</c:v>
                </c:pt>
                <c:pt idx="2">
                  <c:v>0.12581393398292939</c:v>
                </c:pt>
                <c:pt idx="3">
                  <c:v>0.15479973032542577</c:v>
                </c:pt>
                <c:pt idx="4">
                  <c:v>0.20587010599124519</c:v>
                </c:pt>
                <c:pt idx="5">
                  <c:v>0.23698768013147462</c:v>
                </c:pt>
                <c:pt idx="6">
                  <c:v>0.36531350655976202</c:v>
                </c:pt>
                <c:pt idx="7">
                  <c:v>0.41554218687127831</c:v>
                </c:pt>
                <c:pt idx="8">
                  <c:v>0.4546649697618762</c:v>
                </c:pt>
                <c:pt idx="9">
                  <c:v>0.48922625759205796</c:v>
                </c:pt>
                <c:pt idx="10">
                  <c:v>0.50858532668640044</c:v>
                </c:pt>
                <c:pt idx="11">
                  <c:v>0.52660320609302425</c:v>
                </c:pt>
                <c:pt idx="12">
                  <c:v>0.54887209851902818</c:v>
                </c:pt>
                <c:pt idx="13">
                  <c:v>0.55872245520306496</c:v>
                </c:pt>
                <c:pt idx="14">
                  <c:v>0.58768563409806485</c:v>
                </c:pt>
                <c:pt idx="15">
                  <c:v>0.60755366713570558</c:v>
                </c:pt>
                <c:pt idx="16">
                  <c:v>0.63501553315235137</c:v>
                </c:pt>
                <c:pt idx="17">
                  <c:v>0.65087445794147181</c:v>
                </c:pt>
                <c:pt idx="18">
                  <c:v>0.67047868711639536</c:v>
                </c:pt>
                <c:pt idx="19">
                  <c:v>0.687826026117353</c:v>
                </c:pt>
                <c:pt idx="20">
                  <c:v>0.69870687896218853</c:v>
                </c:pt>
                <c:pt idx="21">
                  <c:v>0.71052625444399253</c:v>
                </c:pt>
                <c:pt idx="22">
                  <c:v>0.71863911968354177</c:v>
                </c:pt>
                <c:pt idx="23">
                  <c:v>0.71901389866476906</c:v>
                </c:pt>
                <c:pt idx="24">
                  <c:v>0.73406880449813894</c:v>
                </c:pt>
                <c:pt idx="25">
                  <c:v>0.7383570038274081</c:v>
                </c:pt>
                <c:pt idx="26">
                  <c:v>0.73890027151526771</c:v>
                </c:pt>
                <c:pt idx="27">
                  <c:v>0.76211013718847997</c:v>
                </c:pt>
                <c:pt idx="28">
                  <c:v>0.77140500744683993</c:v>
                </c:pt>
                <c:pt idx="29">
                  <c:v>0.77435697073394283</c:v>
                </c:pt>
                <c:pt idx="30">
                  <c:v>0.78086495454124094</c:v>
                </c:pt>
                <c:pt idx="31">
                  <c:v>0.78279403527107005</c:v>
                </c:pt>
                <c:pt idx="32">
                  <c:v>0.78730751901138585</c:v>
                </c:pt>
                <c:pt idx="33">
                  <c:v>0.78952941110764097</c:v>
                </c:pt>
                <c:pt idx="34">
                  <c:v>0.79046635856070913</c:v>
                </c:pt>
                <c:pt idx="35">
                  <c:v>0.79056005330601598</c:v>
                </c:pt>
                <c:pt idx="36">
                  <c:v>0.79060690067866934</c:v>
                </c:pt>
                <c:pt idx="37">
                  <c:v>0.79060690067866934</c:v>
                </c:pt>
                <c:pt idx="38">
                  <c:v>0.79265274267610286</c:v>
                </c:pt>
                <c:pt idx="39">
                  <c:v>0.79374584803801573</c:v>
                </c:pt>
                <c:pt idx="40">
                  <c:v>0.79374584803801573</c:v>
                </c:pt>
                <c:pt idx="41">
                  <c:v>0.79513565342673354</c:v>
                </c:pt>
                <c:pt idx="42">
                  <c:v>0.79513565342673354</c:v>
                </c:pt>
                <c:pt idx="43">
                  <c:v>0.79810558156420897</c:v>
                </c:pt>
                <c:pt idx="44">
                  <c:v>0.8015354823715779</c:v>
                </c:pt>
                <c:pt idx="45">
                  <c:v>0.80605848854085971</c:v>
                </c:pt>
                <c:pt idx="46">
                  <c:v>0.81116581870873272</c:v>
                </c:pt>
                <c:pt idx="47">
                  <c:v>0.81298909233817052</c:v>
                </c:pt>
                <c:pt idx="48">
                  <c:v>0.81298909233817052</c:v>
                </c:pt>
                <c:pt idx="49">
                  <c:v>0.8185006722273136</c:v>
                </c:pt>
                <c:pt idx="50">
                  <c:v>0.82120698294446659</c:v>
                </c:pt>
                <c:pt idx="51">
                  <c:v>0.8224900317958026</c:v>
                </c:pt>
                <c:pt idx="52">
                  <c:v>0.82314984230856347</c:v>
                </c:pt>
                <c:pt idx="53">
                  <c:v>0.82330600021740818</c:v>
                </c:pt>
                <c:pt idx="54">
                  <c:v>0.82418176150634326</c:v>
                </c:pt>
                <c:pt idx="55">
                  <c:v>0.82449407732403257</c:v>
                </c:pt>
                <c:pt idx="56">
                  <c:v>0.83433569782519501</c:v>
                </c:pt>
                <c:pt idx="57">
                  <c:v>0.83464801364288443</c:v>
                </c:pt>
                <c:pt idx="58">
                  <c:v>0.83496032946057386</c:v>
                </c:pt>
                <c:pt idx="59">
                  <c:v>0.83652405558839538</c:v>
                </c:pt>
                <c:pt idx="60">
                  <c:v>0.83791403436868117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39'!$H$107:$CP$107</c15:f>
                <c15:dlblRangeCache>
                  <c:ptCount val="87"/>
                  <c:pt idx="0">
                    <c:v>0,0%</c:v>
                  </c:pt>
                  <c:pt idx="2">
                    <c:v>12,6%</c:v>
                  </c:pt>
                  <c:pt idx="4">
                    <c:v>20,6%</c:v>
                  </c:pt>
                  <c:pt idx="6">
                    <c:v>36,5%</c:v>
                  </c:pt>
                  <c:pt idx="8">
                    <c:v>45,5%</c:v>
                  </c:pt>
                  <c:pt idx="10">
                    <c:v>50,9%</c:v>
                  </c:pt>
                  <c:pt idx="12">
                    <c:v>54,9%</c:v>
                  </c:pt>
                  <c:pt idx="14">
                    <c:v>58,8%</c:v>
                  </c:pt>
                  <c:pt idx="16">
                    <c:v>63,5%</c:v>
                  </c:pt>
                  <c:pt idx="18">
                    <c:v>67,0%</c:v>
                  </c:pt>
                  <c:pt idx="20">
                    <c:v>69,9%</c:v>
                  </c:pt>
                  <c:pt idx="22">
                    <c:v>71,9%</c:v>
                  </c:pt>
                  <c:pt idx="24">
                    <c:v>73,4%</c:v>
                  </c:pt>
                  <c:pt idx="26">
                    <c:v>73,9%</c:v>
                  </c:pt>
                  <c:pt idx="28">
                    <c:v>77,1%</c:v>
                  </c:pt>
                  <c:pt idx="30">
                    <c:v>78,1%</c:v>
                  </c:pt>
                  <c:pt idx="32">
                    <c:v>78,7%</c:v>
                  </c:pt>
                  <c:pt idx="34">
                    <c:v>79,0%</c:v>
                  </c:pt>
                  <c:pt idx="36">
                    <c:v>79,1%</c:v>
                  </c:pt>
                  <c:pt idx="38">
                    <c:v>79,3%</c:v>
                  </c:pt>
                  <c:pt idx="40">
                    <c:v>79,4%</c:v>
                  </c:pt>
                  <c:pt idx="42">
                    <c:v>79,5%</c:v>
                  </c:pt>
                  <c:pt idx="44">
                    <c:v>80,2%</c:v>
                  </c:pt>
                  <c:pt idx="46">
                    <c:v>81,1%</c:v>
                  </c:pt>
                  <c:pt idx="48">
                    <c:v>81,3%</c:v>
                  </c:pt>
                  <c:pt idx="50">
                    <c:v>82,1%</c:v>
                  </c:pt>
                  <c:pt idx="52">
                    <c:v>82,3%</c:v>
                  </c:pt>
                  <c:pt idx="54">
                    <c:v>82,4%</c:v>
                  </c:pt>
                  <c:pt idx="56">
                    <c:v>83,4%</c:v>
                  </c:pt>
                  <c:pt idx="58">
                    <c:v>83,5%</c:v>
                  </c:pt>
                  <c:pt idx="60">
                    <c:v>83,8%</c:v>
                  </c:pt>
                  <c:pt idx="62">
                    <c:v>79,1%</c:v>
                  </c:pt>
                  <c:pt idx="64">
                    <c:v>79,1%</c:v>
                  </c:pt>
                  <c:pt idx="66">
                    <c:v>79,1%</c:v>
                  </c:pt>
                  <c:pt idx="68">
                    <c:v>79,1%</c:v>
                  </c:pt>
                  <c:pt idx="70">
                    <c:v>79,1%</c:v>
                  </c:pt>
                  <c:pt idx="72">
                    <c:v>79,1%</c:v>
                  </c:pt>
                  <c:pt idx="74">
                    <c:v>79,1%</c:v>
                  </c:pt>
                  <c:pt idx="76">
                    <c:v>79,1%</c:v>
                  </c:pt>
                  <c:pt idx="78">
                    <c:v>79,1%</c:v>
                  </c:pt>
                  <c:pt idx="80">
                    <c:v>79,1%</c:v>
                  </c:pt>
                  <c:pt idx="82">
                    <c:v>79,1%</c:v>
                  </c:pt>
                  <c:pt idx="84">
                    <c:v>79,1%</c:v>
                  </c:pt>
                  <c:pt idx="86">
                    <c:v>82,4%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1D3A-4DE6-93FD-CD53E955CE5D}"/>
            </c:ext>
          </c:extLst>
        </c:ser>
        <c:ser>
          <c:idx val="2"/>
          <c:order val="2"/>
          <c:tx>
            <c:strRef>
              <c:f>'Avance 39'!$B$96</c:f>
              <c:strCache>
                <c:ptCount val="1"/>
                <c:pt idx="0">
                  <c:v>Desviación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9A27-4FD7-8EB6-0044B28376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587E92-9B1E-42DD-BF03-8EFAE804B29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9A27-4FD7-8EB6-0044B283762A}"/>
                </c:ext>
              </c:extLst>
            </c:dLbl>
            <c:dLbl>
              <c:idx val="2"/>
              <c:layout>
                <c:manualLayout>
                  <c:x val="-4.9754781266569729E-2"/>
                  <c:y val="6.424834334303027E-2"/>
                </c:manualLayout>
              </c:layout>
              <c:tx>
                <c:rich>
                  <a:bodyPr/>
                  <a:lstStyle/>
                  <a:p>
                    <a:fld id="{CB9EB9BB-B19F-4051-8BDC-576532332D8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9A27-4FD7-8EB6-0044B28376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D9BC52C-52F5-4970-9101-113C1C1951F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9A27-4FD7-8EB6-0044B283762A}"/>
                </c:ext>
              </c:extLst>
            </c:dLbl>
            <c:dLbl>
              <c:idx val="4"/>
              <c:layout>
                <c:manualLayout>
                  <c:x val="-3.3753353317618896E-2"/>
                  <c:y val="3.7247370822062677E-2"/>
                </c:manualLayout>
              </c:layout>
              <c:tx>
                <c:rich>
                  <a:bodyPr/>
                  <a:lstStyle/>
                  <a:p>
                    <a:fld id="{383DE865-043C-42EB-AF49-3B9D03313CB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1D3A-4DE6-93FD-CD53E955CE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8F3CE43-672A-49E2-A169-053EDF54DFA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9A27-4FD7-8EB6-0044B283762A}"/>
                </c:ext>
              </c:extLst>
            </c:dLbl>
            <c:dLbl>
              <c:idx val="6"/>
              <c:layout>
                <c:manualLayout>
                  <c:x val="-3.4433728994188485E-2"/>
                  <c:y val="7.2946969361033676E-2"/>
                </c:manualLayout>
              </c:layout>
              <c:tx>
                <c:rich>
                  <a:bodyPr/>
                  <a:lstStyle/>
                  <a:p>
                    <a:fld id="{35B98C1E-0D1B-4B7A-8155-03E08F66190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9A27-4FD7-8EB6-0044B28376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7DD70DE-E349-4D07-9900-E3764CF760F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9A27-4FD7-8EB6-0044B283762A}"/>
                </c:ext>
              </c:extLst>
            </c:dLbl>
            <c:dLbl>
              <c:idx val="8"/>
              <c:layout>
                <c:manualLayout>
                  <c:x val="-4.7768252284980814E-2"/>
                  <c:y val="6.5232405783614389E-2"/>
                </c:manualLayout>
              </c:layout>
              <c:tx>
                <c:rich>
                  <a:bodyPr/>
                  <a:lstStyle/>
                  <a:p>
                    <a:fld id="{F976B06D-BA5D-43F1-A757-2D435EA8554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9A27-4FD7-8EB6-0044B28376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EC069D6-D670-4891-89A1-967C32020DE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1D3A-4DE6-93FD-CD53E955CE5D}"/>
                </c:ext>
              </c:extLst>
            </c:dLbl>
            <c:dLbl>
              <c:idx val="10"/>
              <c:layout>
                <c:manualLayout>
                  <c:x val="-4.7768252284980814E-2"/>
                  <c:y val="3.4374151473937228E-2"/>
                </c:manualLayout>
              </c:layout>
              <c:tx>
                <c:rich>
                  <a:bodyPr/>
                  <a:lstStyle/>
                  <a:p>
                    <a:fld id="{5C876277-05C8-44B9-8D73-886654B74D3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9A27-4FD7-8EB6-0044B28376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4BCBF6B-D6B4-4C4C-BC17-10FF057E9D4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9A27-4FD7-8EB6-0044B283762A}"/>
                </c:ext>
              </c:extLst>
            </c:dLbl>
            <c:dLbl>
              <c:idx val="12"/>
              <c:layout>
                <c:manualLayout>
                  <c:x val="-3.4433728994188506E-2"/>
                  <c:y val="4.2088715051356515E-2"/>
                </c:manualLayout>
              </c:layout>
              <c:tx>
                <c:rich>
                  <a:bodyPr/>
                  <a:lstStyle/>
                  <a:p>
                    <a:fld id="{238394EA-D439-441E-83A6-4F0BDDAB2CA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9A27-4FD7-8EB6-0044B28376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DEBD52E-72D1-4FF5-B2EF-E8A58B52B8B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1D3A-4DE6-93FD-CD53E955CE5D}"/>
                </c:ext>
              </c:extLst>
            </c:dLbl>
            <c:dLbl>
              <c:idx val="14"/>
              <c:layout>
                <c:manualLayout>
                  <c:x val="-4.1754067292094306E-2"/>
                  <c:y val="-3.2183701374710931E-2"/>
                </c:manualLayout>
              </c:layout>
              <c:tx>
                <c:rich>
                  <a:bodyPr/>
                  <a:lstStyle/>
                  <a:p>
                    <a:fld id="{81EFBA2C-F369-4800-9E50-5616006B230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9A27-4FD7-8EB6-0044B283762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F1B37AD-0AC7-4E6A-8706-1256C54E0C5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9A27-4FD7-8EB6-0044B283762A}"/>
                </c:ext>
              </c:extLst>
            </c:dLbl>
            <c:dLbl>
              <c:idx val="16"/>
              <c:layout>
                <c:manualLayout>
                  <c:x val="-3.3753353317618945E-2"/>
                  <c:y val="4.1104652610772327E-2"/>
                </c:manualLayout>
              </c:layout>
              <c:tx>
                <c:rich>
                  <a:bodyPr/>
                  <a:lstStyle/>
                  <a:p>
                    <a:fld id="{58BBB4B4-1A90-4DA6-9194-F6AA8A5A7CE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9A27-4FD7-8EB6-0044B28376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AE1761C-B5EF-42C4-856A-5AC134609E9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1D3A-4DE6-93FD-CD53E955CE5D}"/>
                </c:ext>
              </c:extLst>
            </c:dLbl>
            <c:dLbl>
              <c:idx val="18"/>
              <c:layout>
                <c:manualLayout>
                  <c:x val="-3.3753353317618896E-2"/>
                  <c:y val="-1.2897292431162777E-2"/>
                </c:manualLayout>
              </c:layout>
              <c:tx>
                <c:rich>
                  <a:bodyPr/>
                  <a:lstStyle/>
                  <a:p>
                    <a:fld id="{2C3DE5E5-765E-46C9-A111-7EFFF2D39A1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9A27-4FD7-8EB6-0044B28376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95316F0-1B9B-44F4-9038-FB1350AE986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9A27-4FD7-8EB6-0044B283762A}"/>
                </c:ext>
              </c:extLst>
            </c:dLbl>
            <c:dLbl>
              <c:idx val="20"/>
              <c:layout>
                <c:manualLayout>
                  <c:x val="-3.3108886357312677E-2"/>
                  <c:y val="4.4029808587706318E-2"/>
                </c:manualLayout>
              </c:layout>
              <c:tx>
                <c:rich>
                  <a:bodyPr/>
                  <a:lstStyle/>
                  <a:p>
                    <a:fld id="{6F042D67-C9A2-458E-AB0C-219B0BF8DF5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9A27-4FD7-8EB6-0044B283762A}"/>
                </c:ext>
              </c:extLst>
            </c:dLbl>
            <c:dLbl>
              <c:idx val="21"/>
              <c:layout>
                <c:manualLayout>
                  <c:x val="-5.5217945958431984E-2"/>
                  <c:y val="-5.5140298754067681E-2"/>
                </c:manualLayout>
              </c:layout>
              <c:tx>
                <c:rich>
                  <a:bodyPr/>
                  <a:lstStyle/>
                  <a:p>
                    <a:fld id="{EDCB2BB7-9526-45CC-B635-DD3B04DBD9A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096874786726377E-2"/>
                      <c:h val="4.786765210598473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D3A-4DE6-93FD-CD53E955CE5D}"/>
                </c:ext>
              </c:extLst>
            </c:dLbl>
            <c:dLbl>
              <c:idx val="22"/>
              <c:layout>
                <c:manualLayout>
                  <c:x val="-4.3776504989946612E-2"/>
                  <c:y val="-2.1543981820357581E-2"/>
                </c:manualLayout>
              </c:layout>
              <c:tx>
                <c:rich>
                  <a:bodyPr/>
                  <a:lstStyle/>
                  <a:p>
                    <a:fld id="{8E18A0E3-AEA4-432E-AD35-F9A1A2C872A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9A27-4FD7-8EB6-0044B283762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0C3546E-466F-422E-8494-1296F7A879B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9A27-4FD7-8EB6-0044B283762A}"/>
                </c:ext>
              </c:extLst>
            </c:dLbl>
            <c:dLbl>
              <c:idx val="24"/>
              <c:layout>
                <c:manualLayout>
                  <c:x val="-3.6456376684533526E-2"/>
                  <c:y val="4.8871456539975572E-2"/>
                </c:manualLayout>
              </c:layout>
              <c:tx>
                <c:rich>
                  <a:bodyPr/>
                  <a:lstStyle/>
                  <a:p>
                    <a:fld id="{47E1DBB6-7BE5-4714-B44E-97FFA3327AB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768-43DA-811D-E7848A2FDFB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FA2F132-27ED-4343-AE1B-1395FD786D0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9A27-4FD7-8EB6-0044B283762A}"/>
                </c:ext>
              </c:extLst>
            </c:dLbl>
            <c:dLbl>
              <c:idx val="26"/>
              <c:layout>
                <c:manualLayout>
                  <c:x val="-5.2457804633484352E-2"/>
                  <c:y val="-3.2131461022926903E-2"/>
                </c:manualLayout>
              </c:layout>
              <c:tx>
                <c:rich>
                  <a:bodyPr/>
                  <a:lstStyle/>
                  <a:p>
                    <a:fld id="{A8CB7A5F-4457-44B2-A7E5-0A80D164DC9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9A27-4FD7-8EB6-0044B283762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4713AE43-9800-4A71-8ADC-81D6A6B5A34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9A27-4FD7-8EB6-0044B283762A}"/>
                </c:ext>
              </c:extLst>
            </c:dLbl>
            <c:dLbl>
              <c:idx val="28"/>
              <c:layout>
                <c:manualLayout>
                  <c:x val="-3.9123281342691996E-2"/>
                  <c:y val="4.5014174751266067E-2"/>
                </c:manualLayout>
              </c:layout>
              <c:tx>
                <c:rich>
                  <a:bodyPr/>
                  <a:lstStyle/>
                  <a:p>
                    <a:fld id="{ABC9AAC4-4EE8-41C4-8E0D-7476D102642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C3A-4FFD-B123-19112D4411B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1D0DD86-E4C4-4056-A1A8-AFA6F535727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9A27-4FD7-8EB6-0044B283762A}"/>
                </c:ext>
              </c:extLst>
            </c:dLbl>
            <c:dLbl>
              <c:idx val="30"/>
              <c:layout>
                <c:manualLayout>
                  <c:x val="-4.9790899975325979E-2"/>
                  <c:y val="-3.984602460034619E-2"/>
                </c:manualLayout>
              </c:layout>
              <c:tx>
                <c:rich>
                  <a:bodyPr/>
                  <a:lstStyle/>
                  <a:p>
                    <a:fld id="{F99464F0-639D-4538-8DF5-53D8632496F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F7B-4A6F-9CF3-98894CD480B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94274539-8D52-43DD-A380-BE5907D50EC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9A27-4FD7-8EB6-0044B283762A}"/>
                </c:ext>
              </c:extLst>
            </c:dLbl>
            <c:dLbl>
              <c:idx val="32"/>
              <c:layout>
                <c:manualLayout>
                  <c:x val="-4.1790186000850472E-2"/>
                  <c:y val="4.1156892962556424E-2"/>
                </c:manualLayout>
              </c:layout>
              <c:tx>
                <c:rich>
                  <a:bodyPr/>
                  <a:lstStyle/>
                  <a:p>
                    <a:fld id="{0B481AC8-7EA8-4620-BE5D-A3E349FD427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F7B-4A6F-9CF3-98894CD480B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556869ED-3066-400D-A5FC-69F0764B3EB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9A27-4FD7-8EB6-0044B283762A}"/>
                </c:ext>
              </c:extLst>
            </c:dLbl>
            <c:dLbl>
              <c:idx val="34"/>
              <c:layout>
                <c:manualLayout>
                  <c:x val="-4.7123995317167509E-2"/>
                  <c:y val="-4.3703306389055771E-2"/>
                </c:manualLayout>
              </c:layout>
              <c:tx>
                <c:rich>
                  <a:bodyPr/>
                  <a:lstStyle/>
                  <a:p>
                    <a:fld id="{F1106258-3EE7-4243-91BC-1715A43AA5D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F7B-4A6F-9CF3-98894CD480B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22C43006-8CBB-4736-9452-242EE487C0E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9A27-4FD7-8EB6-0044B283762A}"/>
                </c:ext>
              </c:extLst>
            </c:dLbl>
            <c:dLbl>
              <c:idx val="36"/>
              <c:layout>
                <c:manualLayout>
                  <c:x val="-4.179018600085057E-2"/>
                  <c:y val="3.7299611173846781E-2"/>
                </c:manualLayout>
              </c:layout>
              <c:tx>
                <c:rich>
                  <a:bodyPr/>
                  <a:lstStyle/>
                  <a:p>
                    <a:fld id="{EB154672-D144-492E-B853-40EBC1C2372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9A27-4FD7-8EB6-0044B283762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A15ABB11-81A8-4929-966C-C2A67FF19F1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7287-4C38-9E80-991BA644F50E}"/>
                </c:ext>
              </c:extLst>
            </c:dLbl>
            <c:dLbl>
              <c:idx val="38"/>
              <c:layout>
                <c:manualLayout>
                  <c:x val="-5.5124709291642822E-2"/>
                  <c:y val="-4.3703306389055771E-2"/>
                </c:manualLayout>
              </c:layout>
              <c:tx>
                <c:rich>
                  <a:bodyPr/>
                  <a:lstStyle/>
                  <a:p>
                    <a:fld id="{1EAA1B94-476A-4133-BBCB-79D104B794F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9A27-4FD7-8EB6-0044B283762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3857AAC9-DB0A-41A2-B03B-3034D487DC4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9A27-4FD7-8EB6-0044B283762A}"/>
                </c:ext>
              </c:extLst>
            </c:dLbl>
            <c:dLbl>
              <c:idx val="40"/>
              <c:layout>
                <c:manualLayout>
                  <c:x val="-3.9123281342691996E-2"/>
                  <c:y val="4.5014174751266067E-2"/>
                </c:manualLayout>
              </c:layout>
              <c:tx>
                <c:rich>
                  <a:bodyPr/>
                  <a:lstStyle/>
                  <a:p>
                    <a:fld id="{C00A146E-4EF6-4E3F-BEAE-19B9B71C4A0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9A27-4FD7-8EB6-0044B283762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101869D8-D5DD-49BF-BBFC-28C57022E21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F07-4E92-A4F4-B77748231E5C}"/>
                </c:ext>
              </c:extLst>
            </c:dLbl>
            <c:dLbl>
              <c:idx val="42"/>
              <c:layout>
                <c:manualLayout>
                  <c:x val="-5.2457804633484352E-2"/>
                  <c:y val="-4.7560588177765345E-2"/>
                </c:manualLayout>
              </c:layout>
              <c:tx>
                <c:rich>
                  <a:bodyPr/>
                  <a:lstStyle/>
                  <a:p>
                    <a:fld id="{3CA2388E-7187-431E-A265-55BE3B6F11A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9A27-4FD7-8EB6-0044B283762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21E274E0-1447-4C61-91A4-92CC990E8FB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C-9A27-4FD7-8EB6-0044B283762A}"/>
                </c:ext>
              </c:extLst>
            </c:dLbl>
            <c:dLbl>
              <c:idx val="44"/>
              <c:layout>
                <c:manualLayout>
                  <c:x val="-3.91232813426921E-2"/>
                  <c:y val="4.5014174751266067E-2"/>
                </c:manualLayout>
              </c:layout>
              <c:tx>
                <c:rich>
                  <a:bodyPr/>
                  <a:lstStyle/>
                  <a:p>
                    <a:fld id="{DD68CCC8-3D4F-4684-B243-7DFB961B01D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9A27-4FD7-8EB6-0044B283762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75BBF2CF-FB97-45E9-9C6B-83E602B4FD1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40F-475F-AA45-3D79B913D335}"/>
                </c:ext>
              </c:extLst>
            </c:dLbl>
            <c:dLbl>
              <c:idx val="46"/>
              <c:layout>
                <c:manualLayout>
                  <c:x val="-5.7791613949801389E-2"/>
                  <c:y val="-3.984602460034619E-2"/>
                </c:manualLayout>
              </c:layout>
              <c:tx>
                <c:rich>
                  <a:bodyPr/>
                  <a:lstStyle/>
                  <a:p>
                    <a:fld id="{00928E2C-079D-4098-A6DD-555106FB125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9A27-4FD7-8EB6-0044B283762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974136CF-87C4-43CE-94DF-D9AB56FC6B3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9A27-4FD7-8EB6-0044B283762A}"/>
                </c:ext>
              </c:extLst>
            </c:dLbl>
            <c:dLbl>
              <c:idx val="48"/>
              <c:layout>
                <c:manualLayout>
                  <c:x val="-3.91232813426921E-2"/>
                  <c:y val="4.5014174751266067E-2"/>
                </c:manualLayout>
              </c:layout>
              <c:tx>
                <c:rich>
                  <a:bodyPr/>
                  <a:lstStyle/>
                  <a:p>
                    <a:fld id="{10C38DAC-C058-416D-BC6D-3762E81906C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9A27-4FD7-8EB6-0044B283762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4E10C18C-5609-45EF-9C79-45D8DC369CE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9A27-4FD7-8EB6-0044B283762A}"/>
                </c:ext>
              </c:extLst>
            </c:dLbl>
            <c:dLbl>
              <c:idx val="50"/>
              <c:layout>
                <c:manualLayout>
                  <c:x val="-6.8459232582435178E-2"/>
                  <c:y val="-3.9846024600346051E-2"/>
                </c:manualLayout>
              </c:layout>
              <c:tx>
                <c:rich>
                  <a:bodyPr/>
                  <a:lstStyle/>
                  <a:p>
                    <a:fld id="{0E7077AE-1C08-4A10-95B9-990B961F51A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728-4889-9951-DE41BFAEE6E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1C3B2018-FE82-42D7-BCAA-2C901B53483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5C0-4680-B7A4-886FDBF78696}"/>
                </c:ext>
              </c:extLst>
            </c:dLbl>
            <c:dLbl>
              <c:idx val="52"/>
              <c:layout>
                <c:manualLayout>
                  <c:x val="-3.6507487646899393E-2"/>
                  <c:y val="5.6758615508203734E-2"/>
                </c:manualLayout>
              </c:layout>
              <c:tx>
                <c:rich>
                  <a:bodyPr/>
                  <a:lstStyle/>
                  <a:p>
                    <a:fld id="{77234CB1-786B-4ACA-B0B2-D97C2FC41DC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5C0-4680-B7A4-886FDBF78696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CC7C3AE9-462C-44D6-AE70-544F0E5AA62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5C0-4680-B7A4-886FDBF78696}"/>
                </c:ext>
              </c:extLst>
            </c:dLbl>
            <c:dLbl>
              <c:idx val="54"/>
              <c:layout>
                <c:manualLayout>
                  <c:x val="-1.2450825348980307E-2"/>
                  <c:y val="2.576599447193673E-2"/>
                </c:manualLayout>
              </c:layout>
              <c:tx>
                <c:rich>
                  <a:bodyPr/>
                  <a:lstStyle/>
                  <a:p>
                    <a:fld id="{1D58AE00-39B1-408E-99AC-340D366E03E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5C0-4680-B7A4-886FDBF78696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C552F783-B12C-48D8-AAFD-93247A8312C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3C4-424F-91DA-0E6FAFD46296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D58A9061-C672-4DD8-9FA2-BF202F0C52A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3C4-424F-91DA-0E6FAFD46296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365EF428-81FB-458E-8DA5-5D3FED0DDC9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3C4-424F-91DA-0E6FAFD46296}"/>
                </c:ext>
              </c:extLst>
            </c:dLbl>
            <c:dLbl>
              <c:idx val="58"/>
              <c:layout>
                <c:manualLayout>
                  <c:x val="-2.5826569897644796E-2"/>
                  <c:y val="1.0217496966360425E-2"/>
                </c:manualLayout>
              </c:layout>
              <c:tx>
                <c:rich>
                  <a:bodyPr/>
                  <a:lstStyle/>
                  <a:p>
                    <a:fld id="{ECF31C16-3A66-4F50-B8B4-B4E11698C52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3C4-424F-91DA-0E6FAFD46296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81F-40B0-A6B4-DD49EE32B7F0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s-VE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81F-40B0-A6B4-DD49EE32B7F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39'!$H$97:$BP$97</c:f>
              <c:numCache>
                <c:formatCode>0.0%</c:formatCode>
                <c:ptCount val="61"/>
                <c:pt idx="0">
                  <c:v>0</c:v>
                </c:pt>
                <c:pt idx="1">
                  <c:v>5.5587876296452905E-2</c:v>
                </c:pt>
                <c:pt idx="2">
                  <c:v>7.0230305938819584E-2</c:v>
                </c:pt>
                <c:pt idx="3">
                  <c:v>6.3663782470703978E-2</c:v>
                </c:pt>
                <c:pt idx="4">
                  <c:v>7.7058472040542586E-2</c:v>
                </c:pt>
                <c:pt idx="5">
                  <c:v>6.8844390126183819E-2</c:v>
                </c:pt>
                <c:pt idx="6">
                  <c:v>0.15871401203756119</c:v>
                </c:pt>
                <c:pt idx="7">
                  <c:v>0.17423244050376069</c:v>
                </c:pt>
                <c:pt idx="8">
                  <c:v>0.18451993750137163</c:v>
                </c:pt>
                <c:pt idx="9">
                  <c:v>0.18011282285099933</c:v>
                </c:pt>
                <c:pt idx="10">
                  <c:v>0.14765191165661606</c:v>
                </c:pt>
                <c:pt idx="11">
                  <c:v>0.1192796046315393</c:v>
                </c:pt>
                <c:pt idx="12">
                  <c:v>0.11199326957011219</c:v>
                </c:pt>
                <c:pt idx="13">
                  <c:v>9.415894976052569E-2</c:v>
                </c:pt>
                <c:pt idx="14">
                  <c:v>9.2552259466212927E-2</c:v>
                </c:pt>
                <c:pt idx="15">
                  <c:v>8.4775277821941053E-2</c:v>
                </c:pt>
                <c:pt idx="16">
                  <c:v>8.3173214283625341E-2</c:v>
                </c:pt>
                <c:pt idx="17">
                  <c:v>6.8443520768428523E-2</c:v>
                </c:pt>
                <c:pt idx="18">
                  <c:v>4.6469076949618104E-2</c:v>
                </c:pt>
                <c:pt idx="19">
                  <c:v>2.2237742956841888E-2</c:v>
                </c:pt>
                <c:pt idx="20">
                  <c:v>-9.4765363582937079E-3</c:v>
                </c:pt>
                <c:pt idx="21">
                  <c:v>-3.8761986509095014E-2</c:v>
                </c:pt>
                <c:pt idx="22">
                  <c:v>-6.6940298262612052E-2</c:v>
                </c:pt>
                <c:pt idx="23">
                  <c:v>-9.7730573298517309E-2</c:v>
                </c:pt>
                <c:pt idx="24">
                  <c:v>-0.11384072148228019</c:v>
                </c:pt>
                <c:pt idx="25">
                  <c:v>-0.14071757617014391</c:v>
                </c:pt>
                <c:pt idx="26">
                  <c:v>-0.16424124839480037</c:v>
                </c:pt>
                <c:pt idx="27">
                  <c:v>-0.17006087641326972</c:v>
                </c:pt>
                <c:pt idx="28">
                  <c:v>-0.18888784315809204</c:v>
                </c:pt>
                <c:pt idx="29">
                  <c:v>-0.2106375863844796</c:v>
                </c:pt>
                <c:pt idx="30">
                  <c:v>-0.21644701772045394</c:v>
                </c:pt>
                <c:pt idx="31">
                  <c:v>-0.21669773514581148</c:v>
                </c:pt>
                <c:pt idx="32">
                  <c:v>-0.21269248098861437</c:v>
                </c:pt>
                <c:pt idx="33">
                  <c:v>-0.21047058889235926</c:v>
                </c:pt>
                <c:pt idx="34">
                  <c:v>-0.2095336414392911</c:v>
                </c:pt>
                <c:pt idx="35">
                  <c:v>-0.20943994669398425</c:v>
                </c:pt>
                <c:pt idx="36">
                  <c:v>-0.20939309932133088</c:v>
                </c:pt>
                <c:pt idx="37">
                  <c:v>-0.20939309932133088</c:v>
                </c:pt>
                <c:pt idx="38">
                  <c:v>-0.20734725732389736</c:v>
                </c:pt>
                <c:pt idx="39">
                  <c:v>-0.20625415196198449</c:v>
                </c:pt>
                <c:pt idx="40">
                  <c:v>-0.20625415196198449</c:v>
                </c:pt>
                <c:pt idx="41">
                  <c:v>-0.20486434657326669</c:v>
                </c:pt>
                <c:pt idx="42">
                  <c:v>-0.20486434657326669</c:v>
                </c:pt>
                <c:pt idx="43">
                  <c:v>-0.20189441843579126</c:v>
                </c:pt>
                <c:pt idx="44">
                  <c:v>-0.19846451762842232</c:v>
                </c:pt>
                <c:pt idx="45">
                  <c:v>-0.19394151145914051</c:v>
                </c:pt>
                <c:pt idx="46">
                  <c:v>-0.1888341812912675</c:v>
                </c:pt>
                <c:pt idx="47">
                  <c:v>-0.18701090766182971</c:v>
                </c:pt>
                <c:pt idx="48">
                  <c:v>-0.18701090766182971</c:v>
                </c:pt>
                <c:pt idx="49">
                  <c:v>-0.18149932777268662</c:v>
                </c:pt>
                <c:pt idx="50">
                  <c:v>-0.17879301705553363</c:v>
                </c:pt>
                <c:pt idx="51">
                  <c:v>-0.17750996820419762</c:v>
                </c:pt>
                <c:pt idx="52">
                  <c:v>-0.17685015769143675</c:v>
                </c:pt>
                <c:pt idx="53">
                  <c:v>-0.17669399978259204</c:v>
                </c:pt>
                <c:pt idx="54">
                  <c:v>-0.17581823849365696</c:v>
                </c:pt>
                <c:pt idx="55">
                  <c:v>-0.17550592267596765</c:v>
                </c:pt>
                <c:pt idx="56">
                  <c:v>-0.16566430217480521</c:v>
                </c:pt>
                <c:pt idx="57">
                  <c:v>-0.16535198635711579</c:v>
                </c:pt>
                <c:pt idx="58">
                  <c:v>-0.16503967053942636</c:v>
                </c:pt>
                <c:pt idx="59">
                  <c:v>-0.16347594441160485</c:v>
                </c:pt>
                <c:pt idx="60">
                  <c:v>-0.16208596563131905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39'!$H$109:$BN$109</c15:f>
                <c15:dlblRangeCache>
                  <c:ptCount val="59"/>
                  <c:pt idx="0">
                    <c:v>0,0%</c:v>
                  </c:pt>
                  <c:pt idx="2">
                    <c:v>7,0%</c:v>
                  </c:pt>
                  <c:pt idx="4">
                    <c:v>7,7%</c:v>
                  </c:pt>
                  <c:pt idx="6">
                    <c:v>15,9%</c:v>
                  </c:pt>
                  <c:pt idx="8">
                    <c:v>18,5%</c:v>
                  </c:pt>
                  <c:pt idx="10">
                    <c:v>14,8%</c:v>
                  </c:pt>
                  <c:pt idx="12">
                    <c:v>11,2%</c:v>
                  </c:pt>
                  <c:pt idx="14">
                    <c:v>9,3%</c:v>
                  </c:pt>
                  <c:pt idx="16">
                    <c:v>8,3%</c:v>
                  </c:pt>
                  <c:pt idx="18">
                    <c:v>4,6%</c:v>
                  </c:pt>
                  <c:pt idx="20">
                    <c:v>-0,9%</c:v>
                  </c:pt>
                  <c:pt idx="22">
                    <c:v>-6,7%</c:v>
                  </c:pt>
                  <c:pt idx="24">
                    <c:v>-11,4%</c:v>
                  </c:pt>
                  <c:pt idx="26">
                    <c:v>-16,4%</c:v>
                  </c:pt>
                  <c:pt idx="28">
                    <c:v>-18,9%</c:v>
                  </c:pt>
                  <c:pt idx="30">
                    <c:v>-21,6%</c:v>
                  </c:pt>
                  <c:pt idx="32">
                    <c:v>-21,3%</c:v>
                  </c:pt>
                  <c:pt idx="34">
                    <c:v>-21,0%</c:v>
                  </c:pt>
                  <c:pt idx="36">
                    <c:v>-20,9%</c:v>
                  </c:pt>
                  <c:pt idx="38">
                    <c:v>-20,7%</c:v>
                  </c:pt>
                  <c:pt idx="40">
                    <c:v>-20,6%</c:v>
                  </c:pt>
                  <c:pt idx="42">
                    <c:v>-20,5%</c:v>
                  </c:pt>
                  <c:pt idx="44">
                    <c:v>-19,8%</c:v>
                  </c:pt>
                  <c:pt idx="46">
                    <c:v>-18,9%</c:v>
                  </c:pt>
                  <c:pt idx="48">
                    <c:v>-18,7%</c:v>
                  </c:pt>
                  <c:pt idx="50">
                    <c:v>-17,9%</c:v>
                  </c:pt>
                  <c:pt idx="52">
                    <c:v>-17,7%</c:v>
                  </c:pt>
                  <c:pt idx="54">
                    <c:v>-17,6%</c:v>
                  </c:pt>
                  <c:pt idx="56">
                    <c:v>-16,6%</c:v>
                  </c:pt>
                  <c:pt idx="58">
                    <c:v>-16,5%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1D3A-4DE6-93FD-CD53E955CE5D}"/>
            </c:ext>
          </c:extLst>
        </c:ser>
        <c:ser>
          <c:idx val="3"/>
          <c:order val="3"/>
          <c:tx>
            <c:v>Líneas Guía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.1000000000000001"/>
            <c:spPr>
              <a:noFill/>
              <a:ln w="6350" cap="flat" cmpd="sng" algn="ctr">
                <a:solidFill>
                  <a:schemeClr val="tx1"/>
                </a:solidFill>
                <a:prstDash val="lgDashDotDot"/>
                <a:round/>
              </a:ln>
              <a:effectLst/>
            </c:spPr>
          </c:errBar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39'!$H$111:$BP$111</c:f>
              <c:numCache>
                <c:formatCode>0.0%</c:formatCode>
                <c:ptCount val="61"/>
                <c:pt idx="0">
                  <c:v>0</c:v>
                </c:pt>
                <c:pt idx="1">
                  <c:v>#N/A</c:v>
                </c:pt>
                <c:pt idx="2">
                  <c:v>0.12581393398292939</c:v>
                </c:pt>
                <c:pt idx="3">
                  <c:v>#N/A</c:v>
                </c:pt>
                <c:pt idx="4">
                  <c:v>0.20587010599124519</c:v>
                </c:pt>
                <c:pt idx="5">
                  <c:v>#N/A</c:v>
                </c:pt>
                <c:pt idx="6">
                  <c:v>0.36531350655976202</c:v>
                </c:pt>
                <c:pt idx="7">
                  <c:v>#N/A</c:v>
                </c:pt>
                <c:pt idx="8">
                  <c:v>0.4546649697618762</c:v>
                </c:pt>
                <c:pt idx="9">
                  <c:v>#N/A</c:v>
                </c:pt>
                <c:pt idx="10">
                  <c:v>0.50858532668640044</c:v>
                </c:pt>
                <c:pt idx="11">
                  <c:v>#N/A</c:v>
                </c:pt>
                <c:pt idx="12">
                  <c:v>0.54887209851902818</c:v>
                </c:pt>
                <c:pt idx="13">
                  <c:v>#N/A</c:v>
                </c:pt>
                <c:pt idx="14">
                  <c:v>0.58768563409806485</c:v>
                </c:pt>
                <c:pt idx="15">
                  <c:v>#N/A</c:v>
                </c:pt>
                <c:pt idx="16">
                  <c:v>0.63501553315235137</c:v>
                </c:pt>
                <c:pt idx="17">
                  <c:v>#N/A</c:v>
                </c:pt>
                <c:pt idx="18">
                  <c:v>0.67047868711639536</c:v>
                </c:pt>
                <c:pt idx="19">
                  <c:v>#N/A</c:v>
                </c:pt>
                <c:pt idx="20">
                  <c:v>0.69870687896218853</c:v>
                </c:pt>
                <c:pt idx="21">
                  <c:v>#N/A</c:v>
                </c:pt>
                <c:pt idx="22">
                  <c:v>0.71863911968354177</c:v>
                </c:pt>
                <c:pt idx="23">
                  <c:v>#N/A</c:v>
                </c:pt>
                <c:pt idx="24">
                  <c:v>0.73406880449813894</c:v>
                </c:pt>
                <c:pt idx="25">
                  <c:v>#N/A</c:v>
                </c:pt>
                <c:pt idx="26">
                  <c:v>0.73890027151526771</c:v>
                </c:pt>
                <c:pt idx="27">
                  <c:v>#N/A</c:v>
                </c:pt>
                <c:pt idx="28">
                  <c:v>0.77140500744683993</c:v>
                </c:pt>
                <c:pt idx="29">
                  <c:v>#N/A</c:v>
                </c:pt>
                <c:pt idx="30">
                  <c:v>0.78086495454124094</c:v>
                </c:pt>
                <c:pt idx="31">
                  <c:v>#N/A</c:v>
                </c:pt>
                <c:pt idx="32">
                  <c:v>0.78730751901138585</c:v>
                </c:pt>
                <c:pt idx="33">
                  <c:v>#N/A</c:v>
                </c:pt>
                <c:pt idx="34">
                  <c:v>0.79046635856070913</c:v>
                </c:pt>
                <c:pt idx="35">
                  <c:v>#N/A</c:v>
                </c:pt>
                <c:pt idx="36">
                  <c:v>0.79060690067866934</c:v>
                </c:pt>
                <c:pt idx="37">
                  <c:v>#N/A</c:v>
                </c:pt>
                <c:pt idx="38">
                  <c:v>0.79265274267610286</c:v>
                </c:pt>
                <c:pt idx="39">
                  <c:v>#N/A</c:v>
                </c:pt>
                <c:pt idx="40">
                  <c:v>0.79374584803801573</c:v>
                </c:pt>
                <c:pt idx="41">
                  <c:v>#N/A</c:v>
                </c:pt>
                <c:pt idx="42">
                  <c:v>0.79513565342673354</c:v>
                </c:pt>
                <c:pt idx="43">
                  <c:v>#N/A</c:v>
                </c:pt>
                <c:pt idx="44">
                  <c:v>0.8015354823715779</c:v>
                </c:pt>
                <c:pt idx="45">
                  <c:v>#N/A</c:v>
                </c:pt>
                <c:pt idx="46">
                  <c:v>0.81116581870873272</c:v>
                </c:pt>
                <c:pt idx="47">
                  <c:v>#N/A</c:v>
                </c:pt>
                <c:pt idx="48">
                  <c:v>0.81298909233817052</c:v>
                </c:pt>
                <c:pt idx="49">
                  <c:v>#N/A</c:v>
                </c:pt>
                <c:pt idx="50">
                  <c:v>0.82120698294446659</c:v>
                </c:pt>
                <c:pt idx="51">
                  <c:v>#N/A</c:v>
                </c:pt>
                <c:pt idx="52">
                  <c:v>0.82314984230856347</c:v>
                </c:pt>
                <c:pt idx="53">
                  <c:v>#N/A</c:v>
                </c:pt>
                <c:pt idx="54">
                  <c:v>0.82418176150634326</c:v>
                </c:pt>
                <c:pt idx="55">
                  <c:v>#N/A</c:v>
                </c:pt>
                <c:pt idx="56">
                  <c:v>0.83433569782519501</c:v>
                </c:pt>
                <c:pt idx="57">
                  <c:v>#N/A</c:v>
                </c:pt>
                <c:pt idx="58">
                  <c:v>0.83496032946057386</c:v>
                </c:pt>
                <c:pt idx="59">
                  <c:v>#N/A</c:v>
                </c:pt>
                <c:pt idx="60">
                  <c:v>0.83791403436868117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A27-4FD7-8EB6-0044B2837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7684367"/>
        <c:axId val="1297684783"/>
      </c:lineChart>
      <c:catAx>
        <c:axId val="129768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783"/>
        <c:crosses val="autoZero"/>
        <c:auto val="1"/>
        <c:lblAlgn val="ctr"/>
        <c:lblOffset val="200"/>
        <c:tickLblSkip val="2"/>
        <c:noMultiLvlLbl val="0"/>
      </c:catAx>
      <c:valAx>
        <c:axId val="1297684783"/>
        <c:scaling>
          <c:orientation val="minMax"/>
          <c:max val="1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367"/>
        <c:crosses val="autoZero"/>
        <c:crossBetween val="between"/>
        <c:majorUnit val="0.1"/>
      </c:valAx>
      <c:spPr>
        <a:noFill/>
        <a:ln w="2540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7.5748748944814176E-2"/>
          <c:y val="6.0658433885744231E-3"/>
          <c:w val="0.18783745740156305"/>
          <c:h val="0.13517491765089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9754320338939448E-2"/>
          <c:y val="0"/>
          <c:w val="0.93915751225327426"/>
          <c:h val="0.98771631703716445"/>
        </c:manualLayout>
      </c:layout>
      <c:doughnutChart>
        <c:varyColors val="1"/>
        <c:ser>
          <c:idx val="0"/>
          <c:order val="0"/>
          <c:tx>
            <c:strRef>
              <c:f>'Dashboard Turbina'!$X$4</c:f>
              <c:strCache>
                <c:ptCount val="1"/>
                <c:pt idx="0">
                  <c:v>Plan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8A-4E24-BD31-C95513EFFB77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38A-4E24-BD31-C95513EFFB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8A-4E24-BD31-C95513EFFB7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77950473780087"/>
                      <c:h val="0.178667945663972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38A-4E24-BD31-C95513EFFB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'Dashboard Turbina'!$X$5:$X$7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A-4E24-BD31-C95513EFF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catterChart>
        <c:scatterStyle val="lineMarker"/>
        <c:varyColors val="0"/>
        <c:ser>
          <c:idx val="1"/>
          <c:order val="1"/>
          <c:tx>
            <c:strRef>
              <c:f>'Dashboard Turbina'!$Y$4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'Dashboard Turbina'!$X$10:$X$11</c:f>
              <c:numCache>
                <c:formatCode>0.00</c:formatCode>
                <c:ptCount val="2"/>
                <c:pt idx="0">
                  <c:v>0</c:v>
                </c:pt>
                <c:pt idx="1">
                  <c:v>0.31084944856662577</c:v>
                </c:pt>
              </c:numCache>
            </c:numRef>
          </c:xVal>
          <c:yVal>
            <c:numRef>
              <c:f>'Dashboard Turbina'!$Y$10:$Y$11</c:f>
              <c:numCache>
                <c:formatCode>0.00</c:formatCode>
                <c:ptCount val="2"/>
                <c:pt idx="0">
                  <c:v>0</c:v>
                </c:pt>
                <c:pt idx="1">
                  <c:v>0.95045916289224375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8A-4E24-BD31-C95513EFF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199983"/>
        <c:axId val="1055202063"/>
      </c:scatterChart>
      <c:valAx>
        <c:axId val="1055199983"/>
        <c:scaling>
          <c:orientation val="minMax"/>
          <c:max val="1"/>
          <c:min val="-1"/>
        </c:scaling>
        <c:delete val="1"/>
        <c:axPos val="b"/>
        <c:numFmt formatCode="0.00" sourceLinked="1"/>
        <c:majorTickMark val="out"/>
        <c:minorTickMark val="none"/>
        <c:tickLblPos val="nextTo"/>
        <c:crossAx val="1055202063"/>
        <c:crosses val="autoZero"/>
        <c:crossBetween val="midCat"/>
      </c:valAx>
      <c:valAx>
        <c:axId val="1055202063"/>
        <c:scaling>
          <c:orientation val="minMax"/>
          <c:max val="1"/>
          <c:min val="-1"/>
        </c:scaling>
        <c:delete val="1"/>
        <c:axPos val="l"/>
        <c:numFmt formatCode="0.00" sourceLinked="1"/>
        <c:majorTickMark val="out"/>
        <c:minorTickMark val="none"/>
        <c:tickLblPos val="nextTo"/>
        <c:crossAx val="105519998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ayout>
        <c:manualLayout>
          <c:xMode val="edge"/>
          <c:yMode val="edge"/>
          <c:x val="8.6234075467676891E-2"/>
          <c:y val="0.58975642259348882"/>
          <c:w val="0.7893717641093102"/>
          <c:h val="0.13577913882825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9754330708661418E-2"/>
          <c:y val="2.5376577419042225E-2"/>
          <c:w val="0.97249081364829426"/>
          <c:h val="0.92544331581949879"/>
        </c:manualLayout>
      </c:layout>
      <c:doughnutChart>
        <c:varyColors val="1"/>
        <c:ser>
          <c:idx val="0"/>
          <c:order val="0"/>
          <c:tx>
            <c:strRef>
              <c:f>'Dashboard Turbina'!$X$4</c:f>
              <c:strCache>
                <c:ptCount val="1"/>
                <c:pt idx="0">
                  <c:v>Plan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7D-4C0B-9483-6C02B337D58E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7D-4C0B-9483-6C02B337D58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7D-4C0B-9483-6C02B337D58E}"/>
              </c:ext>
            </c:extLst>
          </c:dPt>
          <c:dLbls>
            <c:dLbl>
              <c:idx val="0"/>
              <c:layout>
                <c:manualLayout>
                  <c:x val="-2.9304025547572582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271084028460027"/>
                      <c:h val="0.140024709281788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47D-4C0B-9483-6C02B337D5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'Dashboard Turbina'!$X$5:$X$7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7D-4C0B-9483-6C02B337D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catterChart>
        <c:scatterStyle val="lineMarker"/>
        <c:varyColors val="0"/>
        <c:ser>
          <c:idx val="1"/>
          <c:order val="1"/>
          <c:tx>
            <c:strRef>
              <c:f>'Dashboard Turbina'!$Y$4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'Dashboard Turbina'!$X$10:$X$11</c:f>
              <c:numCache>
                <c:formatCode>0.00</c:formatCode>
                <c:ptCount val="2"/>
                <c:pt idx="0">
                  <c:v>0</c:v>
                </c:pt>
                <c:pt idx="1">
                  <c:v>0.31084944856662577</c:v>
                </c:pt>
              </c:numCache>
            </c:numRef>
          </c:xVal>
          <c:yVal>
            <c:numRef>
              <c:f>'Dashboard Turbina'!$Y$10:$Y$11</c:f>
              <c:numCache>
                <c:formatCode>0.00</c:formatCode>
                <c:ptCount val="2"/>
                <c:pt idx="0">
                  <c:v>0</c:v>
                </c:pt>
                <c:pt idx="1">
                  <c:v>0.95045916289224375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47D-4C0B-9483-6C02B337D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199983"/>
        <c:axId val="1055202063"/>
      </c:scatterChart>
      <c:valAx>
        <c:axId val="1055199983"/>
        <c:scaling>
          <c:orientation val="minMax"/>
          <c:max val="1"/>
          <c:min val="-1"/>
        </c:scaling>
        <c:delete val="1"/>
        <c:axPos val="b"/>
        <c:numFmt formatCode="0.00" sourceLinked="1"/>
        <c:majorTickMark val="out"/>
        <c:minorTickMark val="none"/>
        <c:tickLblPos val="nextTo"/>
        <c:crossAx val="1055202063"/>
        <c:crosses val="autoZero"/>
        <c:crossBetween val="midCat"/>
      </c:valAx>
      <c:valAx>
        <c:axId val="1055202063"/>
        <c:scaling>
          <c:orientation val="minMax"/>
          <c:max val="1"/>
          <c:min val="-1"/>
        </c:scaling>
        <c:delete val="1"/>
        <c:axPos val="l"/>
        <c:numFmt formatCode="0.00" sourceLinked="1"/>
        <c:majorTickMark val="out"/>
        <c:minorTickMark val="none"/>
        <c:tickLblPos val="nextTo"/>
        <c:crossAx val="105519998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ayout>
        <c:manualLayout>
          <c:xMode val="edge"/>
          <c:yMode val="edge"/>
          <c:x val="0.12623412073490811"/>
          <c:y val="0.58975642259348882"/>
          <c:w val="0.76937217847769013"/>
          <c:h val="0.10506452544301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329847375424833E-2"/>
          <c:y val="3.1997806970394102E-2"/>
          <c:w val="0.90221232378174776"/>
          <c:h val="0.77320512990266188"/>
        </c:manualLayout>
      </c:layout>
      <c:lineChart>
        <c:grouping val="standard"/>
        <c:varyColors val="0"/>
        <c:ser>
          <c:idx val="0"/>
          <c:order val="0"/>
          <c:tx>
            <c:strRef>
              <c:f>'Dashboard Turbina'!$X$4</c:f>
              <c:strCache>
                <c:ptCount val="1"/>
                <c:pt idx="0">
                  <c:v>Plan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F46-47D1-9257-C34730E8A7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0BE4C54-CB3E-4EE2-A0A3-E9276745515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DF46-47D1-9257-C34730E8A7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82862C7-D3D0-4C88-B2BA-B364DBB738B3}" type="CELLRANGE">
                      <a:rPr lang="es-E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DF46-47D1-9257-C34730E8A7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37A4291-9543-4CC2-A179-1255FF62FA8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DF46-47D1-9257-C34730E8A7C2}"/>
                </c:ext>
              </c:extLst>
            </c:dLbl>
            <c:dLbl>
              <c:idx val="4"/>
              <c:layout>
                <c:manualLayout>
                  <c:x val="-7.0608310050064391E-2"/>
                  <c:y val="-9.3387731891420217E-2"/>
                </c:manualLayout>
              </c:layout>
              <c:tx>
                <c:rich>
                  <a:bodyPr/>
                  <a:lstStyle/>
                  <a:p>
                    <a:fld id="{4C4E99C1-62F9-4465-A8D7-9BE6F77D738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DF46-47D1-9257-C34730E8A7C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D53C9C-1357-4546-9E0D-78804F9EA44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DF46-47D1-9257-C34730E8A7C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1E298D1-29F0-4F7F-B0B0-6351656D592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DF46-47D1-9257-C34730E8A7C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A161ECE-0239-4759-BB1E-95046A9C1EE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DF46-47D1-9257-C34730E8A7C2}"/>
                </c:ext>
              </c:extLst>
            </c:dLbl>
            <c:dLbl>
              <c:idx val="8"/>
              <c:layout>
                <c:manualLayout>
                  <c:x val="-5.6486648040051532E-2"/>
                  <c:y val="-8.949657639594441E-2"/>
                </c:manualLayout>
              </c:layout>
              <c:tx>
                <c:rich>
                  <a:bodyPr/>
                  <a:lstStyle/>
                  <a:p>
                    <a:fld id="{B59EEF01-D284-4A8B-9250-AD75AE75F1C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DF46-47D1-9257-C34730E8A7C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3A3ADED-326B-4C8C-B1E1-D1819E2CBE4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DF46-47D1-9257-C34730E8A7C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479D507-30A3-4037-A61C-062122F35DC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DF46-47D1-9257-C34730E8A7C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9007F42-54FB-41E6-A2E0-8F86CA93E74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DF46-47D1-9257-C34730E8A7C2}"/>
                </c:ext>
              </c:extLst>
            </c:dLbl>
            <c:dLbl>
              <c:idx val="12"/>
              <c:layout>
                <c:manualLayout>
                  <c:x val="-3.4295464881459847E-2"/>
                  <c:y val="-5.0585021441186019E-2"/>
                </c:manualLayout>
              </c:layout>
              <c:tx>
                <c:rich>
                  <a:bodyPr/>
                  <a:lstStyle/>
                  <a:p>
                    <a:fld id="{A3AADD1D-A119-439B-B7D6-2BEBE54EE61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DF46-47D1-9257-C34730E8A7C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996A85C-F34C-4B1B-8BC7-48B111226C2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DF46-47D1-9257-C34730E8A7C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CF9CB42-B17D-4D3B-9A1D-83B76449D15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DF46-47D1-9257-C34730E8A7C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1C3A99F-B71B-479D-9BE3-33E5FE1384E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DF46-47D1-9257-C34730E8A7C2}"/>
                </c:ext>
              </c:extLst>
            </c:dLbl>
            <c:dLbl>
              <c:idx val="16"/>
              <c:layout>
                <c:manualLayout>
                  <c:x val="-5.0434507178617423E-2"/>
                  <c:y val="-7.3931954414041004E-2"/>
                </c:manualLayout>
              </c:layout>
              <c:tx>
                <c:rich>
                  <a:bodyPr/>
                  <a:lstStyle/>
                  <a:p>
                    <a:fld id="{23E79511-5425-48A8-BAFE-F5B0AF9B5B6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DF46-47D1-9257-C34730E8A7C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C3ABB47-3422-49BD-80A3-53270CE177D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DF46-47D1-9257-C34730E8A7C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B93CC2A-5E9D-40F7-B130-023F3A53755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DF46-47D1-9257-C34730E8A7C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1774884-699B-4246-ACB4-A5E4D0982F7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DF46-47D1-9257-C34730E8A7C2}"/>
                </c:ext>
              </c:extLst>
            </c:dLbl>
            <c:dLbl>
              <c:idx val="20"/>
              <c:layout>
                <c:manualLayout>
                  <c:x val="-6.0521408614340903E-2"/>
                  <c:y val="-6.6149643423089349E-2"/>
                </c:manualLayout>
              </c:layout>
              <c:tx>
                <c:rich>
                  <a:bodyPr/>
                  <a:lstStyle/>
                  <a:p>
                    <a:fld id="{19311485-63B1-4D21-AD7E-1CD55892E2F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DF46-47D1-9257-C34730E8A7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9896485-4959-407F-917E-BBF15AED756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DF46-47D1-9257-C34730E8A7C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8880B56-4CC2-4D82-B77C-D5931553524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DF46-47D1-9257-C34730E8A7C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F01813F-1769-4DA9-A790-B48C154B4DF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DF46-47D1-9257-C34730E8A7C2}"/>
                </c:ext>
              </c:extLst>
            </c:dLbl>
            <c:dLbl>
              <c:idx val="24"/>
              <c:layout>
                <c:manualLayout>
                  <c:x val="-7.6660450911498521E-2"/>
                  <c:y val="-3.112924396380674E-2"/>
                </c:manualLayout>
              </c:layout>
              <c:tx>
                <c:rich>
                  <a:bodyPr/>
                  <a:lstStyle/>
                  <a:p>
                    <a:fld id="{FCD08707-E74F-4E50-ACD3-CA049EA5C9C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DF46-47D1-9257-C34730E8A7C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A755742-C4E9-4F0A-8466-4F652ECC26B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DF46-47D1-9257-C34730E8A7C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0655EA6-0A5B-4AF8-9EC8-43A35B06508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DF46-47D1-9257-C34730E8A7C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AC6AE6C-4CC2-4FF0-9E4C-60CE438FA8C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DF46-47D1-9257-C34730E8A7C2}"/>
                </c:ext>
              </c:extLst>
            </c:dLbl>
            <c:dLbl>
              <c:idx val="28"/>
              <c:layout>
                <c:manualLayout>
                  <c:x val="-7.0608310050064432E-2"/>
                  <c:y val="-4.2802710450234267E-2"/>
                </c:manualLayout>
              </c:layout>
              <c:tx>
                <c:rich>
                  <a:bodyPr/>
                  <a:lstStyle/>
                  <a:p>
                    <a:fld id="{5DB61019-34B6-447C-91FB-2DEF5DD3B49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DF46-47D1-9257-C34730E8A7C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04C94B0E-5EC5-433F-B47C-E47B3E02186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DF46-47D1-9257-C34730E8A7C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076DFFE7-ED0C-42EA-8E0C-C1F462738D0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DF46-47D1-9257-C34730E8A7C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B1E964DE-869E-4715-BBDF-7BBE6CD3988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DF46-47D1-9257-C34730E8A7C2}"/>
                </c:ext>
              </c:extLst>
            </c:dLbl>
            <c:dLbl>
              <c:idx val="32"/>
              <c:layout>
                <c:manualLayout>
                  <c:x val="4.0347605742893193E-3"/>
                  <c:y val="1.1673466486427522E-2"/>
                </c:manualLayout>
              </c:layout>
              <c:tx>
                <c:rich>
                  <a:bodyPr/>
                  <a:lstStyle/>
                  <a:p>
                    <a:fld id="{75EC39C6-58F9-4C81-B34F-CC27809365B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DF46-47D1-9257-C34730E8A7C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0D72A46-196C-4513-9E71-85A042BC0FD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DF46-47D1-9257-C34730E8A7C2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6BE099B-AC78-4C0F-88CD-916456A6B44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DF46-47D1-9257-C34730E8A7C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38390E6B-94D6-4D64-BF92-33E77B6C32C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DF46-47D1-9257-C34730E8A7C2}"/>
                </c:ext>
              </c:extLst>
            </c:dLbl>
            <c:dLbl>
              <c:idx val="36"/>
              <c:layout>
                <c:manualLayout>
                  <c:x val="0.24602590437064933"/>
                  <c:y val="3.5020412687720291E-2"/>
                </c:manualLayout>
              </c:layout>
              <c:tx>
                <c:rich>
                  <a:bodyPr/>
                  <a:lstStyle/>
                  <a:p>
                    <a:fld id="{1F1451C7-19F3-4BDE-AADC-FF12CC66D3DE}" type="CELLRANGE">
                      <a:rPr lang="en-US" b="1">
                        <a:solidFill>
                          <a:schemeClr val="bg1">
                            <a:lumMod val="50000"/>
                          </a:schemeClr>
                        </a:solidFill>
                      </a:rPr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DF46-47D1-9257-C34730E8A7C2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4BAE3258-8B47-429D-8AF3-C47107DD949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DF46-47D1-9257-C34730E8A7C2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FF090191-F44C-4365-8A81-7812F91AD4C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C-DF46-47D1-9257-C34730E8A7C2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5D7018D-1112-4F15-B200-8F1CE18A3E1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DF46-47D1-9257-C34730E8A7C2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F46-47D1-9257-C34730E8A7C2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3672E318-0E43-4913-A0FB-C4BF60FA93E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DF46-47D1-9257-C34730E8A7C2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BAF97132-53AC-4730-A3FA-45925AB7662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DF46-47D1-9257-C34730E8A7C2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DC52CB90-115E-4C12-89F3-CED224EFB4E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CC7-4381-A957-96FF16211924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DF46-47D1-9257-C34730E8A7C2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0F4C06A1-3963-4194-A5D7-56797BB8364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DF46-47D1-9257-C34730E8A7C2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9CBDBC85-8ABD-479E-ADBA-A8AC753C608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DF46-47D1-9257-C34730E8A7C2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DF72DF32-ADEE-4E5C-8979-B30ACA393A0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DF46-47D1-9257-C34730E8A7C2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F46-47D1-9257-C34730E8A7C2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F687667-8938-4FF3-83FE-DF0BBAADE85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DF46-47D1-9257-C34730E8A7C2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FA4FB333-31D1-49B2-A144-8BFD3D62C25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DF46-47D1-9257-C34730E8A7C2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D966793B-98D8-41DE-9449-1B88CBCE06B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DF46-47D1-9257-C34730E8A7C2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F46-47D1-9257-C34730E8A7C2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EBF5625F-DB6E-418D-AA66-AFCE4B265A6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DF46-47D1-9257-C34730E8A7C2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41858C17-424D-44D1-A907-6F7BC0DB709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DF46-47D1-9257-C34730E8A7C2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DCF388D6-5F93-4978-8FF4-DC6877A9A3E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DF46-47D1-9257-C34730E8A7C2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F46-47D1-9257-C34730E8A7C2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275E6A78-08BA-4D23-82AA-98B05733DAC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DF46-47D1-9257-C34730E8A7C2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77DAB625-5EEC-4E50-99C7-A18AAF3944A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DF46-47D1-9257-C34730E8A7C2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7F70DD2B-4AAF-4D69-9B79-04DF5266718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DF46-47D1-9257-C34730E8A7C2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F46-47D1-9257-C34730E8A7C2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03DDB2D0-93D5-4860-848D-233C5C1B5B1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DF46-47D1-9257-C34730E8A7C2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99A8D1CA-EBB1-444C-BBCE-018169821E9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DF46-47D1-9257-C34730E8A7C2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02FB42BB-9E65-46EA-8291-14AE6BE96B7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E-DF46-47D1-9257-C34730E8A7C2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F46-47D1-9257-C34730E8A7C2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0E727621-4312-450F-A60C-3D5D2F4D43E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DF46-47D1-9257-C34730E8A7C2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9611776E-BF1D-470E-A53C-A067824E2DE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0-DF46-47D1-9257-C34730E8A7C2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AF4438BE-950E-41B4-A727-9FCAC046099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1-DF46-47D1-9257-C34730E8A7C2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F46-47D1-9257-C34730E8A7C2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B71791C4-6656-4AAB-9360-020803494F3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2-DF46-47D1-9257-C34730E8A7C2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D07FEDB8-B6E1-427E-AAA4-C4B6162F038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3-DF46-47D1-9257-C34730E8A7C2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C11EA9BC-5376-42D8-BD7A-9254D7D0DE1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4-DF46-47D1-9257-C34730E8A7C2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F46-47D1-9257-C34730E8A7C2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1CFAE800-A0BE-41C9-94CC-6B85196B84D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5-DF46-47D1-9257-C34730E8A7C2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EAD3C990-A68E-4CBB-B334-A4DCA51E195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6-DF46-47D1-9257-C34730E8A7C2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C02F6A01-31CA-469A-992D-2FA98588EB1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7-DF46-47D1-9257-C34730E8A7C2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F46-47D1-9257-C34730E8A7C2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F8EF7144-F9DB-4ACA-A6AE-F579F57A4EF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8-DF46-47D1-9257-C34730E8A7C2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5252A6D7-AEF2-4835-8304-25B2132E592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9-DF46-47D1-9257-C34730E8A7C2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2253B41A-FE13-4125-B40B-4D1E8D3C0EC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DF46-47D1-9257-C34730E8A7C2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F46-47D1-9257-C34730E8A7C2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416A1B25-52FF-4CEA-AD39-BDDCD280D25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B-DF46-47D1-9257-C34730E8A7C2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CD0B02C1-24E3-4C7E-B680-3AE66E8A7E6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C-DF46-47D1-9257-C34730E8A7C2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1A872FAB-C528-4B57-84D3-95BB58B5A17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D-DF46-47D1-9257-C34730E8A7C2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F46-47D1-9257-C34730E8A7C2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69C5A8DA-57E5-4AF7-B965-7037C036C94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DF46-47D1-9257-C34730E8A7C2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690CE783-626A-4DE2-948A-4E0C6C43544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F-DF46-47D1-9257-C34730E8A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'Plan 39'!$H$45:$CP$45</c:f>
              <c:numCache>
                <c:formatCode>0.0%</c:formatCode>
                <c:ptCount val="87"/>
                <c:pt idx="0">
                  <c:v>0</c:v>
                </c:pt>
                <c:pt idx="1">
                  <c:v>1.0219201374189874E-2</c:v>
                </c:pt>
                <c:pt idx="2">
                  <c:v>2.0448572053939334E-2</c:v>
                </c:pt>
                <c:pt idx="3">
                  <c:v>3.2686662628642088E-2</c:v>
                </c:pt>
                <c:pt idx="4">
                  <c:v>4.8427960700143366E-2</c:v>
                </c:pt>
                <c:pt idx="5">
                  <c:v>6.4155197732379973E-2</c:v>
                </c:pt>
                <c:pt idx="6">
                  <c:v>7.9882434764616567E-2</c:v>
                </c:pt>
                <c:pt idx="7">
                  <c:v>9.5609671796853174E-2</c:v>
                </c:pt>
                <c:pt idx="8">
                  <c:v>0.1113369088290898</c:v>
                </c:pt>
                <c:pt idx="9">
                  <c:v>0.1270952797309671</c:v>
                </c:pt>
                <c:pt idx="10">
                  <c:v>0.13893467479182178</c:v>
                </c:pt>
                <c:pt idx="11">
                  <c:v>0.15077406985267644</c:v>
                </c:pt>
                <c:pt idx="12">
                  <c:v>0.16261346491353112</c:v>
                </c:pt>
                <c:pt idx="13">
                  <c:v>0.17445285997438575</c:v>
                </c:pt>
                <c:pt idx="14">
                  <c:v>0.18775165517464812</c:v>
                </c:pt>
                <c:pt idx="15">
                  <c:v>0.21063799811984957</c:v>
                </c:pt>
                <c:pt idx="16">
                  <c:v>0.23541020686364214</c:v>
                </c:pt>
                <c:pt idx="17">
                  <c:v>0.26193059377243694</c:v>
                </c:pt>
                <c:pt idx="18">
                  <c:v>0.28447312343283143</c:v>
                </c:pt>
                <c:pt idx="19">
                  <c:v>0.31131170015158111</c:v>
                </c:pt>
                <c:pt idx="20">
                  <c:v>0.36168742264544707</c:v>
                </c:pt>
                <c:pt idx="21">
                  <c:v>0.40161997286675838</c:v>
                </c:pt>
                <c:pt idx="22">
                  <c:v>0.44727990660254979</c:v>
                </c:pt>
                <c:pt idx="23">
                  <c:v>0.50574429285036171</c:v>
                </c:pt>
                <c:pt idx="24">
                  <c:v>0.58070105198653199</c:v>
                </c:pt>
                <c:pt idx="25">
                  <c:v>0.65565781112270238</c:v>
                </c:pt>
                <c:pt idx="26">
                  <c:v>0.7356946605739203</c:v>
                </c:pt>
                <c:pt idx="27">
                  <c:v>0.7948632067011856</c:v>
                </c:pt>
                <c:pt idx="28">
                  <c:v>0.84489949353974603</c:v>
                </c:pt>
                <c:pt idx="29">
                  <c:v>0.88140622587145701</c:v>
                </c:pt>
                <c:pt idx="30">
                  <c:v>0.91207406040096894</c:v>
                </c:pt>
                <c:pt idx="31">
                  <c:v>0.93610162429617627</c:v>
                </c:pt>
                <c:pt idx="32">
                  <c:v>0.95767739595717871</c:v>
                </c:pt>
                <c:pt idx="33">
                  <c:v>0.97591989769977405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 39'!$H$100:$CP$100</c15:f>
                <c15:dlblRangeCache>
                  <c:ptCount val="87"/>
                  <c:pt idx="0">
                    <c:v>0,0%</c:v>
                  </c:pt>
                  <c:pt idx="4">
                    <c:v>4,8%</c:v>
                  </c:pt>
                  <c:pt idx="8">
                    <c:v>11,1%</c:v>
                  </c:pt>
                  <c:pt idx="12">
                    <c:v>16,3%</c:v>
                  </c:pt>
                  <c:pt idx="16">
                    <c:v>23,5%</c:v>
                  </c:pt>
                  <c:pt idx="20">
                    <c:v>36,2%</c:v>
                  </c:pt>
                  <c:pt idx="24">
                    <c:v>58,1%</c:v>
                  </c:pt>
                  <c:pt idx="28">
                    <c:v>84,5%</c:v>
                  </c:pt>
                  <c:pt idx="32">
                    <c:v>95,8%</c:v>
                  </c:pt>
                  <c:pt idx="36">
                    <c:v>100,0%</c:v>
                  </c:pt>
                  <c:pt idx="40">
                    <c:v>100,0%</c:v>
                  </c:pt>
                  <c:pt idx="44">
                    <c:v>100,0%</c:v>
                  </c:pt>
                  <c:pt idx="48">
                    <c:v>100,0%</c:v>
                  </c:pt>
                  <c:pt idx="52">
                    <c:v>100,0%</c:v>
                  </c:pt>
                  <c:pt idx="56">
                    <c:v>100,0%</c:v>
                  </c:pt>
                  <c:pt idx="60">
                    <c:v>100,0%</c:v>
                  </c:pt>
                  <c:pt idx="64">
                    <c:v>100,0%</c:v>
                  </c:pt>
                  <c:pt idx="68">
                    <c:v>100,0%</c:v>
                  </c:pt>
                  <c:pt idx="72">
                    <c:v>100,0%</c:v>
                  </c:pt>
                  <c:pt idx="76">
                    <c:v>100,0%</c:v>
                  </c:pt>
                  <c:pt idx="80">
                    <c:v>100,0%</c:v>
                  </c:pt>
                  <c:pt idx="84">
                    <c:v>100,0%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E6BF-4449-8D44-009969D3278B}"/>
            </c:ext>
          </c:extLst>
        </c:ser>
        <c:ser>
          <c:idx val="1"/>
          <c:order val="1"/>
          <c:tx>
            <c:strRef>
              <c:f>'Dashboard Turbina'!$Y$4</c:f>
              <c:strCache>
                <c:ptCount val="1"/>
                <c:pt idx="0">
                  <c:v>Real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46-47D1-9257-C34730E8A7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1E3047-DE45-40CD-9767-DCF3AA9D373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DF46-47D1-9257-C34730E8A7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4C15A4E-418B-4F49-8B62-6AFC8687EE09}" type="CELLRANGE">
                      <a:rPr lang="es-E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1-DF46-47D1-9257-C34730E8A7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87946CD-3E01-43B4-8FBD-9BA53FFA89A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2-DF46-47D1-9257-C34730E8A7C2}"/>
                </c:ext>
              </c:extLst>
            </c:dLbl>
            <c:dLbl>
              <c:idx val="4"/>
              <c:layout>
                <c:manualLayout>
                  <c:x val="-6.2729939405141086E-2"/>
                  <c:y val="-2.3542962507986688E-2"/>
                </c:manualLayout>
              </c:layout>
              <c:tx>
                <c:rich>
                  <a:bodyPr/>
                  <a:lstStyle/>
                  <a:p>
                    <a:fld id="{00EFCFEC-7886-492C-9EBE-12D266991A4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6BF-4449-8D44-009969D3278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E2829FA-5E3D-4E03-ABAA-5F217265DC1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3-DF46-47D1-9257-C34730E8A7C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9BA0238-7945-4F6A-935A-EAA71D808F0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4-DF46-47D1-9257-C34730E8A7C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798D3D0-7048-40E7-BB9A-07BCF91574A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5-DF46-47D1-9257-C34730E8A7C2}"/>
                </c:ext>
              </c:extLst>
            </c:dLbl>
            <c:dLbl>
              <c:idx val="8"/>
              <c:layout>
                <c:manualLayout>
                  <c:x val="-6.0706392972717176E-2"/>
                  <c:y val="-2.7466789592651135E-2"/>
                </c:manualLayout>
              </c:layout>
              <c:tx>
                <c:rich>
                  <a:bodyPr/>
                  <a:lstStyle/>
                  <a:p>
                    <a:fld id="{C84A4232-334C-4278-A84B-744BF2D54F1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F46-47D1-9257-C34730E8A7C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B1BF3D7-20EC-4EAB-9C9F-AF5A93B0396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6BF-4449-8D44-009969D3278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307F80D-0D6E-42EC-80F5-3F8BB22D7D9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6-DF46-47D1-9257-C34730E8A7C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1A4962A-87CC-4C14-9E55-2D5ECE65D29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7-DF46-47D1-9257-C34730E8A7C2}"/>
                </c:ext>
              </c:extLst>
            </c:dLbl>
            <c:dLbl>
              <c:idx val="12"/>
              <c:layout>
                <c:manualLayout>
                  <c:x val="-4.8417126891472741E-2"/>
                  <c:y val="3.5020399459282578E-2"/>
                </c:manualLayout>
              </c:layout>
              <c:tx>
                <c:rich>
                  <a:bodyPr/>
                  <a:lstStyle/>
                  <a:p>
                    <a:fld id="{695A2F77-2B6C-4ED4-B3DD-A68AAEA7E79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F46-47D1-9257-C34730E8A7C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540BE02-4D1C-4ECB-94FE-016D2220795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6BF-4449-8D44-009969D3278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6E4DAA9-A961-4C52-B519-B52244E1BAD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8-DF46-47D1-9257-C34730E8A7C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5F6D652-3CA9-4B25-AF29-C19DC47D179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9-DF46-47D1-9257-C34730E8A7C2}"/>
                </c:ext>
              </c:extLst>
            </c:dLbl>
            <c:dLbl>
              <c:idx val="16"/>
              <c:layout>
                <c:manualLayout>
                  <c:x val="-3.6312845168604578E-2"/>
                  <c:y val="3.1129243963806667E-2"/>
                </c:manualLayout>
              </c:layout>
              <c:tx>
                <c:rich>
                  <a:bodyPr/>
                  <a:lstStyle/>
                  <a:p>
                    <a:fld id="{B1FAE032-6FB1-4F09-BAB2-56A1568DA51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F46-47D1-9257-C34730E8A7C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DD22149-A358-4B4D-9408-64434D67408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79B-4F25-8347-BB97B6785F8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651DD18-23C6-4B75-9DD6-BF14D86B259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A-DF46-47D1-9257-C34730E8A7C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05B4A6F-A633-4DF0-A68E-4496EC3DB59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B-DF46-47D1-9257-C34730E8A7C2}"/>
                </c:ext>
              </c:extLst>
            </c:dLbl>
            <c:dLbl>
              <c:idx val="20"/>
              <c:layout>
                <c:manualLayout>
                  <c:x val="-1.815642258430231E-2"/>
                  <c:y val="4.2802710450234267E-2"/>
                </c:manualLayout>
              </c:layout>
              <c:tx>
                <c:rich>
                  <a:bodyPr/>
                  <a:lstStyle/>
                  <a:p>
                    <a:fld id="{254E5AB1-F3AE-4169-B288-8B9D373831F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F46-47D1-9257-C34730E8A7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9C64642-6D86-41E8-B3A0-538C7377C1B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A57-4D64-A8EE-41FC704C7E8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354D6D0-014B-421B-BFA6-266426FC883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C-DF46-47D1-9257-C34730E8A7C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5C8B6D7-E8B4-41AE-BDA9-E08D076862A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D-DF46-47D1-9257-C34730E8A7C2}"/>
                </c:ext>
              </c:extLst>
            </c:dLbl>
            <c:dLbl>
              <c:idx val="24"/>
              <c:layout>
                <c:manualLayout>
                  <c:x val="-2.6225943732881059E-2"/>
                  <c:y val="3.1129243963806667E-2"/>
                </c:manualLayout>
              </c:layout>
              <c:tx>
                <c:rich>
                  <a:bodyPr/>
                  <a:lstStyle/>
                  <a:p>
                    <a:fld id="{F80DA65A-29EF-40F2-A060-C1927692E02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F46-47D1-9257-C34730E8A7C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C5D3660-3C71-4A15-8D34-E0396BC164F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E-DF46-47D1-9257-C34730E8A7C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5FCBDDD-6E29-4138-9960-2CE0724E8D0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CE2-40F2-8B63-5BEC95ECD5A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50D16AC-4617-45F9-AAA5-FAF6485AD41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F-DF46-47D1-9257-C34730E8A7C2}"/>
                </c:ext>
              </c:extLst>
            </c:dLbl>
            <c:dLbl>
              <c:idx val="28"/>
              <c:layout>
                <c:manualLayout>
                  <c:x val="-3.8330225455749239E-2"/>
                  <c:y val="-2.7238088468330895E-2"/>
                </c:manualLayout>
              </c:layout>
              <c:tx>
                <c:rich>
                  <a:bodyPr/>
                  <a:lstStyle/>
                  <a:p>
                    <a:fld id="{AAEA6B46-C916-44FB-B4EB-917271E742E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F46-47D1-9257-C34730E8A7C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F3D54A5-8085-4C1F-82DC-75E0CDF3090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0-DF46-47D1-9257-C34730E8A7C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7B897FAE-9614-4A16-BCE7-DF4BEAECFB7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780-42CA-9C79-0F0FD8E3BCE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17D64E29-B81A-4E50-8F9F-85CE59B539A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1-DF46-47D1-9257-C34730E8A7C2}"/>
                </c:ext>
              </c:extLst>
            </c:dLbl>
            <c:dLbl>
              <c:idx val="32"/>
              <c:layout>
                <c:manualLayout>
                  <c:x val="-3.8330225455749239E-2"/>
                  <c:y val="4.2802710450234267E-2"/>
                </c:manualLayout>
              </c:layout>
              <c:tx>
                <c:rich>
                  <a:bodyPr/>
                  <a:lstStyle/>
                  <a:p>
                    <a:fld id="{64F15BA8-C0C7-41DB-BC52-C649E26BBA7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F46-47D1-9257-C34730E8A7C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14E630E-81AF-47D8-A964-0B6A5F5B4C0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D71-43FB-8921-CFDBAE4CE07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5B2B0CCC-337B-43AC-8EEE-910B3E3C282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2-DF46-47D1-9257-C34730E8A7C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3A987618-738A-48D3-B4FA-9D342C27041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3-DF46-47D1-9257-C34730E8A7C2}"/>
                </c:ext>
              </c:extLst>
            </c:dLbl>
            <c:dLbl>
              <c:idx val="36"/>
              <c:layout>
                <c:manualLayout>
                  <c:x val="-4.6399746604328031E-2"/>
                  <c:y val="-2.7238088468330934E-2"/>
                </c:manualLayout>
              </c:layout>
              <c:tx>
                <c:rich>
                  <a:bodyPr/>
                  <a:lstStyle/>
                  <a:p>
                    <a:fld id="{D88285DE-88B1-4AE1-99F4-422E39591D2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F46-47D1-9257-C34730E8A7C2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7687BA69-B8F4-4F4D-929A-C703B3CE650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4-DF46-47D1-9257-C34730E8A7C2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1EC04B53-8350-48AE-85C5-6961DA5F072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5-DF46-47D1-9257-C34730E8A7C2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D2AC55C9-0E9A-48A9-B432-ABC0095FE60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246-4D4C-A85F-9CE60A6592F3}"/>
                </c:ext>
              </c:extLst>
            </c:dLbl>
            <c:dLbl>
              <c:idx val="40"/>
              <c:layout>
                <c:manualLayout>
                  <c:x val="-4.2364986030038632E-2"/>
                  <c:y val="3.8911554954758391E-2"/>
                </c:manualLayout>
              </c:layout>
              <c:tx>
                <c:rich>
                  <a:bodyPr/>
                  <a:lstStyle/>
                  <a:p>
                    <a:fld id="{7D0AABED-1E12-4E5E-87A1-D349F163CB3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F46-47D1-9257-C34730E8A7C2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EB6306E-D89B-45ED-B34A-9A0BE9DE647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6-DF46-47D1-9257-C34730E8A7C2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754567D8-2A3A-45A9-8783-BACE4829F66A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7-DF46-47D1-9257-C34730E8A7C2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F9F13014-659B-481E-AB7A-E83D1919F34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CC7-4381-A957-96FF16211924}"/>
                </c:ext>
              </c:extLst>
            </c:dLbl>
            <c:dLbl>
              <c:idx val="44"/>
              <c:layout>
                <c:manualLayout>
                  <c:x val="-5.2451887465762119E-2"/>
                  <c:y val="-3.8911554954758426E-2"/>
                </c:manualLayout>
              </c:layout>
              <c:tx>
                <c:rich>
                  <a:bodyPr/>
                  <a:lstStyle/>
                  <a:p>
                    <a:fld id="{17D06367-DCCC-41EF-95CF-4C2D4AE1328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F46-47D1-9257-C34730E8A7C2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02A8E485-CC79-48B5-96E2-CC04CFA879E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8-DF46-47D1-9257-C34730E8A7C2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EA1CE7B-77BE-48BE-B29B-826EA65AB52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9-DF46-47D1-9257-C34730E8A7C2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4E5EC700-9FC5-4562-91CF-4CC9E487C18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A68-48D1-9736-82544FB35B7C}"/>
                </c:ext>
              </c:extLst>
            </c:dLbl>
            <c:dLbl>
              <c:idx val="48"/>
              <c:layout>
                <c:manualLayout>
                  <c:x val="-4.8417126891472796E-2"/>
                  <c:y val="3.8911554954758391E-2"/>
                </c:manualLayout>
              </c:layout>
              <c:tx>
                <c:rich>
                  <a:bodyPr/>
                  <a:lstStyle/>
                  <a:p>
                    <a:fld id="{A6F50F0F-13C1-4B8D-88F6-276D5239F01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F46-47D1-9257-C34730E8A7C2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79D8C09D-36DE-4417-975B-A4D4FB70A18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A-DF46-47D1-9257-C34730E8A7C2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D02C2289-3196-4F76-BCEA-88DB6DDD2A3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B-DF46-47D1-9257-C34730E8A7C2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CA269F6-08C3-4061-9717-56599B93FB9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C-DF46-47D1-9257-C34730E8A7C2}"/>
                </c:ext>
              </c:extLst>
            </c:dLbl>
            <c:dLbl>
              <c:idx val="52"/>
              <c:layout>
                <c:manualLayout>
                  <c:x val="-5.2451887465762119E-2"/>
                  <c:y val="-3.8911554954758426E-2"/>
                </c:manualLayout>
              </c:layout>
              <c:tx>
                <c:rich>
                  <a:bodyPr/>
                  <a:lstStyle/>
                  <a:p>
                    <a:fld id="{647081ED-EEEB-42BC-B777-9BD140E44C9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E1A-43BB-8F4F-B1CEB0B72A88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8D815B44-7485-456E-89E6-3A29C4960A7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D-DF46-47D1-9257-C34730E8A7C2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6A4F3FFE-745A-4B15-8B24-9B526FDC4EA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E-DF46-47D1-9257-C34730E8A7C2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2D1409B5-2739-49B7-B2F1-B81A1F02351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DF46-47D1-9257-C34730E8A7C2}"/>
                </c:ext>
              </c:extLst>
            </c:dLbl>
            <c:dLbl>
              <c:idx val="56"/>
              <c:layout>
                <c:manualLayout>
                  <c:x val="-3.6312845168604543E-2"/>
                  <c:y val="4.6693865945710074E-2"/>
                </c:manualLayout>
              </c:layout>
              <c:tx>
                <c:rich>
                  <a:bodyPr/>
                  <a:lstStyle/>
                  <a:p>
                    <a:fld id="{2526E8BF-CB3A-4A4F-90ED-3FCBD52C00B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F46-47D1-9257-C34730E8A7C2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2452DFB1-1CE9-4AB6-B09D-992238AEEE6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8FA-40E0-9769-B67ECEEC7DA6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7F53F1D1-9383-4C78-B14E-83CA08060EA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8FA-40E0-9769-B67ECEEC7DA6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5505A5CE-229C-4A66-A2B4-F291F108164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8FA-40E0-9769-B67ECEEC7DA6}"/>
                </c:ext>
              </c:extLst>
            </c:dLbl>
            <c:dLbl>
              <c:idx val="60"/>
              <c:layout>
                <c:manualLayout>
                  <c:x val="-8.0515297906602248E-3"/>
                  <c:y val="-1.9337694617908508E-2"/>
                </c:manualLayout>
              </c:layout>
              <c:tx>
                <c:rich>
                  <a:bodyPr/>
                  <a:lstStyle/>
                  <a:p>
                    <a:fld id="{909DC322-AA67-4790-960F-4ADA185027B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8FA-40E0-9769-B67ECEEC7D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39'!$H$46:$BP$46</c:f>
              <c:numCache>
                <c:formatCode>0.0%</c:formatCode>
                <c:ptCount val="61"/>
                <c:pt idx="0">
                  <c:v>0</c:v>
                </c:pt>
                <c:pt idx="1">
                  <c:v>7.025439839700531E-3</c:v>
                </c:pt>
                <c:pt idx="2">
                  <c:v>2.2551458693733265E-2</c:v>
                </c:pt>
                <c:pt idx="3">
                  <c:v>5.2088112058070762E-2</c:v>
                </c:pt>
                <c:pt idx="4">
                  <c:v>8.6862525881258479E-2</c:v>
                </c:pt>
                <c:pt idx="5">
                  <c:v>0.11418088448102881</c:v>
                </c:pt>
                <c:pt idx="6">
                  <c:v>0.13649753054236549</c:v>
                </c:pt>
                <c:pt idx="7">
                  <c:v>0.14632374870156964</c:v>
                </c:pt>
                <c:pt idx="8">
                  <c:v>0.15498248541118015</c:v>
                </c:pt>
                <c:pt idx="9">
                  <c:v>0.1590688058015215</c:v>
                </c:pt>
                <c:pt idx="10">
                  <c:v>0.16175410205803156</c:v>
                </c:pt>
                <c:pt idx="11">
                  <c:v>0.16255677213470576</c:v>
                </c:pt>
                <c:pt idx="12">
                  <c:v>0.18113785470964372</c:v>
                </c:pt>
                <c:pt idx="13">
                  <c:v>0.18305526915482639</c:v>
                </c:pt>
                <c:pt idx="14">
                  <c:v>0.19073616910910138</c:v>
                </c:pt>
                <c:pt idx="15">
                  <c:v>0.20747851337569603</c:v>
                </c:pt>
                <c:pt idx="16">
                  <c:v>0.21813134326670858</c:v>
                </c:pt>
                <c:pt idx="17">
                  <c:v>0.22105014354552383</c:v>
                </c:pt>
                <c:pt idx="18">
                  <c:v>0.23909380815265552</c:v>
                </c:pt>
                <c:pt idx="19">
                  <c:v>0.25973342088675944</c:v>
                </c:pt>
                <c:pt idx="20">
                  <c:v>0.30986567317609404</c:v>
                </c:pt>
                <c:pt idx="21">
                  <c:v>0.35546413105315217</c:v>
                </c:pt>
                <c:pt idx="22">
                  <c:v>0.39776722768788086</c:v>
                </c:pt>
                <c:pt idx="23">
                  <c:v>0.40461180714807549</c:v>
                </c:pt>
                <c:pt idx="24">
                  <c:v>0.40794176830129086</c:v>
                </c:pt>
                <c:pt idx="25">
                  <c:v>0.4187038285175162</c:v>
                </c:pt>
                <c:pt idx="26">
                  <c:v>0.42228062006906192</c:v>
                </c:pt>
                <c:pt idx="27">
                  <c:v>0.42432378026423256</c:v>
                </c:pt>
                <c:pt idx="28">
                  <c:v>0.47645502986170213</c:v>
                </c:pt>
                <c:pt idx="29">
                  <c:v>0.48206970580260383</c:v>
                </c:pt>
                <c:pt idx="30">
                  <c:v>0.50383160514295466</c:v>
                </c:pt>
                <c:pt idx="31">
                  <c:v>0.51194602116079924</c:v>
                </c:pt>
                <c:pt idx="32">
                  <c:v>0.51250416113509245</c:v>
                </c:pt>
                <c:pt idx="33">
                  <c:v>0.51250416113509245</c:v>
                </c:pt>
                <c:pt idx="34">
                  <c:v>0.51250416113509245</c:v>
                </c:pt>
                <c:pt idx="35">
                  <c:v>0.51250416113509245</c:v>
                </c:pt>
                <c:pt idx="36">
                  <c:v>0.51250416113509245</c:v>
                </c:pt>
                <c:pt idx="37">
                  <c:v>0.51250416113509245</c:v>
                </c:pt>
                <c:pt idx="38">
                  <c:v>0.51543781816138556</c:v>
                </c:pt>
                <c:pt idx="39">
                  <c:v>0.51706407933806831</c:v>
                </c:pt>
                <c:pt idx="40">
                  <c:v>0.51706407933806831</c:v>
                </c:pt>
                <c:pt idx="41">
                  <c:v>0.51706407933806831</c:v>
                </c:pt>
                <c:pt idx="42">
                  <c:v>0.51706407933806831</c:v>
                </c:pt>
                <c:pt idx="43">
                  <c:v>0.53280909686016076</c:v>
                </c:pt>
                <c:pt idx="44">
                  <c:v>0.53339344067597949</c:v>
                </c:pt>
                <c:pt idx="45">
                  <c:v>0.53500018185346188</c:v>
                </c:pt>
                <c:pt idx="46">
                  <c:v>0.53642549040561294</c:v>
                </c:pt>
                <c:pt idx="47">
                  <c:v>0.53660692303094404</c:v>
                </c:pt>
                <c:pt idx="48">
                  <c:v>0.53660692303094404</c:v>
                </c:pt>
                <c:pt idx="49">
                  <c:v>0.53821366420842631</c:v>
                </c:pt>
                <c:pt idx="50">
                  <c:v>0.53963897276057737</c:v>
                </c:pt>
                <c:pt idx="51">
                  <c:v>0.54075979206764235</c:v>
                </c:pt>
                <c:pt idx="52">
                  <c:v>0.54188061137470744</c:v>
                </c:pt>
                <c:pt idx="53">
                  <c:v>0.54400549797768494</c:v>
                </c:pt>
                <c:pt idx="54">
                  <c:v>0.54559916292991806</c:v>
                </c:pt>
                <c:pt idx="55">
                  <c:v>0.5466616062314068</c:v>
                </c:pt>
                <c:pt idx="56">
                  <c:v>0.59647311534210745</c:v>
                </c:pt>
                <c:pt idx="57">
                  <c:v>0.5975355586435962</c:v>
                </c:pt>
                <c:pt idx="58">
                  <c:v>0.59806678029434057</c:v>
                </c:pt>
                <c:pt idx="59">
                  <c:v>0.59955105477376958</c:v>
                </c:pt>
                <c:pt idx="60">
                  <c:v>0.60061349807525832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39'!$H$114:$BP$114</c15:f>
                <c15:dlblRangeCache>
                  <c:ptCount val="61"/>
                  <c:pt idx="0">
                    <c:v>0,0%</c:v>
                  </c:pt>
                  <c:pt idx="4">
                    <c:v>8,7%</c:v>
                  </c:pt>
                  <c:pt idx="8">
                    <c:v>15,5%</c:v>
                  </c:pt>
                  <c:pt idx="12">
                    <c:v>18,1%</c:v>
                  </c:pt>
                  <c:pt idx="16">
                    <c:v>21,8%</c:v>
                  </c:pt>
                  <c:pt idx="20">
                    <c:v>31,0%</c:v>
                  </c:pt>
                  <c:pt idx="24">
                    <c:v>40,8%</c:v>
                  </c:pt>
                  <c:pt idx="28">
                    <c:v>47,6%</c:v>
                  </c:pt>
                  <c:pt idx="32">
                    <c:v>51,3%</c:v>
                  </c:pt>
                  <c:pt idx="36">
                    <c:v>51,3%</c:v>
                  </c:pt>
                  <c:pt idx="40">
                    <c:v>51,7%</c:v>
                  </c:pt>
                  <c:pt idx="44">
                    <c:v>53,3%</c:v>
                  </c:pt>
                  <c:pt idx="48">
                    <c:v>53,7%</c:v>
                  </c:pt>
                  <c:pt idx="52">
                    <c:v>54,2%</c:v>
                  </c:pt>
                  <c:pt idx="56">
                    <c:v>59,6%</c:v>
                  </c:pt>
                  <c:pt idx="60">
                    <c:v>60,1%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E6BF-4449-8D44-009969D3278B}"/>
            </c:ext>
          </c:extLst>
        </c:ser>
        <c:ser>
          <c:idx val="2"/>
          <c:order val="2"/>
          <c:tx>
            <c:strRef>
              <c:f>'Avance 39'!$B$96</c:f>
              <c:strCache>
                <c:ptCount val="1"/>
                <c:pt idx="0">
                  <c:v>Desviación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71-43FB-8921-CFDBAE4CE0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96C8EF8-FE42-4C3E-8CD7-CDFB3BB306E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DF46-47D1-9257-C34730E8A7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A175EDA-95F7-4429-A6B0-135A20745E1F}" type="CELLRANGE">
                      <a:rPr lang="es-E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1-DF46-47D1-9257-C34730E8A7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AA7590-583B-43B6-930F-B74E7B7D591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2-DF46-47D1-9257-C34730E8A7C2}"/>
                </c:ext>
              </c:extLst>
            </c:dLbl>
            <c:dLbl>
              <c:idx val="4"/>
              <c:layout>
                <c:manualLayout>
                  <c:x val="-5.043450717861743E-2"/>
                  <c:y val="6.225848792761348E-2"/>
                </c:manualLayout>
              </c:layout>
              <c:tx>
                <c:rich>
                  <a:bodyPr/>
                  <a:lstStyle/>
                  <a:p>
                    <a:fld id="{4576FC28-F878-4A42-A4C3-D13DC93F7BF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F1C-4DE0-81BD-EBDDAB85CF1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F54FBCA-6ECE-406B-A641-4AD63295CBE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3-DF46-47D1-9257-C34730E8A7C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CCEECA9-D477-4C46-845D-2C76117963F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4-DF46-47D1-9257-C34730E8A7C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1DEBDD7-4FF0-427C-9FE6-8D55189994B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5-DF46-47D1-9257-C34730E8A7C2}"/>
                </c:ext>
              </c:extLst>
            </c:dLbl>
            <c:dLbl>
              <c:idx val="8"/>
              <c:layout>
                <c:manualLayout>
                  <c:x val="-4.4382366317183328E-2"/>
                  <c:y val="2.7238088468330895E-2"/>
                </c:manualLayout>
              </c:layout>
              <c:tx>
                <c:rich>
                  <a:bodyPr/>
                  <a:lstStyle/>
                  <a:p>
                    <a:fld id="{D00CBACE-CD66-4344-A3D6-D18BFAE6CFD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F46-47D1-9257-C34730E8A7C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9EE27B1-4F31-4663-A8C3-2B5B25BE49B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1C-4DE0-81BD-EBDDAB85CF1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98B35A5-4943-47E4-BA1A-3E0F6AF3053E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6-DF46-47D1-9257-C34730E8A7C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B47898B-FF35-4263-B2A9-71F6EF74E429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7-DF46-47D1-9257-C34730E8A7C2}"/>
                </c:ext>
              </c:extLst>
            </c:dLbl>
            <c:dLbl>
              <c:idx val="12"/>
              <c:layout>
                <c:manualLayout>
                  <c:x val="-3.6312845168604578E-2"/>
                  <c:y val="3.5020399459282578E-2"/>
                </c:manualLayout>
              </c:layout>
              <c:tx>
                <c:rich>
                  <a:bodyPr/>
                  <a:lstStyle/>
                  <a:p>
                    <a:fld id="{415F9733-FBC5-4B48-8BAB-A7DC15654D0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F46-47D1-9257-C34730E8A7C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C57BF9E-DF93-487E-8566-2FF468D4B641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F1C-4DE0-81BD-EBDDAB85CF1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49C5651-4725-4F9A-9387-5AD2BAF15B9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8-DF46-47D1-9257-C34730E8A7C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726C619-F750-4608-BDE8-69BA08B2A43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9-DF46-47D1-9257-C34730E8A7C2}"/>
                </c:ext>
              </c:extLst>
            </c:dLbl>
            <c:dLbl>
              <c:idx val="16"/>
              <c:layout>
                <c:manualLayout>
                  <c:x val="-2.8243324020025794E-2"/>
                  <c:y val="4.6693865945710109E-2"/>
                </c:manualLayout>
              </c:layout>
              <c:tx>
                <c:rich>
                  <a:bodyPr/>
                  <a:lstStyle/>
                  <a:p>
                    <a:fld id="{1BC365FE-8A82-4701-B803-4AB39759AC7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F46-47D1-9257-C34730E8A7C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E40B430-694C-498D-966F-1984CE9086B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1C-4DE0-81BD-EBDDAB85CF1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8C2B1A6-7577-446A-9783-2ADB3A75D65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A-DF46-47D1-9257-C34730E8A7C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F7BA6D1-93E9-4D25-B6A6-381D6F6D244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B-DF46-47D1-9257-C34730E8A7C2}"/>
                </c:ext>
              </c:extLst>
            </c:dLbl>
            <c:dLbl>
              <c:idx val="20"/>
              <c:layout>
                <c:manualLayout>
                  <c:x val="-3.2278084594315186E-2"/>
                  <c:y val="-2.3346932972855127E-2"/>
                </c:manualLayout>
              </c:layout>
              <c:tx>
                <c:rich>
                  <a:bodyPr/>
                  <a:lstStyle/>
                  <a:p>
                    <a:fld id="{E9A49737-4E66-44F1-B7E4-28086422AD3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F46-47D1-9257-C34730E8A7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1970C2A-B12A-4336-A32C-8258C07E1A78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A57-4D64-A8EE-41FC704C7E8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FED93FC-41A9-4FAD-AE67-5F1FD7182C52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C-DF46-47D1-9257-C34730E8A7C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029CEF7-56A0-420E-9DF9-DA4EF1210F7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D-DF46-47D1-9257-C34730E8A7C2}"/>
                </c:ext>
              </c:extLst>
            </c:dLbl>
            <c:dLbl>
              <c:idx val="24"/>
              <c:layout>
                <c:manualLayout>
                  <c:x val="-8.4729972060077263E-2"/>
                  <c:y val="3.5020399459282654E-2"/>
                </c:manualLayout>
              </c:layout>
              <c:tx>
                <c:rich>
                  <a:bodyPr/>
                  <a:lstStyle/>
                  <a:p>
                    <a:fld id="{D3FA98FF-C9BD-42CC-8246-DD42F7CB6A4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DF46-47D1-9257-C34730E8A7C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BA3A554-6D59-454D-882B-5427E09F1B8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E-DF46-47D1-9257-C34730E8A7C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DB9D8C0-C76E-41E5-B478-C010665AF0E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CE2-40F2-8B63-5BEC95ECD5A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0ECB231-97BB-40D9-A3CD-1EFC0D85ADA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F-DF46-47D1-9257-C34730E8A7C2}"/>
                </c:ext>
              </c:extLst>
            </c:dLbl>
            <c:dLbl>
              <c:idx val="28"/>
              <c:layout>
                <c:manualLayout>
                  <c:x val="-3.0260704307170452E-2"/>
                  <c:y val="-2.7238088468330968E-2"/>
                </c:manualLayout>
              </c:layout>
              <c:tx>
                <c:rich>
                  <a:bodyPr/>
                  <a:lstStyle/>
                  <a:p>
                    <a:fld id="{B221A349-9A19-4A49-ABF8-57F05FB91E8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DF46-47D1-9257-C34730E8A7C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0E8EAAE5-A5B4-4312-B776-0959E4AE57B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0-DF46-47D1-9257-C34730E8A7C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69CD720-C5B5-4059-B3FF-A4A7DB617D2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780-42CA-9C79-0F0FD8E3BCE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A2BA031-5314-43B8-8D45-29D5A5E73D0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1-DF46-47D1-9257-C34730E8A7C2}"/>
                </c:ext>
              </c:extLst>
            </c:dLbl>
            <c:dLbl>
              <c:idx val="32"/>
              <c:layout>
                <c:manualLayout>
                  <c:x val="-7.8677831198643244E-2"/>
                  <c:y val="2.3346932972855054E-2"/>
                </c:manualLayout>
              </c:layout>
              <c:tx>
                <c:rich>
                  <a:bodyPr/>
                  <a:lstStyle/>
                  <a:p>
                    <a:fld id="{5D171A22-48AC-4C78-B8DC-9A61FDCFC69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DF46-47D1-9257-C34730E8A7C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7225A183-D4EE-4BB5-944A-1094F56AA8A7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D71-43FB-8921-CFDBAE4CE07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9F8EC5A3-F495-4468-A7B4-45C9E1E3E0B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2-DF46-47D1-9257-C34730E8A7C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A47D19C2-AA7B-42CD-BE46-1B7CEF37269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3-DF46-47D1-9257-C34730E8A7C2}"/>
                </c:ext>
              </c:extLst>
            </c:dLbl>
            <c:dLbl>
              <c:idx val="36"/>
              <c:layout>
                <c:manualLayout>
                  <c:x val="-4.8417126891472727E-2"/>
                  <c:y val="-2.7238088468331038E-2"/>
                </c:manualLayout>
              </c:layout>
              <c:tx>
                <c:rich>
                  <a:bodyPr/>
                  <a:lstStyle/>
                  <a:p>
                    <a:fld id="{84FE33F4-FCCE-4720-92B6-4AF3F7D3E5E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DF46-47D1-9257-C34730E8A7C2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BC5699D1-9994-48AE-B20F-CFB804A9A74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4-DF46-47D1-9257-C34730E8A7C2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6B77FBE8-8B29-4819-BA2A-F2B35C74C16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5-DF46-47D1-9257-C34730E8A7C2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ACAC61A7-26B2-4D01-8AC4-7EF035AFF8C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246-4D4C-A85F-9CE60A6592F3}"/>
                </c:ext>
              </c:extLst>
            </c:dLbl>
            <c:dLbl>
              <c:idx val="40"/>
              <c:layout>
                <c:manualLayout>
                  <c:x val="-5.2451887465762119E-2"/>
                  <c:y val="3.5020399459282578E-2"/>
                </c:manualLayout>
              </c:layout>
              <c:tx>
                <c:rich>
                  <a:bodyPr/>
                  <a:lstStyle/>
                  <a:p>
                    <a:fld id="{14227450-1387-44FF-AC62-8DA6076C033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DF46-47D1-9257-C34730E8A7C2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D7A59E64-D7E9-40F5-AA07-910C0114B5A4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6-DF46-47D1-9257-C34730E8A7C2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5260EC26-38A7-461A-8AAF-5A56E148626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7-DF46-47D1-9257-C34730E8A7C2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DF74D4F6-17CF-459C-87B2-8DED113E55D3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CC7-4381-A957-96FF16211924}"/>
                </c:ext>
              </c:extLst>
            </c:dLbl>
            <c:dLbl>
              <c:idx val="44"/>
              <c:layout>
                <c:manualLayout>
                  <c:x val="-5.4469267752906891E-2"/>
                  <c:y val="-3.5020399459282654E-2"/>
                </c:manualLayout>
              </c:layout>
              <c:tx>
                <c:rich>
                  <a:bodyPr/>
                  <a:lstStyle/>
                  <a:p>
                    <a:fld id="{B452BFF6-7107-4912-BF0B-D70592D28DD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DF46-47D1-9257-C34730E8A7C2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EBC3BE09-A471-40C8-A600-19D1CB81DCF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8-DF46-47D1-9257-C34730E8A7C2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66E13B6-5C4B-4FC8-8A34-3AB98276010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9-DF46-47D1-9257-C34730E8A7C2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BA6ECA60-1E78-4661-91EC-2D430498428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A68-48D1-9736-82544FB35B7C}"/>
                </c:ext>
              </c:extLst>
            </c:dLbl>
            <c:dLbl>
              <c:idx val="48"/>
              <c:layout>
                <c:manualLayout>
                  <c:x val="-5.4469267752906815E-2"/>
                  <c:y val="3.5020399459282578E-2"/>
                </c:manualLayout>
              </c:layout>
              <c:tx>
                <c:rich>
                  <a:bodyPr/>
                  <a:lstStyle/>
                  <a:p>
                    <a:fld id="{E711493C-2261-49E5-8C4F-B1196074665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DF46-47D1-9257-C34730E8A7C2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F8CCE1C7-FD6A-42DE-88F7-7E2AFA79BF65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A-DF46-47D1-9257-C34730E8A7C2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3E9729D3-C8C9-41A0-88D8-C2A8EA5EB65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B-DF46-47D1-9257-C34730E8A7C2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B817AD2-D5B3-4266-BED4-C0C4A6482EAC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C-DF46-47D1-9257-C34730E8A7C2}"/>
                </c:ext>
              </c:extLst>
            </c:dLbl>
            <c:dLbl>
              <c:idx val="52"/>
              <c:layout>
                <c:manualLayout>
                  <c:x val="-6.0521408614340903E-2"/>
                  <c:y val="-3.5020399459282724E-2"/>
                </c:manualLayout>
              </c:layout>
              <c:tx>
                <c:rich>
                  <a:bodyPr/>
                  <a:lstStyle/>
                  <a:p>
                    <a:fld id="{2981F3C7-C4AC-41BC-BA8F-C047F7E31FB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E1A-43BB-8F4F-B1CEB0B72A88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94BE6625-0092-4B4B-83D1-A4EB95706DFF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D-DF46-47D1-9257-C34730E8A7C2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9B162841-A265-4FFA-AFC1-B3B09921B4CD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E-DF46-47D1-9257-C34730E8A7C2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6C61C10D-DB1E-43F0-935E-1C7E0D55117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F-DF46-47D1-9257-C34730E8A7C2}"/>
                </c:ext>
              </c:extLst>
            </c:dLbl>
            <c:dLbl>
              <c:idx val="56"/>
              <c:layout>
                <c:manualLayout>
                  <c:x val="-4.5267489711934158E-2"/>
                  <c:y val="5.2090627144197287E-2"/>
                </c:manualLayout>
              </c:layout>
              <c:tx>
                <c:rich>
                  <a:bodyPr/>
                  <a:lstStyle/>
                  <a:p>
                    <a:fld id="{11B23305-D1C8-4319-B699-E524EE25287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0-DF46-47D1-9257-C34730E8A7C2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0F722292-5BAF-4D3E-9B8A-ECDAAEC640F6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8FA-40E0-9769-B67ECEEC7DA6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AAFF557B-C87F-4A99-97CE-22F5F9794FBB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8FA-40E0-9769-B67ECEEC7DA6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5C76A987-22A4-42A2-8CEB-13F7C2ED09B0}" type="CELLRANGE">
                      <a:rPr lang="es-VE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8FA-40E0-9769-B67ECEEC7DA6}"/>
                </c:ext>
              </c:extLst>
            </c:dLbl>
            <c:dLbl>
              <c:idx val="60"/>
              <c:layout>
                <c:manualLayout>
                  <c:x val="-1.2077294685990338E-2"/>
                  <c:y val="-1.1602616770745224E-2"/>
                </c:manualLayout>
              </c:layout>
              <c:tx>
                <c:rich>
                  <a:bodyPr/>
                  <a:lstStyle/>
                  <a:p>
                    <a:fld id="{41AFAA07-3836-449B-B8A2-D049F3B24D2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8FA-40E0-9769-B67ECEEC7D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8235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39'!$H$98:$BP$98</c:f>
              <c:numCache>
                <c:formatCode>0.0%</c:formatCode>
                <c:ptCount val="61"/>
                <c:pt idx="0">
                  <c:v>0</c:v>
                </c:pt>
                <c:pt idx="1">
                  <c:v>-3.1937615344893432E-3</c:v>
                </c:pt>
                <c:pt idx="2">
                  <c:v>2.1028866397939314E-3</c:v>
                </c:pt>
                <c:pt idx="3">
                  <c:v>1.9401449429428674E-2</c:v>
                </c:pt>
                <c:pt idx="4">
                  <c:v>3.8434565181115113E-2</c:v>
                </c:pt>
                <c:pt idx="5">
                  <c:v>5.0025686748648837E-2</c:v>
                </c:pt>
                <c:pt idx="6">
                  <c:v>5.6615095777748925E-2</c:v>
                </c:pt>
                <c:pt idx="7">
                  <c:v>5.0714076904716465E-2</c:v>
                </c:pt>
                <c:pt idx="8">
                  <c:v>4.3645576582090354E-2</c:v>
                </c:pt>
                <c:pt idx="9">
                  <c:v>3.1973526070554398E-2</c:v>
                </c:pt>
                <c:pt idx="10">
                  <c:v>2.281942726620978E-2</c:v>
                </c:pt>
                <c:pt idx="11">
                  <c:v>1.1782702282029323E-2</c:v>
                </c:pt>
                <c:pt idx="12">
                  <c:v>1.8524389796112595E-2</c:v>
                </c:pt>
                <c:pt idx="13">
                  <c:v>8.60240918044064E-3</c:v>
                </c:pt>
                <c:pt idx="14">
                  <c:v>2.984513934453259E-3</c:v>
                </c:pt>
                <c:pt idx="15">
                  <c:v>-3.1594847441535345E-3</c:v>
                </c:pt>
                <c:pt idx="16">
                  <c:v>-1.7278863596933564E-2</c:v>
                </c:pt>
                <c:pt idx="17">
                  <c:v>-4.0880450226913112E-2</c:v>
                </c:pt>
                <c:pt idx="18">
                  <c:v>-4.5379315280175914E-2</c:v>
                </c:pt>
                <c:pt idx="19">
                  <c:v>-5.1578279264821669E-2</c:v>
                </c:pt>
                <c:pt idx="20">
                  <c:v>-5.1821749469353029E-2</c:v>
                </c:pt>
                <c:pt idx="21">
                  <c:v>-4.6155841813606213E-2</c:v>
                </c:pt>
                <c:pt idx="22">
                  <c:v>-4.9512678914668928E-2</c:v>
                </c:pt>
                <c:pt idx="23">
                  <c:v>-0.10113248570228622</c:v>
                </c:pt>
                <c:pt idx="24">
                  <c:v>-0.17275928368524113</c:v>
                </c:pt>
                <c:pt idx="25">
                  <c:v>-0.23695398260518619</c:v>
                </c:pt>
                <c:pt idx="26">
                  <c:v>-0.31341404050485838</c:v>
                </c:pt>
                <c:pt idx="27">
                  <c:v>-0.37053942643695303</c:v>
                </c:pt>
                <c:pt idx="28">
                  <c:v>-0.3684444636780439</c:v>
                </c:pt>
                <c:pt idx="29">
                  <c:v>-0.39933652006885317</c:v>
                </c:pt>
                <c:pt idx="30">
                  <c:v>-0.40824245525801428</c:v>
                </c:pt>
                <c:pt idx="31">
                  <c:v>-0.42415560313537704</c:v>
                </c:pt>
                <c:pt idx="32">
                  <c:v>-0.44517323482208626</c:v>
                </c:pt>
                <c:pt idx="33">
                  <c:v>-0.4634157365646816</c:v>
                </c:pt>
                <c:pt idx="34">
                  <c:v>-0.48749583886490755</c:v>
                </c:pt>
                <c:pt idx="35">
                  <c:v>-0.48749583886490755</c:v>
                </c:pt>
                <c:pt idx="36">
                  <c:v>-0.48749583886490755</c:v>
                </c:pt>
                <c:pt idx="37">
                  <c:v>-0.48749583886490755</c:v>
                </c:pt>
                <c:pt idx="38">
                  <c:v>-0.48456218183861444</c:v>
                </c:pt>
                <c:pt idx="39">
                  <c:v>-0.48293592066193169</c:v>
                </c:pt>
                <c:pt idx="40">
                  <c:v>-0.48293592066193169</c:v>
                </c:pt>
                <c:pt idx="41">
                  <c:v>-0.48293592066193169</c:v>
                </c:pt>
                <c:pt idx="42">
                  <c:v>-0.48293592066193169</c:v>
                </c:pt>
                <c:pt idx="43">
                  <c:v>-0.46719090313983924</c:v>
                </c:pt>
                <c:pt idx="44">
                  <c:v>-0.46660655932402051</c:v>
                </c:pt>
                <c:pt idx="45">
                  <c:v>-0.46499981814653812</c:v>
                </c:pt>
                <c:pt idx="46">
                  <c:v>-0.46357450959438706</c:v>
                </c:pt>
                <c:pt idx="47">
                  <c:v>-0.46339307696905596</c:v>
                </c:pt>
                <c:pt idx="48">
                  <c:v>-0.46339307696905596</c:v>
                </c:pt>
                <c:pt idx="49">
                  <c:v>-0.46178633579157369</c:v>
                </c:pt>
                <c:pt idx="50">
                  <c:v>-0.46036102723942263</c:v>
                </c:pt>
                <c:pt idx="51">
                  <c:v>-0.45924020793235765</c:v>
                </c:pt>
                <c:pt idx="52">
                  <c:v>-0.45811938862529256</c:v>
                </c:pt>
                <c:pt idx="53">
                  <c:v>-0.45599450202231506</c:v>
                </c:pt>
                <c:pt idx="54">
                  <c:v>-0.45440083707008194</c:v>
                </c:pt>
                <c:pt idx="55">
                  <c:v>-0.4533383937685932</c:v>
                </c:pt>
                <c:pt idx="56">
                  <c:v>-0.40352688465789255</c:v>
                </c:pt>
                <c:pt idx="57">
                  <c:v>-0.4024644413564038</c:v>
                </c:pt>
                <c:pt idx="58">
                  <c:v>-0.40193321970565943</c:v>
                </c:pt>
                <c:pt idx="59">
                  <c:v>-0.40044894522623042</c:v>
                </c:pt>
                <c:pt idx="60">
                  <c:v>-0.39938650192474168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39'!$H$116:$BP$116</c15:f>
                <c15:dlblRangeCache>
                  <c:ptCount val="61"/>
                  <c:pt idx="0">
                    <c:v>0,0%</c:v>
                  </c:pt>
                  <c:pt idx="4">
                    <c:v>3,8%</c:v>
                  </c:pt>
                  <c:pt idx="8">
                    <c:v>4,4%</c:v>
                  </c:pt>
                  <c:pt idx="12">
                    <c:v>1,9%</c:v>
                  </c:pt>
                  <c:pt idx="16">
                    <c:v>-1,7%</c:v>
                  </c:pt>
                  <c:pt idx="20">
                    <c:v>-5,2%</c:v>
                  </c:pt>
                  <c:pt idx="24">
                    <c:v>-17,3%</c:v>
                  </c:pt>
                  <c:pt idx="28">
                    <c:v>-36,8%</c:v>
                  </c:pt>
                  <c:pt idx="32">
                    <c:v>-44,5%</c:v>
                  </c:pt>
                  <c:pt idx="36">
                    <c:v>-48,7%</c:v>
                  </c:pt>
                  <c:pt idx="40">
                    <c:v>-48,3%</c:v>
                  </c:pt>
                  <c:pt idx="44">
                    <c:v>-46,7%</c:v>
                  </c:pt>
                  <c:pt idx="48">
                    <c:v>-46,3%</c:v>
                  </c:pt>
                  <c:pt idx="52">
                    <c:v>-45,8%</c:v>
                  </c:pt>
                  <c:pt idx="56">
                    <c:v>-40,4%</c:v>
                  </c:pt>
                  <c:pt idx="60">
                    <c:v>-39,9%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BF1C-4DE0-81BD-EBDDAB85CF1F}"/>
            </c:ext>
          </c:extLst>
        </c:ser>
        <c:ser>
          <c:idx val="3"/>
          <c:order val="3"/>
          <c:tx>
            <c:v>Líneas Guía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fixedVal"/>
            <c:noEndCap val="0"/>
            <c:val val="1.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lgDashDotDot"/>
                <a:round/>
              </a:ln>
              <a:effectLst/>
            </c:spPr>
          </c:errBars>
          <c:cat>
            <c:strRef>
              <c:f>'Plan 39'!$H$4:$CP$4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39'!$H$118:$BP$118</c:f>
              <c:numCache>
                <c:formatCode>0.0%</c:formatCode>
                <c:ptCount val="6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8.6862525881258479E-2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0.15498248541118015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0.18113785470964372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0.21813134326670858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0.30986567317609404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0.40794176830129086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0.47645502986170213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0.51250416113509245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0.51250416113509245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0.51706407933806831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0.53339344067597949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0.53660692303094404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0.54188061137470744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0.59647311534210745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0.60061349807525832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46-47D1-9257-C34730E8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7684367"/>
        <c:axId val="1297684783"/>
      </c:lineChart>
      <c:catAx>
        <c:axId val="1297684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783"/>
        <c:crosses val="autoZero"/>
        <c:auto val="1"/>
        <c:lblAlgn val="ctr"/>
        <c:lblOffset val="100"/>
        <c:tickLblSkip val="4"/>
        <c:noMultiLvlLbl val="0"/>
      </c:catAx>
      <c:valAx>
        <c:axId val="1297684783"/>
        <c:scaling>
          <c:orientation val="minMax"/>
          <c:max val="1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3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329815008748605E-2"/>
          <c:y val="3.6013249532335249E-2"/>
          <c:w val="0.90221232378174776"/>
          <c:h val="0.72236686992149179"/>
        </c:manualLayout>
      </c:layout>
      <c:lineChart>
        <c:grouping val="standard"/>
        <c:varyColors val="0"/>
        <c:ser>
          <c:idx val="0"/>
          <c:order val="0"/>
          <c:tx>
            <c:strRef>
              <c:f>'Dashboard Turbina'!$X$4</c:f>
              <c:strCache>
                <c:ptCount val="1"/>
                <c:pt idx="0">
                  <c:v>Plan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52DA-46D7-B5C4-D1329BD6B15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15826D-D741-4FC3-A9C2-EA9D0DC123C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52DA-46D7-B5C4-D1329BD6B15B}"/>
                </c:ext>
              </c:extLst>
            </c:dLbl>
            <c:dLbl>
              <c:idx val="2"/>
              <c:layout>
                <c:manualLayout>
                  <c:x val="-6.2112480505154251E-3"/>
                  <c:y val="2.6343625449596578E-2"/>
                </c:manualLayout>
              </c:layout>
              <c:tx>
                <c:rich>
                  <a:bodyPr/>
                  <a:lstStyle/>
                  <a:p>
                    <a:fld id="{F10669E5-A41E-4534-AA44-178604D0A82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52DA-46D7-B5C4-D1329BD6B15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3CB8C5B-DAAC-491A-B3F9-16CAC462956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52DA-46D7-B5C4-D1329BD6B15B}"/>
                </c:ext>
              </c:extLst>
            </c:dLbl>
            <c:dLbl>
              <c:idx val="4"/>
              <c:layout>
                <c:manualLayout>
                  <c:x val="-7.0489559241356442E-2"/>
                  <c:y val="-8.4807914919553487E-2"/>
                </c:manualLayout>
              </c:layout>
              <c:tx>
                <c:rich>
                  <a:bodyPr/>
                  <a:lstStyle/>
                  <a:p>
                    <a:fld id="{723FF6B4-FF71-4B05-87A4-575B55C6868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36-4E8C-B8C5-191532E00F6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B6FC4A7-D7B7-445B-B144-97D6901EEBE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C-52DA-46D7-B5C4-D1329BD6B15B}"/>
                </c:ext>
              </c:extLst>
            </c:dLbl>
            <c:dLbl>
              <c:idx val="6"/>
              <c:layout>
                <c:manualLayout>
                  <c:x val="-7.8497793591674386E-2"/>
                  <c:y val="-0.10780626828671888"/>
                </c:manualLayout>
              </c:layout>
              <c:tx>
                <c:rich>
                  <a:bodyPr/>
                  <a:lstStyle/>
                  <a:p>
                    <a:fld id="{58A32F8E-9B0D-48D3-8E20-961B52A3EBD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52DA-46D7-B5C4-D1329BD6B15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AB43B22-C379-44E7-B3D6-6193C7B0DF7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52DA-46D7-B5C4-D1329BD6B15B}"/>
                </c:ext>
              </c:extLst>
            </c:dLbl>
            <c:dLbl>
              <c:idx val="8"/>
              <c:layout>
                <c:manualLayout>
                  <c:x val="-8.2539438748881866E-2"/>
                  <c:y val="-0.11943418226671594"/>
                </c:manualLayout>
              </c:layout>
              <c:tx>
                <c:rich>
                  <a:bodyPr/>
                  <a:lstStyle/>
                  <a:p>
                    <a:fld id="{73EDB527-4432-4D57-8449-806426F99F9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52DA-46D7-B5C4-D1329BD6B15B}"/>
                </c:ext>
              </c:extLst>
            </c:dLbl>
            <c:dLbl>
              <c:idx val="9"/>
              <c:layout>
                <c:manualLayout>
                  <c:x val="-1.4428986259028095E-2"/>
                  <c:y val="2.4245748800678479E-2"/>
                </c:manualLayout>
              </c:layout>
              <c:tx>
                <c:rich>
                  <a:bodyPr/>
                  <a:lstStyle/>
                  <a:p>
                    <a:fld id="{7B4E0025-5FC5-4FB3-8450-D20045B3B67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36-4E8C-B8C5-191532E00F68}"/>
                </c:ext>
              </c:extLst>
            </c:dLbl>
            <c:dLbl>
              <c:idx val="10"/>
              <c:layout>
                <c:manualLayout>
                  <c:x val="-7.8516597085837622E-2"/>
                  <c:y val="-0.10418777155288193"/>
                </c:manualLayout>
              </c:layout>
              <c:tx>
                <c:rich>
                  <a:bodyPr/>
                  <a:lstStyle/>
                  <a:p>
                    <a:fld id="{0F57B688-716B-4639-8F04-967996FA5FD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52DA-46D7-B5C4-D1329BD6B15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A42A0A9-4C2D-4012-8119-9D26EBC7C5B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52DA-46D7-B5C4-D1329BD6B15B}"/>
                </c:ext>
              </c:extLst>
            </c:dLbl>
            <c:dLbl>
              <c:idx val="12"/>
              <c:layout>
                <c:manualLayout>
                  <c:x val="-7.851659708583765E-2"/>
                  <c:y val="-9.6590313655247839E-2"/>
                </c:manualLayout>
              </c:layout>
              <c:tx>
                <c:rich>
                  <a:bodyPr/>
                  <a:lstStyle/>
                  <a:p>
                    <a:fld id="{778D92BB-D82E-467B-9B76-5B60EB9D1C8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52DA-46D7-B5C4-D1329BD6B15B}"/>
                </c:ext>
              </c:extLst>
            </c:dLbl>
            <c:dLbl>
              <c:idx val="13"/>
              <c:layout>
                <c:manualLayout>
                  <c:x val="-3.9057125699847692E-2"/>
                  <c:y val="3.9908229925453315E-2"/>
                </c:manualLayout>
              </c:layout>
              <c:tx>
                <c:rich>
                  <a:bodyPr/>
                  <a:lstStyle/>
                  <a:p>
                    <a:fld id="{05679DBC-08DC-49B7-8552-39799999CEA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36-4E8C-B8C5-191532E00F68}"/>
                </c:ext>
              </c:extLst>
            </c:dLbl>
            <c:dLbl>
              <c:idx val="14"/>
              <c:layout>
                <c:manualLayout>
                  <c:x val="-7.8488470850870767E-2"/>
                  <c:y val="-8.8941360839047995E-2"/>
                </c:manualLayout>
              </c:layout>
              <c:tx>
                <c:rich>
                  <a:bodyPr/>
                  <a:lstStyle/>
                  <a:p>
                    <a:fld id="{0D089285-3C9E-46CF-BCC3-BF5FF4F0CE6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52DA-46D7-B5C4-D1329BD6B15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17E9BED-2FE3-4189-9E37-85A2C3C3D69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52DA-46D7-B5C4-D1329BD6B15B}"/>
                </c:ext>
              </c:extLst>
            </c:dLbl>
            <c:dLbl>
              <c:idx val="16"/>
              <c:layout>
                <c:manualLayout>
                  <c:x val="-8.2277137905932315E-2"/>
                  <c:y val="-8.4138480978198718E-2"/>
                </c:manualLayout>
              </c:layout>
              <c:tx>
                <c:rich>
                  <a:bodyPr/>
                  <a:lstStyle/>
                  <a:p>
                    <a:fld id="{F4E688D8-F2FC-4293-9054-02EB07D0FF8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52DA-46D7-B5C4-D1329BD6B15B}"/>
                </c:ext>
              </c:extLst>
            </c:dLbl>
            <c:dLbl>
              <c:idx val="17"/>
              <c:layout>
                <c:manualLayout>
                  <c:x val="-4.9597032248973272E-2"/>
                  <c:y val="-2.4312633667637366E-2"/>
                </c:manualLayout>
              </c:layout>
              <c:tx>
                <c:rich>
                  <a:bodyPr/>
                  <a:lstStyle/>
                  <a:p>
                    <a:fld id="{5BD0E971-8245-4E0C-9C9E-F5FD6D00537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36-4E8C-B8C5-191532E00F68}"/>
                </c:ext>
              </c:extLst>
            </c:dLbl>
            <c:dLbl>
              <c:idx val="18"/>
              <c:layout>
                <c:manualLayout>
                  <c:x val="-8.2277137905932288E-2"/>
                  <c:y val="-6.8840575345798918E-2"/>
                </c:manualLayout>
              </c:layout>
              <c:tx>
                <c:rich>
                  <a:bodyPr/>
                  <a:lstStyle/>
                  <a:p>
                    <a:fld id="{BE4A5557-DE88-415D-8BEB-8DC6A54AC90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52DA-46D7-B5C4-D1329BD6B15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74561CD-7865-4BC8-AC80-9D8C0D45DF3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52DA-46D7-B5C4-D1329BD6B15B}"/>
                </c:ext>
              </c:extLst>
            </c:dLbl>
            <c:dLbl>
              <c:idx val="20"/>
              <c:layout>
                <c:manualLayout>
                  <c:x val="-8.6290656828172885E-2"/>
                  <c:y val="-4.9718193305299252E-2"/>
                </c:manualLayout>
              </c:layout>
              <c:tx>
                <c:rich>
                  <a:bodyPr/>
                  <a:lstStyle/>
                  <a:p>
                    <a:fld id="{C31AAB2D-E0BB-4BAC-BFC3-836B2B52F6E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52DA-46D7-B5C4-D1329BD6B15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BAD90CA-2037-451C-844C-759C789ADCB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52DA-46D7-B5C4-D1329BD6B15B}"/>
                </c:ext>
              </c:extLst>
            </c:dLbl>
            <c:dLbl>
              <c:idx val="22"/>
              <c:layout>
                <c:manualLayout>
                  <c:x val="-9.2310935211533773E-2"/>
                  <c:y val="-5.3542669713399195E-2"/>
                </c:manualLayout>
              </c:layout>
              <c:tx>
                <c:rich>
                  <a:bodyPr/>
                  <a:lstStyle/>
                  <a:p>
                    <a:fld id="{85B5E59B-DB06-45E9-8FDA-19D7081C15F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36-4E8C-B8C5-191532E00F6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00BD1E1-285C-4C97-88EB-94734E436F2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52DA-46D7-B5C4-D1329BD6B15B}"/>
                </c:ext>
              </c:extLst>
            </c:dLbl>
            <c:dLbl>
              <c:idx val="24"/>
              <c:layout>
                <c:manualLayout>
                  <c:x val="-8.2277137905932288E-2"/>
                  <c:y val="-3.82447640809994E-3"/>
                </c:manualLayout>
              </c:layout>
              <c:tx>
                <c:rich>
                  <a:bodyPr/>
                  <a:lstStyle/>
                  <a:p>
                    <a:fld id="{7AB12C89-4BC3-4EB1-A7B9-3D0CE77198D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9CD-4D80-BFB6-5C48FD4F04D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D2E396F-2024-4167-BD0A-23F17161604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52DA-46D7-B5C4-D1329BD6B15B}"/>
                </c:ext>
              </c:extLst>
            </c:dLbl>
            <c:dLbl>
              <c:idx val="26"/>
              <c:layout>
                <c:manualLayout>
                  <c:x val="-7.8263618983691718E-2"/>
                  <c:y val="5.3542669713399126E-2"/>
                </c:manualLayout>
              </c:layout>
              <c:tx>
                <c:rich>
                  <a:bodyPr/>
                  <a:lstStyle/>
                  <a:p>
                    <a:fld id="{556C5F84-E4AC-401E-8BB0-26F015A69DA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36-4E8C-B8C5-191532E00F6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5268B94-06F8-426E-9505-037B1A01713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52DA-46D7-B5C4-D1329BD6B15B}"/>
                </c:ext>
              </c:extLst>
            </c:dLbl>
            <c:dLbl>
              <c:idx val="28"/>
              <c:layout>
                <c:manualLayout>
                  <c:x val="-8.2277137905932315E-2"/>
                  <c:y val="9.1787433794398535E-2"/>
                </c:manualLayout>
              </c:layout>
              <c:tx>
                <c:rich>
                  <a:bodyPr/>
                  <a:lstStyle/>
                  <a:p>
                    <a:fld id="{F948B792-2027-4AA5-81F4-0AF3C145629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52DA-46D7-B5C4-D1329BD6B15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508FBF6-CCCE-4F75-B57D-81BEB39CBA3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E-52DA-46D7-B5C4-D1329BD6B15B}"/>
                </c:ext>
              </c:extLst>
            </c:dLbl>
            <c:dLbl>
              <c:idx val="30"/>
              <c:layout>
                <c:manualLayout>
                  <c:x val="-8.6296977330412625E-2"/>
                  <c:y val="9.4809673576421449E-2"/>
                </c:manualLayout>
              </c:layout>
              <c:tx>
                <c:rich>
                  <a:bodyPr/>
                  <a:lstStyle/>
                  <a:p>
                    <a:fld id="{0511DD2E-8235-4A92-97FC-2A6067725F8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033-4CB6-BA57-53AFA392C947}"/>
                </c:ext>
              </c:extLst>
            </c:dLbl>
            <c:dLbl>
              <c:idx val="31"/>
              <c:layout>
                <c:manualLayout>
                  <c:x val="-1.4424603148894155E-2"/>
                  <c:y val="-3.5884932976006943E-2"/>
                </c:manualLayout>
              </c:layout>
              <c:tx>
                <c:rich>
                  <a:bodyPr/>
                  <a:lstStyle/>
                  <a:p>
                    <a:fld id="{7136A4CE-86F4-49E7-B729-3D1F1DF7E8E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36-4E8C-B8C5-191532E00F68}"/>
                </c:ext>
              </c:extLst>
            </c:dLbl>
            <c:dLbl>
              <c:idx val="32"/>
              <c:layout>
                <c:manualLayout>
                  <c:x val="-8.0270378444811982E-2"/>
                  <c:y val="0.11473429224299818"/>
                </c:manualLayout>
              </c:layout>
              <c:tx>
                <c:rich>
                  <a:bodyPr/>
                  <a:lstStyle/>
                  <a:p>
                    <a:fld id="{67A7302F-BC63-461F-9C4A-107538123A0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52DA-46D7-B5C4-D1329BD6B15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057F433-64E0-4536-9520-32BA99B5B53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0-52DA-46D7-B5C4-D1329BD6B15B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52DA-46D7-B5C4-D1329BD6B15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BB94C370-BDEE-4F86-969A-5435B64FEB1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2-52DA-46D7-B5C4-D1329BD6B15B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52DA-46D7-B5C4-D1329BD6B15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201F17A-865C-47C2-AFBA-D9556CB5B9D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4-52DA-46D7-B5C4-D1329BD6B15B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52DA-46D7-B5C4-D1329BD6B15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5575B07D-EEB8-4CB3-873B-2CF7F09D29C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6-52DA-46D7-B5C4-D1329BD6B15B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52DA-46D7-B5C4-D1329BD6B15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0FCD3666-E2DF-4EE7-9DAD-13D967DF008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8-52DA-46D7-B5C4-D1329BD6B15B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52DA-46D7-B5C4-D1329BD6B15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B27F8101-DDD7-4631-81CF-23D322737C3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52DA-46D7-B5C4-D1329BD6B15B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52DA-46D7-B5C4-D1329BD6B15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D7FE6D1E-4627-4D92-8480-C8ABCBC950F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C-52DA-46D7-B5C4-D1329BD6B15B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52DA-46D7-B5C4-D1329BD6B15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01F9AC3C-6E3E-4E37-83B5-4888B5A5AD5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52DA-46D7-B5C4-D1329BD6B15B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52DA-46D7-B5C4-D1329BD6B15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339FCC7B-5600-43EA-AB24-A7988A760A2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52DA-46D7-B5C4-D1329BD6B15B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52DA-46D7-B5C4-D1329BD6B15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AE0C1396-E2AD-4821-847F-37EC94029B5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2-52DA-46D7-B5C4-D1329BD6B15B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52DA-46D7-B5C4-D1329BD6B15B}"/>
                </c:ext>
              </c:extLst>
            </c:dLbl>
            <c:dLbl>
              <c:idx val="53"/>
              <c:layout>
                <c:manualLayout>
                  <c:x val="-4.2424242424242427E-2"/>
                  <c:y val="3.4782608695652174E-2"/>
                </c:manualLayout>
              </c:layout>
              <c:tx>
                <c:rich>
                  <a:bodyPr/>
                  <a:lstStyle/>
                  <a:p>
                    <a:fld id="{62D59FDD-FB92-46D4-93A8-68004D5318A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8B6-41A3-9C9B-71C05CD32BD0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52DA-46D7-B5C4-D1329BD6B15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0A13CCB3-79E8-4A0B-B191-B0077CC4227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5-52DA-46D7-B5C4-D1329BD6B15B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52DA-46D7-B5C4-D1329BD6B15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6E4E96AC-61FB-4B2F-A236-9F1941E5234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8-52DA-46D7-B5C4-D1329BD6B15B}"/>
                </c:ext>
              </c:extLst>
            </c:dLbl>
            <c:dLbl>
              <c:idx val="58"/>
              <c:layout>
                <c:manualLayout>
                  <c:x val="-0.26873578302712176"/>
                  <c:y val="4.188888400123169E-2"/>
                </c:manualLayout>
              </c:layout>
              <c:tx>
                <c:rich>
                  <a:bodyPr/>
                  <a:lstStyle/>
                  <a:p>
                    <a:fld id="{60333074-E4AA-4746-A163-0227BAEAB95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7-52DA-46D7-B5C4-D1329BD6B15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7F34651A-708A-4AD8-9F20-974BB1736BE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9-52DA-46D7-B5C4-D1329BD6B15B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52DA-46D7-B5C4-D1329BD6B15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A45F0A45-A8F6-44A0-A511-F9759727EAC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A-52DA-46D7-B5C4-D1329BD6B15B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52DA-46D7-B5C4-D1329BD6B15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19FE5004-F148-455C-A5B0-5CCDE955F19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B-52DA-46D7-B5C4-D1329BD6B15B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52DA-46D7-B5C4-D1329BD6B15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BBDCC6A2-FC2F-4DFB-8502-079D4DBC4CD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C-52DA-46D7-B5C4-D1329BD6B15B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52DA-46D7-B5C4-D1329BD6B15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2CBE9D41-2FE2-4170-B398-16803B08FE7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D-52DA-46D7-B5C4-D1329BD6B15B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52DA-46D7-B5C4-D1329BD6B15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53DFAE73-ED2A-4726-B58C-68207FFA1FF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E-52DA-46D7-B5C4-D1329BD6B15B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52DA-46D7-B5C4-D1329BD6B15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375CD5F7-0628-4679-88FC-B1163466CFB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52DA-46D7-B5C4-D1329BD6B15B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52DA-46D7-B5C4-D1329BD6B15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57A00AED-975C-4120-A272-7359AF3D883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52DA-46D7-B5C4-D1329BD6B15B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52DA-46D7-B5C4-D1329BD6B15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D22892A1-3CD2-460F-83C2-F7DC4533704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1-52DA-46D7-B5C4-D1329BD6B15B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52DA-46D7-B5C4-D1329BD6B15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459ED18D-4E90-4EC6-B7FC-0A7D23385C9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2-52DA-46D7-B5C4-D1329BD6B15B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52DA-46D7-B5C4-D1329BD6B15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79F6DC92-83AD-49C8-BD16-F80A4B15E82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3-52DA-46D7-B5C4-D1329BD6B15B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52DA-46D7-B5C4-D1329BD6B15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A5427080-30B1-4E69-BB67-898E47A0AC0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4-52DA-46D7-B5C4-D1329BD6B15B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52DA-46D7-B5C4-D1329BD6B15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778D1BA2-CE92-40C4-86A8-E7166A6D6FE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5-52DA-46D7-B5C4-D1329BD6B15B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52DA-46D7-B5C4-D1329BD6B15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70857146-722E-47C1-90E8-43B726459CD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6-52DA-46D7-B5C4-D1329BD6B15B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52DA-46D7-B5C4-D1329BD6B15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'Plan 39'!$H$45:$CP$45</c:f>
              <c:numCache>
                <c:formatCode>0.0%</c:formatCode>
                <c:ptCount val="87"/>
                <c:pt idx="0">
                  <c:v>0</c:v>
                </c:pt>
                <c:pt idx="1">
                  <c:v>1.0219201374189874E-2</c:v>
                </c:pt>
                <c:pt idx="2">
                  <c:v>2.0448572053939334E-2</c:v>
                </c:pt>
                <c:pt idx="3">
                  <c:v>3.2686662628642088E-2</c:v>
                </c:pt>
                <c:pt idx="4">
                  <c:v>4.8427960700143366E-2</c:v>
                </c:pt>
                <c:pt idx="5">
                  <c:v>6.4155197732379973E-2</c:v>
                </c:pt>
                <c:pt idx="6">
                  <c:v>7.9882434764616567E-2</c:v>
                </c:pt>
                <c:pt idx="7">
                  <c:v>9.5609671796853174E-2</c:v>
                </c:pt>
                <c:pt idx="8">
                  <c:v>0.1113369088290898</c:v>
                </c:pt>
                <c:pt idx="9">
                  <c:v>0.1270952797309671</c:v>
                </c:pt>
                <c:pt idx="10">
                  <c:v>0.13893467479182178</c:v>
                </c:pt>
                <c:pt idx="11">
                  <c:v>0.15077406985267644</c:v>
                </c:pt>
                <c:pt idx="12">
                  <c:v>0.16261346491353112</c:v>
                </c:pt>
                <c:pt idx="13">
                  <c:v>0.17445285997438575</c:v>
                </c:pt>
                <c:pt idx="14">
                  <c:v>0.18775165517464812</c:v>
                </c:pt>
                <c:pt idx="15">
                  <c:v>0.21063799811984957</c:v>
                </c:pt>
                <c:pt idx="16">
                  <c:v>0.23541020686364214</c:v>
                </c:pt>
                <c:pt idx="17">
                  <c:v>0.26193059377243694</c:v>
                </c:pt>
                <c:pt idx="18">
                  <c:v>0.28447312343283143</c:v>
                </c:pt>
                <c:pt idx="19">
                  <c:v>0.31131170015158111</c:v>
                </c:pt>
                <c:pt idx="20">
                  <c:v>0.36168742264544707</c:v>
                </c:pt>
                <c:pt idx="21">
                  <c:v>0.40161997286675838</c:v>
                </c:pt>
                <c:pt idx="22">
                  <c:v>0.44727990660254979</c:v>
                </c:pt>
                <c:pt idx="23">
                  <c:v>0.50574429285036171</c:v>
                </c:pt>
                <c:pt idx="24">
                  <c:v>0.58070105198653199</c:v>
                </c:pt>
                <c:pt idx="25">
                  <c:v>0.65565781112270238</c:v>
                </c:pt>
                <c:pt idx="26">
                  <c:v>0.7356946605739203</c:v>
                </c:pt>
                <c:pt idx="27">
                  <c:v>0.7948632067011856</c:v>
                </c:pt>
                <c:pt idx="28">
                  <c:v>0.84489949353974603</c:v>
                </c:pt>
                <c:pt idx="29">
                  <c:v>0.88140622587145701</c:v>
                </c:pt>
                <c:pt idx="30">
                  <c:v>0.91207406040096894</c:v>
                </c:pt>
                <c:pt idx="31">
                  <c:v>0.93610162429617627</c:v>
                </c:pt>
                <c:pt idx="32">
                  <c:v>0.95767739595717871</c:v>
                </c:pt>
                <c:pt idx="33">
                  <c:v>0.97591989769977405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 39'!$H$99:$CP$99</c15:f>
                <c15:dlblRangeCache>
                  <c:ptCount val="87"/>
                  <c:pt idx="0">
                    <c:v>0,0%</c:v>
                  </c:pt>
                  <c:pt idx="2">
                    <c:v>2,0%</c:v>
                  </c:pt>
                  <c:pt idx="4">
                    <c:v>4,8%</c:v>
                  </c:pt>
                  <c:pt idx="6">
                    <c:v>8,0%</c:v>
                  </c:pt>
                  <c:pt idx="8">
                    <c:v>11,1%</c:v>
                  </c:pt>
                  <c:pt idx="10">
                    <c:v>13,9%</c:v>
                  </c:pt>
                  <c:pt idx="12">
                    <c:v>16,3%</c:v>
                  </c:pt>
                  <c:pt idx="14">
                    <c:v>18,8%</c:v>
                  </c:pt>
                  <c:pt idx="16">
                    <c:v>23,5%</c:v>
                  </c:pt>
                  <c:pt idx="18">
                    <c:v>28,4%</c:v>
                  </c:pt>
                  <c:pt idx="20">
                    <c:v>36,2%</c:v>
                  </c:pt>
                  <c:pt idx="22">
                    <c:v>44,7%</c:v>
                  </c:pt>
                  <c:pt idx="24">
                    <c:v>58,1%</c:v>
                  </c:pt>
                  <c:pt idx="26">
                    <c:v>73,6%</c:v>
                  </c:pt>
                  <c:pt idx="28">
                    <c:v>84,5%</c:v>
                  </c:pt>
                  <c:pt idx="30">
                    <c:v>91,2%</c:v>
                  </c:pt>
                  <c:pt idx="32">
                    <c:v>95,8%</c:v>
                  </c:pt>
                  <c:pt idx="34">
                    <c:v>100,0%</c:v>
                  </c:pt>
                  <c:pt idx="36">
                    <c:v>100,0%</c:v>
                  </c:pt>
                  <c:pt idx="38">
                    <c:v>100,0%</c:v>
                  </c:pt>
                  <c:pt idx="40">
                    <c:v>100,0%</c:v>
                  </c:pt>
                  <c:pt idx="42">
                    <c:v>100,0%</c:v>
                  </c:pt>
                  <c:pt idx="44">
                    <c:v>100,0%</c:v>
                  </c:pt>
                  <c:pt idx="46">
                    <c:v>100,0%</c:v>
                  </c:pt>
                  <c:pt idx="48">
                    <c:v>100,0%</c:v>
                  </c:pt>
                  <c:pt idx="50">
                    <c:v>100,0%</c:v>
                  </c:pt>
                  <c:pt idx="52">
                    <c:v>100,0%</c:v>
                  </c:pt>
                  <c:pt idx="54">
                    <c:v>100,0%</c:v>
                  </c:pt>
                  <c:pt idx="56">
                    <c:v>100,0%</c:v>
                  </c:pt>
                  <c:pt idx="58">
                    <c:v>100,0%</c:v>
                  </c:pt>
                  <c:pt idx="60">
                    <c:v>100,0%</c:v>
                  </c:pt>
                  <c:pt idx="62">
                    <c:v>100,0%</c:v>
                  </c:pt>
                  <c:pt idx="64">
                    <c:v>100,0%</c:v>
                  </c:pt>
                  <c:pt idx="66">
                    <c:v>100,0%</c:v>
                  </c:pt>
                  <c:pt idx="68">
                    <c:v>100,0%</c:v>
                  </c:pt>
                  <c:pt idx="70">
                    <c:v>100,0%</c:v>
                  </c:pt>
                  <c:pt idx="72">
                    <c:v>100,0%</c:v>
                  </c:pt>
                  <c:pt idx="74">
                    <c:v>100,0%</c:v>
                  </c:pt>
                  <c:pt idx="76">
                    <c:v>100,0%</c:v>
                  </c:pt>
                  <c:pt idx="78">
                    <c:v>100,0%</c:v>
                  </c:pt>
                  <c:pt idx="80">
                    <c:v>100,0%</c:v>
                  </c:pt>
                  <c:pt idx="82">
                    <c:v>100,0%</c:v>
                  </c:pt>
                  <c:pt idx="84">
                    <c:v>100,0%</c:v>
                  </c:pt>
                  <c:pt idx="86">
                    <c:v>100,0%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CC36-4E8C-B8C5-191532E00F68}"/>
            </c:ext>
          </c:extLst>
        </c:ser>
        <c:ser>
          <c:idx val="1"/>
          <c:order val="1"/>
          <c:tx>
            <c:strRef>
              <c:f>'Dashboard Turbina'!$Y$4</c:f>
              <c:strCache>
                <c:ptCount val="1"/>
                <c:pt idx="0">
                  <c:v>Real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DA-46D7-B5C4-D1329BD6B15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5C550BA-85C5-4FAB-9049-9B0A31CB025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2DA-46D7-B5C4-D1329BD6B15B}"/>
                </c:ext>
              </c:extLst>
            </c:dLbl>
            <c:dLbl>
              <c:idx val="2"/>
              <c:layout>
                <c:manualLayout>
                  <c:x val="-4.6098899110721139E-2"/>
                  <c:y val="-2.6688521391169926E-2"/>
                </c:manualLayout>
              </c:layout>
              <c:tx>
                <c:rich>
                  <a:bodyPr/>
                  <a:lstStyle/>
                  <a:p>
                    <a:fld id="{BCA9C250-64A5-47EE-AC35-85604C78433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2DA-46D7-B5C4-D1329BD6B15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70A5460-E416-4059-9FF7-30EB8CAC112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2DA-46D7-B5C4-D1329BD6B15B}"/>
                </c:ext>
              </c:extLst>
            </c:dLbl>
            <c:dLbl>
              <c:idx val="4"/>
              <c:layout>
                <c:manualLayout>
                  <c:x val="-4.9185042341834573E-2"/>
                  <c:y val="-2.0889771964841389E-2"/>
                </c:manualLayout>
              </c:layout>
              <c:tx>
                <c:rich>
                  <a:bodyPr/>
                  <a:lstStyle/>
                  <a:p>
                    <a:fld id="{88185E7E-30FD-4386-8627-2C60D1FA2B5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C36-4E8C-B8C5-191532E00F6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CB2B399-DA14-4B6F-B2BF-275B56D58D0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2DA-46D7-B5C4-D1329BD6B15B}"/>
                </c:ext>
              </c:extLst>
            </c:dLbl>
            <c:dLbl>
              <c:idx val="6"/>
              <c:layout>
                <c:manualLayout>
                  <c:x val="-5.6126059888970896E-2"/>
                  <c:y val="-2.2864044983069917E-2"/>
                </c:manualLayout>
              </c:layout>
              <c:tx>
                <c:rich>
                  <a:bodyPr/>
                  <a:lstStyle/>
                  <a:p>
                    <a:fld id="{EC6CD560-1FFF-4029-86C4-F977AA3E293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2DA-46D7-B5C4-D1329BD6B15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9C10F1D-F8DE-441B-8324-2FF4342E659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2DA-46D7-B5C4-D1329BD6B15B}"/>
                </c:ext>
              </c:extLst>
            </c:dLbl>
            <c:dLbl>
              <c:idx val="8"/>
              <c:layout>
                <c:manualLayout>
                  <c:x val="-5.8132881697297051E-2"/>
                  <c:y val="-3.8126356750421565E-2"/>
                </c:manualLayout>
              </c:layout>
              <c:tx>
                <c:rich>
                  <a:bodyPr/>
                  <a:lstStyle/>
                  <a:p>
                    <a:fld id="{E39EF0DE-1EDC-424B-84DA-FC359AC9AAD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2DA-46D7-B5C4-D1329BD6B15B}"/>
                </c:ext>
              </c:extLst>
            </c:dLbl>
            <c:dLbl>
              <c:idx val="9"/>
              <c:layout>
                <c:manualLayout>
                  <c:x val="-4.3286958777084175E-2"/>
                  <c:y val="-4.4450539467910888E-2"/>
                </c:manualLayout>
              </c:layout>
              <c:tx>
                <c:rich>
                  <a:bodyPr/>
                  <a:lstStyle/>
                  <a:p>
                    <a:fld id="{0F88F6E4-C8F0-481B-B4DE-20344B6219C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C36-4E8C-B8C5-191532E00F68}"/>
                </c:ext>
              </c:extLst>
            </c:dLbl>
            <c:dLbl>
              <c:idx val="10"/>
              <c:layout>
                <c:manualLayout>
                  <c:x val="-5.0114553187325044E-2"/>
                  <c:y val="-3.4313721075379409E-2"/>
                </c:manualLayout>
              </c:layout>
              <c:tx>
                <c:rich>
                  <a:bodyPr/>
                  <a:lstStyle/>
                  <a:p>
                    <a:fld id="{FE242C49-5FFA-4D92-964C-4BC813BB0EA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2DA-46D7-B5C4-D1329BD6B15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912A893-498A-4C33-98B7-BFA2EEC0203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2DA-46D7-B5C4-D1329BD6B15B}"/>
                </c:ext>
              </c:extLst>
            </c:dLbl>
            <c:dLbl>
              <c:idx val="12"/>
              <c:layout>
                <c:manualLayout>
                  <c:x val="-5.6128299569804051E-2"/>
                  <c:y val="-3.0501085400337254E-2"/>
                </c:manualLayout>
              </c:layout>
              <c:tx>
                <c:rich>
                  <a:bodyPr/>
                  <a:lstStyle/>
                  <a:p>
                    <a:fld id="{930022BB-1434-496F-B151-6158F7E334D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2DA-46D7-B5C4-D1329BD6B15B}"/>
                </c:ext>
              </c:extLst>
            </c:dLbl>
            <c:dLbl>
              <c:idx val="13"/>
              <c:layout>
                <c:manualLayout>
                  <c:x val="-4.1189763334978063E-2"/>
                  <c:y val="-3.631829241490684E-2"/>
                </c:manualLayout>
              </c:layout>
              <c:tx>
                <c:rich>
                  <a:bodyPr/>
                  <a:lstStyle/>
                  <a:p>
                    <a:fld id="{F77B1DB6-8FBD-425E-8F60-8BF251A9FEC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C36-4E8C-B8C5-191532E00F68}"/>
                </c:ext>
              </c:extLst>
            </c:dLbl>
            <c:dLbl>
              <c:idx val="14"/>
              <c:layout>
                <c:manualLayout>
                  <c:x val="-4.8109971059832078E-2"/>
                  <c:y val="-3.4313721075379409E-2"/>
                </c:manualLayout>
              </c:layout>
              <c:tx>
                <c:rich>
                  <a:bodyPr/>
                  <a:lstStyle/>
                  <a:p>
                    <a:fld id="{A7A9831F-447B-443F-998B-12383672BB3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2DA-46D7-B5C4-D1329BD6B15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65BA21A-3E70-4CED-950E-B3436EB20E5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52DA-46D7-B5C4-D1329BD6B15B}"/>
                </c:ext>
              </c:extLst>
            </c:dLbl>
            <c:dLbl>
              <c:idx val="16"/>
              <c:layout>
                <c:manualLayout>
                  <c:x val="-5.4123717442311044E-2"/>
                  <c:y val="-3.0501085400337254E-2"/>
                </c:manualLayout>
              </c:layout>
              <c:tx>
                <c:rich>
                  <a:bodyPr/>
                  <a:lstStyle/>
                  <a:p>
                    <a:fld id="{1998E50D-1000-40E0-87B8-CA054CA6D87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2DA-46D7-B5C4-D1329BD6B15B}"/>
                </c:ext>
              </c:extLst>
            </c:dLbl>
            <c:dLbl>
              <c:idx val="17"/>
              <c:layout>
                <c:manualLayout>
                  <c:x val="-2.4646710270643198E-2"/>
                  <c:y val="3.9590935234529459E-2"/>
                </c:manualLayout>
              </c:layout>
              <c:tx>
                <c:rich>
                  <a:bodyPr/>
                  <a:lstStyle/>
                  <a:p>
                    <a:fld id="{F0D9286A-97B5-4006-8117-0E2ACD4B9D9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C36-4E8C-B8C5-191532E00F68}"/>
                </c:ext>
              </c:extLst>
            </c:dLbl>
            <c:dLbl>
              <c:idx val="18"/>
              <c:layout>
                <c:manualLayout>
                  <c:x val="-5.0114553187325044E-2"/>
                  <c:y val="-3.4313721075379409E-2"/>
                </c:manualLayout>
              </c:layout>
              <c:tx>
                <c:rich>
                  <a:bodyPr/>
                  <a:lstStyle/>
                  <a:p>
                    <a:fld id="{9F2774E9-FA7A-401C-B261-CE2BF1788AD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52DA-46D7-B5C4-D1329BD6B15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6678ED4-E12A-4CBA-A16F-3F909A8B865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52DA-46D7-B5C4-D1329BD6B15B}"/>
                </c:ext>
              </c:extLst>
            </c:dLbl>
            <c:dLbl>
              <c:idx val="20"/>
              <c:layout>
                <c:manualLayout>
                  <c:x val="-5.8132881697297051E-2"/>
                  <c:y val="-2.6688449725295132E-2"/>
                </c:manualLayout>
              </c:layout>
              <c:tx>
                <c:rich>
                  <a:bodyPr/>
                  <a:lstStyle/>
                  <a:p>
                    <a:fld id="{7A04A0A8-7217-4390-B51D-612CE62D8FC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52DA-46D7-B5C4-D1329BD6B15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5A6F60A-590B-4C49-8AF1-8768EDD26C3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2DA-46D7-B5C4-D1329BD6B15B}"/>
                </c:ext>
              </c:extLst>
            </c:dLbl>
            <c:dLbl>
              <c:idx val="22"/>
              <c:layout>
                <c:manualLayout>
                  <c:x val="-6.2142045952283051E-2"/>
                  <c:y val="-2.2875814050252973E-2"/>
                </c:manualLayout>
              </c:layout>
              <c:tx>
                <c:rich>
                  <a:bodyPr/>
                  <a:lstStyle/>
                  <a:p>
                    <a:fld id="{E5434B25-5A5E-4D04-A091-54B7A7DAC6D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52DA-46D7-B5C4-D1329BD6B15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67D7EF3-EFE5-46C2-A489-103D10D204F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52DA-46D7-B5C4-D1329BD6B15B}"/>
                </c:ext>
              </c:extLst>
            </c:dLbl>
            <c:dLbl>
              <c:idx val="24"/>
              <c:layout>
                <c:manualLayout>
                  <c:x val="-4.9300724411785367E-2"/>
                  <c:y val="-3.645239954380463E-2"/>
                </c:manualLayout>
              </c:layout>
              <c:tx>
                <c:rich>
                  <a:bodyPr/>
                  <a:lstStyle/>
                  <a:p>
                    <a:fld id="{6168849B-DD9E-434B-8E2F-7033183227D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9CD-4D80-BFB6-5C48FD4F04D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288172E-0D06-4193-9EEF-0149C8594C2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52DA-46D7-B5C4-D1329BD6B15B}"/>
                </c:ext>
              </c:extLst>
            </c:dLbl>
            <c:dLbl>
              <c:idx val="26"/>
              <c:layout>
                <c:manualLayout>
                  <c:x val="-5.0114553187325044E-2"/>
                  <c:y val="-3.4313721075379409E-2"/>
                </c:manualLayout>
              </c:layout>
              <c:tx>
                <c:rich>
                  <a:bodyPr/>
                  <a:lstStyle/>
                  <a:p>
                    <a:fld id="{8BD040D9-CA02-43C5-8C15-3D2FDADDD70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52DA-46D7-B5C4-D1329BD6B15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687B418-28A0-4108-ADA2-9538C837D40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52DA-46D7-B5C4-D1329BD6B15B}"/>
                </c:ext>
              </c:extLst>
            </c:dLbl>
            <c:dLbl>
              <c:idx val="28"/>
              <c:layout>
                <c:manualLayout>
                  <c:x val="-5.1471878327776256E-2"/>
                  <c:y val="-2.4093019674375139E-2"/>
                </c:manualLayout>
              </c:layout>
              <c:tx>
                <c:rich>
                  <a:bodyPr/>
                  <a:lstStyle/>
                  <a:p>
                    <a:fld id="{584FB158-D673-4827-81B6-17AEDECECF7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007-4068-AAA7-82198BF2C16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6E43BAB-C84E-4090-BFDD-733C69AE7EA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52DA-46D7-B5C4-D1329BD6B15B}"/>
                </c:ext>
              </c:extLst>
            </c:dLbl>
            <c:dLbl>
              <c:idx val="30"/>
              <c:layout>
                <c:manualLayout>
                  <c:x val="-5.2686100590562522E-2"/>
                  <c:y val="-3.9427456200471389E-2"/>
                </c:manualLayout>
              </c:layout>
              <c:tx>
                <c:rich>
                  <a:bodyPr/>
                  <a:lstStyle/>
                  <a:p>
                    <a:fld id="{6E3EB814-E717-4327-A279-617047967FB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86F-4426-91CE-1A212D08DBA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31CFC035-30B1-4665-9ADC-7A98324B9DE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52DA-46D7-B5C4-D1329BD6B15B}"/>
                </c:ext>
              </c:extLst>
            </c:dLbl>
            <c:dLbl>
              <c:idx val="32"/>
              <c:layout>
                <c:manualLayout>
                  <c:x val="-5.1191818779462106E-2"/>
                  <c:y val="-3.9268046000199938E-2"/>
                </c:manualLayout>
              </c:layout>
              <c:tx>
                <c:rich>
                  <a:bodyPr/>
                  <a:lstStyle/>
                  <a:p>
                    <a:fld id="{4DFC790C-36ED-4F02-B298-8CDE059BB79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A69-406B-B1E0-9DBBE9E88AF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935B71E-BDCA-4AED-9FAC-234D3E1E97A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52DA-46D7-B5C4-D1329BD6B15B}"/>
                </c:ext>
              </c:extLst>
            </c:dLbl>
            <c:dLbl>
              <c:idx val="34"/>
              <c:layout>
                <c:manualLayout>
                  <c:x val="-4.9300724411785436E-2"/>
                  <c:y val="-3.988407185887604E-2"/>
                </c:manualLayout>
              </c:layout>
              <c:tx>
                <c:rich>
                  <a:bodyPr/>
                  <a:lstStyle/>
                  <a:p>
                    <a:fld id="{290D2261-1207-421B-BF1E-1AED22DBFB3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A69-406B-B1E0-9DBBE9E88AFF}"/>
                </c:ext>
              </c:extLst>
            </c:dLbl>
            <c:dLbl>
              <c:idx val="35"/>
              <c:layout>
                <c:manualLayout>
                  <c:x val="-3.5041823771925433E-2"/>
                  <c:y val="-2.4245748800678663E-2"/>
                </c:manualLayout>
              </c:layout>
              <c:tx>
                <c:rich>
                  <a:bodyPr/>
                  <a:lstStyle/>
                  <a:p>
                    <a:fld id="{50F1F866-A3EC-4758-B862-87CB6478179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A69-406B-B1E0-9DBBE9E88AFF}"/>
                </c:ext>
              </c:extLst>
            </c:dLbl>
            <c:dLbl>
              <c:idx val="36"/>
              <c:layout>
                <c:manualLayout>
                  <c:x val="-4.8109971059832043E-2"/>
                  <c:y val="-3.4313721075379409E-2"/>
                </c:manualLayout>
              </c:layout>
              <c:tx>
                <c:rich>
                  <a:bodyPr/>
                  <a:lstStyle/>
                  <a:p>
                    <a:fld id="{AFAA8B37-FBAE-4593-8699-ADD3AC57264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52DA-46D7-B5C4-D1329BD6B15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FBE53263-E6A2-4605-A954-DA53ED0CD83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52DA-46D7-B5C4-D1329BD6B15B}"/>
                </c:ext>
              </c:extLst>
            </c:dLbl>
            <c:dLbl>
              <c:idx val="38"/>
              <c:layout>
                <c:manualLayout>
                  <c:x val="-4.8109971059832043E-2"/>
                  <c:y val="-3.8126356750421565E-2"/>
                </c:manualLayout>
              </c:layout>
              <c:tx>
                <c:rich>
                  <a:bodyPr/>
                  <a:lstStyle/>
                  <a:p>
                    <a:fld id="{49109507-8F7A-42F5-8F25-3F0A4DBEA1E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52DA-46D7-B5C4-D1329BD6B15B}"/>
                </c:ext>
              </c:extLst>
            </c:dLbl>
            <c:dLbl>
              <c:idx val="39"/>
              <c:layout>
                <c:manualLayout>
                  <c:x val="-5.1451590101877734E-2"/>
                  <c:y val="3.9566707468676972E-2"/>
                </c:manualLayout>
              </c:layout>
              <c:tx>
                <c:rich>
                  <a:bodyPr/>
                  <a:lstStyle/>
                  <a:p>
                    <a:fld id="{DCBF1FE9-9FA8-4E99-B492-C06F6F2A1A2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00D-42DB-A866-E6AC691E99B4}"/>
                </c:ext>
              </c:extLst>
            </c:dLbl>
            <c:dLbl>
              <c:idx val="40"/>
              <c:layout>
                <c:manualLayout>
                  <c:x val="-4.6105388932339036E-2"/>
                  <c:y val="-3.8126356750421565E-2"/>
                </c:manualLayout>
              </c:layout>
              <c:tx>
                <c:rich>
                  <a:bodyPr/>
                  <a:lstStyle/>
                  <a:p>
                    <a:fld id="{88CE52C3-8A83-4C9A-B0AF-67D6963D2D4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52DA-46D7-B5C4-D1329BD6B15B}"/>
                </c:ext>
              </c:extLst>
            </c:dLbl>
            <c:dLbl>
              <c:idx val="41"/>
              <c:layout>
                <c:manualLayout>
                  <c:x val="-3.3079334402117078E-2"/>
                  <c:y val="-3.5938446214012029E-2"/>
                </c:manualLayout>
              </c:layout>
              <c:tx>
                <c:rich>
                  <a:bodyPr/>
                  <a:lstStyle/>
                  <a:p>
                    <a:fld id="{567DEDC1-3BA8-47F0-BB3D-CF2F80A90D4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C36-4D46-8B79-51423B8A2B82}"/>
                </c:ext>
              </c:extLst>
            </c:dLbl>
            <c:dLbl>
              <c:idx val="42"/>
              <c:layout>
                <c:manualLayout>
                  <c:x val="-5.0114553187325044E-2"/>
                  <c:y val="-4.1938992425463756E-2"/>
                </c:manualLayout>
              </c:layout>
              <c:tx>
                <c:rich>
                  <a:bodyPr/>
                  <a:lstStyle/>
                  <a:p>
                    <a:fld id="{259716A0-F5F4-4E12-A45C-0E74F51B8B3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52DA-46D7-B5C4-D1329BD6B15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304FF11A-F29D-435C-9CB2-B33AA8543D5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52DA-46D7-B5C4-D1329BD6B15B}"/>
                </c:ext>
              </c:extLst>
            </c:dLbl>
            <c:dLbl>
              <c:idx val="44"/>
              <c:layout>
                <c:manualLayout>
                  <c:x val="-4.8109971059832043E-2"/>
                  <c:y val="-3.8126356750421565E-2"/>
                </c:manualLayout>
              </c:layout>
              <c:tx>
                <c:rich>
                  <a:bodyPr/>
                  <a:lstStyle/>
                  <a:p>
                    <a:fld id="{8E32AAB1-1308-4FE0-9268-0194BEB5315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52DA-46D7-B5C4-D1329BD6B15B}"/>
                </c:ext>
              </c:extLst>
            </c:dLbl>
            <c:dLbl>
              <c:idx val="45"/>
              <c:layout>
                <c:manualLayout>
                  <c:x val="-2.0671837990085332E-2"/>
                  <c:y val="-3.6685858002941288E-2"/>
                </c:manualLayout>
              </c:layout>
              <c:tx>
                <c:rich>
                  <a:bodyPr/>
                  <a:lstStyle/>
                  <a:p>
                    <a:fld id="{A3C36DDC-6712-439B-B6EF-093993E5DD9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933-40DF-9EE2-35EEB5441ADB}"/>
                </c:ext>
              </c:extLst>
            </c:dLbl>
            <c:dLbl>
              <c:idx val="46"/>
              <c:layout>
                <c:manualLayout>
                  <c:x val="-5.0114553187325044E-2"/>
                  <c:y val="-3.8126356750421565E-2"/>
                </c:manualLayout>
              </c:layout>
              <c:tx>
                <c:rich>
                  <a:bodyPr/>
                  <a:lstStyle/>
                  <a:p>
                    <a:fld id="{E944EADD-8235-4F68-B5A3-BFE984C4E5B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52DA-46D7-B5C4-D1329BD6B15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E46E13A8-1013-4044-8A23-0D8DFED593C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52DA-46D7-B5C4-D1329BD6B15B}"/>
                </c:ext>
              </c:extLst>
            </c:dLbl>
            <c:dLbl>
              <c:idx val="48"/>
              <c:layout>
                <c:manualLayout>
                  <c:x val="-5.2119135314818044E-2"/>
                  <c:y val="-4.1938992425463756E-2"/>
                </c:manualLayout>
              </c:layout>
              <c:tx>
                <c:rich>
                  <a:bodyPr/>
                  <a:lstStyle/>
                  <a:p>
                    <a:fld id="{212C21EB-4B90-406B-9F54-D88563769CD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52DA-46D7-B5C4-D1329BD6B15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BD86BAE8-0065-4A5A-B391-4017F3DC5E2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52DA-46D7-B5C4-D1329BD6B15B}"/>
                </c:ext>
              </c:extLst>
            </c:dLbl>
            <c:dLbl>
              <c:idx val="50"/>
              <c:layout>
                <c:manualLayout>
                  <c:x val="-5.0130179457452746E-2"/>
                  <c:y val="-3.4470129200316175E-2"/>
                </c:manualLayout>
              </c:layout>
              <c:tx>
                <c:rich>
                  <a:bodyPr/>
                  <a:lstStyle/>
                  <a:p>
                    <a:fld id="{2A345886-9310-49E0-9272-E3583EC691F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8B6-41A3-9C9B-71C05CD32BD0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0F4FE7EF-E82A-4AC0-AF30-69822DB9DAE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9-52DA-46D7-B5C4-D1329BD6B15B}"/>
                </c:ext>
              </c:extLst>
            </c:dLbl>
            <c:dLbl>
              <c:idx val="52"/>
              <c:layout>
                <c:manualLayout>
                  <c:x val="-4.8387096774193547E-2"/>
                  <c:y val="-4.2635658914728682E-2"/>
                </c:manualLayout>
              </c:layout>
              <c:tx>
                <c:rich>
                  <a:bodyPr/>
                  <a:lstStyle/>
                  <a:p>
                    <a:fld id="{8C40CFB8-A904-48E4-8014-75C63E4241E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8-52DA-46D7-B5C4-D1329BD6B15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650F9ABD-F79F-4C25-9496-1C4C83A8119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A-52DA-46D7-B5C4-D1329BD6B15B}"/>
                </c:ext>
              </c:extLst>
            </c:dLbl>
            <c:dLbl>
              <c:idx val="54"/>
              <c:layout>
                <c:manualLayout>
                  <c:x val="-3.817260630627916E-2"/>
                  <c:y val="-3.8029098548665867E-2"/>
                </c:manualLayout>
              </c:layout>
              <c:tx>
                <c:rich>
                  <a:bodyPr/>
                  <a:lstStyle/>
                  <a:p>
                    <a:fld id="{C8E73130-F0FB-4363-A45C-2B6249D7752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B-52DA-46D7-B5C4-D1329BD6B15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D3384AE7-2A04-4988-8C66-05EE6DEF234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093-4A4A-AD1A-4E22F63D537B}"/>
                </c:ext>
              </c:extLst>
            </c:dLbl>
            <c:dLbl>
              <c:idx val="56"/>
              <c:layout>
                <c:manualLayout>
                  <c:x val="-4.0091642549860036E-2"/>
                  <c:y val="-3.8126356750421586E-2"/>
                </c:manualLayout>
              </c:layout>
              <c:tx>
                <c:rich>
                  <a:bodyPr/>
                  <a:lstStyle/>
                  <a:p>
                    <a:fld id="{C4C35E94-6E96-4F99-985C-E5D752753E1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093-4A4A-AD1A-4E22F63D537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DDAEE992-17CC-4B18-9849-3F2FDDC6FF5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093-4A4A-AD1A-4E22F63D537B}"/>
                </c:ext>
              </c:extLst>
            </c:dLbl>
            <c:dLbl>
              <c:idx val="58"/>
              <c:layout>
                <c:manualLayout>
                  <c:x val="-3.0068731912395025E-2"/>
                  <c:y val="-2.6688449725295098E-2"/>
                </c:manualLayout>
              </c:layout>
              <c:tx>
                <c:rich>
                  <a:bodyPr/>
                  <a:lstStyle/>
                  <a:p>
                    <a:fld id="{D80333BC-3957-4BCD-9595-59C8928292C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093-4A4A-AD1A-4E22F63D537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851-4461-8740-73EDBA21EE42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851-4461-8740-73EDBA21EE42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39'!$H$46:$BP$46</c:f>
              <c:numCache>
                <c:formatCode>0.0%</c:formatCode>
                <c:ptCount val="61"/>
                <c:pt idx="0">
                  <c:v>0</c:v>
                </c:pt>
                <c:pt idx="1">
                  <c:v>7.025439839700531E-3</c:v>
                </c:pt>
                <c:pt idx="2">
                  <c:v>2.2551458693733265E-2</c:v>
                </c:pt>
                <c:pt idx="3">
                  <c:v>5.2088112058070762E-2</c:v>
                </c:pt>
                <c:pt idx="4">
                  <c:v>8.6862525881258479E-2</c:v>
                </c:pt>
                <c:pt idx="5">
                  <c:v>0.11418088448102881</c:v>
                </c:pt>
                <c:pt idx="6">
                  <c:v>0.13649753054236549</c:v>
                </c:pt>
                <c:pt idx="7">
                  <c:v>0.14632374870156964</c:v>
                </c:pt>
                <c:pt idx="8">
                  <c:v>0.15498248541118015</c:v>
                </c:pt>
                <c:pt idx="9">
                  <c:v>0.1590688058015215</c:v>
                </c:pt>
                <c:pt idx="10">
                  <c:v>0.16175410205803156</c:v>
                </c:pt>
                <c:pt idx="11">
                  <c:v>0.16255677213470576</c:v>
                </c:pt>
                <c:pt idx="12">
                  <c:v>0.18113785470964372</c:v>
                </c:pt>
                <c:pt idx="13">
                  <c:v>0.18305526915482639</c:v>
                </c:pt>
                <c:pt idx="14">
                  <c:v>0.19073616910910138</c:v>
                </c:pt>
                <c:pt idx="15">
                  <c:v>0.20747851337569603</c:v>
                </c:pt>
                <c:pt idx="16">
                  <c:v>0.21813134326670858</c:v>
                </c:pt>
                <c:pt idx="17">
                  <c:v>0.22105014354552383</c:v>
                </c:pt>
                <c:pt idx="18">
                  <c:v>0.23909380815265552</c:v>
                </c:pt>
                <c:pt idx="19">
                  <c:v>0.25973342088675944</c:v>
                </c:pt>
                <c:pt idx="20">
                  <c:v>0.30986567317609404</c:v>
                </c:pt>
                <c:pt idx="21">
                  <c:v>0.35546413105315217</c:v>
                </c:pt>
                <c:pt idx="22">
                  <c:v>0.39776722768788086</c:v>
                </c:pt>
                <c:pt idx="23">
                  <c:v>0.40461180714807549</c:v>
                </c:pt>
                <c:pt idx="24">
                  <c:v>0.40794176830129086</c:v>
                </c:pt>
                <c:pt idx="25">
                  <c:v>0.4187038285175162</c:v>
                </c:pt>
                <c:pt idx="26">
                  <c:v>0.42228062006906192</c:v>
                </c:pt>
                <c:pt idx="27">
                  <c:v>0.42432378026423256</c:v>
                </c:pt>
                <c:pt idx="28">
                  <c:v>0.47645502986170213</c:v>
                </c:pt>
                <c:pt idx="29">
                  <c:v>0.48206970580260383</c:v>
                </c:pt>
                <c:pt idx="30">
                  <c:v>0.50383160514295466</c:v>
                </c:pt>
                <c:pt idx="31">
                  <c:v>0.51194602116079924</c:v>
                </c:pt>
                <c:pt idx="32">
                  <c:v>0.51250416113509245</c:v>
                </c:pt>
                <c:pt idx="33">
                  <c:v>0.51250416113509245</c:v>
                </c:pt>
                <c:pt idx="34">
                  <c:v>0.51250416113509245</c:v>
                </c:pt>
                <c:pt idx="35">
                  <c:v>0.51250416113509245</c:v>
                </c:pt>
                <c:pt idx="36">
                  <c:v>0.51250416113509245</c:v>
                </c:pt>
                <c:pt idx="37">
                  <c:v>0.51250416113509245</c:v>
                </c:pt>
                <c:pt idx="38">
                  <c:v>0.51543781816138556</c:v>
                </c:pt>
                <c:pt idx="39">
                  <c:v>0.51706407933806831</c:v>
                </c:pt>
                <c:pt idx="40">
                  <c:v>0.51706407933806831</c:v>
                </c:pt>
                <c:pt idx="41">
                  <c:v>0.51706407933806831</c:v>
                </c:pt>
                <c:pt idx="42">
                  <c:v>0.51706407933806831</c:v>
                </c:pt>
                <c:pt idx="43">
                  <c:v>0.53280909686016076</c:v>
                </c:pt>
                <c:pt idx="44">
                  <c:v>0.53339344067597949</c:v>
                </c:pt>
                <c:pt idx="45">
                  <c:v>0.53500018185346188</c:v>
                </c:pt>
                <c:pt idx="46">
                  <c:v>0.53642549040561294</c:v>
                </c:pt>
                <c:pt idx="47">
                  <c:v>0.53660692303094404</c:v>
                </c:pt>
                <c:pt idx="48">
                  <c:v>0.53660692303094404</c:v>
                </c:pt>
                <c:pt idx="49">
                  <c:v>0.53821366420842631</c:v>
                </c:pt>
                <c:pt idx="50">
                  <c:v>0.53963897276057737</c:v>
                </c:pt>
                <c:pt idx="51">
                  <c:v>0.54075979206764235</c:v>
                </c:pt>
                <c:pt idx="52">
                  <c:v>0.54188061137470744</c:v>
                </c:pt>
                <c:pt idx="53">
                  <c:v>0.54400549797768494</c:v>
                </c:pt>
                <c:pt idx="54">
                  <c:v>0.54559916292991806</c:v>
                </c:pt>
                <c:pt idx="55">
                  <c:v>0.5466616062314068</c:v>
                </c:pt>
                <c:pt idx="56">
                  <c:v>0.59647311534210745</c:v>
                </c:pt>
                <c:pt idx="57">
                  <c:v>0.5975355586435962</c:v>
                </c:pt>
                <c:pt idx="58">
                  <c:v>0.59806678029434057</c:v>
                </c:pt>
                <c:pt idx="59">
                  <c:v>0.59955105477376958</c:v>
                </c:pt>
                <c:pt idx="60">
                  <c:v>0.60061349807525832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39'!$H$113:$BN$113</c15:f>
                <c15:dlblRangeCache>
                  <c:ptCount val="59"/>
                  <c:pt idx="0">
                    <c:v>0,0%</c:v>
                  </c:pt>
                  <c:pt idx="2">
                    <c:v>2,3%</c:v>
                  </c:pt>
                  <c:pt idx="4">
                    <c:v>8,7%</c:v>
                  </c:pt>
                  <c:pt idx="6">
                    <c:v>13,6%</c:v>
                  </c:pt>
                  <c:pt idx="8">
                    <c:v>15,5%</c:v>
                  </c:pt>
                  <c:pt idx="10">
                    <c:v>16,2%</c:v>
                  </c:pt>
                  <c:pt idx="12">
                    <c:v>18,1%</c:v>
                  </c:pt>
                  <c:pt idx="14">
                    <c:v>19,1%</c:v>
                  </c:pt>
                  <c:pt idx="16">
                    <c:v>21,8%</c:v>
                  </c:pt>
                  <c:pt idx="18">
                    <c:v>23,9%</c:v>
                  </c:pt>
                  <c:pt idx="20">
                    <c:v>31,0%</c:v>
                  </c:pt>
                  <c:pt idx="22">
                    <c:v>39,8%</c:v>
                  </c:pt>
                  <c:pt idx="24">
                    <c:v>40,8%</c:v>
                  </c:pt>
                  <c:pt idx="26">
                    <c:v>42,2%</c:v>
                  </c:pt>
                  <c:pt idx="28">
                    <c:v>47,6%</c:v>
                  </c:pt>
                  <c:pt idx="30">
                    <c:v>50,4%</c:v>
                  </c:pt>
                  <c:pt idx="32">
                    <c:v>51,3%</c:v>
                  </c:pt>
                  <c:pt idx="34">
                    <c:v>51,3%</c:v>
                  </c:pt>
                  <c:pt idx="36">
                    <c:v>51,3%</c:v>
                  </c:pt>
                  <c:pt idx="38">
                    <c:v>51,5%</c:v>
                  </c:pt>
                  <c:pt idx="40">
                    <c:v>51,7%</c:v>
                  </c:pt>
                  <c:pt idx="42">
                    <c:v>51,7%</c:v>
                  </c:pt>
                  <c:pt idx="44">
                    <c:v>53,3%</c:v>
                  </c:pt>
                  <c:pt idx="46">
                    <c:v>53,6%</c:v>
                  </c:pt>
                  <c:pt idx="48">
                    <c:v>53,7%</c:v>
                  </c:pt>
                  <c:pt idx="50">
                    <c:v>54,0%</c:v>
                  </c:pt>
                  <c:pt idx="52">
                    <c:v>54,2%</c:v>
                  </c:pt>
                  <c:pt idx="54">
                    <c:v>54,6%</c:v>
                  </c:pt>
                  <c:pt idx="56">
                    <c:v>59,6%</c:v>
                  </c:pt>
                  <c:pt idx="58">
                    <c:v>59,8%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CC36-4E8C-B8C5-191532E00F68}"/>
            </c:ext>
          </c:extLst>
        </c:ser>
        <c:ser>
          <c:idx val="2"/>
          <c:order val="2"/>
          <c:tx>
            <c:strRef>
              <c:f>'Avance 39'!$B$96</c:f>
              <c:strCache>
                <c:ptCount val="1"/>
                <c:pt idx="0">
                  <c:v>Desviación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69-406B-B1E0-9DBBE9E88A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0B3E903-7885-40BD-99AD-842B7E11D03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52DA-46D7-B5C4-D1329BD6B15B}"/>
                </c:ext>
              </c:extLst>
            </c:dLbl>
            <c:dLbl>
              <c:idx val="2"/>
              <c:layout>
                <c:manualLayout>
                  <c:x val="-3.808706042236705E-2"/>
                  <c:y val="4.5751628100505877E-2"/>
                </c:manualLayout>
              </c:layout>
              <c:tx>
                <c:rich>
                  <a:bodyPr/>
                  <a:lstStyle/>
                  <a:p>
                    <a:fld id="{6A2D3D83-4A7B-41D0-946A-6071FB454BC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52DA-46D7-B5C4-D1329BD6B15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F07F15C-AED6-4E77-83A5-ED2CA575EA6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52DA-46D7-B5C4-D1329BD6B15B}"/>
                </c:ext>
              </c:extLst>
            </c:dLbl>
            <c:dLbl>
              <c:idx val="4"/>
              <c:layout>
                <c:manualLayout>
                  <c:x val="-4.2476415991479326E-2"/>
                  <c:y val="4.4428344026441143E-2"/>
                </c:manualLayout>
              </c:layout>
              <c:tx>
                <c:rich>
                  <a:bodyPr/>
                  <a:lstStyle/>
                  <a:p>
                    <a:fld id="{111BFD21-BA52-46ED-BC13-62942673761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C36-4E8C-B8C5-191532E00F6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79CF31A-04B2-424F-B86F-B0FC7CD3FA2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52DA-46D7-B5C4-D1329BD6B15B}"/>
                </c:ext>
              </c:extLst>
            </c:dLbl>
            <c:dLbl>
              <c:idx val="6"/>
              <c:layout>
                <c:manualLayout>
                  <c:x val="-3.608247829487405E-2"/>
                  <c:y val="3.0501085400337254E-2"/>
                </c:manualLayout>
              </c:layout>
              <c:tx>
                <c:rich>
                  <a:bodyPr/>
                  <a:lstStyle/>
                  <a:p>
                    <a:fld id="{D0319184-FFBE-43B2-8B36-83FA28E0A93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52DA-46D7-B5C4-D1329BD6B15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AD1E570-A366-4E3F-B6B4-50BFB7CEE0B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52DA-46D7-B5C4-D1329BD6B15B}"/>
                </c:ext>
              </c:extLst>
            </c:dLbl>
            <c:dLbl>
              <c:idx val="8"/>
              <c:layout>
                <c:manualLayout>
                  <c:x val="-3.6082478294874029E-2"/>
                  <c:y val="3.4313721075379409E-2"/>
                </c:manualLayout>
              </c:layout>
              <c:tx>
                <c:rich>
                  <a:bodyPr/>
                  <a:lstStyle/>
                  <a:p>
                    <a:fld id="{DD1AFC1C-ED96-4ECE-8924-172C2F6323B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52DA-46D7-B5C4-D1329BD6B15B}"/>
                </c:ext>
              </c:extLst>
            </c:dLbl>
            <c:dLbl>
              <c:idx val="9"/>
              <c:layout>
                <c:manualLayout>
                  <c:x val="-2.8895773529943811E-2"/>
                  <c:y val="4.0570374745676312E-2"/>
                </c:manualLayout>
              </c:layout>
              <c:tx>
                <c:rich>
                  <a:bodyPr/>
                  <a:lstStyle/>
                  <a:p>
                    <a:fld id="{203389B6-1907-4967-AE1A-AAC259A0911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C36-4E8C-B8C5-191532E00F68}"/>
                </c:ext>
              </c:extLst>
            </c:dLbl>
            <c:dLbl>
              <c:idx val="10"/>
              <c:layout>
                <c:manualLayout>
                  <c:x val="-3.0068731912395025E-2"/>
                  <c:y val="3.0501085400337254E-2"/>
                </c:manualLayout>
              </c:layout>
              <c:tx>
                <c:rich>
                  <a:bodyPr/>
                  <a:lstStyle/>
                  <a:p>
                    <a:fld id="{3410D662-8D1B-476C-802F-3EA6FE33ABA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52DA-46D7-B5C4-D1329BD6B15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79184B4-514A-42B6-9C82-C8D707F08E5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52DA-46D7-B5C4-D1329BD6B15B}"/>
                </c:ext>
              </c:extLst>
            </c:dLbl>
            <c:dLbl>
              <c:idx val="12"/>
              <c:layout>
                <c:manualLayout>
                  <c:x val="-3.2073314039888064E-2"/>
                  <c:y val="2.6688449725295098E-2"/>
                </c:manualLayout>
              </c:layout>
              <c:tx>
                <c:rich>
                  <a:bodyPr/>
                  <a:lstStyle/>
                  <a:p>
                    <a:fld id="{B5E4E2C4-8FC5-45D5-B119-AE7F99970C4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52DA-46D7-B5C4-D1329BD6B15B}"/>
                </c:ext>
              </c:extLst>
            </c:dLbl>
            <c:dLbl>
              <c:idx val="13"/>
              <c:layout>
                <c:manualLayout>
                  <c:x val="-3.3023741177078673E-2"/>
                  <c:y val="3.2456299796541167E-2"/>
                </c:manualLayout>
              </c:layout>
              <c:tx>
                <c:rich>
                  <a:bodyPr/>
                  <a:lstStyle/>
                  <a:p>
                    <a:fld id="{6227A4F1-01ED-4C88-9483-061F243FD63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C36-4E8C-B8C5-191532E00F68}"/>
                </c:ext>
              </c:extLst>
            </c:dLbl>
            <c:dLbl>
              <c:idx val="14"/>
              <c:layout>
                <c:manualLayout>
                  <c:x val="-3.6082478294874071E-2"/>
                  <c:y val="2.2875814050252869E-2"/>
                </c:manualLayout>
              </c:layout>
              <c:tx>
                <c:rich>
                  <a:bodyPr/>
                  <a:lstStyle/>
                  <a:p>
                    <a:fld id="{B13894C1-1C0C-406B-B52E-35997B7CB47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52DA-46D7-B5C4-D1329BD6B15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A67B4FB-7B04-460C-B752-0F855B46BE4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52DA-46D7-B5C4-D1329BD6B15B}"/>
                </c:ext>
              </c:extLst>
            </c:dLbl>
            <c:dLbl>
              <c:idx val="16"/>
              <c:layout>
                <c:manualLayout>
                  <c:x val="-3.8087060422367029E-2"/>
                  <c:y val="2.2875814050253011E-2"/>
                </c:manualLayout>
              </c:layout>
              <c:tx>
                <c:rich>
                  <a:bodyPr/>
                  <a:lstStyle/>
                  <a:p>
                    <a:fld id="{7DF3BE4A-B4B8-4363-B7E7-65088F4147B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52DA-46D7-B5C4-D1329BD6B15B}"/>
                </c:ext>
              </c:extLst>
            </c:dLbl>
            <c:dLbl>
              <c:idx val="17"/>
              <c:layout>
                <c:manualLayout>
                  <c:x val="-3.3023741177078597E-2"/>
                  <c:y val="3.2456299796541167E-2"/>
                </c:manualLayout>
              </c:layout>
              <c:tx>
                <c:rich>
                  <a:bodyPr/>
                  <a:lstStyle/>
                  <a:p>
                    <a:fld id="{35483F51-BCA2-487C-B77C-483BDCE93CB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CC36-4E8C-B8C5-191532E00F68}"/>
                </c:ext>
              </c:extLst>
            </c:dLbl>
            <c:dLbl>
              <c:idx val="18"/>
              <c:layout>
                <c:manualLayout>
                  <c:x val="-4.0091642549860106E-2"/>
                  <c:y val="3.0501085400337184E-2"/>
                </c:manualLayout>
              </c:layout>
              <c:tx>
                <c:rich>
                  <a:bodyPr/>
                  <a:lstStyle/>
                  <a:p>
                    <a:fld id="{326AA950-2D08-4F90-93DC-7A54A10B6F9E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52DA-46D7-B5C4-D1329BD6B15B}"/>
                </c:ext>
              </c:extLst>
            </c:dLbl>
            <c:dLbl>
              <c:idx val="19"/>
              <c:layout>
                <c:manualLayout>
                  <c:x val="-3.7197774186729898E-2"/>
                  <c:y val="2.4312633667637366E-2"/>
                </c:manualLayout>
              </c:layout>
              <c:tx>
                <c:rich>
                  <a:bodyPr/>
                  <a:lstStyle/>
                  <a:p>
                    <a:fld id="{9E894820-2E0C-42BA-ADCE-6C798074258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13B-466A-A02F-9CAA7FC25F78}"/>
                </c:ext>
              </c:extLst>
            </c:dLbl>
            <c:dLbl>
              <c:idx val="20"/>
              <c:layout>
                <c:manualLayout>
                  <c:x val="-4.0091642549860036E-2"/>
                  <c:y val="3.8126356750421565E-2"/>
                </c:manualLayout>
              </c:layout>
              <c:tx>
                <c:rich>
                  <a:bodyPr/>
                  <a:lstStyle/>
                  <a:p>
                    <a:fld id="{66460E75-51FA-4E47-82D5-E4CFB39D993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52DA-46D7-B5C4-D1329BD6B15B}"/>
                </c:ext>
              </c:extLst>
            </c:dLbl>
            <c:dLbl>
              <c:idx val="21"/>
              <c:layout>
                <c:manualLayout>
                  <c:x val="-2.4683743584494204E-2"/>
                  <c:y val="2.4092972313949693E-2"/>
                </c:manualLayout>
              </c:layout>
              <c:tx>
                <c:rich>
                  <a:bodyPr/>
                  <a:lstStyle/>
                  <a:p>
                    <a:fld id="{439A6D27-F416-4AF3-91E3-36D1073BA54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9CD-4D80-BFB6-5C48FD4F04D3}"/>
                </c:ext>
              </c:extLst>
            </c:dLbl>
            <c:dLbl>
              <c:idx val="22"/>
              <c:layout>
                <c:manualLayout>
                  <c:x val="-4.0091642549860036E-2"/>
                  <c:y val="3.4313721075379409E-2"/>
                </c:manualLayout>
              </c:layout>
              <c:tx>
                <c:rich>
                  <a:bodyPr/>
                  <a:lstStyle/>
                  <a:p>
                    <a:fld id="{A8C41A76-864F-4EEC-82D9-FA58670FC10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52DA-46D7-B5C4-D1329BD6B15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FF48D55-1BDC-4B7A-9B8A-6B9722A5211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52DA-46D7-B5C4-D1329BD6B15B}"/>
                </c:ext>
              </c:extLst>
            </c:dLbl>
            <c:dLbl>
              <c:idx val="24"/>
              <c:layout>
                <c:manualLayout>
                  <c:x val="-4.226641053926234E-2"/>
                  <c:y val="3.3583345484592131E-2"/>
                </c:manualLayout>
              </c:layout>
              <c:tx>
                <c:rich>
                  <a:bodyPr/>
                  <a:lstStyle/>
                  <a:p>
                    <a:fld id="{30BD92C6-7F53-4C9E-BEAF-B8680C9A3DB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9CD-4D80-BFB6-5C48FD4F04D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0A12862-9651-4B61-81C1-FDC03C6CF9E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52DA-46D7-B5C4-D1329BD6B15B}"/>
                </c:ext>
              </c:extLst>
            </c:dLbl>
            <c:dLbl>
              <c:idx val="26"/>
              <c:layout>
                <c:manualLayout>
                  <c:x val="-5.2160599490281109E-2"/>
                  <c:y val="2.6643153980752406E-2"/>
                </c:manualLayout>
              </c:layout>
              <c:tx>
                <c:rich>
                  <a:bodyPr/>
                  <a:lstStyle/>
                  <a:p>
                    <a:fld id="{EF84FCF7-98AB-4D1E-BCD9-60F54A96631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52DA-46D7-B5C4-D1329BD6B15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88F5AA1-DEF1-4F4E-B582-A8267F2D18F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52DA-46D7-B5C4-D1329BD6B15B}"/>
                </c:ext>
              </c:extLst>
            </c:dLbl>
            <c:dLbl>
              <c:idx val="28"/>
              <c:layout>
                <c:manualLayout>
                  <c:x val="-4.2076178856078103E-2"/>
                  <c:y val="-3.2707910978859688E-2"/>
                </c:manualLayout>
              </c:layout>
              <c:tx>
                <c:rich>
                  <a:bodyPr/>
                  <a:lstStyle/>
                  <a:p>
                    <a:fld id="{642B29A5-2AEE-4A7F-B846-26B1E38581F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007-4068-AAA7-82198BF2C16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4292978-A3DB-450D-A557-9FA60F6DA3D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52DA-46D7-B5C4-D1329BD6B15B}"/>
                </c:ext>
              </c:extLst>
            </c:dLbl>
            <c:dLbl>
              <c:idx val="30"/>
              <c:layout>
                <c:manualLayout>
                  <c:x val="-4.36270873749477E-2"/>
                  <c:y val="2.9491712841450374E-2"/>
                </c:manualLayout>
              </c:layout>
              <c:tx>
                <c:rich>
                  <a:bodyPr/>
                  <a:lstStyle/>
                  <a:p>
                    <a:fld id="{AD2C3CE9-28F7-4358-8122-CF0167E41794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86F-4426-91CE-1A212D08DBA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B332B246-FC86-4FB6-8672-7BD858D32FAC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52DA-46D7-B5C4-D1329BD6B15B}"/>
                </c:ext>
              </c:extLst>
            </c:dLbl>
            <c:dLbl>
              <c:idx val="32"/>
              <c:layout>
                <c:manualLayout>
                  <c:x val="-5.300284022468206E-2"/>
                  <c:y val="-4.3765492855059783E-2"/>
                </c:manualLayout>
              </c:layout>
              <c:tx>
                <c:rich>
                  <a:bodyPr/>
                  <a:lstStyle/>
                  <a:p>
                    <a:fld id="{5012672A-B3FD-471F-8E92-40F0A8CC667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A69-406B-B1E0-9DBBE9E88AF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0D766B4-D460-43BC-8620-1E3704EC7FB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52DA-46D7-B5C4-D1329BD6B15B}"/>
                </c:ext>
              </c:extLst>
            </c:dLbl>
            <c:dLbl>
              <c:idx val="34"/>
              <c:layout>
                <c:manualLayout>
                  <c:x val="-4.3635487593036378E-2"/>
                  <c:y val="-4.0112520657140223E-2"/>
                </c:manualLayout>
              </c:layout>
              <c:tx>
                <c:rich>
                  <a:bodyPr/>
                  <a:lstStyle/>
                  <a:p>
                    <a:fld id="{E2331FF4-8A2B-46D4-9C7A-25AEED9582F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A69-406B-B1E0-9DBBE9E88AF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A82743A2-A834-4BC7-82A2-67D7874885C9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52DA-46D7-B5C4-D1329BD6B15B}"/>
                </c:ext>
              </c:extLst>
            </c:dLbl>
            <c:dLbl>
              <c:idx val="36"/>
              <c:layout>
                <c:manualLayout>
                  <c:x val="-4.5204747544978871E-2"/>
                  <c:y val="-3.5886508343217806E-2"/>
                </c:manualLayout>
              </c:layout>
              <c:tx>
                <c:rich>
                  <a:bodyPr/>
                  <a:lstStyle/>
                  <a:p>
                    <a:fld id="{C726CF10-0C16-498A-A683-102CE54BBC66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A69-406B-B1E0-9DBBE9E88AFF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B95777AC-186E-4108-A96F-C3182C3AABB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52DA-46D7-B5C4-D1329BD6B15B}"/>
                </c:ext>
              </c:extLst>
            </c:dLbl>
            <c:dLbl>
              <c:idx val="38"/>
              <c:layout>
                <c:manualLayout>
                  <c:x val="-4.609706848238173E-2"/>
                  <c:y val="-3.4313636142704385E-2"/>
                </c:manualLayout>
              </c:layout>
              <c:tx>
                <c:rich>
                  <a:bodyPr/>
                  <a:lstStyle/>
                  <a:p>
                    <a:fld id="{9F493631-3BC6-4705-961D-DF4285122B28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52DA-46D7-B5C4-D1329BD6B15B}"/>
                </c:ext>
              </c:extLst>
            </c:dLbl>
            <c:dLbl>
              <c:idx val="39"/>
              <c:layout>
                <c:manualLayout>
                  <c:x val="-5.1549947421033762E-2"/>
                  <c:y val="4.0778358537351192E-2"/>
                </c:manualLayout>
              </c:layout>
              <c:tx>
                <c:rich>
                  <a:bodyPr/>
                  <a:lstStyle/>
                  <a:p>
                    <a:fld id="{C967082F-2AB7-4E72-BC22-B922AF3B5C9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00D-42DB-A866-E6AC691E99B4}"/>
                </c:ext>
              </c:extLst>
            </c:dLbl>
            <c:dLbl>
              <c:idx val="40"/>
              <c:layout>
                <c:manualLayout>
                  <c:x val="-4.6105388932339036E-2"/>
                  <c:y val="-3.4313721075379548E-2"/>
                </c:manualLayout>
              </c:layout>
              <c:tx>
                <c:rich>
                  <a:bodyPr/>
                  <a:lstStyle/>
                  <a:p>
                    <a:fld id="{A3D6C207-172B-423D-B50F-19B01EB5CBB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52DA-46D7-B5C4-D1329BD6B15B}"/>
                </c:ext>
              </c:extLst>
            </c:dLbl>
            <c:dLbl>
              <c:idx val="41"/>
              <c:layout>
                <c:manualLayout>
                  <c:x val="-3.7214251202381712E-2"/>
                  <c:y val="-3.1945285523566326E-2"/>
                </c:manualLayout>
              </c:layout>
              <c:tx>
                <c:rich>
                  <a:bodyPr/>
                  <a:lstStyle/>
                  <a:p>
                    <a:fld id="{95316ED9-C7BD-4FD2-AAD2-8ECA264B6C9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C36-4D46-8B79-51423B8A2B82}"/>
                </c:ext>
              </c:extLst>
            </c:dLbl>
            <c:dLbl>
              <c:idx val="42"/>
              <c:layout>
                <c:manualLayout>
                  <c:x val="-4.6105310205789493E-2"/>
                  <c:y val="-3.8126397394770237E-2"/>
                </c:manualLayout>
              </c:layout>
              <c:tx>
                <c:rich>
                  <a:bodyPr/>
                  <a:lstStyle/>
                  <a:p>
                    <a:fld id="{42992D4D-9212-4A48-9B35-D708A297578F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52DA-46D7-B5C4-D1329BD6B15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67765C4C-4C59-4668-B18E-5D881F17D741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52DA-46D7-B5C4-D1329BD6B15B}"/>
                </c:ext>
              </c:extLst>
            </c:dLbl>
            <c:dLbl>
              <c:idx val="44"/>
              <c:layout>
                <c:manualLayout>
                  <c:x val="-5.0114591654304083E-2"/>
                  <c:y val="-4.1938854865364195E-2"/>
                </c:manualLayout>
              </c:layout>
              <c:tx>
                <c:rich>
                  <a:bodyPr/>
                  <a:lstStyle/>
                  <a:p>
                    <a:fld id="{5C2531BD-40CC-4451-B278-AC6CCFDFD84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52DA-46D7-B5C4-D1329BD6B15B}"/>
                </c:ext>
              </c:extLst>
            </c:dLbl>
            <c:dLbl>
              <c:idx val="45"/>
              <c:layout>
                <c:manualLayout>
                  <c:x val="-1.6537470392068265E-2"/>
                  <c:y val="-2.8533445113398781E-2"/>
                </c:manualLayout>
              </c:layout>
              <c:tx>
                <c:rich>
                  <a:bodyPr/>
                  <a:lstStyle/>
                  <a:p>
                    <a:fld id="{0CEB326B-6B34-4AB4-90FC-C81FEC8B1E9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933-40DF-9EE2-35EEB5441ADB}"/>
                </c:ext>
              </c:extLst>
            </c:dLbl>
            <c:dLbl>
              <c:idx val="46"/>
              <c:layout>
                <c:manualLayout>
                  <c:x val="-4.6105388932339036E-2"/>
                  <c:y val="-3.8126356750421565E-2"/>
                </c:manualLayout>
              </c:layout>
              <c:tx>
                <c:rich>
                  <a:bodyPr/>
                  <a:lstStyle/>
                  <a:p>
                    <a:fld id="{EEA57F93-AE19-4509-AC9A-888CA5BD1BB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52DA-46D7-B5C4-D1329BD6B15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544C01FC-D6C3-4913-B694-737F6A2363CA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52DA-46D7-B5C4-D1329BD6B15B}"/>
                </c:ext>
              </c:extLst>
            </c:dLbl>
            <c:dLbl>
              <c:idx val="48"/>
              <c:layout>
                <c:manualLayout>
                  <c:x val="-4.609706848238173E-2"/>
                  <c:y val="-4.1938854865364195E-2"/>
                </c:manualLayout>
              </c:layout>
              <c:tx>
                <c:rich>
                  <a:bodyPr/>
                  <a:lstStyle/>
                  <a:p>
                    <a:fld id="{AF65E4AD-0BDB-417D-B9AB-31C0D48C063B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52DA-46D7-B5C4-D1329BD6B15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DE15621E-7A2B-4894-85D1-A993B09BF56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52DA-46D7-B5C4-D1329BD6B15B}"/>
                </c:ext>
              </c:extLst>
            </c:dLbl>
            <c:dLbl>
              <c:idx val="50"/>
              <c:layout>
                <c:manualLayout>
                  <c:x val="-4.0113577288346206E-2"/>
                  <c:y val="-4.1945841839214681E-2"/>
                </c:manualLayout>
              </c:layout>
              <c:tx>
                <c:rich>
                  <a:bodyPr/>
                  <a:lstStyle/>
                  <a:p>
                    <a:fld id="{7AD4C2CD-5559-47A2-8D8F-DC7181D94DC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8B6-41A3-9C9B-71C05CD32BD0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73631DFB-AA21-4AD4-A7C3-4E316AD091B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C-52DA-46D7-B5C4-D1329BD6B15B}"/>
                </c:ext>
              </c:extLst>
            </c:dLbl>
            <c:dLbl>
              <c:idx val="52"/>
              <c:layout>
                <c:manualLayout>
                  <c:x val="-3.6290322580645164E-2"/>
                  <c:y val="-4.6511627906976744E-2"/>
                </c:manualLayout>
              </c:layout>
              <c:tx>
                <c:rich>
                  <a:bodyPr/>
                  <a:lstStyle/>
                  <a:p>
                    <a:fld id="{8D893A1F-66AB-41AA-88E0-3DCA62EB449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7-52DA-46D7-B5C4-D1329BD6B15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755D69A1-C0ED-410C-8B34-AB1B021858D3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D-52DA-46D7-B5C4-D1329BD6B15B}"/>
                </c:ext>
              </c:extLst>
            </c:dLbl>
            <c:dLbl>
              <c:idx val="54"/>
              <c:layout>
                <c:manualLayout>
                  <c:x val="-3.2145352678971936E-2"/>
                  <c:y val="-3.8029098548665867E-2"/>
                </c:manualLayout>
              </c:layout>
              <c:tx>
                <c:rich>
                  <a:bodyPr/>
                  <a:lstStyle/>
                  <a:p>
                    <a:fld id="{F53907E4-6C9B-4067-BC3C-3FCC9BA13432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E-52DA-46D7-B5C4-D1329BD6B15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895967B0-0D3F-47E3-8426-31E6D16062F7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093-4A4A-AD1A-4E22F63D537B}"/>
                </c:ext>
              </c:extLst>
            </c:dLbl>
            <c:dLbl>
              <c:idx val="56"/>
              <c:layout>
                <c:manualLayout>
                  <c:x val="-3.808706042236696E-2"/>
                  <c:y val="-3.8126356750421635E-2"/>
                </c:manualLayout>
              </c:layout>
              <c:tx>
                <c:rich>
                  <a:bodyPr/>
                  <a:lstStyle/>
                  <a:p>
                    <a:fld id="{C2893B4B-F134-435F-9DAF-D408AEB08795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093-4A4A-AD1A-4E22F63D537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D1AB0252-638B-4D41-B00B-44A351A2692D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093-4A4A-AD1A-4E22F63D537B}"/>
                </c:ext>
              </c:extLst>
            </c:dLbl>
            <c:dLbl>
              <c:idx val="58"/>
              <c:layout>
                <c:manualLayout>
                  <c:x val="-3.2073314039888098E-2"/>
                  <c:y val="-4.5751628100505877E-2"/>
                </c:manualLayout>
              </c:layout>
              <c:tx>
                <c:rich>
                  <a:bodyPr/>
                  <a:lstStyle/>
                  <a:p>
                    <a:fld id="{EEC7563D-5FFF-4338-9C13-807AA6FD8580}" type="CELLRANGE">
                      <a:rPr lang="en-US"/>
                      <a:pPr/>
                      <a:t>[CELLRANGE]</a:t>
                    </a:fld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093-4A4A-AD1A-4E22F63D537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851-4461-8740-73EDBA21EE42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s-V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851-4461-8740-73EDBA21EE42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39'!$H$98:$BP$98</c:f>
              <c:numCache>
                <c:formatCode>0.0%</c:formatCode>
                <c:ptCount val="61"/>
                <c:pt idx="0">
                  <c:v>0</c:v>
                </c:pt>
                <c:pt idx="1">
                  <c:v>-3.1937615344893432E-3</c:v>
                </c:pt>
                <c:pt idx="2">
                  <c:v>2.1028866397939314E-3</c:v>
                </c:pt>
                <c:pt idx="3">
                  <c:v>1.9401449429428674E-2</c:v>
                </c:pt>
                <c:pt idx="4">
                  <c:v>3.8434565181115113E-2</c:v>
                </c:pt>
                <c:pt idx="5">
                  <c:v>5.0025686748648837E-2</c:v>
                </c:pt>
                <c:pt idx="6">
                  <c:v>5.6615095777748925E-2</c:v>
                </c:pt>
                <c:pt idx="7">
                  <c:v>5.0714076904716465E-2</c:v>
                </c:pt>
                <c:pt idx="8">
                  <c:v>4.3645576582090354E-2</c:v>
                </c:pt>
                <c:pt idx="9">
                  <c:v>3.1973526070554398E-2</c:v>
                </c:pt>
                <c:pt idx="10">
                  <c:v>2.281942726620978E-2</c:v>
                </c:pt>
                <c:pt idx="11">
                  <c:v>1.1782702282029323E-2</c:v>
                </c:pt>
                <c:pt idx="12">
                  <c:v>1.8524389796112595E-2</c:v>
                </c:pt>
                <c:pt idx="13">
                  <c:v>8.60240918044064E-3</c:v>
                </c:pt>
                <c:pt idx="14">
                  <c:v>2.984513934453259E-3</c:v>
                </c:pt>
                <c:pt idx="15">
                  <c:v>-3.1594847441535345E-3</c:v>
                </c:pt>
                <c:pt idx="16">
                  <c:v>-1.7278863596933564E-2</c:v>
                </c:pt>
                <c:pt idx="17">
                  <c:v>-4.0880450226913112E-2</c:v>
                </c:pt>
                <c:pt idx="18">
                  <c:v>-4.5379315280175914E-2</c:v>
                </c:pt>
                <c:pt idx="19">
                  <c:v>-5.1578279264821669E-2</c:v>
                </c:pt>
                <c:pt idx="20">
                  <c:v>-5.1821749469353029E-2</c:v>
                </c:pt>
                <c:pt idx="21">
                  <c:v>-4.6155841813606213E-2</c:v>
                </c:pt>
                <c:pt idx="22">
                  <c:v>-4.9512678914668928E-2</c:v>
                </c:pt>
                <c:pt idx="23">
                  <c:v>-0.10113248570228622</c:v>
                </c:pt>
                <c:pt idx="24">
                  <c:v>-0.17275928368524113</c:v>
                </c:pt>
                <c:pt idx="25">
                  <c:v>-0.23695398260518619</c:v>
                </c:pt>
                <c:pt idx="26">
                  <c:v>-0.31341404050485838</c:v>
                </c:pt>
                <c:pt idx="27">
                  <c:v>-0.37053942643695303</c:v>
                </c:pt>
                <c:pt idx="28">
                  <c:v>-0.3684444636780439</c:v>
                </c:pt>
                <c:pt idx="29">
                  <c:v>-0.39933652006885317</c:v>
                </c:pt>
                <c:pt idx="30">
                  <c:v>-0.40824245525801428</c:v>
                </c:pt>
                <c:pt idx="31">
                  <c:v>-0.42415560313537704</c:v>
                </c:pt>
                <c:pt idx="32">
                  <c:v>-0.44517323482208626</c:v>
                </c:pt>
                <c:pt idx="33">
                  <c:v>-0.4634157365646816</c:v>
                </c:pt>
                <c:pt idx="34">
                  <c:v>-0.48749583886490755</c:v>
                </c:pt>
                <c:pt idx="35">
                  <c:v>-0.48749583886490755</c:v>
                </c:pt>
                <c:pt idx="36">
                  <c:v>-0.48749583886490755</c:v>
                </c:pt>
                <c:pt idx="37">
                  <c:v>-0.48749583886490755</c:v>
                </c:pt>
                <c:pt idx="38">
                  <c:v>-0.48456218183861444</c:v>
                </c:pt>
                <c:pt idx="39">
                  <c:v>-0.48293592066193169</c:v>
                </c:pt>
                <c:pt idx="40">
                  <c:v>-0.48293592066193169</c:v>
                </c:pt>
                <c:pt idx="41">
                  <c:v>-0.48293592066193169</c:v>
                </c:pt>
                <c:pt idx="42">
                  <c:v>-0.48293592066193169</c:v>
                </c:pt>
                <c:pt idx="43">
                  <c:v>-0.46719090313983924</c:v>
                </c:pt>
                <c:pt idx="44">
                  <c:v>-0.46660655932402051</c:v>
                </c:pt>
                <c:pt idx="45">
                  <c:v>-0.46499981814653812</c:v>
                </c:pt>
                <c:pt idx="46">
                  <c:v>-0.46357450959438706</c:v>
                </c:pt>
                <c:pt idx="47">
                  <c:v>-0.46339307696905596</c:v>
                </c:pt>
                <c:pt idx="48">
                  <c:v>-0.46339307696905596</c:v>
                </c:pt>
                <c:pt idx="49">
                  <c:v>-0.46178633579157369</c:v>
                </c:pt>
                <c:pt idx="50">
                  <c:v>-0.46036102723942263</c:v>
                </c:pt>
                <c:pt idx="51">
                  <c:v>-0.45924020793235765</c:v>
                </c:pt>
                <c:pt idx="52">
                  <c:v>-0.45811938862529256</c:v>
                </c:pt>
                <c:pt idx="53">
                  <c:v>-0.45599450202231506</c:v>
                </c:pt>
                <c:pt idx="54">
                  <c:v>-0.45440083707008194</c:v>
                </c:pt>
                <c:pt idx="55">
                  <c:v>-0.4533383937685932</c:v>
                </c:pt>
                <c:pt idx="56">
                  <c:v>-0.40352688465789255</c:v>
                </c:pt>
                <c:pt idx="57">
                  <c:v>-0.4024644413564038</c:v>
                </c:pt>
                <c:pt idx="58">
                  <c:v>-0.40193321970565943</c:v>
                </c:pt>
                <c:pt idx="59">
                  <c:v>-0.40044894522623042</c:v>
                </c:pt>
                <c:pt idx="60">
                  <c:v>-0.39938650192474168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'Avance 39'!$H$115:$BN$115</c15:f>
                <c15:dlblRangeCache>
                  <c:ptCount val="59"/>
                  <c:pt idx="0">
                    <c:v>0,0%</c:v>
                  </c:pt>
                  <c:pt idx="2">
                    <c:v>0,2%</c:v>
                  </c:pt>
                  <c:pt idx="4">
                    <c:v>3,8%</c:v>
                  </c:pt>
                  <c:pt idx="6">
                    <c:v>5,7%</c:v>
                  </c:pt>
                  <c:pt idx="8">
                    <c:v>4,4%</c:v>
                  </c:pt>
                  <c:pt idx="10">
                    <c:v>2,3%</c:v>
                  </c:pt>
                  <c:pt idx="12">
                    <c:v>1,9%</c:v>
                  </c:pt>
                  <c:pt idx="14">
                    <c:v>0,3%</c:v>
                  </c:pt>
                  <c:pt idx="16">
                    <c:v>-1,7%</c:v>
                  </c:pt>
                  <c:pt idx="18">
                    <c:v>-4,5%</c:v>
                  </c:pt>
                  <c:pt idx="20">
                    <c:v>-5,2%</c:v>
                  </c:pt>
                  <c:pt idx="22">
                    <c:v>-5,0%</c:v>
                  </c:pt>
                  <c:pt idx="24">
                    <c:v>-17,3%</c:v>
                  </c:pt>
                  <c:pt idx="26">
                    <c:v>-31,3%</c:v>
                  </c:pt>
                  <c:pt idx="28">
                    <c:v>-36,8%</c:v>
                  </c:pt>
                  <c:pt idx="30">
                    <c:v>-40,8%</c:v>
                  </c:pt>
                  <c:pt idx="32">
                    <c:v>-44,5%</c:v>
                  </c:pt>
                  <c:pt idx="34">
                    <c:v>-48,7%</c:v>
                  </c:pt>
                  <c:pt idx="36">
                    <c:v>-48,7%</c:v>
                  </c:pt>
                  <c:pt idx="38">
                    <c:v>-48,5%</c:v>
                  </c:pt>
                  <c:pt idx="40">
                    <c:v>-48,3%</c:v>
                  </c:pt>
                  <c:pt idx="42">
                    <c:v>-48,3%</c:v>
                  </c:pt>
                  <c:pt idx="44">
                    <c:v>-46,7%</c:v>
                  </c:pt>
                  <c:pt idx="46">
                    <c:v>-46,4%</c:v>
                  </c:pt>
                  <c:pt idx="48">
                    <c:v>-46,3%</c:v>
                  </c:pt>
                  <c:pt idx="50">
                    <c:v>-46,0%</c:v>
                  </c:pt>
                  <c:pt idx="52">
                    <c:v>-45,8%</c:v>
                  </c:pt>
                  <c:pt idx="54">
                    <c:v>-45,4%</c:v>
                  </c:pt>
                  <c:pt idx="56">
                    <c:v>-40,4%</c:v>
                  </c:pt>
                  <c:pt idx="58">
                    <c:v>-40,2%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CC36-4E8C-B8C5-191532E00F68}"/>
            </c:ext>
          </c:extLst>
        </c:ser>
        <c:ser>
          <c:idx val="3"/>
          <c:order val="3"/>
          <c:tx>
            <c:v>Líneas Guía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fixedVal"/>
            <c:noEndCap val="0"/>
            <c:val val="1.1000000000000001"/>
            <c:spPr>
              <a:noFill/>
              <a:ln w="6350" cap="flat" cmpd="sng" algn="ctr">
                <a:solidFill>
                  <a:schemeClr val="tx1">
                    <a:lumMod val="75000"/>
                    <a:lumOff val="25000"/>
                  </a:schemeClr>
                </a:solidFill>
                <a:prstDash val="lgDashDotDot"/>
                <a:round/>
              </a:ln>
              <a:effectLst/>
            </c:spPr>
          </c:errBars>
          <c:cat>
            <c:strRef>
              <c:f>'Avance 39'!$H$5:$CP$5</c:f>
              <c:strCache>
                <c:ptCount val="87"/>
                <c:pt idx="0">
                  <c:v>05/05/25</c:v>
                </c:pt>
                <c:pt idx="1">
                  <c:v>12/05/25</c:v>
                </c:pt>
                <c:pt idx="2">
                  <c:v>19/05/25</c:v>
                </c:pt>
                <c:pt idx="3">
                  <c:v>26/05/25</c:v>
                </c:pt>
                <c:pt idx="4">
                  <c:v>02/06/25</c:v>
                </c:pt>
                <c:pt idx="5">
                  <c:v>09/06/25</c:v>
                </c:pt>
                <c:pt idx="6">
                  <c:v>16/06/25</c:v>
                </c:pt>
                <c:pt idx="7">
                  <c:v>23/06/25</c:v>
                </c:pt>
                <c:pt idx="8">
                  <c:v>30/06/25</c:v>
                </c:pt>
                <c:pt idx="9">
                  <c:v>07/07/25</c:v>
                </c:pt>
                <c:pt idx="10">
                  <c:v>14/07/25</c:v>
                </c:pt>
                <c:pt idx="11">
                  <c:v>21/07/25</c:v>
                </c:pt>
                <c:pt idx="12">
                  <c:v>28/07/25</c:v>
                </c:pt>
                <c:pt idx="13">
                  <c:v>04/08/25</c:v>
                </c:pt>
                <c:pt idx="14">
                  <c:v>11/08/25</c:v>
                </c:pt>
                <c:pt idx="15">
                  <c:v>18/08/25</c:v>
                </c:pt>
                <c:pt idx="16">
                  <c:v>25/08/25</c:v>
                </c:pt>
                <c:pt idx="17">
                  <c:v>01/09/25</c:v>
                </c:pt>
                <c:pt idx="18">
                  <c:v>08/09/25</c:v>
                </c:pt>
                <c:pt idx="19">
                  <c:v>15/09/25</c:v>
                </c:pt>
                <c:pt idx="20">
                  <c:v>22/09/25</c:v>
                </c:pt>
                <c:pt idx="21">
                  <c:v>29/09/25</c:v>
                </c:pt>
                <c:pt idx="22">
                  <c:v>06/10/25</c:v>
                </c:pt>
                <c:pt idx="23">
                  <c:v>13/10/25</c:v>
                </c:pt>
                <c:pt idx="24">
                  <c:v>20/10/25</c:v>
                </c:pt>
                <c:pt idx="25">
                  <c:v>27/10/25</c:v>
                </c:pt>
                <c:pt idx="26">
                  <c:v>03/11/25</c:v>
                </c:pt>
                <c:pt idx="27">
                  <c:v>10/11/25</c:v>
                </c:pt>
                <c:pt idx="28">
                  <c:v>17/11/25</c:v>
                </c:pt>
                <c:pt idx="29">
                  <c:v>24/11/25</c:v>
                </c:pt>
                <c:pt idx="30">
                  <c:v>01/12/25</c:v>
                </c:pt>
                <c:pt idx="31">
                  <c:v>08/12/25</c:v>
                </c:pt>
                <c:pt idx="32">
                  <c:v>15/12/25</c:v>
                </c:pt>
                <c:pt idx="33">
                  <c:v>22/12/25</c:v>
                </c:pt>
                <c:pt idx="34">
                  <c:v>29/12/25</c:v>
                </c:pt>
                <c:pt idx="35">
                  <c:v>05/01/26</c:v>
                </c:pt>
                <c:pt idx="36">
                  <c:v>12/01/26</c:v>
                </c:pt>
                <c:pt idx="37">
                  <c:v>19/01/26</c:v>
                </c:pt>
                <c:pt idx="38">
                  <c:v>26/01/26</c:v>
                </c:pt>
                <c:pt idx="39">
                  <c:v>02/02/26</c:v>
                </c:pt>
                <c:pt idx="40">
                  <c:v>09/02/26</c:v>
                </c:pt>
                <c:pt idx="41">
                  <c:v>16/02/26</c:v>
                </c:pt>
                <c:pt idx="42">
                  <c:v>23/02/26</c:v>
                </c:pt>
                <c:pt idx="43">
                  <c:v>02/03/26</c:v>
                </c:pt>
                <c:pt idx="44">
                  <c:v>09/03/26</c:v>
                </c:pt>
                <c:pt idx="45">
                  <c:v>16/03/26</c:v>
                </c:pt>
                <c:pt idx="46">
                  <c:v>23/03/26</c:v>
                </c:pt>
                <c:pt idx="47">
                  <c:v>30/03/26</c:v>
                </c:pt>
                <c:pt idx="48">
                  <c:v>06/04/26</c:v>
                </c:pt>
                <c:pt idx="49">
                  <c:v>13/04/26</c:v>
                </c:pt>
                <c:pt idx="50">
                  <c:v>20/04/26</c:v>
                </c:pt>
                <c:pt idx="51">
                  <c:v>27/04/26</c:v>
                </c:pt>
                <c:pt idx="52">
                  <c:v>04/05/26</c:v>
                </c:pt>
                <c:pt idx="53">
                  <c:v>11/05/26</c:v>
                </c:pt>
                <c:pt idx="54">
                  <c:v>18/05/26</c:v>
                </c:pt>
                <c:pt idx="55">
                  <c:v>25/05/26</c:v>
                </c:pt>
                <c:pt idx="56">
                  <c:v>01/06/26</c:v>
                </c:pt>
                <c:pt idx="57">
                  <c:v>08/06/26</c:v>
                </c:pt>
                <c:pt idx="58">
                  <c:v>15/06/26</c:v>
                </c:pt>
                <c:pt idx="59">
                  <c:v>22/06/26</c:v>
                </c:pt>
                <c:pt idx="60">
                  <c:v>29/06/26</c:v>
                </c:pt>
                <c:pt idx="61">
                  <c:v>06/07/26</c:v>
                </c:pt>
                <c:pt idx="62">
                  <c:v>13/07/26</c:v>
                </c:pt>
                <c:pt idx="63">
                  <c:v>20/07/26</c:v>
                </c:pt>
                <c:pt idx="64">
                  <c:v>27/07/26</c:v>
                </c:pt>
                <c:pt idx="65">
                  <c:v>03/08/26</c:v>
                </c:pt>
                <c:pt idx="66">
                  <c:v>10/08/26</c:v>
                </c:pt>
                <c:pt idx="67">
                  <c:v>17/08/26</c:v>
                </c:pt>
                <c:pt idx="68">
                  <c:v>24/08/26</c:v>
                </c:pt>
                <c:pt idx="69">
                  <c:v>31/08/26</c:v>
                </c:pt>
                <c:pt idx="70">
                  <c:v>07/09/26</c:v>
                </c:pt>
                <c:pt idx="71">
                  <c:v>14/09/26</c:v>
                </c:pt>
                <c:pt idx="72">
                  <c:v>21/09/26</c:v>
                </c:pt>
                <c:pt idx="73">
                  <c:v>28/09/26</c:v>
                </c:pt>
                <c:pt idx="74">
                  <c:v>05/10/26</c:v>
                </c:pt>
                <c:pt idx="75">
                  <c:v>12/10/26</c:v>
                </c:pt>
                <c:pt idx="76">
                  <c:v>19/10/26</c:v>
                </c:pt>
                <c:pt idx="77">
                  <c:v>26/10/26</c:v>
                </c:pt>
                <c:pt idx="78">
                  <c:v>02/11/26</c:v>
                </c:pt>
                <c:pt idx="79">
                  <c:v>09/11/26</c:v>
                </c:pt>
                <c:pt idx="80">
                  <c:v>16/11/26</c:v>
                </c:pt>
                <c:pt idx="81">
                  <c:v>23/11/26</c:v>
                </c:pt>
                <c:pt idx="82">
                  <c:v>30/11/26</c:v>
                </c:pt>
                <c:pt idx="83">
                  <c:v>07/12/26</c:v>
                </c:pt>
                <c:pt idx="84">
                  <c:v>14/12/26</c:v>
                </c:pt>
                <c:pt idx="85">
                  <c:v>21/12/26</c:v>
                </c:pt>
                <c:pt idx="86">
                  <c:v>28/12/26</c:v>
                </c:pt>
              </c:strCache>
            </c:strRef>
          </c:cat>
          <c:val>
            <c:numRef>
              <c:f>'Avance 39'!$H$117:$BP$117</c:f>
              <c:numCache>
                <c:formatCode>0.0%</c:formatCode>
                <c:ptCount val="61"/>
                <c:pt idx="0">
                  <c:v>0</c:v>
                </c:pt>
                <c:pt idx="1">
                  <c:v>#N/A</c:v>
                </c:pt>
                <c:pt idx="2">
                  <c:v>2.2551458693733265E-2</c:v>
                </c:pt>
                <c:pt idx="3">
                  <c:v>#N/A</c:v>
                </c:pt>
                <c:pt idx="4">
                  <c:v>8.6862525881258479E-2</c:v>
                </c:pt>
                <c:pt idx="5">
                  <c:v>#N/A</c:v>
                </c:pt>
                <c:pt idx="6">
                  <c:v>0.13649753054236549</c:v>
                </c:pt>
                <c:pt idx="7">
                  <c:v>#N/A</c:v>
                </c:pt>
                <c:pt idx="8">
                  <c:v>0.15498248541118015</c:v>
                </c:pt>
                <c:pt idx="9">
                  <c:v>#N/A</c:v>
                </c:pt>
                <c:pt idx="10">
                  <c:v>0.16175410205803156</c:v>
                </c:pt>
                <c:pt idx="11">
                  <c:v>#N/A</c:v>
                </c:pt>
                <c:pt idx="12">
                  <c:v>0.18113785470964372</c:v>
                </c:pt>
                <c:pt idx="13">
                  <c:v>#N/A</c:v>
                </c:pt>
                <c:pt idx="14">
                  <c:v>0.19073616910910138</c:v>
                </c:pt>
                <c:pt idx="15">
                  <c:v>#N/A</c:v>
                </c:pt>
                <c:pt idx="16">
                  <c:v>0.21813134326670858</c:v>
                </c:pt>
                <c:pt idx="17">
                  <c:v>#N/A</c:v>
                </c:pt>
                <c:pt idx="18">
                  <c:v>0.23909380815265552</c:v>
                </c:pt>
                <c:pt idx="19">
                  <c:v>#N/A</c:v>
                </c:pt>
                <c:pt idx="20">
                  <c:v>0.30986567317609404</c:v>
                </c:pt>
                <c:pt idx="21">
                  <c:v>#N/A</c:v>
                </c:pt>
                <c:pt idx="22">
                  <c:v>0.39776722768788086</c:v>
                </c:pt>
                <c:pt idx="23">
                  <c:v>#N/A</c:v>
                </c:pt>
                <c:pt idx="24">
                  <c:v>0.40794176830129086</c:v>
                </c:pt>
                <c:pt idx="25">
                  <c:v>#N/A</c:v>
                </c:pt>
                <c:pt idx="26">
                  <c:v>0.42228062006906192</c:v>
                </c:pt>
                <c:pt idx="27">
                  <c:v>#N/A</c:v>
                </c:pt>
                <c:pt idx="28">
                  <c:v>0.47645502986170213</c:v>
                </c:pt>
                <c:pt idx="29">
                  <c:v>#N/A</c:v>
                </c:pt>
                <c:pt idx="30">
                  <c:v>0.50383160514295466</c:v>
                </c:pt>
                <c:pt idx="31">
                  <c:v>#N/A</c:v>
                </c:pt>
                <c:pt idx="32">
                  <c:v>0.51250416113509245</c:v>
                </c:pt>
                <c:pt idx="33">
                  <c:v>#N/A</c:v>
                </c:pt>
                <c:pt idx="34">
                  <c:v>0.51250416113509245</c:v>
                </c:pt>
                <c:pt idx="35">
                  <c:v>#N/A</c:v>
                </c:pt>
                <c:pt idx="36">
                  <c:v>0.51250416113509245</c:v>
                </c:pt>
                <c:pt idx="37">
                  <c:v>#N/A</c:v>
                </c:pt>
                <c:pt idx="38">
                  <c:v>0.51543781816138556</c:v>
                </c:pt>
                <c:pt idx="39">
                  <c:v>#N/A</c:v>
                </c:pt>
                <c:pt idx="40">
                  <c:v>0.51706407933806831</c:v>
                </c:pt>
                <c:pt idx="41">
                  <c:v>#N/A</c:v>
                </c:pt>
                <c:pt idx="42">
                  <c:v>0.51706407933806831</c:v>
                </c:pt>
                <c:pt idx="43">
                  <c:v>#N/A</c:v>
                </c:pt>
                <c:pt idx="44">
                  <c:v>0.53339344067597949</c:v>
                </c:pt>
                <c:pt idx="45">
                  <c:v>#N/A</c:v>
                </c:pt>
                <c:pt idx="46">
                  <c:v>0.53642549040561294</c:v>
                </c:pt>
                <c:pt idx="47">
                  <c:v>#N/A</c:v>
                </c:pt>
                <c:pt idx="48">
                  <c:v>0.53660692303094404</c:v>
                </c:pt>
                <c:pt idx="49">
                  <c:v>#N/A</c:v>
                </c:pt>
                <c:pt idx="50">
                  <c:v>0.53963897276057737</c:v>
                </c:pt>
                <c:pt idx="51">
                  <c:v>#N/A</c:v>
                </c:pt>
                <c:pt idx="52">
                  <c:v>0.54188061137470744</c:v>
                </c:pt>
                <c:pt idx="53">
                  <c:v>#N/A</c:v>
                </c:pt>
                <c:pt idx="54">
                  <c:v>0.54559916292991806</c:v>
                </c:pt>
                <c:pt idx="55">
                  <c:v>#N/A</c:v>
                </c:pt>
                <c:pt idx="56">
                  <c:v>0.59647311534210745</c:v>
                </c:pt>
                <c:pt idx="57">
                  <c:v>#N/A</c:v>
                </c:pt>
                <c:pt idx="58">
                  <c:v>0.59806678029434057</c:v>
                </c:pt>
                <c:pt idx="59">
                  <c:v>#N/A</c:v>
                </c:pt>
                <c:pt idx="60">
                  <c:v>0.60061349807525832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2DA-46D7-B5C4-D1329BD6B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7684367"/>
        <c:axId val="1297684783"/>
      </c:lineChart>
      <c:catAx>
        <c:axId val="129768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783"/>
        <c:crosses val="autoZero"/>
        <c:auto val="1"/>
        <c:lblAlgn val="ctr"/>
        <c:lblOffset val="200"/>
        <c:tickLblSkip val="2"/>
        <c:noMultiLvlLbl val="0"/>
      </c:catAx>
      <c:valAx>
        <c:axId val="1297684783"/>
        <c:scaling>
          <c:orientation val="minMax"/>
          <c:max val="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76843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7.4143337092582487E-2"/>
          <c:y val="3.4715098547626E-2"/>
          <c:w val="0.15208796169511885"/>
          <c:h val="0.15660476087119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95</xdr:row>
      <xdr:rowOff>0</xdr:rowOff>
    </xdr:from>
    <xdr:to>
      <xdr:col>26</xdr:col>
      <xdr:colOff>663575</xdr:colOff>
      <xdr:row>103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lendario">
              <a:extLst>
                <a:ext uri="{FF2B5EF4-FFF2-40B4-BE49-F238E27FC236}">
                  <a16:creationId xmlns:a16="http://schemas.microsoft.com/office/drawing/2014/main" id="{80F95D38-A257-45C1-8086-1FCC58E18A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96500" y="2794000"/>
              <a:ext cx="6165850" cy="211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0</xdr:colOff>
      <xdr:row>1</xdr:row>
      <xdr:rowOff>57151</xdr:rowOff>
    </xdr:from>
    <xdr:to>
      <xdr:col>27</xdr:col>
      <xdr:colOff>0</xdr:colOff>
      <xdr:row>94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lendario 2">
              <a:extLst>
                <a:ext uri="{FF2B5EF4-FFF2-40B4-BE49-F238E27FC236}">
                  <a16:creationId xmlns:a16="http://schemas.microsoft.com/office/drawing/2014/main" id="{829F79E6-A44D-477E-84FE-BC34292553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96500" y="374651"/>
              <a:ext cx="6299200" cy="2038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793376</xdr:colOff>
      <xdr:row>2</xdr:row>
      <xdr:rowOff>0</xdr:rowOff>
    </xdr:from>
    <xdr:to>
      <xdr:col>11</xdr:col>
      <xdr:colOff>2177</xdr:colOff>
      <xdr:row>18</xdr:row>
      <xdr:rowOff>0</xdr:rowOff>
    </xdr:to>
    <xdr:graphicFrame macro="">
      <xdr:nvGraphicFramePr>
        <xdr:cNvPr id="79" name="Gráfico 78">
          <a:extLst>
            <a:ext uri="{FF2B5EF4-FFF2-40B4-BE49-F238E27FC236}">
              <a16:creationId xmlns:a16="http://schemas.microsoft.com/office/drawing/2014/main" id="{C922FC9A-1721-4552-9826-F76EB95F1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778194</xdr:colOff>
      <xdr:row>35</xdr:row>
      <xdr:rowOff>1171</xdr:rowOff>
    </xdr:from>
    <xdr:to>
      <xdr:col>11</xdr:col>
      <xdr:colOff>0</xdr:colOff>
      <xdr:row>51</xdr:row>
      <xdr:rowOff>15874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D79FA941-7A0B-4021-B31A-91B8A3F72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9</xdr:col>
      <xdr:colOff>0</xdr:colOff>
      <xdr:row>65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8D97CF-0644-4704-85B7-EFBA5BD0D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5</xdr:col>
      <xdr:colOff>228681</xdr:colOff>
      <xdr:row>54</xdr:row>
      <xdr:rowOff>41275</xdr:rowOff>
    </xdr:from>
    <xdr:ext cx="550638" cy="218498"/>
    <xdr:sp macro="" textlink="$O$4">
      <xdr:nvSpPr>
        <xdr:cNvPr id="39" name="CuadroTexto 38">
          <a:extLst>
            <a:ext uri="{FF2B5EF4-FFF2-40B4-BE49-F238E27FC236}">
              <a16:creationId xmlns:a16="http://schemas.microsoft.com/office/drawing/2014/main" id="{EE6C7002-B40A-472D-9769-870D5A98EECD}"/>
            </a:ext>
          </a:extLst>
        </xdr:cNvPr>
        <xdr:cNvSpPr txBox="1"/>
      </xdr:nvSpPr>
      <xdr:spPr>
        <a:xfrm>
          <a:off x="3810081" y="8987155"/>
          <a:ext cx="550638" cy="2184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fld id="{8FFCD0DC-C553-4556-B82B-145481D16026}" type="TxLink">
            <a:rPr lang="en-US" sz="1100" b="1" i="0" u="none" strike="noStrike">
              <a:solidFill>
                <a:srgbClr val="0070C0"/>
              </a:solidFill>
              <a:latin typeface="Calibri"/>
              <a:cs typeface="Calibri"/>
            </a:rPr>
            <a:pPr/>
            <a:t>86,7%</a:t>
          </a:fld>
          <a:endParaRPr lang="es-VE" sz="1100" b="1">
            <a:solidFill>
              <a:srgbClr val="0070C0"/>
            </a:solidFill>
          </a:endParaRPr>
        </a:p>
      </xdr:txBody>
    </xdr:sp>
    <xdr:clientData/>
  </xdr:oneCellAnchor>
  <xdr:twoCellAnchor>
    <xdr:from>
      <xdr:col>2</xdr:col>
      <xdr:colOff>4908</xdr:colOff>
      <xdr:row>35</xdr:row>
      <xdr:rowOff>44254</xdr:rowOff>
    </xdr:from>
    <xdr:to>
      <xdr:col>4</xdr:col>
      <xdr:colOff>713963</xdr:colOff>
      <xdr:row>36</xdr:row>
      <xdr:rowOff>50486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7A371B8B-EEBE-4FAA-8ADA-8346AF8634DB}"/>
            </a:ext>
          </a:extLst>
        </xdr:cNvPr>
        <xdr:cNvSpPr txBox="1"/>
      </xdr:nvSpPr>
      <xdr:spPr>
        <a:xfrm>
          <a:off x="984622" y="5519768"/>
          <a:ext cx="2450770" cy="191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VE" sz="800" b="1">
              <a:solidFill>
                <a:schemeClr val="bg2">
                  <a:lumMod val="25000"/>
                </a:schemeClr>
              </a:solidFill>
            </a:rPr>
            <a:t>Avance real antes reprogramación. Peso 59,2%</a:t>
          </a:r>
        </a:p>
      </xdr:txBody>
    </xdr:sp>
    <xdr:clientData/>
  </xdr:twoCellAnchor>
  <xdr:twoCellAnchor>
    <xdr:from>
      <xdr:col>5</xdr:col>
      <xdr:colOff>836884</xdr:colOff>
      <xdr:row>35</xdr:row>
      <xdr:rowOff>11444</xdr:rowOff>
    </xdr:from>
    <xdr:to>
      <xdr:col>9</xdr:col>
      <xdr:colOff>179615</xdr:colOff>
      <xdr:row>36</xdr:row>
      <xdr:rowOff>17676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FD64148A-D835-4575-B736-2018085271BE}"/>
            </a:ext>
          </a:extLst>
        </xdr:cNvPr>
        <xdr:cNvSpPr txBox="1"/>
      </xdr:nvSpPr>
      <xdr:spPr>
        <a:xfrm>
          <a:off x="4429170" y="5486958"/>
          <a:ext cx="1454559" cy="191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800" b="1">
              <a:solidFill>
                <a:schemeClr val="bg2">
                  <a:lumMod val="25000"/>
                </a:schemeClr>
              </a:solidFill>
            </a:rPr>
            <a:t>Reprogramación. Peso 40,8%</a:t>
          </a:r>
        </a:p>
      </xdr:txBody>
    </xdr:sp>
    <xdr:clientData/>
  </xdr:twoCellAnchor>
  <xdr:twoCellAnchor>
    <xdr:from>
      <xdr:col>4</xdr:col>
      <xdr:colOff>519745</xdr:colOff>
      <xdr:row>36</xdr:row>
      <xdr:rowOff>102641</xdr:rowOff>
    </xdr:from>
    <xdr:to>
      <xdr:col>4</xdr:col>
      <xdr:colOff>527358</xdr:colOff>
      <xdr:row>48</xdr:row>
      <xdr:rowOff>5955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45693334-CFEC-4791-9E4E-195B166737CB}"/>
            </a:ext>
          </a:extLst>
        </xdr:cNvPr>
        <xdr:cNvCxnSpPr/>
      </xdr:nvCxnSpPr>
      <xdr:spPr>
        <a:xfrm>
          <a:off x="3227776" y="5759026"/>
          <a:ext cx="7613" cy="2083806"/>
        </a:xfrm>
        <a:prstGeom prst="line">
          <a:avLst/>
        </a:prstGeom>
        <a:ln w="12700">
          <a:solidFill>
            <a:schemeClr val="accent2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190075</xdr:colOff>
      <xdr:row>36</xdr:row>
      <xdr:rowOff>51184</xdr:rowOff>
    </xdr:from>
    <xdr:to>
      <xdr:col>4</xdr:col>
      <xdr:colOff>518360</xdr:colOff>
      <xdr:row>36</xdr:row>
      <xdr:rowOff>51184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278779D5-0016-41D9-BC24-EC5F169ADCE9}"/>
            </a:ext>
          </a:extLst>
        </xdr:cNvPr>
        <xdr:cNvCxnSpPr/>
      </xdr:nvCxnSpPr>
      <xdr:spPr>
        <a:xfrm>
          <a:off x="1169789" y="5711755"/>
          <a:ext cx="2070000" cy="0"/>
        </a:xfrm>
        <a:prstGeom prst="line">
          <a:avLst/>
        </a:prstGeom>
        <a:ln w="12700"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196489</xdr:colOff>
      <xdr:row>35</xdr:row>
      <xdr:rowOff>164889</xdr:rowOff>
    </xdr:from>
    <xdr:to>
      <xdr:col>2</xdr:col>
      <xdr:colOff>196489</xdr:colOff>
      <xdr:row>36</xdr:row>
      <xdr:rowOff>121265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793EB29F-DDE0-4D22-99A2-0129DD1C1DBB}"/>
            </a:ext>
          </a:extLst>
        </xdr:cNvPr>
        <xdr:cNvCxnSpPr/>
      </xdr:nvCxnSpPr>
      <xdr:spPr>
        <a:xfrm flipV="1">
          <a:off x="1176203" y="5640403"/>
          <a:ext cx="0" cy="141433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337095</xdr:colOff>
      <xdr:row>37</xdr:row>
      <xdr:rowOff>5456</xdr:rowOff>
    </xdr:from>
    <xdr:to>
      <xdr:col>9</xdr:col>
      <xdr:colOff>344080</xdr:colOff>
      <xdr:row>48</xdr:row>
      <xdr:rowOff>21590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027373E1-A35E-46B6-94CC-0AD2805F38A6}"/>
            </a:ext>
          </a:extLst>
        </xdr:cNvPr>
        <xdr:cNvCxnSpPr/>
      </xdr:nvCxnSpPr>
      <xdr:spPr>
        <a:xfrm>
          <a:off x="6021615" y="5847456"/>
          <a:ext cx="6985" cy="2027814"/>
        </a:xfrm>
        <a:prstGeom prst="line">
          <a:avLst/>
        </a:prstGeom>
        <a:ln w="12700">
          <a:solidFill>
            <a:srgbClr val="C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664761</xdr:colOff>
      <xdr:row>35</xdr:row>
      <xdr:rowOff>156092</xdr:rowOff>
    </xdr:from>
    <xdr:to>
      <xdr:col>10</xdr:col>
      <xdr:colOff>664761</xdr:colOff>
      <xdr:row>36</xdr:row>
      <xdr:rowOff>112468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94E3CC9E-AFFB-4FE0-93DC-0DDD9AA7E586}"/>
            </a:ext>
          </a:extLst>
        </xdr:cNvPr>
        <xdr:cNvCxnSpPr/>
      </xdr:nvCxnSpPr>
      <xdr:spPr>
        <a:xfrm flipV="1">
          <a:off x="7217961" y="918092"/>
          <a:ext cx="0" cy="139256"/>
        </a:xfrm>
        <a:prstGeom prst="line">
          <a:avLst/>
        </a:prstGeom>
        <a:ln w="952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513792</xdr:colOff>
      <xdr:row>36</xdr:row>
      <xdr:rowOff>51184</xdr:rowOff>
    </xdr:from>
    <xdr:to>
      <xdr:col>10</xdr:col>
      <xdr:colOff>674250</xdr:colOff>
      <xdr:row>36</xdr:row>
      <xdr:rowOff>51184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54B1316C-F68B-4D97-8A56-84D7AFF96F06}"/>
            </a:ext>
          </a:extLst>
        </xdr:cNvPr>
        <xdr:cNvCxnSpPr/>
      </xdr:nvCxnSpPr>
      <xdr:spPr>
        <a:xfrm>
          <a:off x="3235221" y="5711755"/>
          <a:ext cx="4014000" cy="0"/>
        </a:xfrm>
        <a:prstGeom prst="line">
          <a:avLst/>
        </a:prstGeom>
        <a:ln w="9525">
          <a:solidFill>
            <a:srgbClr val="548235"/>
          </a:solidFill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516886</xdr:colOff>
      <xdr:row>35</xdr:row>
      <xdr:rowOff>163099</xdr:rowOff>
    </xdr:from>
    <xdr:to>
      <xdr:col>4</xdr:col>
      <xdr:colOff>516886</xdr:colOff>
      <xdr:row>36</xdr:row>
      <xdr:rowOff>119475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C6D720BC-D173-4635-86EB-F04A150F3155}"/>
            </a:ext>
          </a:extLst>
        </xdr:cNvPr>
        <xdr:cNvCxnSpPr/>
      </xdr:nvCxnSpPr>
      <xdr:spPr>
        <a:xfrm flipV="1">
          <a:off x="3229606" y="5639339"/>
          <a:ext cx="0" cy="139256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516189</xdr:colOff>
      <xdr:row>35</xdr:row>
      <xdr:rowOff>164129</xdr:rowOff>
    </xdr:from>
    <xdr:to>
      <xdr:col>4</xdr:col>
      <xdr:colOff>516189</xdr:colOff>
      <xdr:row>36</xdr:row>
      <xdr:rowOff>120505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CE7EC3AE-C660-4102-90A1-E1077B36EB26}"/>
            </a:ext>
          </a:extLst>
        </xdr:cNvPr>
        <xdr:cNvCxnSpPr/>
      </xdr:nvCxnSpPr>
      <xdr:spPr>
        <a:xfrm flipV="1">
          <a:off x="3228909" y="5640369"/>
          <a:ext cx="0" cy="139256"/>
        </a:xfrm>
        <a:prstGeom prst="line">
          <a:avLst/>
        </a:prstGeom>
        <a:ln w="9525">
          <a:solidFill>
            <a:srgbClr val="54823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664761</xdr:colOff>
      <xdr:row>35</xdr:row>
      <xdr:rowOff>156092</xdr:rowOff>
    </xdr:from>
    <xdr:to>
      <xdr:col>10</xdr:col>
      <xdr:colOff>664761</xdr:colOff>
      <xdr:row>36</xdr:row>
      <xdr:rowOff>112468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CBB6E802-3570-4BC2-8D95-50BE3092DFE0}"/>
            </a:ext>
          </a:extLst>
        </xdr:cNvPr>
        <xdr:cNvCxnSpPr/>
      </xdr:nvCxnSpPr>
      <xdr:spPr>
        <a:xfrm flipV="1">
          <a:off x="7198911" y="918092"/>
          <a:ext cx="0" cy="137351"/>
        </a:xfrm>
        <a:prstGeom prst="line">
          <a:avLst/>
        </a:prstGeom>
        <a:ln w="952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79288</xdr:colOff>
      <xdr:row>46</xdr:row>
      <xdr:rowOff>7822</xdr:rowOff>
    </xdr:from>
    <xdr:ext cx="412934" cy="233205"/>
    <xdr:sp macro="" textlink="'Avance 100'!M144">
      <xdr:nvSpPr>
        <xdr:cNvPr id="55" name="CuadroTexto 54">
          <a:extLst>
            <a:ext uri="{FF2B5EF4-FFF2-40B4-BE49-F238E27FC236}">
              <a16:creationId xmlns:a16="http://schemas.microsoft.com/office/drawing/2014/main" id="{C8A5BB61-E217-4A43-8A37-145D245C5EF3}"/>
            </a:ext>
          </a:extLst>
        </xdr:cNvPr>
        <xdr:cNvSpPr txBox="1"/>
      </xdr:nvSpPr>
      <xdr:spPr>
        <a:xfrm>
          <a:off x="1054648" y="7495742"/>
          <a:ext cx="41293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140B072-F44D-4AB5-9B51-7FE020D35F6C}" type="TxLink">
            <a:rPr lang="en-US" sz="900" b="1" i="0" u="none" strike="noStrike">
              <a:solidFill>
                <a:schemeClr val="accent6"/>
              </a:solidFill>
              <a:latin typeface="Calibri (Cuerpo)"/>
              <a:cs typeface="Calibri"/>
            </a:rPr>
            <a:pPr/>
            <a:t>0,0%</a:t>
          </a:fld>
          <a:endParaRPr lang="es-VE" sz="900" b="1">
            <a:solidFill>
              <a:schemeClr val="accent6"/>
            </a:solidFill>
            <a:latin typeface="Calibri (Cuerpo)"/>
          </a:endParaRPr>
        </a:p>
      </xdr:txBody>
    </xdr:sp>
    <xdr:clientData/>
  </xdr:oneCellAnchor>
  <xdr:twoCellAnchor>
    <xdr:from>
      <xdr:col>2</xdr:col>
      <xdr:colOff>0</xdr:colOff>
      <xdr:row>18</xdr:row>
      <xdr:rowOff>46953</xdr:rowOff>
    </xdr:from>
    <xdr:to>
      <xdr:col>6</xdr:col>
      <xdr:colOff>0</xdr:colOff>
      <xdr:row>31</xdr:row>
      <xdr:rowOff>46953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5B275C34-DC0C-4452-B324-F308BEA3B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</xdr:col>
      <xdr:colOff>828801</xdr:colOff>
      <xdr:row>20</xdr:row>
      <xdr:rowOff>136331</xdr:rowOff>
    </xdr:from>
    <xdr:ext cx="535211" cy="264560"/>
    <xdr:sp macro="" textlink="$O$4">
      <xdr:nvSpPr>
        <xdr:cNvPr id="57" name="CuadroTexto 56">
          <a:extLst>
            <a:ext uri="{FF2B5EF4-FFF2-40B4-BE49-F238E27FC236}">
              <a16:creationId xmlns:a16="http://schemas.microsoft.com/office/drawing/2014/main" id="{9A11C713-DBA7-4EF2-948D-74173EBB9C6A}"/>
            </a:ext>
          </a:extLst>
        </xdr:cNvPr>
        <xdr:cNvSpPr txBox="1"/>
      </xdr:nvSpPr>
      <xdr:spPr>
        <a:xfrm>
          <a:off x="3530437" y="3225895"/>
          <a:ext cx="5352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FFCD0DC-C553-4556-B82B-145481D16026}" type="TxLink">
            <a:rPr lang="en-US" sz="1100" b="1" i="0" u="none" strike="noStrike">
              <a:solidFill>
                <a:srgbClr val="0070C0"/>
              </a:solidFill>
              <a:latin typeface="Calibri"/>
              <a:cs typeface="Calibri"/>
            </a:rPr>
            <a:pPr/>
            <a:t>86,7%</a:t>
          </a:fld>
          <a:endParaRPr lang="es-VE" sz="1100" b="1">
            <a:solidFill>
              <a:srgbClr val="0070C0"/>
            </a:solidFill>
          </a:endParaRPr>
        </a:p>
      </xdr:txBody>
    </xdr:sp>
    <xdr:clientData/>
  </xdr:oneCellAnchor>
  <xdr:twoCellAnchor>
    <xdr:from>
      <xdr:col>2</xdr:col>
      <xdr:colOff>41575</xdr:colOff>
      <xdr:row>2</xdr:row>
      <xdr:rowOff>39763</xdr:rowOff>
    </xdr:from>
    <xdr:to>
      <xdr:col>4</xdr:col>
      <xdr:colOff>760319</xdr:colOff>
      <xdr:row>3</xdr:row>
      <xdr:rowOff>47900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B7B0D90C-118A-45BB-9540-7DC839E02F23}"/>
            </a:ext>
          </a:extLst>
        </xdr:cNvPr>
        <xdr:cNvSpPr txBox="1"/>
      </xdr:nvSpPr>
      <xdr:spPr>
        <a:xfrm>
          <a:off x="1016935" y="385203"/>
          <a:ext cx="2456104" cy="1605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VE" sz="800" b="1">
              <a:solidFill>
                <a:schemeClr val="bg2">
                  <a:lumMod val="25000"/>
                </a:schemeClr>
              </a:solidFill>
            </a:rPr>
            <a:t>Avance real antes reprogramación. Peso 59,2%</a:t>
          </a:r>
        </a:p>
      </xdr:txBody>
    </xdr:sp>
    <xdr:clientData/>
  </xdr:twoCellAnchor>
  <xdr:twoCellAnchor>
    <xdr:from>
      <xdr:col>8</xdr:col>
      <xdr:colOff>167594</xdr:colOff>
      <xdr:row>2</xdr:row>
      <xdr:rowOff>25052</xdr:rowOff>
    </xdr:from>
    <xdr:to>
      <xdr:col>10</xdr:col>
      <xdr:colOff>161684</xdr:colOff>
      <xdr:row>3</xdr:row>
      <xdr:rowOff>33189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5304A708-4FEC-44B6-9DE5-938E7CCC4F60}"/>
            </a:ext>
          </a:extLst>
        </xdr:cNvPr>
        <xdr:cNvSpPr txBox="1"/>
      </xdr:nvSpPr>
      <xdr:spPr>
        <a:xfrm>
          <a:off x="4983434" y="370492"/>
          <a:ext cx="1731450" cy="1605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800" b="1">
              <a:solidFill>
                <a:schemeClr val="bg2">
                  <a:lumMod val="25000"/>
                </a:schemeClr>
              </a:solidFill>
            </a:rPr>
            <a:t>Reprogramación. Peso 40,8%</a:t>
          </a:r>
        </a:p>
      </xdr:txBody>
    </xdr:sp>
    <xdr:clientData/>
  </xdr:twoCellAnchor>
  <xdr:twoCellAnchor>
    <xdr:from>
      <xdr:col>5</xdr:col>
      <xdr:colOff>305926</xdr:colOff>
      <xdr:row>3</xdr:row>
      <xdr:rowOff>63008</xdr:rowOff>
    </xdr:from>
    <xdr:to>
      <xdr:col>5</xdr:col>
      <xdr:colOff>317349</xdr:colOff>
      <xdr:row>14</xdr:row>
      <xdr:rowOff>150608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979487E6-6D96-4AFA-8253-5B16F525A4DC}"/>
            </a:ext>
          </a:extLst>
        </xdr:cNvPr>
        <xdr:cNvCxnSpPr/>
      </xdr:nvCxnSpPr>
      <xdr:spPr>
        <a:xfrm>
          <a:off x="3798426" y="560425"/>
          <a:ext cx="11423" cy="1775641"/>
        </a:xfrm>
        <a:prstGeom prst="line">
          <a:avLst/>
        </a:prstGeom>
        <a:ln w="9525">
          <a:solidFill>
            <a:schemeClr val="accent2">
              <a:lumMod val="75000"/>
            </a:schemeClr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247109</xdr:colOff>
      <xdr:row>2</xdr:row>
      <xdr:rowOff>168699</xdr:rowOff>
    </xdr:from>
    <xdr:to>
      <xdr:col>2</xdr:col>
      <xdr:colOff>247109</xdr:colOff>
      <xdr:row>3</xdr:row>
      <xdr:rowOff>123170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4059E1C7-78C3-40FC-9A97-3BB5A32428D4}"/>
            </a:ext>
          </a:extLst>
        </xdr:cNvPr>
        <xdr:cNvCxnSpPr/>
      </xdr:nvCxnSpPr>
      <xdr:spPr>
        <a:xfrm flipV="1">
          <a:off x="1216174" y="7531938"/>
          <a:ext cx="0" cy="136689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528316</xdr:colOff>
      <xdr:row>3</xdr:row>
      <xdr:rowOff>1174</xdr:rowOff>
    </xdr:from>
    <xdr:to>
      <xdr:col>4</xdr:col>
      <xdr:colOff>528316</xdr:colOff>
      <xdr:row>3</xdr:row>
      <xdr:rowOff>123285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4EB5364D-A39E-4F1A-AA3B-409602985B4A}"/>
            </a:ext>
          </a:extLst>
        </xdr:cNvPr>
        <xdr:cNvCxnSpPr/>
      </xdr:nvCxnSpPr>
      <xdr:spPr>
        <a:xfrm flipV="1">
          <a:off x="3241036" y="496474"/>
          <a:ext cx="0" cy="122111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520111</xdr:colOff>
      <xdr:row>3</xdr:row>
      <xdr:rowOff>56950</xdr:rowOff>
    </xdr:from>
    <xdr:to>
      <xdr:col>10</xdr:col>
      <xdr:colOff>652252</xdr:colOff>
      <xdr:row>3</xdr:row>
      <xdr:rowOff>56950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6EA49CA7-B91F-4295-8D05-7BB930294279}"/>
            </a:ext>
          </a:extLst>
        </xdr:cNvPr>
        <xdr:cNvCxnSpPr/>
      </xdr:nvCxnSpPr>
      <xdr:spPr>
        <a:xfrm>
          <a:off x="3227025" y="554064"/>
          <a:ext cx="3963913" cy="0"/>
        </a:xfrm>
        <a:prstGeom prst="line">
          <a:avLst/>
        </a:prstGeom>
        <a:ln w="952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668571</xdr:colOff>
      <xdr:row>3</xdr:row>
      <xdr:rowOff>3692</xdr:rowOff>
    </xdr:from>
    <xdr:to>
      <xdr:col>10</xdr:col>
      <xdr:colOff>668571</xdr:colOff>
      <xdr:row>3</xdr:row>
      <xdr:rowOff>112468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B9652B8E-DDD6-493F-AA4A-16FA0636E1B2}"/>
            </a:ext>
          </a:extLst>
        </xdr:cNvPr>
        <xdr:cNvCxnSpPr/>
      </xdr:nvCxnSpPr>
      <xdr:spPr>
        <a:xfrm flipV="1">
          <a:off x="7221771" y="501532"/>
          <a:ext cx="0" cy="108776"/>
        </a:xfrm>
        <a:prstGeom prst="line">
          <a:avLst/>
        </a:prstGeom>
        <a:ln w="952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249949</xdr:colOff>
      <xdr:row>3</xdr:row>
      <xdr:rowOff>58804</xdr:rowOff>
    </xdr:from>
    <xdr:to>
      <xdr:col>4</xdr:col>
      <xdr:colOff>532399</xdr:colOff>
      <xdr:row>3</xdr:row>
      <xdr:rowOff>58804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58188A02-5DE9-4DF0-A3E4-37E56670C67B}"/>
            </a:ext>
          </a:extLst>
        </xdr:cNvPr>
        <xdr:cNvCxnSpPr/>
      </xdr:nvCxnSpPr>
      <xdr:spPr>
        <a:xfrm>
          <a:off x="1221499" y="554104"/>
          <a:ext cx="2016000" cy="0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247109</xdr:colOff>
      <xdr:row>2</xdr:row>
      <xdr:rowOff>168699</xdr:rowOff>
    </xdr:from>
    <xdr:to>
      <xdr:col>2</xdr:col>
      <xdr:colOff>247109</xdr:colOff>
      <xdr:row>3</xdr:row>
      <xdr:rowOff>123170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E8F2997D-692C-4BA0-AE51-952D7AC29ED1}"/>
            </a:ext>
          </a:extLst>
        </xdr:cNvPr>
        <xdr:cNvCxnSpPr/>
      </xdr:nvCxnSpPr>
      <xdr:spPr>
        <a:xfrm flipV="1">
          <a:off x="1216174" y="7531938"/>
          <a:ext cx="0" cy="136689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251199</xdr:colOff>
      <xdr:row>3</xdr:row>
      <xdr:rowOff>147865</xdr:rowOff>
    </xdr:from>
    <xdr:to>
      <xdr:col>9</xdr:col>
      <xdr:colOff>251199</xdr:colOff>
      <xdr:row>14</xdr:row>
      <xdr:rowOff>145465</xdr:rowOff>
    </xdr:to>
    <xdr:cxnSp macro="">
      <xdr:nvCxnSpPr>
        <xdr:cNvPr id="76" name="Conector recto 75">
          <a:extLst>
            <a:ext uri="{FF2B5EF4-FFF2-40B4-BE49-F238E27FC236}">
              <a16:creationId xmlns:a16="http://schemas.microsoft.com/office/drawing/2014/main" id="{68E6BD50-5BA8-4D9E-87CB-CBBF699EF0EE}"/>
            </a:ext>
          </a:extLst>
        </xdr:cNvPr>
        <xdr:cNvCxnSpPr/>
      </xdr:nvCxnSpPr>
      <xdr:spPr>
        <a:xfrm>
          <a:off x="5943787" y="645406"/>
          <a:ext cx="0" cy="1674000"/>
        </a:xfrm>
        <a:prstGeom prst="line">
          <a:avLst/>
        </a:prstGeom>
        <a:ln w="9525">
          <a:solidFill>
            <a:srgbClr val="C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140199</xdr:colOff>
      <xdr:row>39</xdr:row>
      <xdr:rowOff>152958</xdr:rowOff>
    </xdr:from>
    <xdr:to>
      <xdr:col>10</xdr:col>
      <xdr:colOff>723901</xdr:colOff>
      <xdr:row>40</xdr:row>
      <xdr:rowOff>159190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3CB058A6-0991-4E13-B594-1FCB74E553AE}"/>
            </a:ext>
          </a:extLst>
        </xdr:cNvPr>
        <xdr:cNvSpPr txBox="1"/>
      </xdr:nvSpPr>
      <xdr:spPr>
        <a:xfrm>
          <a:off x="5844313" y="6368701"/>
          <a:ext cx="1454559" cy="191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VE" sz="800" b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</xdr:colOff>
      <xdr:row>31</xdr:row>
      <xdr:rowOff>133349</xdr:rowOff>
    </xdr:from>
    <xdr:to>
      <xdr:col>5</xdr:col>
      <xdr:colOff>133350</xdr:colOff>
      <xdr:row>43</xdr:row>
      <xdr:rowOff>47624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8A1427D-08B8-46DC-A62A-C06AB77D2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30</xdr:row>
      <xdr:rowOff>0</xdr:rowOff>
    </xdr:from>
    <xdr:to>
      <xdr:col>13</xdr:col>
      <xdr:colOff>1</xdr:colOff>
      <xdr:row>46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644B254-AB4E-4973-B8D2-4440F898C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112145</xdr:colOff>
      <xdr:row>32</xdr:row>
      <xdr:rowOff>144186</xdr:rowOff>
    </xdr:from>
    <xdr:ext cx="535211" cy="264560"/>
    <xdr:sp macro="" textlink="$Q$4">
      <xdr:nvSpPr>
        <xdr:cNvPr id="13" name="CuadroTexto 12">
          <a:extLst>
            <a:ext uri="{FF2B5EF4-FFF2-40B4-BE49-F238E27FC236}">
              <a16:creationId xmlns:a16="http://schemas.microsoft.com/office/drawing/2014/main" id="{EA6BED88-57E9-4781-9560-3CE808652886}"/>
            </a:ext>
          </a:extLst>
        </xdr:cNvPr>
        <xdr:cNvSpPr txBox="1"/>
      </xdr:nvSpPr>
      <xdr:spPr>
        <a:xfrm>
          <a:off x="2813781" y="5928459"/>
          <a:ext cx="5352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D3EDE0A-DDD5-4ADD-B9E0-15D8BF9FF9C9}" type="TxLink">
            <a:rPr lang="en-US" sz="1100" b="1" i="0" u="none" strike="noStrike">
              <a:solidFill>
                <a:schemeClr val="accent1"/>
              </a:solidFill>
              <a:latin typeface="Calibri"/>
              <a:cs typeface="Calibri"/>
            </a:rPr>
            <a:pPr/>
            <a:t>78,4%</a:t>
          </a:fld>
          <a:endParaRPr lang="es-VE" sz="1100" b="1">
            <a:solidFill>
              <a:schemeClr val="accent1"/>
            </a:solidFill>
          </a:endParaRPr>
        </a:p>
      </xdr:txBody>
    </xdr:sp>
    <xdr:clientData/>
  </xdr:oneCellAnchor>
  <xdr:twoCellAnchor>
    <xdr:from>
      <xdr:col>2</xdr:col>
      <xdr:colOff>104774</xdr:colOff>
      <xdr:row>3</xdr:row>
      <xdr:rowOff>133349</xdr:rowOff>
    </xdr:from>
    <xdr:to>
      <xdr:col>5</xdr:col>
      <xdr:colOff>133350</xdr:colOff>
      <xdr:row>15</xdr:row>
      <xdr:rowOff>47624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5661A56-51D9-4EA1-9A20-F10B89F8D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4</xdr:col>
      <xdr:colOff>167825</xdr:colOff>
      <xdr:row>5</xdr:row>
      <xdr:rowOff>27002</xdr:rowOff>
    </xdr:from>
    <xdr:ext cx="535211" cy="264560"/>
    <xdr:sp macro="" textlink="$Q$4">
      <xdr:nvSpPr>
        <xdr:cNvPr id="17" name="CuadroTexto 16">
          <a:extLst>
            <a:ext uri="{FF2B5EF4-FFF2-40B4-BE49-F238E27FC236}">
              <a16:creationId xmlns:a16="http://schemas.microsoft.com/office/drawing/2014/main" id="{DAD7C39D-8C41-447E-BB8F-5FAD82796AED}"/>
            </a:ext>
          </a:extLst>
        </xdr:cNvPr>
        <xdr:cNvSpPr txBox="1"/>
      </xdr:nvSpPr>
      <xdr:spPr>
        <a:xfrm>
          <a:off x="2875856" y="947264"/>
          <a:ext cx="5352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D3EDE0A-DDD5-4ADD-B9E0-15D8BF9FF9C9}" type="TxLink">
            <a:rPr lang="en-US" sz="1100" b="1" i="0" u="none" strike="noStrike">
              <a:solidFill>
                <a:srgbClr val="0070C0"/>
              </a:solidFill>
              <a:latin typeface="Calibri"/>
              <a:cs typeface="Calibri"/>
            </a:rPr>
            <a:pPr/>
            <a:t>78,4%</a:t>
          </a:fld>
          <a:endParaRPr lang="es-VE" sz="1100" b="1">
            <a:solidFill>
              <a:srgbClr val="0070C0"/>
            </a:solidFill>
          </a:endParaRPr>
        </a:p>
      </xdr:txBody>
    </xdr:sp>
    <xdr:clientData/>
  </xdr:oneCellAnchor>
  <xdr:twoCellAnchor>
    <xdr:from>
      <xdr:col>4</xdr:col>
      <xdr:colOff>867506</xdr:colOff>
      <xdr:row>1</xdr:row>
      <xdr:rowOff>181707</xdr:rowOff>
    </xdr:from>
    <xdr:to>
      <xdr:col>13</xdr:col>
      <xdr:colOff>0</xdr:colOff>
      <xdr:row>18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4CF016C-091A-4A04-8CD7-36203C0EF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473558</xdr:colOff>
      <xdr:row>2</xdr:row>
      <xdr:rowOff>148468</xdr:rowOff>
    </xdr:from>
    <xdr:to>
      <xdr:col>10</xdr:col>
      <xdr:colOff>473558</xdr:colOff>
      <xdr:row>14</xdr:row>
      <xdr:rowOff>55976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CE539CAF-5C96-4928-9EB8-F2E9F10C0D53}"/>
            </a:ext>
          </a:extLst>
        </xdr:cNvPr>
        <xdr:cNvCxnSpPr/>
      </xdr:nvCxnSpPr>
      <xdr:spPr>
        <a:xfrm>
          <a:off x="6891943" y="529468"/>
          <a:ext cx="0" cy="2193508"/>
        </a:xfrm>
        <a:prstGeom prst="line">
          <a:avLst/>
        </a:prstGeom>
        <a:ln w="9525">
          <a:solidFill>
            <a:srgbClr val="C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473101</xdr:colOff>
      <xdr:row>30</xdr:row>
      <xdr:rowOff>141766</xdr:rowOff>
    </xdr:from>
    <xdr:to>
      <xdr:col>10</xdr:col>
      <xdr:colOff>473101</xdr:colOff>
      <xdr:row>43</xdr:row>
      <xdr:rowOff>9834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8090FCA3-C5C2-4D7E-894A-E75E853C733A}"/>
            </a:ext>
          </a:extLst>
        </xdr:cNvPr>
        <xdr:cNvCxnSpPr/>
      </xdr:nvCxnSpPr>
      <xdr:spPr>
        <a:xfrm>
          <a:off x="7014578" y="5557828"/>
          <a:ext cx="0" cy="2230268"/>
        </a:xfrm>
        <a:prstGeom prst="line">
          <a:avLst/>
        </a:prstGeom>
        <a:ln w="19050">
          <a:solidFill>
            <a:srgbClr val="C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312177</xdr:colOff>
      <xdr:row>33</xdr:row>
      <xdr:rowOff>175197</xdr:rowOff>
    </xdr:from>
    <xdr:to>
      <xdr:col>7</xdr:col>
      <xdr:colOff>980015</xdr:colOff>
      <xdr:row>48</xdr:row>
      <xdr:rowOff>68790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E2D84A-B647-4DEC-9520-74B37737F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457199</xdr:colOff>
      <xdr:row>32</xdr:row>
      <xdr:rowOff>87085</xdr:rowOff>
    </xdr:from>
    <xdr:to>
      <xdr:col>13</xdr:col>
      <xdr:colOff>461682</xdr:colOff>
      <xdr:row>47</xdr:row>
      <xdr:rowOff>190116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E6F317-69F3-4C36-BE6C-493ED6BAC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142875</xdr:colOff>
      <xdr:row>3</xdr:row>
      <xdr:rowOff>190500</xdr:rowOff>
    </xdr:from>
    <xdr:to>
      <xdr:col>24</xdr:col>
      <xdr:colOff>0</xdr:colOff>
      <xdr:row>16</xdr:row>
      <xdr:rowOff>112940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5D6113-A493-40EF-BF9F-71927BD26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215807</xdr:colOff>
      <xdr:row>17</xdr:row>
      <xdr:rowOff>0</xdr:rowOff>
    </xdr:from>
    <xdr:to>
      <xdr:col>23</xdr:col>
      <xdr:colOff>600075</xdr:colOff>
      <xdr:row>29</xdr:row>
      <xdr:rowOff>146576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F2BA354-0667-4A87-8B52-BA27ECCE4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0</xdr:colOff>
      <xdr:row>3</xdr:row>
      <xdr:rowOff>0</xdr:rowOff>
    </xdr:from>
    <xdr:to>
      <xdr:col>29</xdr:col>
      <xdr:colOff>0</xdr:colOff>
      <xdr:row>29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lendario 1">
              <a:extLst>
                <a:ext uri="{FF2B5EF4-FFF2-40B4-BE49-F238E27FC236}">
                  <a16:creationId xmlns:a16="http://schemas.microsoft.com/office/drawing/2014/main" id="{F772F796-7059-439A-834F-C726C00212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79025" y="638175"/>
              <a:ext cx="3362325" cy="523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158592</xdr:colOff>
      <xdr:row>4</xdr:row>
      <xdr:rowOff>8573</xdr:rowOff>
    </xdr:from>
    <xdr:to>
      <xdr:col>5</xdr:col>
      <xdr:colOff>309561</xdr:colOff>
      <xdr:row>15</xdr:row>
      <xdr:rowOff>23813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5BB066-0DA0-40B9-ADC2-63834F258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214312</xdr:colOff>
      <xdr:row>42</xdr:row>
      <xdr:rowOff>83343</xdr:rowOff>
    </xdr:from>
    <xdr:to>
      <xdr:col>4</xdr:col>
      <xdr:colOff>226218</xdr:colOff>
      <xdr:row>54</xdr:row>
      <xdr:rowOff>68580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BDC94EA-3E63-4E36-A357-2FE7833DD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756357</xdr:colOff>
      <xdr:row>5</xdr:row>
      <xdr:rowOff>121710</xdr:rowOff>
    </xdr:from>
    <xdr:ext cx="535211" cy="264560"/>
    <xdr:sp macro="" textlink="$U$5">
      <xdr:nvSpPr>
        <xdr:cNvPr id="3" name="CuadroTexto 2">
          <a:extLst>
            <a:ext uri="{FF2B5EF4-FFF2-40B4-BE49-F238E27FC236}">
              <a16:creationId xmlns:a16="http://schemas.microsoft.com/office/drawing/2014/main" id="{A956F22A-81E0-4679-A077-6EA1E8180A7F}"/>
            </a:ext>
          </a:extLst>
        </xdr:cNvPr>
        <xdr:cNvSpPr txBox="1"/>
      </xdr:nvSpPr>
      <xdr:spPr>
        <a:xfrm>
          <a:off x="2737557" y="1071279"/>
          <a:ext cx="5352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8751795-59BC-496E-A4C3-76546116CCDE}" type="TxLink">
            <a:rPr lang="en-US" sz="1100" b="1" i="0" u="none" strike="noStrike">
              <a:solidFill>
                <a:srgbClr val="0070C0"/>
              </a:solidFill>
              <a:latin typeface="Calibri"/>
              <a:cs typeface="Calibri"/>
            </a:rPr>
            <a:pPr/>
            <a:t>83,8%</a:t>
          </a:fld>
          <a:endParaRPr lang="es-VE" sz="1100" b="1">
            <a:solidFill>
              <a:srgbClr val="0070C0"/>
            </a:solidFill>
          </a:endParaRPr>
        </a:p>
      </xdr:txBody>
    </xdr:sp>
    <xdr:clientData/>
  </xdr:oneCellAnchor>
  <xdr:oneCellAnchor>
    <xdr:from>
      <xdr:col>3</xdr:col>
      <xdr:colOff>716794</xdr:colOff>
      <xdr:row>43</xdr:row>
      <xdr:rowOff>179323</xdr:rowOff>
    </xdr:from>
    <xdr:ext cx="535211" cy="264560"/>
    <xdr:sp macro="" textlink="$U$5">
      <xdr:nvSpPr>
        <xdr:cNvPr id="7" name="CuadroTexto 6">
          <a:extLst>
            <a:ext uri="{FF2B5EF4-FFF2-40B4-BE49-F238E27FC236}">
              <a16:creationId xmlns:a16="http://schemas.microsoft.com/office/drawing/2014/main" id="{8056DFD1-C42C-4E07-89C8-A80F62CB2D3C}"/>
            </a:ext>
          </a:extLst>
        </xdr:cNvPr>
        <xdr:cNvSpPr txBox="1"/>
      </xdr:nvSpPr>
      <xdr:spPr>
        <a:xfrm>
          <a:off x="2691067" y="8041778"/>
          <a:ext cx="5352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8751795-59BC-496E-A4C3-76546116CCDE}" type="TxLink">
            <a:rPr lang="en-US" sz="1100" b="1" i="0" u="none" strike="noStrike">
              <a:solidFill>
                <a:schemeClr val="accent1"/>
              </a:solidFill>
              <a:latin typeface="Calibri"/>
              <a:cs typeface="Calibri"/>
            </a:rPr>
            <a:pPr/>
            <a:t>83,8%</a:t>
          </a:fld>
          <a:endParaRPr lang="es-VE" sz="1100" b="1">
            <a:solidFill>
              <a:schemeClr val="accent1"/>
            </a:solidFill>
          </a:endParaRPr>
        </a:p>
      </xdr:txBody>
    </xdr:sp>
    <xdr:clientData/>
  </xdr:oneCellAnchor>
  <xdr:twoCellAnchor>
    <xdr:from>
      <xdr:col>5</xdr:col>
      <xdr:colOff>1</xdr:colOff>
      <xdr:row>41</xdr:row>
      <xdr:rowOff>0</xdr:rowOff>
    </xdr:from>
    <xdr:to>
      <xdr:col>13</xdr:col>
      <xdr:colOff>1</xdr:colOff>
      <xdr:row>59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FA0D50D-578D-405B-ACDA-BA9AC2B0F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</xdr:row>
      <xdr:rowOff>0</xdr:rowOff>
    </xdr:from>
    <xdr:to>
      <xdr:col>13</xdr:col>
      <xdr:colOff>3809</xdr:colOff>
      <xdr:row>19</xdr:row>
      <xdr:rowOff>180974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57EE57D-BF82-4214-BED5-D4A5D8B29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651958</xdr:colOff>
      <xdr:row>2</xdr:row>
      <xdr:rowOff>164207</xdr:rowOff>
    </xdr:from>
    <xdr:to>
      <xdr:col>10</xdr:col>
      <xdr:colOff>651958</xdr:colOff>
      <xdr:row>15</xdr:row>
      <xdr:rowOff>158957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EBED86-4102-4C1A-8C81-85553A99A964}"/>
            </a:ext>
          </a:extLst>
        </xdr:cNvPr>
        <xdr:cNvCxnSpPr/>
      </xdr:nvCxnSpPr>
      <xdr:spPr>
        <a:xfrm>
          <a:off x="6375617" y="553866"/>
          <a:ext cx="0" cy="2471250"/>
        </a:xfrm>
        <a:prstGeom prst="line">
          <a:avLst/>
        </a:prstGeom>
        <a:ln w="9525">
          <a:solidFill>
            <a:srgbClr val="C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657537</xdr:colOff>
      <xdr:row>41</xdr:row>
      <xdr:rowOff>155831</xdr:rowOff>
    </xdr:from>
    <xdr:to>
      <xdr:col>10</xdr:col>
      <xdr:colOff>657537</xdr:colOff>
      <xdr:row>55</xdr:row>
      <xdr:rowOff>174718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845D4539-AA53-4C65-B3F9-F79F893A6E13}"/>
            </a:ext>
          </a:extLst>
        </xdr:cNvPr>
        <xdr:cNvCxnSpPr/>
      </xdr:nvCxnSpPr>
      <xdr:spPr>
        <a:xfrm>
          <a:off x="6518587" y="7737731"/>
          <a:ext cx="0" cy="2596987"/>
        </a:xfrm>
        <a:prstGeom prst="line">
          <a:avLst/>
        </a:prstGeom>
        <a:ln w="19050">
          <a:solidFill>
            <a:srgbClr val="C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107155</xdr:colOff>
      <xdr:row>4</xdr:row>
      <xdr:rowOff>23811</xdr:rowOff>
    </xdr:from>
    <xdr:to>
      <xdr:col>4</xdr:col>
      <xdr:colOff>142875</xdr:colOff>
      <xdr:row>15</xdr:row>
      <xdr:rowOff>120657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A5B7F9-DD2E-4683-857A-DC750BD46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83343</xdr:colOff>
      <xdr:row>42</xdr:row>
      <xdr:rowOff>47625</xdr:rowOff>
    </xdr:from>
    <xdr:to>
      <xdr:col>4</xdr:col>
      <xdr:colOff>119062</xdr:colOff>
      <xdr:row>54</xdr:row>
      <xdr:rowOff>144471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820B14-CBAC-4CFE-96C5-39F532D70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113515</xdr:colOff>
      <xdr:row>3</xdr:row>
      <xdr:rowOff>115420</xdr:rowOff>
    </xdr:from>
    <xdr:ext cx="535211" cy="264560"/>
    <xdr:sp macro="" textlink="$Y$5">
      <xdr:nvSpPr>
        <xdr:cNvPr id="3" name="CuadroTexto 2">
          <a:extLst>
            <a:ext uri="{FF2B5EF4-FFF2-40B4-BE49-F238E27FC236}">
              <a16:creationId xmlns:a16="http://schemas.microsoft.com/office/drawing/2014/main" id="{F414CEF0-7EB1-471B-B5F0-AEEC7284142A}"/>
            </a:ext>
          </a:extLst>
        </xdr:cNvPr>
        <xdr:cNvSpPr txBox="1"/>
      </xdr:nvSpPr>
      <xdr:spPr>
        <a:xfrm>
          <a:off x="1961365" y="667870"/>
          <a:ext cx="5352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2BF3E8A-18CB-46B5-A3A7-0D598DF3B5BF}" type="TxLink">
            <a:rPr lang="en-US" sz="1100" b="1" i="0" u="none" strike="noStrike">
              <a:solidFill>
                <a:srgbClr val="0070C0"/>
              </a:solidFill>
              <a:latin typeface="Calibri"/>
              <a:cs typeface="Calibri"/>
            </a:rPr>
            <a:pPr/>
            <a:t>60,1%</a:t>
          </a:fld>
          <a:endParaRPr lang="es-VE" sz="1100" b="1">
            <a:solidFill>
              <a:srgbClr val="0070C0"/>
            </a:solidFill>
          </a:endParaRPr>
        </a:p>
      </xdr:txBody>
    </xdr:sp>
    <xdr:clientData/>
  </xdr:oneCellAnchor>
  <xdr:oneCellAnchor>
    <xdr:from>
      <xdr:col>3</xdr:col>
      <xdr:colOff>99434</xdr:colOff>
      <xdr:row>42</xdr:row>
      <xdr:rowOff>1792</xdr:rowOff>
    </xdr:from>
    <xdr:ext cx="535211" cy="264560"/>
    <xdr:sp macro="" textlink="$Y$5">
      <xdr:nvSpPr>
        <xdr:cNvPr id="7" name="CuadroTexto 6">
          <a:extLst>
            <a:ext uri="{FF2B5EF4-FFF2-40B4-BE49-F238E27FC236}">
              <a16:creationId xmlns:a16="http://schemas.microsoft.com/office/drawing/2014/main" id="{E8140BCF-2BB6-4ECF-856E-45761DE29342}"/>
            </a:ext>
          </a:extLst>
        </xdr:cNvPr>
        <xdr:cNvSpPr txBox="1"/>
      </xdr:nvSpPr>
      <xdr:spPr>
        <a:xfrm>
          <a:off x="1947284" y="7761492"/>
          <a:ext cx="5352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2BF3E8A-18CB-46B5-A3A7-0D598DF3B5BF}" type="TxLink">
            <a:rPr lang="en-US" sz="1100" b="1" i="0" u="none" strike="noStrike">
              <a:solidFill>
                <a:srgbClr val="0070C0"/>
              </a:solidFill>
              <a:latin typeface="Calibri"/>
              <a:cs typeface="Calibri"/>
            </a:rPr>
            <a:pPr/>
            <a:t>60,1%</a:t>
          </a:fld>
          <a:endParaRPr lang="es-VE" sz="1100" b="1">
            <a:solidFill>
              <a:srgbClr val="0070C0"/>
            </a:solidFill>
          </a:endParaRPr>
        </a:p>
      </xdr:txBody>
    </xdr:sp>
    <xdr:clientData/>
  </xdr:oneCellAnchor>
  <xdr:twoCellAnchor>
    <xdr:from>
      <xdr:col>5</xdr:col>
      <xdr:colOff>0</xdr:colOff>
      <xdr:row>41</xdr:row>
      <xdr:rowOff>0</xdr:rowOff>
    </xdr:from>
    <xdr:to>
      <xdr:col>17</xdr:col>
      <xdr:colOff>0</xdr:colOff>
      <xdr:row>58</xdr:row>
      <xdr:rowOff>174782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A5AFB32-F2F2-464F-9907-1BA444EA4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AF83F16-A2BA-461E-B0D9-51E746396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30209</xdr:colOff>
      <xdr:row>2</xdr:row>
      <xdr:rowOff>137020</xdr:rowOff>
    </xdr:from>
    <xdr:to>
      <xdr:col>14</xdr:col>
      <xdr:colOff>30209</xdr:colOff>
      <xdr:row>15</xdr:row>
      <xdr:rowOff>151138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809F6E29-4B1A-4955-BB60-9B46A3437E60}"/>
            </a:ext>
          </a:extLst>
        </xdr:cNvPr>
        <xdr:cNvCxnSpPr/>
      </xdr:nvCxnSpPr>
      <xdr:spPr>
        <a:xfrm>
          <a:off x="7154909" y="508495"/>
          <a:ext cx="0" cy="2471568"/>
        </a:xfrm>
        <a:prstGeom prst="line">
          <a:avLst/>
        </a:prstGeom>
        <a:ln w="12700">
          <a:solidFill>
            <a:srgbClr val="C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24029</xdr:colOff>
      <xdr:row>41</xdr:row>
      <xdr:rowOff>97480</xdr:rowOff>
    </xdr:from>
    <xdr:to>
      <xdr:col>14</xdr:col>
      <xdr:colOff>24029</xdr:colOff>
      <xdr:row>55</xdr:row>
      <xdr:rowOff>83830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DBAE791-D78A-4FE9-8DD6-EF11DD84476A}"/>
            </a:ext>
          </a:extLst>
        </xdr:cNvPr>
        <xdr:cNvCxnSpPr/>
      </xdr:nvCxnSpPr>
      <xdr:spPr>
        <a:xfrm>
          <a:off x="7308749" y="7626040"/>
          <a:ext cx="0" cy="2546670"/>
        </a:xfrm>
        <a:prstGeom prst="line">
          <a:avLst/>
        </a:prstGeom>
        <a:ln w="19050">
          <a:solidFill>
            <a:srgbClr val="C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Pedro Sosa" refreshedDate="46204.685357407405" createdVersion="3" refreshedVersion="7" minRefreshableVersion="3" recordCount="0" tupleCache="1" xr:uid="{46154A13-4573-437C-965C-498471BBFB2A}">
  <cacheSource type="external" connectionId="8"/>
  <cacheFields count="5">
    <cacheField name="[Calendario 1].[Calendario].[Calendario]" caption="Calendario" numFmtId="0" hierarchy="9" level="1">
      <sharedItems count="1">
        <s v="[Calendario 1].[Calendario].&amp;[2026-06-29T00:00:00]" c="29/06/2026"/>
      </sharedItems>
    </cacheField>
    <cacheField name="[EDTV_PQ].[N2].[N2]" caption="N2" numFmtId="0" hierarchy="19" level="1">
      <sharedItems count="2">
        <s v="[EDTV_PQ].[N2].&amp;[Mantenimiento del Generador de Vapor (Caldera) y Equipos Auxiliares]" c="Mantenimiento del Generador de Vapor (Caldera) y Equipos Auxiliares"/>
        <s v="[EDTV_PQ].[N2].&amp;[Mantenimiento del Turbo Generador y Equipos Auxiliares]" c="Mantenimiento del Turbo Generador y Equipos Auxiliares"/>
      </sharedItems>
    </cacheField>
    <cacheField name="[EDTN_PQ].[N3].[N3]" caption="N3" numFmtId="0" hierarchy="13" level="1">
      <sharedItems count="21">
        <s v="[EDTN_PQ].[N3].&amp;[2.11 Inspección y pruebas eléctricas del generador]" c="2.11 Inspección y pruebas eléctricas del generador"/>
        <s v="[EDTN_PQ].[N3].&amp;[2.15 Desarmado de componentes y mantenimientos]" c="2.15 Desarmado de componentes y mantenimientos"/>
        <s v="[EDTN_PQ].[N3].&amp;[2.4 Reparación de componentes en talleres]" c="2.4 Reparación de componentes en talleres"/>
        <s v="[EDTN_PQ].[N3].&amp;[1.6 Reemplazo de tuberías ácido y soda]" c="1.6 Reemplazo de tuberías ácido y soda"/>
        <s v="[EDTN_PQ].[N3].&amp;[2.9 Limpieza del sistema de lubricación y control]" c="2.9 Limpieza del sistema de lubricación y control"/>
        <s v="[EDTN_PQ].[N3].&amp;[2.6 Pruebas de ensayos no destructivos]" c="2.6 Pruebas de ensayos no destructivos"/>
        <s v="[EDTN_PQ].[N3].&amp;[2.7 Alineación de la turbina]" c="2.7 Alineación de la turbina"/>
        <s v="[EDTN_PQ].[N3].&amp;[1.9 Matenimiento de equipos y sistema de instrumentación]" c="1.9 Matenimiento de equipos y sistema de instrumentación"/>
        <s v="[EDTN_PQ].[N3].&amp;[0.0 Actividades preliminares]" c="0.0 Actividades preliminares"/>
        <s v="[EDTN_PQ].[N3].&amp;[1.2 Reemplazo de tubos de gas]" c="1.2 Reemplazo de tubos de gas"/>
        <s v="[EDTN_PQ].[N3].&amp;[2.16 Armado y ajustes]" c="2.16 Armado y ajustes"/>
        <s v="[EDTN_PQ].[N3].&amp;[2.10 Aislamiento térmico]" c="2.10 Aislamiento térmico"/>
        <s v="[EDTN_PQ].[N3].&amp;[2.14 Mantenimiento de equipos auxiliares]" c="2.14 Mantenimiento de equipos auxiliares"/>
        <s v="[EDTN_PQ].[N3].&amp;[2.13 Mantenimiento de válvulas principales]" c="2.13 Mantenimiento de válvulas principales"/>
        <s v="[EDTN_PQ].[N3].&amp;[2.12 Preparación de superficie metálica y cubrimiento]" c="2.12 Preparación de superficie metálica y cubrimiento"/>
        <s v="[EDTN_PQ].[N3].&amp;[1.1 Reparación de expansiones metálicas]" c="1.1 Reparación de expansiones metálicas"/>
        <s v="[EDTN_PQ].[N3].&amp;[1.10 Mantenimiento compresores de aire]" c="1.10 Mantenimiento compresores de aire"/>
        <s v="[EDTN_PQ].[N3].&amp;[1.3 Reparación envoltura metálica]" c="1.3 Reparación envoltura metálica"/>
        <s v="[EDTN_PQ].[N3].&amp;[1.5 Reparación ductos de aire y gas]" c="1.5 Reparación ductos de aire y gas"/>
        <s v="[EDTN_PQ].[N3].&amp;[1.7 Mantenimiento en los equipos de balance BOP y equipos]" c="1.7 Mantenimiento en los equipos de balance BOP y equipos"/>
        <s v="[EDTN_PQ].[N3].&amp;[1.4 Reparación de cámaras muertas]" c="1.4 Reparación de cámaras muertas"/>
      </sharedItems>
    </cacheField>
    <cacheField name="[EDTN_PQ].[N2].[N2]" caption="N2" numFmtId="0" hierarchy="12" level="1">
      <sharedItems count="2">
        <s v="[EDTN_PQ].[N2].&amp;[Mantenimiento del Generador de Vapor (Caldera) y Equipos Auxiliares]" c="Mantenimiento del Generador de Vapor (Caldera) y Equipos Auxiliares"/>
        <s v="[EDTN_PQ].[N2].&amp;[Mantenimiento del Turbo Generador y Equipos Auxiliares]" c="Mantenimiento del Turbo Generador y Equipos Auxiliares"/>
      </sharedItems>
    </cacheField>
    <cacheField name="[Measures].[MeasuresLevel]" caption="MeasuresLevel" numFmtId="0" hierarchy="25">
      <sharedItems count="10">
        <s v="[Measures].[Avance Real base 100 Acumulado Semanal]" c="Avance Real base 100 Acumulado Semanal"/>
        <s v="[Measures].[Avance Real Periodo (2 sem)]" c="Avance Real Periodo (2 sem)"/>
        <s v="[Measures].[Aporte a la Desviación]" c="Aporte a la Desviación"/>
        <s v="[Measures].[Avance Plan base 100 Acumulado Semanal]" c="Avance Plan base 100 Acumulado Semanal"/>
        <s v="[Measures].[Aporte a la Desviación B39]" c="Aporte a la Desviación B39"/>
        <s v="[Measures].[Avance Real B39 Periodo (2 sem)]" c="Avance Real B39 Periodo (2 sem)"/>
        <s v="[Measures].[Avance Real B39 Periodo (1 mes)]" c="Avance Real B39 Periodo (1 mes)"/>
        <s v="[Measures].[Avance Real B39 base 100 Acumulado Semanal]" c="Avance Real B39 base 100 Acumulado Semanal"/>
        <s v="[Measures].[Avance Plan B39 base 100 Acumulado Semanal]" c="Avance Plan B39 base 100 Acumulado Semanal"/>
        <s v="[Measures].[Desviación B39]" c="Desviación B39"/>
      </sharedItems>
    </cacheField>
  </cacheFields>
  <cacheHierarchies count="108">
    <cacheHierarchy uniqueName="[AR39_PQ].[N1]" caption="N1" attribute="1" defaultMemberUniqueName="[AR39_PQ].[N1].[All]" allUniqueName="[AR39_PQ].[N1].[All]" dimensionUniqueName="[AR39_PQ]" displayFolder="" count="2" memberValueDatatype="130" unbalanced="0"/>
    <cacheHierarchy uniqueName="[AR39_PQ].[N2]" caption="N2" attribute="1" defaultMemberUniqueName="[AR39_PQ].[N2].[All]" allUniqueName="[AR39_PQ].[N2].[All]" dimensionUniqueName="[AR39_PQ]" displayFolder="" count="2" memberValueDatatype="130" unbalanced="0"/>
    <cacheHierarchy uniqueName="[AR39_PQ].[N3]" caption="N3" attribute="1" defaultMemberUniqueName="[AR39_PQ].[N3].[All]" allUniqueName="[AR39_PQ].[N3].[All]" dimensionUniqueName="[AR39_PQ]" displayFolder="" count="2" memberValueDatatype="130" unbalanced="0"/>
    <cacheHierarchy uniqueName="[AR39_PQ].[N4]" caption="N4" attribute="1" defaultMemberUniqueName="[AR39_PQ].[N4].[All]" allUniqueName="[AR39_PQ].[N4].[All]" dimensionUniqueName="[AR39_PQ]" displayFolder="" count="2" memberValueDatatype="130" unbalanced="0"/>
    <cacheHierarchy uniqueName="[AR39_PQ].[Nuevos Pesos]" caption="Nuevos Pesos" attribute="1" defaultMemberUniqueName="[AR39_PQ].[Nuevos Pesos].[All]" allUniqueName="[AR39_PQ].[Nuevos Pesos].[All]" dimensionUniqueName="[AR39_PQ]" displayFolder="" count="2" memberValueDatatype="5" unbalanced="0"/>
    <cacheHierarchy uniqueName="[AR39_PQ].[Fecha]" caption="Fecha" attribute="1" time="1" defaultMemberUniqueName="[AR39_PQ].[Fecha].[All]" allUniqueName="[AR39_PQ].[Fecha].[All]" dimensionUniqueName="[AR39_PQ]" displayFolder="" count="2" memberValueDatatype="7" unbalanced="0"/>
    <cacheHierarchy uniqueName="[AR39_PQ].[AvanceBase39]" caption="AvanceBase39" attribute="1" defaultMemberUniqueName="[AR39_PQ].[AvanceBase39].[All]" allUniqueName="[AR39_PQ].[AvanceBase39].[All]" dimensionUniqueName="[AR39_PQ]" displayFolder="" count="2" memberValueDatatype="5" unbalanced="0"/>
    <cacheHierarchy uniqueName="[AR39_PQ].[N1.N2.N3.N4]" caption="N1.N2.N3.N4" attribute="1" defaultMemberUniqueName="[AR39_PQ].[N1.N2.N3.N4].[All]" allUniqueName="[AR39_PQ].[N1.N2.N3.N4].[All]" dimensionUniqueName="[AR39_PQ]" displayFolder="" count="2" memberValueDatatype="130" unbalanced="0"/>
    <cacheHierarchy uniqueName="[AR39_PQ].[Aporte Nuevo]" caption="Aporte Nuevo" attribute="1" defaultMemberUniqueName="[AR39_PQ].[Aporte Nuevo].[All]" allUniqueName="[AR39_PQ].[Aporte Nuevo].[All]" dimensionUniqueName="[AR39_PQ]" displayFolder="" count="2" memberValueDatatype="5" unbalanced="0"/>
    <cacheHierarchy uniqueName="[Calendario 1].[Calendario]" caption="Calendario" attribute="1" time="1" defaultMemberUniqueName="[Calendario 1].[Calendario].[All]" allUniqueName="[Calendario 1].[Calendario].[All]" dimensionUniqueName="[Calendario 1]" displayFolder="" count="2" memberValueDatatype="7" unbalanced="0">
      <fieldsUsage count="2">
        <fieldUsage x="-1"/>
        <fieldUsage x="0"/>
      </fieldsUsage>
    </cacheHierarchy>
    <cacheHierarchy uniqueName="[Calendario 1].[Columna calculada 1]" caption="Columna calculada 1" attribute="1" defaultMemberUniqueName="[Calendario 1].[Columna calculada 1].[All]" allUniqueName="[Calendario 1].[Columna calculada 1].[All]" dimensionUniqueName="[Calendario 1]" displayFolder="" count="2" memberValueDatatype="130" unbalanced="0"/>
    <cacheHierarchy uniqueName="[EDTN_PQ].[N1]" caption="N1" attribute="1" defaultMemberUniqueName="[EDTN_PQ].[N1].[All]" allUniqueName="[EDTN_PQ].[N1].[All]" dimensionUniqueName="[EDTN_PQ]" displayFolder="" count="2" memberValueDatatype="130" unbalanced="0"/>
    <cacheHierarchy uniqueName="[EDTN_PQ].[N2]" caption="N2" attribute="1" defaultMemberUniqueName="[EDTN_PQ].[N2].[All]" allUniqueName="[EDTN_PQ].[N2].[All]" dimensionUniqueName="[EDTN_PQ]" displayFolder="" count="2" memberValueDatatype="130" unbalanced="0">
      <fieldsUsage count="2">
        <fieldUsage x="-1"/>
        <fieldUsage x="3"/>
      </fieldsUsage>
    </cacheHierarchy>
    <cacheHierarchy uniqueName="[EDTN_PQ].[N3]" caption="N3" attribute="1" defaultMemberUniqueName="[EDTN_PQ].[N3].[All]" allUniqueName="[EDTN_PQ].[N3].[All]" dimensionUniqueName="[EDTN_PQ]" displayFolder="" count="2" memberValueDatatype="130" unbalanced="0">
      <fieldsUsage count="2">
        <fieldUsage x="-1"/>
        <fieldUsage x="2"/>
      </fieldsUsage>
    </cacheHierarchy>
    <cacheHierarchy uniqueName="[EDTN_PQ].[N4]" caption="N4" attribute="1" defaultMemberUniqueName="[EDTN_PQ].[N4].[All]" allUniqueName="[EDTN_PQ].[N4].[All]" dimensionUniqueName="[EDTN_PQ]" displayFolder="" count="2" memberValueDatatype="130" unbalanced="0"/>
    <cacheHierarchy uniqueName="[EDTN_PQ].[Nuevos Pesos]" caption="Nuevos Pesos" attribute="1" defaultMemberUniqueName="[EDTN_PQ].[Nuevos Pesos].[All]" allUniqueName="[EDTN_PQ].[Nuevos Pesos].[All]" dimensionUniqueName="[EDTN_PQ]" displayFolder="" count="2" memberValueDatatype="5" unbalanced="0"/>
    <cacheHierarchy uniqueName="[EDTN_PQ].[Aporte Nuevo]" caption="Aporte Nuevo" attribute="1" defaultMemberUniqueName="[EDTN_PQ].[Aporte Nuevo].[All]" allUniqueName="[EDTN_PQ].[Aporte Nuevo].[All]" dimensionUniqueName="[EDTN_PQ]" displayFolder="" count="2" memberValueDatatype="5" unbalanced="0"/>
    <cacheHierarchy uniqueName="[EDTN_PQ].[N1.N2.N3.N4]" caption="N1.N2.N3.N4" attribute="1" defaultMemberUniqueName="[EDTN_PQ].[N1.N2.N3.N4].[All]" allUniqueName="[EDTN_PQ].[N1.N2.N3.N4].[All]" dimensionUniqueName="[EDTN_PQ]" displayFolder="" count="2" memberValueDatatype="130" unbalanced="0"/>
    <cacheHierarchy uniqueName="[EDTV_PQ].[N1]" caption="N1" attribute="1" defaultMemberUniqueName="[EDTV_PQ].[N1].[All]" allUniqueName="[EDTV_PQ].[N1].[All]" dimensionUniqueName="[EDTV_PQ]" displayFolder="" count="2" memberValueDatatype="130" unbalanced="0"/>
    <cacheHierarchy uniqueName="[EDTV_PQ].[N2]" caption="N2" attribute="1" defaultMemberUniqueName="[EDTV_PQ].[N2].[All]" allUniqueName="[EDTV_PQ].[N2].[All]" dimensionUniqueName="[EDTV_PQ]" displayFolder="" count="2" memberValueDatatype="130" unbalanced="0">
      <fieldsUsage count="2">
        <fieldUsage x="-1"/>
        <fieldUsage x="1"/>
      </fieldsUsage>
    </cacheHierarchy>
    <cacheHierarchy uniqueName="[EDTV_PQ].[N3]" caption="N3" attribute="1" defaultMemberUniqueName="[EDTV_PQ].[N3].[All]" allUniqueName="[EDTV_PQ].[N3].[All]" dimensionUniqueName="[EDTV_PQ]" displayFolder="" count="2" memberValueDatatype="130" unbalanced="0"/>
    <cacheHierarchy uniqueName="[EDTV_PQ].[N4]" caption="N4" attribute="1" defaultMemberUniqueName="[EDTV_PQ].[N4].[All]" allUniqueName="[EDTV_PQ].[N4].[All]" dimensionUniqueName="[EDTV_PQ]" displayFolder="" count="2" memberValueDatatype="130" unbalanced="0"/>
    <cacheHierarchy uniqueName="[EDTV_PQ].[Pesos]" caption="Pesos" attribute="1" defaultMemberUniqueName="[EDTV_PQ].[Pesos].[All]" allUniqueName="[EDTV_PQ].[Pesos].[All]" dimensionUniqueName="[EDTV_PQ]" displayFolder="" count="2" memberValueDatatype="5" unbalanced="0"/>
    <cacheHierarchy uniqueName="[EDTV_PQ].[Aporte]" caption="Aporte" attribute="1" defaultMemberUniqueName="[EDTV_PQ].[Aporte].[All]" allUniqueName="[EDTV_PQ].[Aporte].[All]" dimensionUniqueName="[EDTV_PQ]" displayFolder="" count="2" memberValueDatatype="5" unbalanced="0"/>
    <cacheHierarchy uniqueName="[EDTV_PQ].[N1.N2.N3.N4]" caption="N1.N2.N3.N4" attribute="1" defaultMemberUniqueName="[EDTV_PQ].[N1.N2.N3.N4].[All]" allUniqueName="[EDTV_PQ].[N1.N2.N3.N4].[All]" dimensionUniqueName="[EDTV_PQ]" displayFolder="" count="2" memberValueDatatype="130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4"/>
      </fieldsUsage>
    </cacheHierarchy>
    <cacheHierarchy uniqueName="[PB100_PQ].[N1]" caption="N1" attribute="1" defaultMemberUniqueName="[PB100_PQ].[N1].[All]" allUniqueName="[PB100_PQ].[N1].[All]" dimensionUniqueName="[PB100_PQ]" displayFolder="" count="2" memberValueDatatype="130" unbalanced="0"/>
    <cacheHierarchy uniqueName="[PB100_PQ].[N2]" caption="N2" attribute="1" defaultMemberUniqueName="[PB100_PQ].[N2].[All]" allUniqueName="[PB100_PQ].[N2].[All]" dimensionUniqueName="[PB100_PQ]" displayFolder="" count="2" memberValueDatatype="130" unbalanced="0"/>
    <cacheHierarchy uniqueName="[PB100_PQ].[N3]" caption="N3" attribute="1" defaultMemberUniqueName="[PB100_PQ].[N3].[All]" allUniqueName="[PB100_PQ].[N3].[All]" dimensionUniqueName="[PB100_PQ]" displayFolder="" count="2" memberValueDatatype="130" unbalanced="0"/>
    <cacheHierarchy uniqueName="[PB100_PQ].[N4]" caption="N4" attribute="1" defaultMemberUniqueName="[PB100_PQ].[N4].[All]" allUniqueName="[PB100_PQ].[N4].[All]" dimensionUniqueName="[PB100_PQ]" displayFolder="" count="2" memberValueDatatype="130" unbalanced="0"/>
    <cacheHierarchy uniqueName="[PB100_PQ].[Pesos]" caption="Pesos" attribute="1" defaultMemberUniqueName="[PB100_PQ].[Pesos].[All]" allUniqueName="[PB100_PQ].[Pesos].[All]" dimensionUniqueName="[PB100_PQ]" displayFolder="" count="2" memberValueDatatype="5" unbalanced="0"/>
    <cacheHierarchy uniqueName="[PB100_PQ].[Atributo]" caption="Atributo" attribute="1" time="1" defaultMemberUniqueName="[PB100_PQ].[Atributo].[All]" allUniqueName="[PB100_PQ].[Atributo].[All]" dimensionUniqueName="[PB100_PQ]" displayFolder="" count="2" memberValueDatatype="7" unbalanced="0"/>
    <cacheHierarchy uniqueName="[PB100_PQ].[Valor]" caption="Valor" attribute="1" defaultMemberUniqueName="[PB100_PQ].[Valor].[All]" allUniqueName="[PB100_PQ].[Valor].[All]" dimensionUniqueName="[PB100_PQ]" displayFolder="" count="2" memberValueDatatype="5" unbalanced="0"/>
    <cacheHierarchy uniqueName="[PB100_PQ].[N1.N2.N3.N4]" caption="N1.N2.N3.N4" attribute="1" defaultMemberUniqueName="[PB100_PQ].[N1.N2.N3.N4].[All]" allUniqueName="[PB100_PQ].[N1.N2.N3.N4].[All]" dimensionUniqueName="[PB100_PQ]" displayFolder="" count="2" memberValueDatatype="130" unbalanced="0"/>
    <cacheHierarchy uniqueName="[PB100_PQ].[Aportes Viejos]" caption="Aportes Viejos" attribute="1" defaultMemberUniqueName="[PB100_PQ].[Aportes Viejos].[All]" allUniqueName="[PB100_PQ].[Aportes Viejos].[All]" dimensionUniqueName="[PB100_PQ]" displayFolder="" count="2" memberValueDatatype="5" unbalanced="0"/>
    <cacheHierarchy uniqueName="[PB39_PQ].[N1]" caption="N1" attribute="1" defaultMemberUniqueName="[PB39_PQ].[N1].[All]" allUniqueName="[PB39_PQ].[N1].[All]" dimensionUniqueName="[PB39_PQ]" displayFolder="" count="2" memberValueDatatype="130" unbalanced="0"/>
    <cacheHierarchy uniqueName="[PB39_PQ].[N2]" caption="N2" attribute="1" defaultMemberUniqueName="[PB39_PQ].[N2].[All]" allUniqueName="[PB39_PQ].[N2].[All]" dimensionUniqueName="[PB39_PQ]" displayFolder="" count="2" memberValueDatatype="130" unbalanced="0"/>
    <cacheHierarchy uniqueName="[PB39_PQ].[N3]" caption="N3" attribute="1" defaultMemberUniqueName="[PB39_PQ].[N3].[All]" allUniqueName="[PB39_PQ].[N3].[All]" dimensionUniqueName="[PB39_PQ]" displayFolder="" count="2" memberValueDatatype="130" unbalanced="0"/>
    <cacheHierarchy uniqueName="[PB39_PQ].[N4]" caption="N4" attribute="1" defaultMemberUniqueName="[PB39_PQ].[N4].[All]" allUniqueName="[PB39_PQ].[N4].[All]" dimensionUniqueName="[PB39_PQ]" displayFolder="" count="2" memberValueDatatype="130" unbalanced="0"/>
    <cacheHierarchy uniqueName="[PB39_PQ].[Nuevos Pesos]" caption="Nuevos Pesos" attribute="1" defaultMemberUniqueName="[PB39_PQ].[Nuevos Pesos].[All]" allUniqueName="[PB39_PQ].[Nuevos Pesos].[All]" dimensionUniqueName="[PB39_PQ]" displayFolder="" count="2" memberValueDatatype="5" unbalanced="0"/>
    <cacheHierarchy uniqueName="[PB39_PQ].[Fecha]" caption="Fecha" attribute="1" time="1" defaultMemberUniqueName="[PB39_PQ].[Fecha].[All]" allUniqueName="[PB39_PQ].[Fecha].[All]" dimensionUniqueName="[PB39_PQ]" displayFolder="" count="2" memberValueDatatype="7" unbalanced="0"/>
    <cacheHierarchy uniqueName="[PB39_PQ].[PlanBase39]" caption="PlanBase39" attribute="1" defaultMemberUniqueName="[PB39_PQ].[PlanBase39].[All]" allUniqueName="[PB39_PQ].[PlanBase39].[All]" dimensionUniqueName="[PB39_PQ]" displayFolder="" count="2" memberValueDatatype="5" unbalanced="0"/>
    <cacheHierarchy uniqueName="[PB39_PQ].[N1.N2.N3.N4]" caption="N1.N2.N3.N4" attribute="1" defaultMemberUniqueName="[PB39_PQ].[N1.N2.N3.N4].[All]" allUniqueName="[PB39_PQ].[N1.N2.N3.N4].[All]" dimensionUniqueName="[PB39_PQ]" displayFolder="" count="2" memberValueDatatype="130" unbalanced="0"/>
    <cacheHierarchy uniqueName="[PB39_PQ].[Aportes Nuevo]" caption="Aportes Nuevo" attribute="1" defaultMemberUniqueName="[PB39_PQ].[Aportes Nuevo].[All]" allUniqueName="[PB39_PQ].[Aportes Nuevo].[All]" dimensionUniqueName="[PB39_PQ]" displayFolder="" count="2" memberValueDatatype="5" unbalanced="0"/>
    <cacheHierarchy uniqueName="[RA100_PQ].[N1]" caption="N1" attribute="1" defaultMemberUniqueName="[RA100_PQ].[N1].[All]" allUniqueName="[RA100_PQ].[N1].[All]" dimensionUniqueName="[RA100_PQ]" displayFolder="" count="2" memberValueDatatype="130" unbalanced="0"/>
    <cacheHierarchy uniqueName="[RA100_PQ].[N2]" caption="N2" attribute="1" defaultMemberUniqueName="[RA100_PQ].[N2].[All]" allUniqueName="[RA100_PQ].[N2].[All]" dimensionUniqueName="[RA100_PQ]" displayFolder="" count="2" memberValueDatatype="130" unbalanced="0"/>
    <cacheHierarchy uniqueName="[RA100_PQ].[N3]" caption="N3" attribute="1" defaultMemberUniqueName="[RA100_PQ].[N3].[All]" allUniqueName="[RA100_PQ].[N3].[All]" dimensionUniqueName="[RA100_PQ]" displayFolder="" count="2" memberValueDatatype="130" unbalanced="0"/>
    <cacheHierarchy uniqueName="[RA100_PQ].[N4]" caption="N4" attribute="1" defaultMemberUniqueName="[RA100_PQ].[N4].[All]" allUniqueName="[RA100_PQ].[N4].[All]" dimensionUniqueName="[RA100_PQ]" displayFolder="" count="2" memberValueDatatype="130" unbalanced="0"/>
    <cacheHierarchy uniqueName="[RA100_PQ].[Pesos]" caption="Pesos" attribute="1" defaultMemberUniqueName="[RA100_PQ].[Pesos].[All]" allUniqueName="[RA100_PQ].[Pesos].[All]" dimensionUniqueName="[RA100_PQ]" displayFolder="" count="2" memberValueDatatype="5" unbalanced="0"/>
    <cacheHierarchy uniqueName="[RA100_PQ].[Fecha]" caption="Fecha" attribute="1" time="1" defaultMemberUniqueName="[RA100_PQ].[Fecha].[All]" allUniqueName="[RA100_PQ].[Fecha].[All]" dimensionUniqueName="[RA100_PQ]" displayFolder="" count="2" memberValueDatatype="7" unbalanced="0"/>
    <cacheHierarchy uniqueName="[RA100_PQ].[RA100]" caption="RA100" attribute="1" defaultMemberUniqueName="[RA100_PQ].[RA100].[All]" allUniqueName="[RA100_PQ].[RA100].[All]" dimensionUniqueName="[RA100_PQ]" displayFolder="" count="2" memberValueDatatype="5" unbalanced="0"/>
    <cacheHierarchy uniqueName="[RA100_PQ].[N1.N2.N3.N4]" caption="N1.N2.N3.N4" attribute="1" defaultMemberUniqueName="[RA100_PQ].[N1.N2.N3.N4].[All]" allUniqueName="[RA100_PQ].[N1.N2.N3.N4].[All]" dimensionUniqueName="[RA100_PQ]" displayFolder="" count="2" memberValueDatatype="130" unbalanced="0"/>
    <cacheHierarchy uniqueName="[RA100_PQ].[AporteViejo]" caption="AporteViejo" attribute="1" defaultMemberUniqueName="[RA100_PQ].[AporteViejo].[All]" allUniqueName="[RA100_PQ].[AporteViejo].[All]" dimensionUniqueName="[RA100_PQ]" displayFolder="" count="2" memberValueDatatype="5" unbalanced="0"/>
    <cacheHierarchy uniqueName="[Measures].[Aporte Real Acumulado Semanal]" caption="Aporte Real Acumulado Semanal" measure="1" displayFolder="" measureGroup="RA100_PQ" count="0"/>
    <cacheHierarchy uniqueName="[Measures].[Aporte Real Acumulado Semanal Anterior]" caption="Aporte Real Acumulado Semanal Anterior" measure="1" displayFolder="" measureGroup="RA100_PQ" count="0"/>
    <cacheHierarchy uniqueName="[Measures].[Aporte Real Semanal]" caption="Aporte Real Semanal" measure="1" displayFolder="" measureGroup="RA100_PQ" count="0"/>
    <cacheHierarchy uniqueName="[Measures].[Avance Real Base 100 Semanal]" caption="Avance Real Base 100 Semanal" measure="1" displayFolder="" measureGroup="RA100_PQ" count="0"/>
    <cacheHierarchy uniqueName="[Measures].[Avance Real base 100 Acumulado Semanal]" caption="Avance Real base 100 Acumulado Semanal" measure="1" displayFolder="" measureGroup="RA100_PQ" count="0"/>
    <cacheHierarchy uniqueName="[Measures].[Avance Real base 100 Acumulado Anterior (2 sem)]" caption="Avance Real base 100 Acumulado Anterior (2 sem)" measure="1" displayFolder="" measureGroup="RA100_PQ" count="0"/>
    <cacheHierarchy uniqueName="[Measures].[Avance Real base 100 Acumulado Anterior (1 mes)]" caption="Avance Real base 100 Acumulado Anterior (1 mes)" measure="1" displayFolder="" measureGroup="RA100_PQ" count="0"/>
    <cacheHierarchy uniqueName="[Measures].[Aporte Plan B39 Acumulado Semanal]" caption="Aporte Plan B39 Acumulado Semanal" measure="1" displayFolder="" measureGroup="PB39_PQ" count="0"/>
    <cacheHierarchy uniqueName="[Measures].[Aporte Plan B39 Acumulado Semanal Anterior]" caption="Aporte Plan B39 Acumulado Semanal Anterior" measure="1" displayFolder="" measureGroup="PB39_PQ" count="0"/>
    <cacheHierarchy uniqueName="[Measures].[Aporte Plan B39 Semanal]" caption="Aporte Plan B39 Semanal" measure="1" displayFolder="" measureGroup="PB39_PQ" count="0"/>
    <cacheHierarchy uniqueName="[Measures].[Avance Plan B39 Base 100 Semanal]" caption="Avance Plan B39 Base 100 Semanal" measure="1" displayFolder="" measureGroup="PB39_PQ" count="0"/>
    <cacheHierarchy uniqueName="[Measures].[Avance Plan B39 base 100 Acumulado Semanal]" caption="Avance Plan B39 base 100 Acumulado Semanal" measure="1" displayFolder="" measureGroup="PB39_PQ" count="0"/>
    <cacheHierarchy uniqueName="[Measures].[Avance Plan B39 base 100 Acumulado Anterior (2 sem)]" caption="Avance Plan B39 base 100 Acumulado Anterior (2 sem)" measure="1" displayFolder="" measureGroup="PB39_PQ" count="0"/>
    <cacheHierarchy uniqueName="[Measures].[Avance Plan Periodo B39 (2 sem)]" caption="Avance Plan Periodo B39 (2 sem)" measure="1" displayFolder="" measureGroup="PB39_PQ" count="0"/>
    <cacheHierarchy uniqueName="[Measures].[Avance Plan B39 base 100 Acumulado Anterior (1 mes)]" caption="Avance Plan B39 base 100 Acumulado Anterior (1 mes)" measure="1" displayFolder="" measureGroup="PB39_PQ" count="0"/>
    <cacheHierarchy uniqueName="[Measures].[Avance Plan Periodo B39 (1 mes)]" caption="Avance Plan Periodo B39 (1 mes)" measure="1" displayFolder="" measureGroup="PB39_PQ" count="0"/>
    <cacheHierarchy uniqueName="[Measures].[Aporte Real B39 Acumulado Semanal]" caption="Aporte Real B39 Acumulado Semanal" measure="1" displayFolder="" measureGroup="AR39_PQ" count="0"/>
    <cacheHierarchy uniqueName="[Measures].[Aporte Real B39 Acumulado Semanal Anterior]" caption="Aporte Real B39 Acumulado Semanal Anterior" measure="1" displayFolder="" measureGroup="AR39_PQ" count="0"/>
    <cacheHierarchy uniqueName="[Measures].[Aporte Real B39 Semanal]" caption="Aporte Real B39 Semanal" measure="1" displayFolder="" measureGroup="AR39_PQ" count="0"/>
    <cacheHierarchy uniqueName="[Measures].[Avance Real B39 Base 100 Semanal]" caption="Avance Real B39 Base 100 Semanal" measure="1" displayFolder="" measureGroup="AR39_PQ" count="0"/>
    <cacheHierarchy uniqueName="[Measures].[Avance Real B39 base 100 Acumulado Semanal]" caption="Avance Real B39 base 100 Acumulado Semanal" measure="1" displayFolder="" measureGroup="AR39_PQ" count="0"/>
    <cacheHierarchy uniqueName="[Measures].[Avance Real B39 base 100 Acumulado Anterior (2 sem)]" caption="Avance Real B39 base 100 Acumulado Anterior (2 sem)" measure="1" displayFolder="" measureGroup="AR39_PQ" count="0"/>
    <cacheHierarchy uniqueName="[Measures].[Avance Real B39 Periodo (2 sem)]" caption="Avance Real B39 Periodo (2 sem)" measure="1" displayFolder="" measureGroup="AR39_PQ" count="0"/>
    <cacheHierarchy uniqueName="[Measures].[Avance Real B39 base 100 Acumulado Anterior (1 mes)]" caption="Avance Real B39 base 100 Acumulado Anterior (1 mes)" measure="1" displayFolder="" measureGroup="AR39_PQ" count="0"/>
    <cacheHierarchy uniqueName="[Measures].[Avance Real B39 Periodo (1 mes)]" caption="Avance Real B39 Periodo (1 mes)" measure="1" displayFolder="" measureGroup="AR39_PQ" count="0"/>
    <cacheHierarchy uniqueName="[Measures].[Desviación B39]" caption="Desviación B39" measure="1" displayFolder="" measureGroup="AR39_PQ" count="0"/>
    <cacheHierarchy uniqueName="[Measures].[Desviación B39 (2 sem)]" caption="Desviación B39 (2 sem)" measure="1" displayFolder="" measureGroup="AR39_PQ" count="0"/>
    <cacheHierarchy uniqueName="[Measures].[Desviación B39 (1 mes)]" caption="Desviación B39 (1 mes)" measure="1" displayFolder="" measureGroup="AR39_PQ" count="0"/>
    <cacheHierarchy uniqueName="[Measures].[Sum Aportes B39]" caption="Sum Aportes B39" measure="1" displayFolder="" measureGroup="EDTN_PQ" count="0"/>
    <cacheHierarchy uniqueName="[Measures].[Sum Aportes (sin filtro)]" caption="Sum Aportes (sin filtro)" measure="1" displayFolder="" measureGroup="EDTN_PQ" count="0"/>
    <cacheHierarchy uniqueName="[Measures].[Aporte a la Desviación B39]" caption="Aporte a la Desviación B39" measure="1" displayFolder="" measureGroup="AR39_PQ" count="0"/>
    <cacheHierarchy uniqueName="[Measures].[Desviacion periodo B39 (1 mes)]" caption="Desviacion periodo B39 (1 mes)" measure="1" displayFolder="" measureGroup="AR39_PQ" count="0"/>
    <cacheHierarchy uniqueName="[Measures].[Desviacion periodo B39 (2 sem)]" caption="Desviacion periodo B39 (2 sem)" measure="1" displayFolder="" measureGroup="AR39_PQ" count="0"/>
    <cacheHierarchy uniqueName="[Measures].[Aporte Plan Acumulado Semanal]" caption="Aporte Plan Acumulado Semanal" measure="1" displayFolder="" measureGroup="PB100_PQ" count="0"/>
    <cacheHierarchy uniqueName="[Measures].[Aporte Plan Acumulado Semanal Anterior]" caption="Aporte Plan Acumulado Semanal Anterior" measure="1" displayFolder="" measureGroup="PB100_PQ" count="0"/>
    <cacheHierarchy uniqueName="[Measures].[Aporte Plan Semanal]" caption="Aporte Plan Semanal" measure="1" displayFolder="" measureGroup="PB100_PQ" count="0"/>
    <cacheHierarchy uniqueName="[Measures].[Avance Plan Base 100 Semanal]" caption="Avance Plan Base 100 Semanal" measure="1" displayFolder="" measureGroup="PB100_PQ" count="0"/>
    <cacheHierarchy uniqueName="[Measures].[Avance Plan base 100 Acumulado Semanal]" caption="Avance Plan base 100 Acumulado Semanal" measure="1" displayFolder="" measureGroup="PB100_PQ" count="0"/>
    <cacheHierarchy uniqueName="[Measures].[Avance Plan base 100 Acumulado Anterior (2 sem)]" caption="Avance Plan base 100 Acumulado Anterior (2 sem)" measure="1" displayFolder="" measureGroup="PB100_PQ" count="0"/>
    <cacheHierarchy uniqueName="[Measures].[Avance Plan Periodo (2 sem)]" caption="Avance Plan Periodo (2 sem)" measure="1" displayFolder="" measureGroup="PB100_PQ" count="0"/>
    <cacheHierarchy uniqueName="[Measures].[Avance Plan base 100 Acumulado Anterior (1 mes)]" caption="Avance Plan base 100 Acumulado Anterior (1 mes)" measure="1" displayFolder="" measureGroup="PB100_PQ" count="0"/>
    <cacheHierarchy uniqueName="[Measures].[Avance Plan Periodo (1 mes)]" caption="Avance Plan Periodo (1 mes)" measure="1" displayFolder="" measureGroup="PB100_PQ" count="0"/>
    <cacheHierarchy uniqueName="[Measures].[Desviación]" caption="Desviación" measure="1" displayFolder="" measureGroup="RA100_PQ" count="0"/>
    <cacheHierarchy uniqueName="[Measures].[Sum Aportes]" caption="Sum Aportes" measure="1" displayFolder="" measureGroup="EDTV_PQ" count="0"/>
    <cacheHierarchy uniqueName="[Measures].[Aporte a la Desviación]" caption="Aporte a la Desviación" measure="1" displayFolder="" measureGroup="RA100_PQ" count="0"/>
    <cacheHierarchy uniqueName="[Measures].[Avance Real Periodo (2 sem)]" caption="Avance Real Periodo (2 sem)" measure="1" displayFolder="" measureGroup="RA100_PQ" count="0"/>
    <cacheHierarchy uniqueName="[Measures].[Avance Real Periodo (1 mes)]" caption="Avance Real Periodo (1 mes)" measure="1" displayFolder="" measureGroup="RA100_PQ" count="0"/>
    <cacheHierarchy uniqueName="[Measures].[__XL_Count EDTV_PQ]" caption="__XL_Count EDTV_PQ" measure="1" displayFolder="" measureGroup="EDTV_PQ" count="0" hidden="1"/>
    <cacheHierarchy uniqueName="[Measures].[__XL_Count EDTN_PQ]" caption="__XL_Count EDTN_PQ" measure="1" displayFolder="" measureGroup="EDTN_PQ" count="0" hidden="1"/>
    <cacheHierarchy uniqueName="[Measures].[__XL_Count RA100_PQ]" caption="__XL_Count RA100_PQ" measure="1" displayFolder="" measureGroup="RA100_PQ" count="0" hidden="1"/>
    <cacheHierarchy uniqueName="[Measures].[__XL_Count AR39_PQ]" caption="__XL_Count AR39_PQ" measure="1" displayFolder="" measureGroup="AR39_PQ" count="0" hidden="1"/>
    <cacheHierarchy uniqueName="[Measures].[__XL_Count PB39_PQ]" caption="__XL_Count PB39_PQ" measure="1" displayFolder="" measureGroup="PB39_PQ" count="0" hidden="1"/>
    <cacheHierarchy uniqueName="[Measures].[__XL_Count PB100_PQ]" caption="__XL_Count PB100_PQ" measure="1" displayFolder="" measureGroup="PB100_PQ" count="0" hidden="1"/>
    <cacheHierarchy uniqueName="[Measures].[__XL_Count Calendario 1]" caption="__XL_Count Calendario 1" measure="1" displayFolder="" measureGroup="Calendario 1" count="0" hidden="1"/>
    <cacheHierarchy uniqueName="[Measures].[__No measures defined]" caption="__No measures defined" measure="1" displayFolder="" count="0" hidden="1"/>
  </cacheHierarchies>
  <kpis count="0"/>
  <tupleCache>
    <entries count="88">
      <n v="0.86745653011322843" in="0">
        <tpls c="2">
          <tpl hier="9" item="0"/>
          <tpl fld="4" item="0"/>
        </tpls>
      </n>
      <n v="1.2981785441655846E-3" in="0">
        <tpls c="2">
          <tpl hier="9" item="0"/>
          <tpl fld="4" item="1"/>
        </tpls>
      </n>
      <n v="-0.13254346988677143" in="0">
        <tpls c="2">
          <tpl hier="9" item="0"/>
          <tpl fld="4" item="2"/>
        </tpls>
      </n>
      <n v="1" in="0">
        <tpls c="2">
          <tpl hier="9" item="0"/>
          <tpl fld="4" item="3"/>
        </tpls>
      </n>
      <n v="-0.21599459769844837" in="0">
        <tpls c="2">
          <tpl hier="9" item="0"/>
          <tpl fld="4" item="4"/>
        </tpls>
      </n>
      <n v="2.8612478086063042E-3" in="0">
        <tpls c="2">
          <tpl hier="9" item="0"/>
          <tpl fld="4" item="5"/>
        </tpls>
      </n>
      <n v="0.91080139166096197" in="0">
        <tpls c="3">
          <tpl hier="9" item="0"/>
          <tpl fld="1" item="0"/>
          <tpl fld="4" item="0"/>
        </tpls>
      </n>
      <n v="0.7169922565849931" in="0">
        <tpls c="3">
          <tpl hier="9" item="0"/>
          <tpl fld="1" item="1"/>
          <tpl fld="4" item="0"/>
        </tpls>
      </n>
      <n v="1" in="0">
        <tpls c="3">
          <tpl hier="9" item="0"/>
          <tpl fld="1" item="0"/>
          <tpl fld="4" item="3"/>
        </tpls>
      </n>
      <n v="1" in="0">
        <tpls c="3">
          <tpl hier="9" item="0"/>
          <tpl fld="1" item="1"/>
          <tpl fld="4" item="3"/>
        </tpls>
      </n>
      <n v="2.8612478086063042E-3" in="0">
        <tpls c="2">
          <tpl hier="9" item="0"/>
          <tpl fld="4" item="6"/>
        </tpls>
      </n>
      <n v="-0.12526416648603697" in="0">
        <tpls c="3">
          <tpl hier="9" item="0"/>
          <tpl fld="3" item="0"/>
          <tpl fld="4" item="4"/>
        </tpls>
      </n>
      <n v="2.953704908107313E-3" in="0">
        <tpls c="3">
          <tpl hier="9" item="0"/>
          <tpl fld="3" item="0"/>
          <tpl fld="4" item="5"/>
        </tpls>
      </n>
      <n v="2.953704908107313E-3" in="0">
        <tpls c="3">
          <tpl hier="9" item="0"/>
          <tpl fld="3" item="0"/>
          <tpl fld="4" item="6"/>
        </tpls>
      </n>
      <n v="0.83791403436868095" in="0">
        <tpls c="3">
          <tpl hier="9" item="0"/>
          <tpl fld="3" item="0"/>
          <tpl fld="4" item="7"/>
        </tpls>
      </n>
      <n v="1" in="0">
        <tpls c="3">
          <tpl hier="9" item="0"/>
          <tpl fld="2" item="13"/>
          <tpl fld="4" item="8"/>
        </tpls>
      </n>
      <n v="1" in="0">
        <tpls c="3">
          <tpl hier="9" item="0"/>
          <tpl fld="3" item="0"/>
          <tpl fld="4" item="8"/>
        </tpls>
      </n>
      <n v="-1.596193818663413E-2" in="0">
        <tpls c="3">
          <tpl hier="9" item="0"/>
          <tpl fld="2" item="15"/>
          <tpl fld="4" item="4"/>
        </tpls>
      </n>
      <n v="-1.1493334856891172E-2" in="0">
        <tpls c="3">
          <tpl hier="9" item="0"/>
          <tpl fld="2" item="6"/>
          <tpl fld="4" item="4"/>
        </tpls>
      </n>
      <n v="1" in="0">
        <tpls c="3">
          <tpl hier="9" item="0"/>
          <tpl fld="2" item="0"/>
          <tpl fld="4" item="8"/>
        </tpls>
      </n>
      <n v="0" in="0">
        <tpls c="3">
          <tpl hier="9" item="0"/>
          <tpl fld="2" item="6"/>
          <tpl fld="4" item="7"/>
        </tpls>
      </n>
      <n v="2.546717780917529E-3" in="0">
        <tpls c="3">
          <tpl hier="9" item="0"/>
          <tpl fld="3" item="1"/>
          <tpl fld="4" item="6"/>
        </tpls>
      </n>
      <n v="-1.8472253958676408E-3" in="0">
        <tpls c="3">
          <tpl hier="9" item="0"/>
          <tpl fld="2" item="0"/>
          <tpl fld="4" item="4"/>
        </tpls>
      </n>
      <n v="0.60061349807525821" in="0">
        <tpls c="3">
          <tpl hier="9" item="0"/>
          <tpl fld="3" item="1"/>
          <tpl fld="4" item="7"/>
        </tpls>
      </n>
      <n v="1" in="0">
        <tpls c="3">
          <tpl hier="9" item="0"/>
          <tpl fld="2" item="8"/>
          <tpl fld="4" item="8"/>
        </tpls>
      </n>
      <n v="1" in="0">
        <tpls c="3">
          <tpl hier="9" item="0"/>
          <tpl fld="2" item="14"/>
          <tpl fld="4" item="8"/>
        </tpls>
      </n>
      <n v="1" in="0">
        <tpls c="3">
          <tpl hier="9" item="0"/>
          <tpl fld="2" item="19"/>
          <tpl fld="4" item="8"/>
        </tpls>
      </n>
      <n v="-9.3016443099501554E-3" in="0">
        <tpls c="3">
          <tpl hier="9" item="0"/>
          <tpl fld="2" item="10"/>
          <tpl fld="4" item="4"/>
        </tpls>
      </n>
      <n v="-5.105692984503577E-3" in="0">
        <tpls c="3">
          <tpl hier="9" item="0"/>
          <tpl fld="2" item="4"/>
          <tpl fld="4" item="4"/>
        </tpls>
      </n>
      <n v="1" in="0">
        <tpls c="3">
          <tpl hier="9" item="0"/>
          <tpl fld="2" item="4"/>
          <tpl fld="4" item="8"/>
        </tpls>
      </n>
      <n v="1" in="0">
        <tpls c="3">
          <tpl hier="9" item="0"/>
          <tpl fld="2" item="6"/>
          <tpl fld="4" item="8"/>
        </tpls>
      </n>
      <n v="1" in="0">
        <tpls c="3">
          <tpl hier="9" item="0"/>
          <tpl fld="2" item="5"/>
          <tpl fld="4" item="8"/>
        </tpls>
      </n>
      <n v="1" in="0">
        <tpls c="3">
          <tpl hier="9" item="0"/>
          <tpl fld="2" item="7"/>
          <tpl fld="4" item="8"/>
        </tpls>
      </n>
      <n v="0" in="0">
        <tpls c="3">
          <tpl hier="9" item="0"/>
          <tpl fld="2" item="5"/>
          <tpl fld="4" item="4"/>
        </tpls>
      </n>
      <n v="1" in="0">
        <tpls c="3">
          <tpl hier="9" item="0"/>
          <tpl fld="3" item="1"/>
          <tpl fld="4" item="8"/>
        </tpls>
      </n>
      <n v="0.90800000000000014" in="0">
        <tpls c="3">
          <tpl hier="9" item="0"/>
          <tpl fld="2" item="20"/>
          <tpl fld="4" item="7"/>
        </tpls>
      </n>
      <n v="1" in="0">
        <tpls c="3">
          <tpl hier="9" item="0"/>
          <tpl fld="2" item="9"/>
          <tpl fld="4" item="8"/>
        </tpls>
      </n>
      <n v="0.17981999999999998" in="0">
        <tpls c="3">
          <tpl hier="9" item="0"/>
          <tpl fld="2" item="1"/>
          <tpl fld="4" item="7"/>
        </tpls>
      </n>
      <n v="1" in="0">
        <tpls c="3">
          <tpl hier="9" item="0"/>
          <tpl fld="2" item="9"/>
          <tpl fld="4" item="7"/>
        </tpls>
      </n>
      <n v="0.96681149235422892" in="0">
        <tpls c="3">
          <tpl hier="9" item="0"/>
          <tpl fld="2" item="0"/>
          <tpl fld="4" item="7"/>
        </tpls>
      </n>
      <n v="-1.5227590080109621E-2" in="0">
        <tpls c="3">
          <tpl hier="9" item="0"/>
          <tpl fld="2" item="1"/>
          <tpl fld="4" item="4"/>
        </tpls>
      </n>
      <n v="0" in="0">
        <tpls c="3">
          <tpl hier="9" item="0"/>
          <tpl fld="2" item="3"/>
          <tpl fld="4" item="7"/>
        </tpls>
      </n>
      <n v="1" in="0">
        <tpls c="3">
          <tpl hier="9" item="0"/>
          <tpl fld="2" item="17"/>
          <tpl fld="4" item="8"/>
        </tpls>
      </n>
      <n v="0" in="0">
        <tpls c="3">
          <tpl hier="9" item="0"/>
          <tpl fld="2" item="9"/>
          <tpl fld="4" item="4"/>
        </tpls>
      </n>
      <n v="1" in="0">
        <tpls c="3">
          <tpl hier="9" item="0"/>
          <tpl fld="2" item="3"/>
          <tpl fld="4" item="8"/>
        </tpls>
      </n>
      <n v="-3.5456837076103757E-3" in="0">
        <tpls c="3">
          <tpl hier="9" item="0"/>
          <tpl fld="2" item="2"/>
          <tpl fld="4" item="4"/>
        </tpls>
      </n>
      <n v="0.11111111111111112" in="0">
        <tpls c="3">
          <tpl hier="9" item="0"/>
          <tpl fld="2" item="12"/>
          <tpl fld="4" item="7"/>
        </tpls>
      </n>
      <n v="0" in="0">
        <tpls c="3">
          <tpl hier="9" item="0"/>
          <tpl fld="2" item="18"/>
          <tpl fld="4" item="4"/>
        </tpls>
      </n>
      <n v="1" in="0">
        <tpls c="3">
          <tpl hier="9" item="0"/>
          <tpl fld="2" item="20"/>
          <tpl fld="4" item="8"/>
        </tpls>
      </n>
      <n v="-4.1696682023081418E-2" in="0">
        <tpls c="3">
          <tpl hier="9" item="0"/>
          <tpl fld="2" item="19"/>
          <tpl fld="4" item="4"/>
        </tpls>
      </n>
      <n v="0.98780487804878048" in="0">
        <tpls c="3">
          <tpl hier="9" item="0"/>
          <tpl fld="2" item="7"/>
          <tpl fld="4" item="7"/>
        </tpls>
      </n>
      <n v="4.9861111111111106E-2" in="0">
        <tpls c="3">
          <tpl hier="9" item="0"/>
          <tpl fld="2" item="19"/>
          <tpl fld="4" item="7"/>
        </tpls>
      </n>
      <n v="-9.0730431212411325E-2" in="0">
        <tpls c="3">
          <tpl hier="9" item="0"/>
          <tpl fld="3" item="1"/>
          <tpl fld="4" item="4"/>
        </tpls>
      </n>
      <n v="0" in="0">
        <tpls c="3">
          <tpl hier="9" item="0"/>
          <tpl fld="2" item="8"/>
          <tpl fld="4" item="4"/>
        </tpls>
      </n>
      <n v="1" in="0">
        <tpls c="3">
          <tpl hier="9" item="0"/>
          <tpl fld="2" item="15"/>
          <tpl fld="4" item="8"/>
        </tpls>
      </n>
      <n v="-0.16208596563131905" in="0">
        <tpls c="3">
          <tpl hier="9" item="0"/>
          <tpl fld="3" item="0"/>
          <tpl fld="4" item="9"/>
        </tpls>
      </n>
      <n v="-9.8193194680562621E-4" in="0">
        <tpls c="3">
          <tpl hier="9" item="0"/>
          <tpl fld="2" item="7"/>
          <tpl fld="4" item="4"/>
        </tpls>
      </n>
      <n v="-1.326154021948981E-2" in="0">
        <tpls c="3">
          <tpl hier="9" item="0"/>
          <tpl fld="2" item="14"/>
          <tpl fld="4" item="4"/>
        </tpls>
      </n>
      <n v="1" in="0">
        <tpls c="3">
          <tpl hier="9" item="0"/>
          <tpl fld="2" item="5"/>
          <tpl fld="4" item="7"/>
        </tpls>
      </n>
      <n v="1" in="0">
        <tpls c="3">
          <tpl hier="9" item="0"/>
          <tpl fld="2" item="2"/>
          <tpl fld="4" item="8"/>
        </tpls>
      </n>
      <n v="1" in="0">
        <tpls c="3">
          <tpl hier="9" item="0"/>
          <tpl fld="2" item="8"/>
          <tpl fld="4" item="7"/>
        </tpls>
      </n>
      <n v="-1.4444469607068305E-2" in="0">
        <tpls c="3">
          <tpl hier="9" item="0"/>
          <tpl fld="2" item="11"/>
          <tpl fld="4" item="4"/>
        </tpls>
      </n>
      <n v="1" in="0">
        <tpls c="3">
          <tpl hier="9" item="0"/>
          <tpl fld="2" item="18"/>
          <tpl fld="4" item="8"/>
        </tpls>
      </n>
      <n v="1" in="0">
        <tpls c="3">
          <tpl hier="9" item="0"/>
          <tpl fld="2" item="1"/>
          <tpl fld="4" item="8"/>
        </tpls>
      </n>
      <n v="0" in="0">
        <tpls c="3">
          <tpl hier="9" item="0"/>
          <tpl fld="2" item="14"/>
          <tpl fld="4" item="7"/>
        </tpls>
      </n>
      <n v="-1.7187376604024515E-2" in="0">
        <tpls c="3">
          <tpl hier="9" item="0"/>
          <tpl fld="2" item="17"/>
          <tpl fld="4" item="4"/>
        </tpls>
      </n>
      <n v="1" in="0">
        <tpls c="3">
          <tpl hier="9" item="0"/>
          <tpl fld="2" item="12"/>
          <tpl fld="4" item="8"/>
        </tpls>
      </n>
      <n v="0.91461538461538461" in="0">
        <tpls c="3">
          <tpl hier="9" item="0"/>
          <tpl fld="2" item="2"/>
          <tpl fld="4" item="7"/>
        </tpls>
      </n>
      <n v="1" in="0">
        <tpls c="3">
          <tpl hier="9" item="0"/>
          <tpl fld="2" item="16"/>
          <tpl fld="4" item="8"/>
        </tpls>
      </n>
      <n v="-1.6503250050920657E-2" in="0">
        <tpls c="3">
          <tpl hier="9" item="0"/>
          <tpl fld="2" item="12"/>
          <tpl fld="4" item="4"/>
        </tpls>
      </n>
      <n v="0.22199999999999998" in="0">
        <tpls c="3">
          <tpl hier="9" item="0"/>
          <tpl fld="2" item="11"/>
          <tpl fld="4" item="7"/>
        </tpls>
      </n>
      <n v="1" in="0">
        <tpls c="3">
          <tpl hier="9" item="0"/>
          <tpl fld="2" item="11"/>
          <tpl fld="4" item="8"/>
        </tpls>
      </n>
      <n v="0.499" in="0">
        <tpls c="3">
          <tpl hier="9" item="0"/>
          <tpl fld="2" item="10"/>
          <tpl fld="4" item="7"/>
        </tpls>
      </n>
      <n v="0.84" in="0">
        <tpls c="3">
          <tpl hier="9" item="0"/>
          <tpl fld="2" item="17"/>
          <tpl fld="4" item="7"/>
        </tpls>
      </n>
      <n v="1" in="0">
        <tpls c="3">
          <tpl hier="9" item="0"/>
          <tpl fld="2" item="16"/>
          <tpl fld="4" item="7"/>
        </tpls>
      </n>
      <n v="-5.5514094012422809E-3" in="0">
        <tpls c="3">
          <tpl hier="9" item="0"/>
          <tpl fld="2" item="20"/>
          <tpl fld="4" item="4"/>
        </tpls>
      </n>
      <n v="0.90862068965517251" in="0">
        <tpls c="3">
          <tpl hier="9" item="0"/>
          <tpl fld="2" item="15"/>
          <tpl fld="4" item="7"/>
        </tpls>
      </n>
      <n v="1" in="0">
        <tpls c="3">
          <tpl hier="9" item="0"/>
          <tpl fld="2" item="13"/>
          <tpl fld="4" item="7"/>
        </tpls>
      </n>
      <n v="0" in="0">
        <tpls c="3">
          <tpl hier="9" item="0"/>
          <tpl fld="2" item="13"/>
          <tpl fld="4" item="4"/>
        </tpls>
      </n>
      <n v="0" in="0">
        <tpls c="3">
          <tpl hier="9" item="0"/>
          <tpl fld="2" item="16"/>
          <tpl fld="4" item="4"/>
        </tpls>
      </n>
      <n v="1" in="0">
        <tpls c="3">
          <tpl hier="9" item="0"/>
          <tpl fld="2" item="18"/>
          <tpl fld="4" item="7"/>
        </tpls>
      </n>
      <n v="-4.3884828324248823E-2" in="0">
        <tpls c="3">
          <tpl hier="9" item="0"/>
          <tpl fld="2" item="3"/>
          <tpl fld="4" item="4"/>
        </tpls>
      </n>
      <n v="0.78400540230155158" in="0">
        <tpls c="2">
          <tpl hier="9" item="0"/>
          <tpl fld="4" item="7"/>
        </tpls>
      </n>
      <n v="1" in="0">
        <tpls c="3">
          <tpl hier="9" item="0"/>
          <tpl fld="2" item="10"/>
          <tpl fld="4" item="8"/>
        </tpls>
      </n>
      <n v="0.47500000000000003" in="0">
        <tpls c="3">
          <tpl hier="9" item="0"/>
          <tpl fld="2" item="4"/>
          <tpl fld="4" item="7"/>
        </tpls>
      </n>
      <n v="-0.39938650192474179" in="0">
        <tpls c="3">
          <tpl hier="9" item="0"/>
          <tpl fld="3" item="1"/>
          <tpl fld="4" item="9"/>
        </tpls>
      </n>
      <n v="1" in="0">
        <tpls c="2">
          <tpl hier="9" item="0"/>
          <tpl fld="4" item="8"/>
        </tpls>
      </n>
      <n v="2.546717780917529E-3" in="0">
        <tpls c="3">
          <tpl hier="9" item="0"/>
          <tpl fld="3" item="1"/>
          <tpl fld="4" item="5"/>
        </tpls>
      </n>
    </entries>
    <sets count="1">
      <set count="1" maxRank="1" setDefinition="{[Calendario 1].[Calendario].&amp;[2026-06-29T00:00:00]}">
        <tpls c="1">
          <tpl fld="0" item="0"/>
        </tpls>
      </set>
    </sets>
    <queryCache count="38">
      <query mdx="[EDTV_PQ].[N2].&amp;[Mantenimiento del Generador de Vapor (Caldera) y Equipos Auxiliares]">
        <tpls c="1">
          <tpl fld="1" item="0"/>
        </tpls>
      </query>
      <query mdx="[EDTV_PQ].[N2].&amp;[Mantenimiento del Turbo Generador y Equipos Auxiliares]">
        <tpls c="1">
          <tpl fld="1" item="1"/>
        </tpls>
      </query>
      <query mdx="[EDTN_PQ].[N3].&amp;[2.11 Inspección y pruebas eléctricas del generador]">
        <tpls c="1">
          <tpl fld="2" item="0"/>
        </tpls>
      </query>
      <query mdx="[EDTN_PQ].[N3].&amp;[2.15 Desarmado de componentes y mantenimientos]">
        <tpls c="1">
          <tpl fld="2" item="1"/>
        </tpls>
      </query>
      <query mdx="[EDTN_PQ].[N3].&amp;[2.4 Reparación de componentes en talleres]">
        <tpls c="1">
          <tpl fld="2" item="2"/>
        </tpls>
      </query>
      <query mdx="[EDTN_PQ].[N3].&amp;[1.6 Reemplazo de tuberías ácido y soda]">
        <tpls c="1">
          <tpl fld="2" item="3"/>
        </tpls>
      </query>
      <query mdx="[EDTN_PQ].[N3].&amp;[2.9 Limpieza del sistema de lubricación y control]">
        <tpls c="1">
          <tpl fld="2" item="4"/>
        </tpls>
      </query>
      <query mdx="[EDTN_PQ].[N3].&amp;[2.6 Pruebas de ensayos no destructivos]">
        <tpls c="1">
          <tpl fld="2" item="5"/>
        </tpls>
      </query>
      <query mdx="[EDTN_PQ].[N3].&amp;[2.7 Alineación de la turbina]">
        <tpls c="1">
          <tpl fld="2" item="6"/>
        </tpls>
      </query>
      <query mdx="[EDTN_PQ].[N3].&amp;[1.9 Matenimiento de equipos y sistema de instrumentación]">
        <tpls c="1">
          <tpl fld="2" item="7"/>
        </tpls>
      </query>
      <query mdx="[EDTN_PQ].[N3].&amp;[0.0 Actividades preliminares]">
        <tpls c="1">
          <tpl fld="2" item="8"/>
        </tpls>
      </query>
      <query mdx="[EDTN_PQ].[N3].&amp;[1.2 Reemplazo de tubos de gas]">
        <tpls c="1">
          <tpl fld="2" item="9"/>
        </tpls>
      </query>
      <query mdx="[EDTN_PQ].[N3].&amp;[2.16 Armado y ajustes]">
        <tpls c="1">
          <tpl fld="2" item="10"/>
        </tpls>
      </query>
      <query mdx="[EDTN_PQ].[N3].&amp;[2.10 Aislamiento térmico]">
        <tpls c="1">
          <tpl fld="2" item="11"/>
        </tpls>
      </query>
      <query mdx="[EDTN_PQ].[N3].&amp;[2.14 Mantenimiento de equipos auxiliares]">
        <tpls c="1">
          <tpl fld="2" item="12"/>
        </tpls>
      </query>
      <query mdx="[EDTN_PQ].[N3].&amp;[2.13 Mantenimiento de válvulas principales]">
        <tpls c="1">
          <tpl fld="2" item="13"/>
        </tpls>
      </query>
      <query mdx="[EDTN_PQ].[N2].&amp;[Mantenimiento del Generador de Vapor (Caldera) y Equipos Auxiliares]">
        <tpls c="1">
          <tpl fld="3" item="0"/>
        </tpls>
      </query>
      <query mdx="[EDTN_PQ].[N2].&amp;[Mantenimiento del Turbo Generador y Equipos Auxiliares]">
        <tpls c="1">
          <tpl fld="3" item="1"/>
        </tpls>
      </query>
      <query mdx="[EDTN_PQ].[N3].&amp;[2.12 Preparación de superficie metálica y cubrimiento]">
        <tpls c="1">
          <tpl fld="2" item="14"/>
        </tpls>
      </query>
      <query mdx="[EDTN_PQ].[N3].&amp;[1.1 Reparación de expansiones metálicas]">
        <tpls c="1">
          <tpl fld="2" item="15"/>
        </tpls>
      </query>
      <query mdx="[EDTN_PQ].[N3].&amp;[1.10 Mantenimiento compresores de aire]">
        <tpls c="1">
          <tpl fld="2" item="16"/>
        </tpls>
      </query>
      <query mdx="[EDTN_PQ].[N3].&amp;[1.3 Reparación envoltura metálica]">
        <tpls c="1">
          <tpl fld="2" item="17"/>
        </tpls>
      </query>
      <query mdx="[EDTN_PQ].[N3].&amp;[1.5 Reparación ductos de aire y gas]">
        <tpls c="1">
          <tpl fld="2" item="18"/>
        </tpls>
      </query>
      <query mdx="[EDTN_PQ].[N3].&amp;[1.7 Mantenimiento en los equipos de balance BOP y equipos]">
        <tpls c="1">
          <tpl fld="2" item="19"/>
        </tpls>
      </query>
      <query mdx="[EDTN_PQ].[N3].&amp;[1.4 Reparación de cámaras muertas]">
        <tpls c="1">
          <tpl fld="2" item="20"/>
        </tpls>
      </query>
      <query mdx="[Measures].[Avance real base 100 Acumulado Semanal]">
        <tpls c="1">
          <tpl fld="4" item="0"/>
        </tpls>
      </query>
      <query mdx="[Measures].[Avance Real Periodo (2 sem)]">
        <tpls c="1">
          <tpl fld="4" item="1"/>
        </tpls>
      </query>
      <query mdx="[Measures].[Aporte a la Desviación]">
        <tpls c="1">
          <tpl fld="4" item="2"/>
        </tpls>
      </query>
      <query mdx="[Measures].[Avance Plan base 100 Acumulado Semanal]">
        <tpls c="1">
          <tpl fld="4" item="3"/>
        </tpls>
      </query>
      <query mdx="[Measures].[Aporte a la Desviación B39]">
        <tpls c="1">
          <tpl fld="4" item="4"/>
        </tpls>
      </query>
      <query mdx="[Measures].[Avance Real B39 Periodo (2 sem)]">
        <tpls c="1">
          <tpl fld="4" item="5"/>
        </tpls>
      </query>
      <query mdx="[Measures].[Avance Real base 100 Acumulado Semanal]">
        <tpls c="1">
          <tpl fld="4" item="0"/>
        </tpls>
      </query>
      <query mdx="[Measures].[Avance Real B39 Periodo (1 mes)]">
        <tpls c="1">
          <tpl fld="4" item="6"/>
        </tpls>
      </query>
      <query mdx="[Measures].[Avance real B39 base 100 Acumulado Semanal]">
        <tpls c="1">
          <tpl fld="4" item="7"/>
        </tpls>
      </query>
      <query mdx="[Measures].[Avance Plan B39 base 100 Acumulado Semanal]">
        <tpls c="1">
          <tpl fld="4" item="8"/>
        </tpls>
      </query>
      <query mdx="[Measures].[Avance Real B39 base 100 Acumulado Semanal]">
        <tpls c="1">
          <tpl fld="4" item="7"/>
        </tpls>
      </query>
      <query mdx="[Measures].[Avance plan B39 base 100 Acumulado Semanal]">
        <tpls c="1">
          <tpl fld="4" item="8"/>
        </tpls>
      </query>
      <query mdx="[Measures].[Desviación B39]]">
        <tpls c="1">
          <tpl fld="4" item="9"/>
        </tpls>
      </query>
    </queryCache>
    <serverFormats count="1">
      <serverFormat format="#,0.00 %;-#,0.00 %;#,0.00 %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dro Sosa" refreshedDate="46204.685362152777" createdVersion="5" refreshedVersion="7" minRefreshableVersion="3" recordCount="0" supportSubquery="1" supportAdvancedDrill="1" xr:uid="{4CD44751-4685-4448-B002-D15C9BD6DCFC}">
  <cacheSource type="external" connectionId="8"/>
  <cacheFields count="15">
    <cacheField name="[EDTN_PQ].[N1].[N1]" caption="N1" numFmtId="0" hierarchy="11" level="1">
      <sharedItems count="1">
        <s v="Proyecto: Plan Master Tacoa"/>
      </sharedItems>
    </cacheField>
    <cacheField name="[EDTN_PQ].[N2].[N2]" caption="N2" numFmtId="0" hierarchy="12" level="1">
      <sharedItems count="2">
        <s v="Mantenimiento del Generador de Vapor (Caldera) y Equipos Auxiliares"/>
        <s v="Mantenimiento del Turbo Generador y Equipos Auxiliares"/>
      </sharedItems>
    </cacheField>
    <cacheField name="[EDTN_PQ].[N3].[N3]" caption="N3" numFmtId="0" hierarchy="13" level="1">
      <sharedItems count="22">
        <s v="0.0 Fin de actividades"/>
        <s v="1.1 Reparación de expansiones metálicas"/>
        <s v="1.10 Mantenimiento compresores de aire"/>
        <s v="1.2 Reemplazo de tubos de gas"/>
        <s v="1.3 Reparación envoltura metálica"/>
        <s v="1.4 Reparación de cámaras muertas"/>
        <s v="1.5 Reparación ductos de aire y gas"/>
        <s v="1.6 Reemplazo de tuberías ácido y soda"/>
        <s v="1.7 Mantenimiento en los equipos de balance BOP y equipos"/>
        <s v="1.9 Matenimiento de equipos y sistema de instrumentación"/>
        <s v="0.0 Actividades preliminares"/>
        <s v="2.10 Aislamiento térmico"/>
        <s v="2.11 Inspección y pruebas eléctricas del generador"/>
        <s v="2.12 Preparación de superficie metálica y cubrimiento"/>
        <s v="2.13 Mantenimiento de válvulas principales"/>
        <s v="2.14 Mantenimiento de equipos auxiliares"/>
        <s v="2.15 Desarmado de componentes y mantenimientos"/>
        <s v="2.16 Armado y ajustes"/>
        <s v="2.4 Reparación de componentes en talleres"/>
        <s v="2.6 Pruebas de ensayos no destructivos"/>
        <s v="2.7 Alineación de la turbina"/>
        <s v="2.9 Limpieza del sistema de lubricación y control"/>
      </sharedItems>
    </cacheField>
    <cacheField name="[EDTN_PQ].[N4].[N4]" caption="N4" numFmtId="0" hierarchy="14" level="1">
      <sharedItems count="61">
        <s v="Fin de actividades"/>
        <s v="Galvanizado de expansiones fabricadas"/>
        <s v="Instalación de aislamiento y enchaquetado aluminio"/>
        <s v="Instalación de expansiones nuevas"/>
        <s v="Remoción de expansiones deterioradas"/>
        <s v="Mantenimiento de los compresores de aire"/>
        <s v="Reemplazo de tubos de gas de los quemdores de la caldera"/>
        <s v="Montaje y ajuste de envoltura metálica externa en paredes"/>
        <s v="Montaje y ajuste de lana mineral externa en paredes"/>
        <s v="Reparación de cámara muerta inferior"/>
        <s v="Reparación de cámara muerta intermedia"/>
        <s v="Reparación de cámara muerta superior"/>
        <s v="Reconstrucción de ductos aire caliente"/>
        <s v="Reconstrucción de ductos de entrada de aire"/>
        <s v="Instalación de tuberías y válvulas de PVC"/>
        <s v="Servicio de mantenimiento de bombas extracción de condensando"/>
        <s v="Servicio de mantenimiento mantenimiento bombas agua de componentes"/>
        <s v="Servicio de mantenimiento mantenimiento valvula check de la bomba agua de alimentación"/>
        <s v="Servicio de Actuador Neumáticos"/>
        <s v="Servicio de Barrido y Llenado del Hidrógeno (H2) del Generador"/>
        <s v="Servicio de Mantenimiento Compuertas Aire Auxiliar y Combustión"/>
        <s v="Servicio de Mantenimiento de Válvulas de Control"/>
        <s v="Servicio de Mantenimiento Interruptores de Flujo"/>
        <s v="Servicio de Mantenimiento Interruptores de Nivel"/>
        <s v="Servicio de Mantenimiento Interruptores de Temperatura"/>
        <s v="Servicio de Revisión de Manómetros y Termómetros"/>
        <s v="Servicio de Revisión de Termocupla"/>
        <s v="Servicio de Revisión de Trasmisores de Presión"/>
        <s v="Desmontaje de Rotor Generador."/>
        <s v="Desmontaje de aislamiento térmico"/>
        <s v="Fabricación e instalación de aislamiento térmico"/>
        <s v="Inspección y mantenimiento al estator del generador"/>
        <s v="Inspección y mantenimiento al rotor del generador"/>
        <s v="Preparación y cubrimiento de carcazas de turbina, generador y excitatriz"/>
        <s v="Preparación y cubrimiento de equipos auxiliares del turbogenerador"/>
        <s v="Preparación y cubrimiento de partes y piezas de la turbina"/>
        <s v="Mantenimiento de válvulas de control"/>
        <s v="Mantenimiento de válvulas interceptoras"/>
        <s v="Mantenimiento de válvulas principales de turbinas"/>
        <s v="Mantenimiento y cambio de rodamientos de motobomba de aceite auxiliar"/>
        <s v="Mantenimiento y cambio de rodamientos de motobomba de aceite de sellos"/>
        <s v="Mantenimiento y cambio de rodamientos de motobomba de aceite principal"/>
        <s v="Mantenimiento y cambio de rodamientos de motobomba de agua estórica"/>
        <s v="Mantenimiento y cambio de rodamientos de motor de rotación lenta"/>
        <s v="Mantenimiento y cambio de rodamientos de motor ventilador extrator de vapor de sellos"/>
        <s v="Mantenimiento de crossover y sustitución de empaquetaduras"/>
        <s v="Mantenimiento y fabricación de tornillería"/>
        <s v="Mantenimiento, limpieza y pintura de carcaza"/>
        <s v="Instalación de rotor de generador eléctrico y Alinear."/>
        <s v="Instalación y rearmado de los diafragmas"/>
        <s v="Re-armado de la Turbina."/>
        <s v="Carga y traslado de taller a obra de deflectores de aceite."/>
        <s v="Carga y traslado de taller a obra de diafragmas."/>
        <s v="Inspeccion y Mantenimiento de rotores, Alta, Baja presión A y B."/>
        <s v="Inspeccion y Reparación de Diafragmas."/>
        <s v="Reparación de todos los deflectores de aceite."/>
        <s v="Limpieza e inspección de ensayos no destructivos y dimensional de deflectores de aire"/>
        <s v="Realizar inspección de ensayos no destructivos para determinar cualquier daño posible a las carcazas, válvula príncipal de vapor, etc"/>
        <s v="Instalación y alineación de ejes, realizar acople."/>
        <s v="Flushing al sistema de lubricación."/>
        <s v="Limpieza al reservorio de aceite."/>
      </sharedItems>
    </cacheField>
    <cacheField name="[Measures].[Avance Plan Periodo B39 (2 sem)]" caption="Avance Plan Periodo B39 (2 sem)" numFmtId="0" hierarchy="65" level="32767"/>
    <cacheField name="[Measures].[Avance Plan B39 base 100 Acumulado Anterior (2 sem)]" caption="Avance Plan B39 base 100 Acumulado Anterior (2 sem)" numFmtId="0" hierarchy="64" level="32767"/>
    <cacheField name="[Measures].[Avance Plan B39 base 100 Acumulado Semanal]" caption="Avance Plan B39 base 100 Acumulado Semanal" numFmtId="0" hierarchy="63" level="32767"/>
    <cacheField name="[Measures].[Avance Real B39 base 100 Acumulado Anterior (2 sem)]" caption="Avance Real B39 base 100 Acumulado Anterior (2 sem)" numFmtId="0" hierarchy="73" level="32767"/>
    <cacheField name="[Measures].[Avance Real B39 Periodo (2 sem)]" caption="Avance Real B39 Periodo (2 sem)" numFmtId="0" hierarchy="74" level="32767"/>
    <cacheField name="[Measures].[Avance Real B39 base 100 Acumulado Semanal]" caption="Avance Real B39 base 100 Acumulado Semanal" numFmtId="0" hierarchy="72" level="32767"/>
    <cacheField name="[Measures].[Desviación B39 (2 sem)]" caption="Desviación B39 (2 sem)" numFmtId="0" hierarchy="78" level="32767"/>
    <cacheField name="[Measures].[Desviacion periodo B39 (2 sem)]" caption="Desviacion periodo B39 (2 sem)" numFmtId="0" hierarchy="84" level="32767"/>
    <cacheField name="[Measures].[Desviación B39]" caption="Desviación B39" numFmtId="0" hierarchy="77" level="32767"/>
    <cacheField name="[Measures].[Aporte a la Desviación B39]" caption="Aporte a la Desviación B39" numFmtId="0" hierarchy="82" level="32767"/>
    <cacheField name="[Calendario 1].[Calendario].[Calendario]" caption="Calendario" numFmtId="0" hierarchy="9" level="1">
      <sharedItems containsSemiMixedTypes="0" containsNonDate="0" containsString="0"/>
    </cacheField>
  </cacheFields>
  <cacheHierarchies count="107">
    <cacheHierarchy uniqueName="[AR39_PQ].[N1]" caption="N1" attribute="1" defaultMemberUniqueName="[AR39_PQ].[N1].[All]" allUniqueName="[AR39_PQ].[N1].[All]" dimensionUniqueName="[AR39_PQ]" displayFolder="" count="0" memberValueDatatype="130" unbalanced="0"/>
    <cacheHierarchy uniqueName="[AR39_PQ].[N2]" caption="N2" attribute="1" defaultMemberUniqueName="[AR39_PQ].[N2].[All]" allUniqueName="[AR39_PQ].[N2].[All]" dimensionUniqueName="[AR39_PQ]" displayFolder="" count="0" memberValueDatatype="130" unbalanced="0"/>
    <cacheHierarchy uniqueName="[AR39_PQ].[N3]" caption="N3" attribute="1" defaultMemberUniqueName="[AR39_PQ].[N3].[All]" allUniqueName="[AR39_PQ].[N3].[All]" dimensionUniqueName="[AR39_PQ]" displayFolder="" count="0" memberValueDatatype="130" unbalanced="0"/>
    <cacheHierarchy uniqueName="[AR39_PQ].[N4]" caption="N4" attribute="1" defaultMemberUniqueName="[AR39_PQ].[N4].[All]" allUniqueName="[AR39_PQ].[N4].[All]" dimensionUniqueName="[AR39_PQ]" displayFolder="" count="0" memberValueDatatype="130" unbalanced="0"/>
    <cacheHierarchy uniqueName="[AR39_PQ].[Nuevos Pesos]" caption="Nuevos Pesos" attribute="1" defaultMemberUniqueName="[AR39_PQ].[Nuevos Pesos].[All]" allUniqueName="[AR39_PQ].[Nuevos Pesos].[All]" dimensionUniqueName="[AR39_PQ]" displayFolder="" count="0" memberValueDatatype="5" unbalanced="0"/>
    <cacheHierarchy uniqueName="[AR39_PQ].[Fecha]" caption="Fecha" attribute="1" time="1" defaultMemberUniqueName="[AR39_PQ].[Fecha].[All]" allUniqueName="[AR39_PQ].[Fecha].[All]" dimensionUniqueName="[AR39_PQ]" displayFolder="" count="0" memberValueDatatype="7" unbalanced="0"/>
    <cacheHierarchy uniqueName="[AR39_PQ].[AvanceBase39]" caption="AvanceBase39" attribute="1" defaultMemberUniqueName="[AR39_PQ].[AvanceBase39].[All]" allUniqueName="[AR39_PQ].[AvanceBase39].[All]" dimensionUniqueName="[AR39_PQ]" displayFolder="" count="0" memberValueDatatype="5" unbalanced="0"/>
    <cacheHierarchy uniqueName="[AR39_PQ].[N1.N2.N3.N4]" caption="N1.N2.N3.N4" attribute="1" defaultMemberUniqueName="[AR39_PQ].[N1.N2.N3.N4].[All]" allUniqueName="[AR39_PQ].[N1.N2.N3.N4].[All]" dimensionUniqueName="[AR39_PQ]" displayFolder="" count="0" memberValueDatatype="130" unbalanced="0"/>
    <cacheHierarchy uniqueName="[AR39_PQ].[Aporte Nuevo]" caption="Aporte Nuevo" attribute="1" defaultMemberUniqueName="[AR39_PQ].[Aporte Nuevo].[All]" allUniqueName="[AR39_PQ].[Aporte Nuevo].[All]" dimensionUniqueName="[AR39_PQ]" displayFolder="" count="0" memberValueDatatype="5" unbalanced="0"/>
    <cacheHierarchy uniqueName="[Calendario 1].[Calendario]" caption="Calendario" attribute="1" time="1" defaultMemberUniqueName="[Calendario 1].[Calendario].[All]" allUniqueName="[Calendario 1].[Calendario].[All]" dimensionUniqueName="[Calendario 1]" displayFolder="" count="2" memberValueDatatype="7" unbalanced="0">
      <fieldsUsage count="2">
        <fieldUsage x="-1"/>
        <fieldUsage x="14"/>
      </fieldsUsage>
    </cacheHierarchy>
    <cacheHierarchy uniqueName="[Calendario 1].[Columna calculada 1]" caption="Columna calculada 1" attribute="1" defaultMemberUniqueName="[Calendario 1].[Columna calculada 1].[All]" allUniqueName="[Calendario 1].[Columna calculada 1].[All]" dimensionUniqueName="[Calendario 1]" displayFolder="" count="0" memberValueDatatype="130" unbalanced="0"/>
    <cacheHierarchy uniqueName="[EDTN_PQ].[N1]" caption="N1" attribute="1" defaultMemberUniqueName="[EDTN_PQ].[N1].[All]" allUniqueName="[EDTN_PQ].[N1].[All]" dimensionUniqueName="[EDTN_PQ]" displayFolder="" count="2" memberValueDatatype="130" unbalanced="0">
      <fieldsUsage count="2">
        <fieldUsage x="-1"/>
        <fieldUsage x="0"/>
      </fieldsUsage>
    </cacheHierarchy>
    <cacheHierarchy uniqueName="[EDTN_PQ].[N2]" caption="N2" attribute="1" defaultMemberUniqueName="[EDTN_PQ].[N2].[All]" allUniqueName="[EDTN_PQ].[N2].[All]" dimensionUniqueName="[EDTN_PQ]" displayFolder="" count="2" memberValueDatatype="130" unbalanced="0">
      <fieldsUsage count="2">
        <fieldUsage x="-1"/>
        <fieldUsage x="1"/>
      </fieldsUsage>
    </cacheHierarchy>
    <cacheHierarchy uniqueName="[EDTN_PQ].[N3]" caption="N3" attribute="1" defaultMemberUniqueName="[EDTN_PQ].[N3].[All]" allUniqueName="[EDTN_PQ].[N3].[All]" dimensionUniqueName="[EDTN_PQ]" displayFolder="" count="2" memberValueDatatype="130" unbalanced="0">
      <fieldsUsage count="2">
        <fieldUsage x="-1"/>
        <fieldUsage x="2"/>
      </fieldsUsage>
    </cacheHierarchy>
    <cacheHierarchy uniqueName="[EDTN_PQ].[N4]" caption="N4" attribute="1" defaultMemberUniqueName="[EDTN_PQ].[N4].[All]" allUniqueName="[EDTN_PQ].[N4].[All]" dimensionUniqueName="[EDTN_PQ]" displayFolder="" count="2" memberValueDatatype="130" unbalanced="0">
      <fieldsUsage count="2">
        <fieldUsage x="-1"/>
        <fieldUsage x="3"/>
      </fieldsUsage>
    </cacheHierarchy>
    <cacheHierarchy uniqueName="[EDTN_PQ].[Nuevos Pesos]" caption="Nuevos Pesos" attribute="1" defaultMemberUniqueName="[EDTN_PQ].[Nuevos Pesos].[All]" allUniqueName="[EDTN_PQ].[Nuevos Pesos].[All]" dimensionUniqueName="[EDTN_PQ]" displayFolder="" count="0" memberValueDatatype="5" unbalanced="0"/>
    <cacheHierarchy uniqueName="[EDTN_PQ].[Aporte Nuevo]" caption="Aporte Nuevo" attribute="1" defaultMemberUniqueName="[EDTN_PQ].[Aporte Nuevo].[All]" allUniqueName="[EDTN_PQ].[Aporte Nuevo].[All]" dimensionUniqueName="[EDTN_PQ]" displayFolder="" count="0" memberValueDatatype="5" unbalanced="0"/>
    <cacheHierarchy uniqueName="[EDTN_PQ].[N1.N2.N3.N4]" caption="N1.N2.N3.N4" attribute="1" defaultMemberUniqueName="[EDTN_PQ].[N1.N2.N3.N4].[All]" allUniqueName="[EDTN_PQ].[N1.N2.N3.N4].[All]" dimensionUniqueName="[EDTN_PQ]" displayFolder="" count="0" memberValueDatatype="130" unbalanced="0"/>
    <cacheHierarchy uniqueName="[EDTV_PQ].[N1]" caption="N1" attribute="1" defaultMemberUniqueName="[EDTV_PQ].[N1].[All]" allUniqueName="[EDTV_PQ].[N1].[All]" dimensionUniqueName="[EDTV_PQ]" displayFolder="" count="0" memberValueDatatype="130" unbalanced="0"/>
    <cacheHierarchy uniqueName="[EDTV_PQ].[N2]" caption="N2" attribute="1" defaultMemberUniqueName="[EDTV_PQ].[N2].[All]" allUniqueName="[EDTV_PQ].[N2].[All]" dimensionUniqueName="[EDTV_PQ]" displayFolder="" count="0" memberValueDatatype="130" unbalanced="0"/>
    <cacheHierarchy uniqueName="[EDTV_PQ].[N3]" caption="N3" attribute="1" defaultMemberUniqueName="[EDTV_PQ].[N3].[All]" allUniqueName="[EDTV_PQ].[N3].[All]" dimensionUniqueName="[EDTV_PQ]" displayFolder="" count="0" memberValueDatatype="130" unbalanced="0"/>
    <cacheHierarchy uniqueName="[EDTV_PQ].[N4]" caption="N4" attribute="1" defaultMemberUniqueName="[EDTV_PQ].[N4].[All]" allUniqueName="[EDTV_PQ].[N4].[All]" dimensionUniqueName="[EDTV_PQ]" displayFolder="" count="0" memberValueDatatype="130" unbalanced="0"/>
    <cacheHierarchy uniqueName="[EDTV_PQ].[Pesos]" caption="Pesos" attribute="1" defaultMemberUniqueName="[EDTV_PQ].[Pesos].[All]" allUniqueName="[EDTV_PQ].[Pesos].[All]" dimensionUniqueName="[EDTV_PQ]" displayFolder="" count="0" memberValueDatatype="5" unbalanced="0"/>
    <cacheHierarchy uniqueName="[EDTV_PQ].[Aporte]" caption="Aporte" attribute="1" defaultMemberUniqueName="[EDTV_PQ].[Aporte].[All]" allUniqueName="[EDTV_PQ].[Aporte].[All]" dimensionUniqueName="[EDTV_PQ]" displayFolder="" count="0" memberValueDatatype="5" unbalanced="0"/>
    <cacheHierarchy uniqueName="[EDTV_PQ].[N1.N2.N3.N4]" caption="N1.N2.N3.N4" attribute="1" defaultMemberUniqueName="[EDTV_PQ].[N1.N2.N3.N4].[All]" allUniqueName="[EDTV_PQ].[N1.N2.N3.N4].[All]" dimensionUniqueName="[EDTV_PQ]" displayFolder="" count="0" memberValueDatatype="130" unbalanced="0"/>
    <cacheHierarchy uniqueName="[PB100_PQ].[N1]" caption="N1" attribute="1" defaultMemberUniqueName="[PB100_PQ].[N1].[All]" allUniqueName="[PB100_PQ].[N1].[All]" dimensionUniqueName="[PB100_PQ]" displayFolder="" count="0" memberValueDatatype="130" unbalanced="0"/>
    <cacheHierarchy uniqueName="[PB100_PQ].[N2]" caption="N2" attribute="1" defaultMemberUniqueName="[PB100_PQ].[N2].[All]" allUniqueName="[PB100_PQ].[N2].[All]" dimensionUniqueName="[PB100_PQ]" displayFolder="" count="0" memberValueDatatype="130" unbalanced="0"/>
    <cacheHierarchy uniqueName="[PB100_PQ].[N3]" caption="N3" attribute="1" defaultMemberUniqueName="[PB100_PQ].[N3].[All]" allUniqueName="[PB100_PQ].[N3].[All]" dimensionUniqueName="[PB100_PQ]" displayFolder="" count="0" memberValueDatatype="130" unbalanced="0"/>
    <cacheHierarchy uniqueName="[PB100_PQ].[N4]" caption="N4" attribute="1" defaultMemberUniqueName="[PB100_PQ].[N4].[All]" allUniqueName="[PB100_PQ].[N4].[All]" dimensionUniqueName="[PB100_PQ]" displayFolder="" count="0" memberValueDatatype="130" unbalanced="0"/>
    <cacheHierarchy uniqueName="[PB100_PQ].[Pesos]" caption="Pesos" attribute="1" defaultMemberUniqueName="[PB100_PQ].[Pesos].[All]" allUniqueName="[PB100_PQ].[Pesos].[All]" dimensionUniqueName="[PB100_PQ]" displayFolder="" count="0" memberValueDatatype="5" unbalanced="0"/>
    <cacheHierarchy uniqueName="[PB100_PQ].[Atributo]" caption="Atributo" attribute="1" time="1" defaultMemberUniqueName="[PB100_PQ].[Atributo].[All]" allUniqueName="[PB100_PQ].[Atributo].[All]" dimensionUniqueName="[PB100_PQ]" displayFolder="" count="0" memberValueDatatype="7" unbalanced="0"/>
    <cacheHierarchy uniqueName="[PB100_PQ].[Valor]" caption="Valor" attribute="1" defaultMemberUniqueName="[PB100_PQ].[Valor].[All]" allUniqueName="[PB100_PQ].[Valor].[All]" dimensionUniqueName="[PB100_PQ]" displayFolder="" count="0" memberValueDatatype="5" unbalanced="0"/>
    <cacheHierarchy uniqueName="[PB100_PQ].[N1.N2.N3.N4]" caption="N1.N2.N3.N4" attribute="1" defaultMemberUniqueName="[PB100_PQ].[N1.N2.N3.N4].[All]" allUniqueName="[PB100_PQ].[N1.N2.N3.N4].[All]" dimensionUniqueName="[PB100_PQ]" displayFolder="" count="0" memberValueDatatype="130" unbalanced="0"/>
    <cacheHierarchy uniqueName="[PB100_PQ].[Aportes Viejos]" caption="Aportes Viejos" attribute="1" defaultMemberUniqueName="[PB100_PQ].[Aportes Viejos].[All]" allUniqueName="[PB100_PQ].[Aportes Viejos].[All]" dimensionUniqueName="[PB100_PQ]" displayFolder="" count="0" memberValueDatatype="5" unbalanced="0"/>
    <cacheHierarchy uniqueName="[PB39_PQ].[N1]" caption="N1" attribute="1" defaultMemberUniqueName="[PB39_PQ].[N1].[All]" allUniqueName="[PB39_PQ].[N1].[All]" dimensionUniqueName="[PB39_PQ]" displayFolder="" count="0" memberValueDatatype="130" unbalanced="0"/>
    <cacheHierarchy uniqueName="[PB39_PQ].[N2]" caption="N2" attribute="1" defaultMemberUniqueName="[PB39_PQ].[N2].[All]" allUniqueName="[PB39_PQ].[N2].[All]" dimensionUniqueName="[PB39_PQ]" displayFolder="" count="0" memberValueDatatype="130" unbalanced="0"/>
    <cacheHierarchy uniqueName="[PB39_PQ].[N3]" caption="N3" attribute="1" defaultMemberUniqueName="[PB39_PQ].[N3].[All]" allUniqueName="[PB39_PQ].[N3].[All]" dimensionUniqueName="[PB39_PQ]" displayFolder="" count="0" memberValueDatatype="130" unbalanced="0"/>
    <cacheHierarchy uniqueName="[PB39_PQ].[N4]" caption="N4" attribute="1" defaultMemberUniqueName="[PB39_PQ].[N4].[All]" allUniqueName="[PB39_PQ].[N4].[All]" dimensionUniqueName="[PB39_PQ]" displayFolder="" count="0" memberValueDatatype="130" unbalanced="0"/>
    <cacheHierarchy uniqueName="[PB39_PQ].[Nuevos Pesos]" caption="Nuevos Pesos" attribute="1" defaultMemberUniqueName="[PB39_PQ].[Nuevos Pesos].[All]" allUniqueName="[PB39_PQ].[Nuevos Pesos].[All]" dimensionUniqueName="[PB39_PQ]" displayFolder="" count="0" memberValueDatatype="5" unbalanced="0"/>
    <cacheHierarchy uniqueName="[PB39_PQ].[Fecha]" caption="Fecha" attribute="1" time="1" defaultMemberUniqueName="[PB39_PQ].[Fecha].[All]" allUniqueName="[PB39_PQ].[Fecha].[All]" dimensionUniqueName="[PB39_PQ]" displayFolder="" count="0" memberValueDatatype="7" unbalanced="0"/>
    <cacheHierarchy uniqueName="[PB39_PQ].[PlanBase39]" caption="PlanBase39" attribute="1" defaultMemberUniqueName="[PB39_PQ].[PlanBase39].[All]" allUniqueName="[PB39_PQ].[PlanBase39].[All]" dimensionUniqueName="[PB39_PQ]" displayFolder="" count="0" memberValueDatatype="5" unbalanced="0"/>
    <cacheHierarchy uniqueName="[PB39_PQ].[N1.N2.N3.N4]" caption="N1.N2.N3.N4" attribute="1" defaultMemberUniqueName="[PB39_PQ].[N1.N2.N3.N4].[All]" allUniqueName="[PB39_PQ].[N1.N2.N3.N4].[All]" dimensionUniqueName="[PB39_PQ]" displayFolder="" count="0" memberValueDatatype="130" unbalanced="0"/>
    <cacheHierarchy uniqueName="[PB39_PQ].[Aportes Nuevo]" caption="Aportes Nuevo" attribute="1" defaultMemberUniqueName="[PB39_PQ].[Aportes Nuevo].[All]" allUniqueName="[PB39_PQ].[Aportes Nuevo].[All]" dimensionUniqueName="[PB39_PQ]" displayFolder="" count="0" memberValueDatatype="5" unbalanced="0"/>
    <cacheHierarchy uniqueName="[RA100_PQ].[N1]" caption="N1" attribute="1" defaultMemberUniqueName="[RA100_PQ].[N1].[All]" allUniqueName="[RA100_PQ].[N1].[All]" dimensionUniqueName="[RA100_PQ]" displayFolder="" count="0" memberValueDatatype="130" unbalanced="0"/>
    <cacheHierarchy uniqueName="[RA100_PQ].[N2]" caption="N2" attribute="1" defaultMemberUniqueName="[RA100_PQ].[N2].[All]" allUniqueName="[RA100_PQ].[N2].[All]" dimensionUniqueName="[RA100_PQ]" displayFolder="" count="0" memberValueDatatype="130" unbalanced="0"/>
    <cacheHierarchy uniqueName="[RA100_PQ].[N3]" caption="N3" attribute="1" defaultMemberUniqueName="[RA100_PQ].[N3].[All]" allUniqueName="[RA100_PQ].[N3].[All]" dimensionUniqueName="[RA100_PQ]" displayFolder="" count="0" memberValueDatatype="130" unbalanced="0"/>
    <cacheHierarchy uniqueName="[RA100_PQ].[N4]" caption="N4" attribute="1" defaultMemberUniqueName="[RA100_PQ].[N4].[All]" allUniqueName="[RA100_PQ].[N4].[All]" dimensionUniqueName="[RA100_PQ]" displayFolder="" count="0" memberValueDatatype="130" unbalanced="0"/>
    <cacheHierarchy uniqueName="[RA100_PQ].[Pesos]" caption="Pesos" attribute="1" defaultMemberUniqueName="[RA100_PQ].[Pesos].[All]" allUniqueName="[RA100_PQ].[Pesos].[All]" dimensionUniqueName="[RA100_PQ]" displayFolder="" count="0" memberValueDatatype="5" unbalanced="0"/>
    <cacheHierarchy uniqueName="[RA100_PQ].[Fecha]" caption="Fecha" attribute="1" time="1" defaultMemberUniqueName="[RA100_PQ].[Fecha].[All]" allUniqueName="[RA100_PQ].[Fecha].[All]" dimensionUniqueName="[RA100_PQ]" displayFolder="" count="0" memberValueDatatype="7" unbalanced="0"/>
    <cacheHierarchy uniqueName="[RA100_PQ].[RA100]" caption="RA100" attribute="1" defaultMemberUniqueName="[RA100_PQ].[RA100].[All]" allUniqueName="[RA100_PQ].[RA100].[All]" dimensionUniqueName="[RA100_PQ]" displayFolder="" count="0" memberValueDatatype="5" unbalanced="0"/>
    <cacheHierarchy uniqueName="[RA100_PQ].[N1.N2.N3.N4]" caption="N1.N2.N3.N4" attribute="1" defaultMemberUniqueName="[RA100_PQ].[N1.N2.N3.N4].[All]" allUniqueName="[RA100_PQ].[N1.N2.N3.N4].[All]" dimensionUniqueName="[RA100_PQ]" displayFolder="" count="0" memberValueDatatype="130" unbalanced="0"/>
    <cacheHierarchy uniqueName="[RA100_PQ].[AporteViejo]" caption="AporteViejo" attribute="1" defaultMemberUniqueName="[RA100_PQ].[AporteViejo].[All]" allUniqueName="[RA100_PQ].[AporteViejo].[All]" dimensionUniqueName="[RA100_PQ]" displayFolder="" count="0" memberValueDatatype="5" unbalanced="0"/>
    <cacheHierarchy uniqueName="[Measures].[Aporte Real Acumulado Semanal]" caption="Aporte Real Acumulado Semanal" measure="1" displayFolder="" measureGroup="RA100_PQ" count="0"/>
    <cacheHierarchy uniqueName="[Measures].[Aporte Real Acumulado Semanal Anterior]" caption="Aporte Real Acumulado Semanal Anterior" measure="1" displayFolder="" measureGroup="RA100_PQ" count="0"/>
    <cacheHierarchy uniqueName="[Measures].[Aporte Real Semanal]" caption="Aporte Real Semanal" measure="1" displayFolder="" measureGroup="RA100_PQ" count="0"/>
    <cacheHierarchy uniqueName="[Measures].[Avance Real Base 100 Semanal]" caption="Avance Real Base 100 Semanal" measure="1" displayFolder="" measureGroup="RA100_PQ" count="0"/>
    <cacheHierarchy uniqueName="[Measures].[Avance Real base 100 Acumulado Semanal]" caption="Avance Real base 100 Acumulado Semanal" measure="1" displayFolder="" measureGroup="RA100_PQ" count="0"/>
    <cacheHierarchy uniqueName="[Measures].[Avance Real base 100 Acumulado Anterior (2 sem)]" caption="Avance Real base 100 Acumulado Anterior (2 sem)" measure="1" displayFolder="" measureGroup="RA100_PQ" count="0"/>
    <cacheHierarchy uniqueName="[Measures].[Avance Real base 100 Acumulado Anterior (1 mes)]" caption="Avance Real base 100 Acumulado Anterior (1 mes)" measure="1" displayFolder="" measureGroup="RA100_PQ" count="0"/>
    <cacheHierarchy uniqueName="[Measures].[Aporte Plan B39 Acumulado Semanal]" caption="Aporte Plan B39 Acumulado Semanal" measure="1" displayFolder="" measureGroup="PB39_PQ" count="0"/>
    <cacheHierarchy uniqueName="[Measures].[Aporte Plan B39 Acumulado Semanal Anterior]" caption="Aporte Plan B39 Acumulado Semanal Anterior" measure="1" displayFolder="" measureGroup="PB39_PQ" count="0"/>
    <cacheHierarchy uniqueName="[Measures].[Aporte Plan B39 Semanal]" caption="Aporte Plan B39 Semanal" measure="1" displayFolder="" measureGroup="PB39_PQ" count="0"/>
    <cacheHierarchy uniqueName="[Measures].[Avance Plan B39 Base 100 Semanal]" caption="Avance Plan B39 Base 100 Semanal" measure="1" displayFolder="" measureGroup="PB39_PQ" count="0"/>
    <cacheHierarchy uniqueName="[Measures].[Avance Plan B39 base 100 Acumulado Semanal]" caption="Avance Plan B39 base 100 Acumulado Semanal" measure="1" displayFolder="" measureGroup="PB39_PQ" count="0" oneField="1">
      <fieldsUsage count="1">
        <fieldUsage x="6"/>
      </fieldsUsage>
    </cacheHierarchy>
    <cacheHierarchy uniqueName="[Measures].[Avance Plan B39 base 100 Acumulado Anterior (2 sem)]" caption="Avance Plan B39 base 100 Acumulado Anterior (2 sem)" measure="1" displayFolder="" measureGroup="PB39_PQ" count="0" oneField="1">
      <fieldsUsage count="1">
        <fieldUsage x="5"/>
      </fieldsUsage>
    </cacheHierarchy>
    <cacheHierarchy uniqueName="[Measures].[Avance Plan Periodo B39 (2 sem)]" caption="Avance Plan Periodo B39 (2 sem)" measure="1" displayFolder="" measureGroup="PB39_PQ" count="0" oneField="1">
      <fieldsUsage count="1">
        <fieldUsage x="4"/>
      </fieldsUsage>
    </cacheHierarchy>
    <cacheHierarchy uniqueName="[Measures].[Avance Plan B39 base 100 Acumulado Anterior (1 mes)]" caption="Avance Plan B39 base 100 Acumulado Anterior (1 mes)" measure="1" displayFolder="" measureGroup="PB39_PQ" count="0"/>
    <cacheHierarchy uniqueName="[Measures].[Avance Plan Periodo B39 (1 mes)]" caption="Avance Plan Periodo B39 (1 mes)" measure="1" displayFolder="" measureGroup="PB39_PQ" count="0"/>
    <cacheHierarchy uniqueName="[Measures].[Aporte Real B39 Acumulado Semanal]" caption="Aporte Real B39 Acumulado Semanal" measure="1" displayFolder="" measureGroup="AR39_PQ" count="0"/>
    <cacheHierarchy uniqueName="[Measures].[Aporte Real B39 Acumulado Semanal Anterior]" caption="Aporte Real B39 Acumulado Semanal Anterior" measure="1" displayFolder="" measureGroup="AR39_PQ" count="0"/>
    <cacheHierarchy uniqueName="[Measures].[Aporte Real B39 Semanal]" caption="Aporte Real B39 Semanal" measure="1" displayFolder="" measureGroup="AR39_PQ" count="0"/>
    <cacheHierarchy uniqueName="[Measures].[Avance Real B39 Base 100 Semanal]" caption="Avance Real B39 Base 100 Semanal" measure="1" displayFolder="" measureGroup="AR39_PQ" count="0"/>
    <cacheHierarchy uniqueName="[Measures].[Avance Real B39 base 100 Acumulado Semanal]" caption="Avance Real B39 base 100 Acumulado Semanal" measure="1" displayFolder="" measureGroup="AR39_PQ" count="0" oneField="1">
      <fieldsUsage count="1">
        <fieldUsage x="9"/>
      </fieldsUsage>
    </cacheHierarchy>
    <cacheHierarchy uniqueName="[Measures].[Avance Real B39 base 100 Acumulado Anterior (2 sem)]" caption="Avance Real B39 base 100 Acumulado Anterior (2 sem)" measure="1" displayFolder="" measureGroup="AR39_PQ" count="0" oneField="1">
      <fieldsUsage count="1">
        <fieldUsage x="7"/>
      </fieldsUsage>
    </cacheHierarchy>
    <cacheHierarchy uniqueName="[Measures].[Avance Real B39 Periodo (2 sem)]" caption="Avance Real B39 Periodo (2 sem)" measure="1" displayFolder="" measureGroup="AR39_PQ" count="0" oneField="1">
      <fieldsUsage count="1">
        <fieldUsage x="8"/>
      </fieldsUsage>
    </cacheHierarchy>
    <cacheHierarchy uniqueName="[Measures].[Avance Real B39 base 100 Acumulado Anterior (1 mes)]" caption="Avance Real B39 base 100 Acumulado Anterior (1 mes)" measure="1" displayFolder="" measureGroup="AR39_PQ" count="0"/>
    <cacheHierarchy uniqueName="[Measures].[Avance Real B39 Periodo (1 mes)]" caption="Avance Real B39 Periodo (1 mes)" measure="1" displayFolder="" measureGroup="AR39_PQ" count="0"/>
    <cacheHierarchy uniqueName="[Measures].[Desviación B39]" caption="Desviación B39" measure="1" displayFolder="" measureGroup="AR39_PQ" count="0" oneField="1">
      <fieldsUsage count="1">
        <fieldUsage x="12"/>
      </fieldsUsage>
    </cacheHierarchy>
    <cacheHierarchy uniqueName="[Measures].[Desviación B39 (2 sem)]" caption="Desviación B39 (2 sem)" measure="1" displayFolder="" measureGroup="AR39_PQ" count="0" oneField="1">
      <fieldsUsage count="1">
        <fieldUsage x="10"/>
      </fieldsUsage>
    </cacheHierarchy>
    <cacheHierarchy uniqueName="[Measures].[Desviación B39 (1 mes)]" caption="Desviación B39 (1 mes)" measure="1" displayFolder="" measureGroup="AR39_PQ" count="0"/>
    <cacheHierarchy uniqueName="[Measures].[Sum Aportes B39]" caption="Sum Aportes B39" measure="1" displayFolder="" measureGroup="EDTN_PQ" count="0"/>
    <cacheHierarchy uniqueName="[Measures].[Sum Aportes (sin filtro)]" caption="Sum Aportes (sin filtro)" measure="1" displayFolder="" measureGroup="EDTN_PQ" count="0"/>
    <cacheHierarchy uniqueName="[Measures].[Aporte a la Desviación B39]" caption="Aporte a la Desviación B39" measure="1" displayFolder="" measureGroup="AR39_PQ" count="0" oneField="1">
      <fieldsUsage count="1">
        <fieldUsage x="13"/>
      </fieldsUsage>
    </cacheHierarchy>
    <cacheHierarchy uniqueName="[Measures].[Desviacion periodo B39 (1 mes)]" caption="Desviacion periodo B39 (1 mes)" measure="1" displayFolder="" measureGroup="AR39_PQ" count="0"/>
    <cacheHierarchy uniqueName="[Measures].[Desviacion periodo B39 (2 sem)]" caption="Desviacion periodo B39 (2 sem)" measure="1" displayFolder="" measureGroup="AR39_PQ" count="0" oneField="1">
      <fieldsUsage count="1">
        <fieldUsage x="11"/>
      </fieldsUsage>
    </cacheHierarchy>
    <cacheHierarchy uniqueName="[Measures].[Aporte Plan Acumulado Semanal]" caption="Aporte Plan Acumulado Semanal" measure="1" displayFolder="" measureGroup="PB100_PQ" count="0"/>
    <cacheHierarchy uniqueName="[Measures].[Aporte Plan Acumulado Semanal Anterior]" caption="Aporte Plan Acumulado Semanal Anterior" measure="1" displayFolder="" measureGroup="PB100_PQ" count="0"/>
    <cacheHierarchy uniqueName="[Measures].[Aporte Plan Semanal]" caption="Aporte Plan Semanal" measure="1" displayFolder="" measureGroup="PB100_PQ" count="0"/>
    <cacheHierarchy uniqueName="[Measures].[Avance Plan Base 100 Semanal]" caption="Avance Plan Base 100 Semanal" measure="1" displayFolder="" measureGroup="PB100_PQ" count="0"/>
    <cacheHierarchy uniqueName="[Measures].[Avance Plan base 100 Acumulado Semanal]" caption="Avance Plan base 100 Acumulado Semanal" measure="1" displayFolder="" measureGroup="PB100_PQ" count="0"/>
    <cacheHierarchy uniqueName="[Measures].[Avance Plan base 100 Acumulado Anterior (2 sem)]" caption="Avance Plan base 100 Acumulado Anterior (2 sem)" measure="1" displayFolder="" measureGroup="PB100_PQ" count="0"/>
    <cacheHierarchy uniqueName="[Measures].[Avance Plan Periodo (2 sem)]" caption="Avance Plan Periodo (2 sem)" measure="1" displayFolder="" measureGroup="PB100_PQ" count="0"/>
    <cacheHierarchy uniqueName="[Measures].[Avance Plan base 100 Acumulado Anterior (1 mes)]" caption="Avance Plan base 100 Acumulado Anterior (1 mes)" measure="1" displayFolder="" measureGroup="PB100_PQ" count="0"/>
    <cacheHierarchy uniqueName="[Measures].[Avance Plan Periodo (1 mes)]" caption="Avance Plan Periodo (1 mes)" measure="1" displayFolder="" measureGroup="PB100_PQ" count="0"/>
    <cacheHierarchy uniqueName="[Measures].[Desviación]" caption="Desviación" measure="1" displayFolder="" measureGroup="RA100_PQ" count="0"/>
    <cacheHierarchy uniqueName="[Measures].[Sum Aportes]" caption="Sum Aportes" measure="1" displayFolder="" measureGroup="EDTV_PQ" count="0"/>
    <cacheHierarchy uniqueName="[Measures].[Aporte a la Desviación]" caption="Aporte a la Desviación" measure="1" displayFolder="" measureGroup="RA100_PQ" count="0"/>
    <cacheHierarchy uniqueName="[Measures].[Avance Real Periodo (2 sem)]" caption="Avance Real Periodo (2 sem)" measure="1" displayFolder="" measureGroup="RA100_PQ" count="0"/>
    <cacheHierarchy uniqueName="[Measures].[Avance Real Periodo (1 mes)]" caption="Avance Real Periodo (1 mes)" measure="1" displayFolder="" measureGroup="RA100_PQ" count="0"/>
    <cacheHierarchy uniqueName="[Measures].[__XL_Count EDTV_PQ]" caption="__XL_Count EDTV_PQ" measure="1" displayFolder="" measureGroup="EDTV_PQ" count="0" hidden="1"/>
    <cacheHierarchy uniqueName="[Measures].[__XL_Count EDTN_PQ]" caption="__XL_Count EDTN_PQ" measure="1" displayFolder="" measureGroup="EDTN_PQ" count="0" hidden="1"/>
    <cacheHierarchy uniqueName="[Measures].[__XL_Count RA100_PQ]" caption="__XL_Count RA100_PQ" measure="1" displayFolder="" measureGroup="RA100_PQ" count="0" hidden="1"/>
    <cacheHierarchy uniqueName="[Measures].[__XL_Count AR39_PQ]" caption="__XL_Count AR39_PQ" measure="1" displayFolder="" measureGroup="AR39_PQ" count="0" hidden="1"/>
    <cacheHierarchy uniqueName="[Measures].[__XL_Count PB39_PQ]" caption="__XL_Count PB39_PQ" measure="1" displayFolder="" measureGroup="PB39_PQ" count="0" hidden="1"/>
    <cacheHierarchy uniqueName="[Measures].[__XL_Count PB100_PQ]" caption="__XL_Count PB100_PQ" measure="1" displayFolder="" measureGroup="PB100_PQ" count="0" hidden="1"/>
    <cacheHierarchy uniqueName="[Measures].[__XL_Count Calendario 1]" caption="__XL_Count Calendario 1" measure="1" displayFolder="" measureGroup="Calendario 1" count="0" hidden="1"/>
    <cacheHierarchy uniqueName="[Measures].[__No measures defined]" caption="__No measures defined" measure="1" displayFolder="" count="0" hidden="1"/>
  </cacheHierarchies>
  <kpis count="0"/>
  <dimensions count="8">
    <dimension name="AR39_PQ" uniqueName="[AR39_PQ]" caption="AR39_PQ"/>
    <dimension name="Calendario 1" uniqueName="[Calendario 1]" caption="Calendario 1"/>
    <dimension name="EDTN_PQ" uniqueName="[EDTN_PQ]" caption="EDTN_PQ"/>
    <dimension name="EDTV_PQ" uniqueName="[EDTV_PQ]" caption="EDTV_PQ"/>
    <dimension measure="1" name="Measures" uniqueName="[Measures]" caption="Measures"/>
    <dimension name="PB100_PQ" uniqueName="[PB100_PQ]" caption="PB100_PQ"/>
    <dimension name="PB39_PQ" uniqueName="[PB39_PQ]" caption="PB39_PQ"/>
    <dimension name="RA100_PQ" uniqueName="[RA100_PQ]" caption="RA100_PQ"/>
  </dimensions>
  <measureGroups count="7">
    <measureGroup name="AR39_PQ" caption="AR39_PQ"/>
    <measureGroup name="Calendario 1" caption="Calendario 1"/>
    <measureGroup name="EDTN_PQ" caption="EDTN_PQ"/>
    <measureGroup name="EDTV_PQ" caption="EDTV_PQ"/>
    <measureGroup name="PB100_PQ" caption="PB100_PQ"/>
    <measureGroup name="PB39_PQ" caption="PB39_PQ"/>
    <measureGroup name="RA100_PQ" caption="RA100_PQ"/>
  </measureGroups>
  <maps count="15">
    <map measureGroup="0" dimension="0"/>
    <map measureGroup="0" dimension="1"/>
    <map measureGroup="0" dimension="2"/>
    <map measureGroup="1" dimension="1"/>
    <map measureGroup="2" dimension="2"/>
    <map measureGroup="3" dimension="3"/>
    <map measureGroup="4" dimension="1"/>
    <map measureGroup="4" dimension="3"/>
    <map measureGroup="4" dimension="5"/>
    <map measureGroup="5" dimension="1"/>
    <map measureGroup="5" dimension="2"/>
    <map measureGroup="5" dimension="6"/>
    <map measureGroup="6" dimension="1"/>
    <map measureGroup="6" dimension="3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dro Sosa" refreshedDate="46204.685367361111" createdVersion="5" refreshedVersion="7" minRefreshableVersion="3" recordCount="0" supportSubquery="1" supportAdvancedDrill="1" xr:uid="{AB8E0D9B-09EA-4F07-8C25-DA194E90A420}">
  <cacheSource type="external" connectionId="8"/>
  <cacheFields count="5">
    <cacheField name="[EDTN_PQ].[N1].[N1]" caption="N1" numFmtId="0" hierarchy="11" level="1">
      <sharedItems count="1">
        <s v="Proyecto: Plan Master Tacoa"/>
      </sharedItems>
    </cacheField>
    <cacheField name="[EDTN_PQ].[N2].[N2]" caption="N2" numFmtId="0" hierarchy="12" level="1">
      <sharedItems count="2">
        <s v="Mantenimiento del Generador de Vapor (Caldera) y Equipos Auxiliares"/>
        <s v="Mantenimiento del Turbo Generador y Equipos Auxiliares"/>
      </sharedItems>
    </cacheField>
    <cacheField name="[EDTN_PQ].[N3].[N3]" caption="N3" numFmtId="0" hierarchy="13" level="1">
      <sharedItems count="22">
        <s v="0.0 Fin de actividades"/>
        <s v="1.1 Reparación de expansiones metálicas"/>
        <s v="1.10 Mantenimiento compresores de aire"/>
        <s v="1.2 Reemplazo de tubos de gas"/>
        <s v="1.3 Reparación envoltura metálica"/>
        <s v="1.4 Reparación de cámaras muertas"/>
        <s v="1.5 Reparación ductos de aire y gas"/>
        <s v="1.6 Reemplazo de tuberías ácido y soda"/>
        <s v="1.7 Mantenimiento en los equipos de balance BOP y equipos"/>
        <s v="1.9 Matenimiento de equipos y sistema de instrumentación"/>
        <s v="0.0 Actividades preliminares"/>
        <s v="2.10 Aislamiento térmico"/>
        <s v="2.11 Inspección y pruebas eléctricas del generador"/>
        <s v="2.12 Preparación de superficie metálica y cubrimiento"/>
        <s v="2.13 Mantenimiento de válvulas principales"/>
        <s v="2.14 Mantenimiento de equipos auxiliares"/>
        <s v="2.15 Desarmado de componentes y mantenimientos"/>
        <s v="2.16 Armado y ajustes"/>
        <s v="2.4 Reparación de componentes en talleres"/>
        <s v="2.6 Pruebas de ensayos no destructivos"/>
        <s v="2.7 Alineación de la turbina"/>
        <s v="2.9 Limpieza del sistema de lubricación y control"/>
      </sharedItems>
    </cacheField>
    <cacheField name="[Measures].[Desviación B39]" caption="Desviación B39" numFmtId="0" hierarchy="77" level="32767"/>
    <cacheField name="[Calendario 1].[Calendario].[Calendario]" caption="Calendario" numFmtId="0" hierarchy="9" level="1">
      <sharedItems containsSemiMixedTypes="0" containsNonDate="0" containsString="0"/>
    </cacheField>
  </cacheFields>
  <cacheHierarchies count="107">
    <cacheHierarchy uniqueName="[AR39_PQ].[N1]" caption="N1" attribute="1" defaultMemberUniqueName="[AR39_PQ].[N1].[All]" allUniqueName="[AR39_PQ].[N1].[All]" dimensionUniqueName="[AR39_PQ]" displayFolder="" count="0" memberValueDatatype="130" unbalanced="0"/>
    <cacheHierarchy uniqueName="[AR39_PQ].[N2]" caption="N2" attribute="1" defaultMemberUniqueName="[AR39_PQ].[N2].[All]" allUniqueName="[AR39_PQ].[N2].[All]" dimensionUniqueName="[AR39_PQ]" displayFolder="" count="0" memberValueDatatype="130" unbalanced="0"/>
    <cacheHierarchy uniqueName="[AR39_PQ].[N3]" caption="N3" attribute="1" defaultMemberUniqueName="[AR39_PQ].[N3].[All]" allUniqueName="[AR39_PQ].[N3].[All]" dimensionUniqueName="[AR39_PQ]" displayFolder="" count="0" memberValueDatatype="130" unbalanced="0"/>
    <cacheHierarchy uniqueName="[AR39_PQ].[N4]" caption="N4" attribute="1" defaultMemberUniqueName="[AR39_PQ].[N4].[All]" allUniqueName="[AR39_PQ].[N4].[All]" dimensionUniqueName="[AR39_PQ]" displayFolder="" count="0" memberValueDatatype="130" unbalanced="0"/>
    <cacheHierarchy uniqueName="[AR39_PQ].[Nuevos Pesos]" caption="Nuevos Pesos" attribute="1" defaultMemberUniqueName="[AR39_PQ].[Nuevos Pesos].[All]" allUniqueName="[AR39_PQ].[Nuevos Pesos].[All]" dimensionUniqueName="[AR39_PQ]" displayFolder="" count="0" memberValueDatatype="5" unbalanced="0"/>
    <cacheHierarchy uniqueName="[AR39_PQ].[Fecha]" caption="Fecha" attribute="1" time="1" defaultMemberUniqueName="[AR39_PQ].[Fecha].[All]" allUniqueName="[AR39_PQ].[Fecha].[All]" dimensionUniqueName="[AR39_PQ]" displayFolder="" count="0" memberValueDatatype="7" unbalanced="0"/>
    <cacheHierarchy uniqueName="[AR39_PQ].[AvanceBase39]" caption="AvanceBase39" attribute="1" defaultMemberUniqueName="[AR39_PQ].[AvanceBase39].[All]" allUniqueName="[AR39_PQ].[AvanceBase39].[All]" dimensionUniqueName="[AR39_PQ]" displayFolder="" count="0" memberValueDatatype="5" unbalanced="0"/>
    <cacheHierarchy uniqueName="[AR39_PQ].[N1.N2.N3.N4]" caption="N1.N2.N3.N4" attribute="1" defaultMemberUniqueName="[AR39_PQ].[N1.N2.N3.N4].[All]" allUniqueName="[AR39_PQ].[N1.N2.N3.N4].[All]" dimensionUniqueName="[AR39_PQ]" displayFolder="" count="0" memberValueDatatype="130" unbalanced="0"/>
    <cacheHierarchy uniqueName="[AR39_PQ].[Aporte Nuevo]" caption="Aporte Nuevo" attribute="1" defaultMemberUniqueName="[AR39_PQ].[Aporte Nuevo].[All]" allUniqueName="[AR39_PQ].[Aporte Nuevo].[All]" dimensionUniqueName="[AR39_PQ]" displayFolder="" count="0" memberValueDatatype="5" unbalanced="0"/>
    <cacheHierarchy uniqueName="[Calendario 1].[Calendario]" caption="Calendario" attribute="1" time="1" defaultMemberUniqueName="[Calendario 1].[Calendario].[All]" allUniqueName="[Calendario 1].[Calendario].[All]" dimensionUniqueName="[Calendario 1]" displayFolder="" count="2" memberValueDatatype="7" unbalanced="0">
      <fieldsUsage count="2">
        <fieldUsage x="-1"/>
        <fieldUsage x="4"/>
      </fieldsUsage>
    </cacheHierarchy>
    <cacheHierarchy uniqueName="[Calendario 1].[Columna calculada 1]" caption="Columna calculada 1" attribute="1" defaultMemberUniqueName="[Calendario 1].[Columna calculada 1].[All]" allUniqueName="[Calendario 1].[Columna calculada 1].[All]" dimensionUniqueName="[Calendario 1]" displayFolder="" count="0" memberValueDatatype="130" unbalanced="0"/>
    <cacheHierarchy uniqueName="[EDTN_PQ].[N1]" caption="N1" attribute="1" defaultMemberUniqueName="[EDTN_PQ].[N1].[All]" allUniqueName="[EDTN_PQ].[N1].[All]" dimensionUniqueName="[EDTN_PQ]" displayFolder="" count="2" memberValueDatatype="130" unbalanced="0">
      <fieldsUsage count="2">
        <fieldUsage x="-1"/>
        <fieldUsage x="0"/>
      </fieldsUsage>
    </cacheHierarchy>
    <cacheHierarchy uniqueName="[EDTN_PQ].[N2]" caption="N2" attribute="1" defaultMemberUniqueName="[EDTN_PQ].[N2].[All]" allUniqueName="[EDTN_PQ].[N2].[All]" dimensionUniqueName="[EDTN_PQ]" displayFolder="" count="2" memberValueDatatype="130" unbalanced="0">
      <fieldsUsage count="2">
        <fieldUsage x="-1"/>
        <fieldUsage x="1"/>
      </fieldsUsage>
    </cacheHierarchy>
    <cacheHierarchy uniqueName="[EDTN_PQ].[N3]" caption="N3" attribute="1" defaultMemberUniqueName="[EDTN_PQ].[N3].[All]" allUniqueName="[EDTN_PQ].[N3].[All]" dimensionUniqueName="[EDTN_PQ]" displayFolder="" count="2" memberValueDatatype="130" unbalanced="0">
      <fieldsUsage count="2">
        <fieldUsage x="-1"/>
        <fieldUsage x="2"/>
      </fieldsUsage>
    </cacheHierarchy>
    <cacheHierarchy uniqueName="[EDTN_PQ].[N4]" caption="N4" attribute="1" defaultMemberUniqueName="[EDTN_PQ].[N4].[All]" allUniqueName="[EDTN_PQ].[N4].[All]" dimensionUniqueName="[EDTN_PQ]" displayFolder="" count="0" memberValueDatatype="130" unbalanced="0"/>
    <cacheHierarchy uniqueName="[EDTN_PQ].[Nuevos Pesos]" caption="Nuevos Pesos" attribute="1" defaultMemberUniqueName="[EDTN_PQ].[Nuevos Pesos].[All]" allUniqueName="[EDTN_PQ].[Nuevos Pesos].[All]" dimensionUniqueName="[EDTN_PQ]" displayFolder="" count="0" memberValueDatatype="5" unbalanced="0"/>
    <cacheHierarchy uniqueName="[EDTN_PQ].[Aporte Nuevo]" caption="Aporte Nuevo" attribute="1" defaultMemberUniqueName="[EDTN_PQ].[Aporte Nuevo].[All]" allUniqueName="[EDTN_PQ].[Aporte Nuevo].[All]" dimensionUniqueName="[EDTN_PQ]" displayFolder="" count="0" memberValueDatatype="5" unbalanced="0"/>
    <cacheHierarchy uniqueName="[EDTN_PQ].[N1.N2.N3.N4]" caption="N1.N2.N3.N4" attribute="1" defaultMemberUniqueName="[EDTN_PQ].[N1.N2.N3.N4].[All]" allUniqueName="[EDTN_PQ].[N1.N2.N3.N4].[All]" dimensionUniqueName="[EDTN_PQ]" displayFolder="" count="0" memberValueDatatype="130" unbalanced="0"/>
    <cacheHierarchy uniqueName="[EDTV_PQ].[N1]" caption="N1" attribute="1" defaultMemberUniqueName="[EDTV_PQ].[N1].[All]" allUniqueName="[EDTV_PQ].[N1].[All]" dimensionUniqueName="[EDTV_PQ]" displayFolder="" count="0" memberValueDatatype="130" unbalanced="0"/>
    <cacheHierarchy uniqueName="[EDTV_PQ].[N2]" caption="N2" attribute="1" defaultMemberUniqueName="[EDTV_PQ].[N2].[All]" allUniqueName="[EDTV_PQ].[N2].[All]" dimensionUniqueName="[EDTV_PQ]" displayFolder="" count="0" memberValueDatatype="130" unbalanced="0"/>
    <cacheHierarchy uniqueName="[EDTV_PQ].[N3]" caption="N3" attribute="1" defaultMemberUniqueName="[EDTV_PQ].[N3].[All]" allUniqueName="[EDTV_PQ].[N3].[All]" dimensionUniqueName="[EDTV_PQ]" displayFolder="" count="0" memberValueDatatype="130" unbalanced="0"/>
    <cacheHierarchy uniqueName="[EDTV_PQ].[N4]" caption="N4" attribute="1" defaultMemberUniqueName="[EDTV_PQ].[N4].[All]" allUniqueName="[EDTV_PQ].[N4].[All]" dimensionUniqueName="[EDTV_PQ]" displayFolder="" count="0" memberValueDatatype="130" unbalanced="0"/>
    <cacheHierarchy uniqueName="[EDTV_PQ].[Pesos]" caption="Pesos" attribute="1" defaultMemberUniqueName="[EDTV_PQ].[Pesos].[All]" allUniqueName="[EDTV_PQ].[Pesos].[All]" dimensionUniqueName="[EDTV_PQ]" displayFolder="" count="0" memberValueDatatype="5" unbalanced="0"/>
    <cacheHierarchy uniqueName="[EDTV_PQ].[Aporte]" caption="Aporte" attribute="1" defaultMemberUniqueName="[EDTV_PQ].[Aporte].[All]" allUniqueName="[EDTV_PQ].[Aporte].[All]" dimensionUniqueName="[EDTV_PQ]" displayFolder="" count="0" memberValueDatatype="5" unbalanced="0"/>
    <cacheHierarchy uniqueName="[EDTV_PQ].[N1.N2.N3.N4]" caption="N1.N2.N3.N4" attribute="1" defaultMemberUniqueName="[EDTV_PQ].[N1.N2.N3.N4].[All]" allUniqueName="[EDTV_PQ].[N1.N2.N3.N4].[All]" dimensionUniqueName="[EDTV_PQ]" displayFolder="" count="0" memberValueDatatype="130" unbalanced="0"/>
    <cacheHierarchy uniqueName="[PB100_PQ].[N1]" caption="N1" attribute="1" defaultMemberUniqueName="[PB100_PQ].[N1].[All]" allUniqueName="[PB100_PQ].[N1].[All]" dimensionUniqueName="[PB100_PQ]" displayFolder="" count="0" memberValueDatatype="130" unbalanced="0"/>
    <cacheHierarchy uniqueName="[PB100_PQ].[N2]" caption="N2" attribute="1" defaultMemberUniqueName="[PB100_PQ].[N2].[All]" allUniqueName="[PB100_PQ].[N2].[All]" dimensionUniqueName="[PB100_PQ]" displayFolder="" count="0" memberValueDatatype="130" unbalanced="0"/>
    <cacheHierarchy uniqueName="[PB100_PQ].[N3]" caption="N3" attribute="1" defaultMemberUniqueName="[PB100_PQ].[N3].[All]" allUniqueName="[PB100_PQ].[N3].[All]" dimensionUniqueName="[PB100_PQ]" displayFolder="" count="0" memberValueDatatype="130" unbalanced="0"/>
    <cacheHierarchy uniqueName="[PB100_PQ].[N4]" caption="N4" attribute="1" defaultMemberUniqueName="[PB100_PQ].[N4].[All]" allUniqueName="[PB100_PQ].[N4].[All]" dimensionUniqueName="[PB100_PQ]" displayFolder="" count="0" memberValueDatatype="130" unbalanced="0"/>
    <cacheHierarchy uniqueName="[PB100_PQ].[Pesos]" caption="Pesos" attribute="1" defaultMemberUniqueName="[PB100_PQ].[Pesos].[All]" allUniqueName="[PB100_PQ].[Pesos].[All]" dimensionUniqueName="[PB100_PQ]" displayFolder="" count="0" memberValueDatatype="5" unbalanced="0"/>
    <cacheHierarchy uniqueName="[PB100_PQ].[Atributo]" caption="Atributo" attribute="1" time="1" defaultMemberUniqueName="[PB100_PQ].[Atributo].[All]" allUniqueName="[PB100_PQ].[Atributo].[All]" dimensionUniqueName="[PB100_PQ]" displayFolder="" count="0" memberValueDatatype="7" unbalanced="0"/>
    <cacheHierarchy uniqueName="[PB100_PQ].[Valor]" caption="Valor" attribute="1" defaultMemberUniqueName="[PB100_PQ].[Valor].[All]" allUniqueName="[PB100_PQ].[Valor].[All]" dimensionUniqueName="[PB100_PQ]" displayFolder="" count="0" memberValueDatatype="5" unbalanced="0"/>
    <cacheHierarchy uniqueName="[PB100_PQ].[N1.N2.N3.N4]" caption="N1.N2.N3.N4" attribute="1" defaultMemberUniqueName="[PB100_PQ].[N1.N2.N3.N4].[All]" allUniqueName="[PB100_PQ].[N1.N2.N3.N4].[All]" dimensionUniqueName="[PB100_PQ]" displayFolder="" count="0" memberValueDatatype="130" unbalanced="0"/>
    <cacheHierarchy uniqueName="[PB100_PQ].[Aportes Viejos]" caption="Aportes Viejos" attribute="1" defaultMemberUniqueName="[PB100_PQ].[Aportes Viejos].[All]" allUniqueName="[PB100_PQ].[Aportes Viejos].[All]" dimensionUniqueName="[PB100_PQ]" displayFolder="" count="0" memberValueDatatype="5" unbalanced="0"/>
    <cacheHierarchy uniqueName="[PB39_PQ].[N1]" caption="N1" attribute="1" defaultMemberUniqueName="[PB39_PQ].[N1].[All]" allUniqueName="[PB39_PQ].[N1].[All]" dimensionUniqueName="[PB39_PQ]" displayFolder="" count="0" memberValueDatatype="130" unbalanced="0"/>
    <cacheHierarchy uniqueName="[PB39_PQ].[N2]" caption="N2" attribute="1" defaultMemberUniqueName="[PB39_PQ].[N2].[All]" allUniqueName="[PB39_PQ].[N2].[All]" dimensionUniqueName="[PB39_PQ]" displayFolder="" count="0" memberValueDatatype="130" unbalanced="0"/>
    <cacheHierarchy uniqueName="[PB39_PQ].[N3]" caption="N3" attribute="1" defaultMemberUniqueName="[PB39_PQ].[N3].[All]" allUniqueName="[PB39_PQ].[N3].[All]" dimensionUniqueName="[PB39_PQ]" displayFolder="" count="0" memberValueDatatype="130" unbalanced="0"/>
    <cacheHierarchy uniqueName="[PB39_PQ].[N4]" caption="N4" attribute="1" defaultMemberUniqueName="[PB39_PQ].[N4].[All]" allUniqueName="[PB39_PQ].[N4].[All]" dimensionUniqueName="[PB39_PQ]" displayFolder="" count="0" memberValueDatatype="130" unbalanced="0"/>
    <cacheHierarchy uniqueName="[PB39_PQ].[Nuevos Pesos]" caption="Nuevos Pesos" attribute="1" defaultMemberUniqueName="[PB39_PQ].[Nuevos Pesos].[All]" allUniqueName="[PB39_PQ].[Nuevos Pesos].[All]" dimensionUniqueName="[PB39_PQ]" displayFolder="" count="0" memberValueDatatype="5" unbalanced="0"/>
    <cacheHierarchy uniqueName="[PB39_PQ].[Fecha]" caption="Fecha" attribute="1" time="1" defaultMemberUniqueName="[PB39_PQ].[Fecha].[All]" allUniqueName="[PB39_PQ].[Fecha].[All]" dimensionUniqueName="[PB39_PQ]" displayFolder="" count="0" memberValueDatatype="7" unbalanced="0"/>
    <cacheHierarchy uniqueName="[PB39_PQ].[PlanBase39]" caption="PlanBase39" attribute="1" defaultMemberUniqueName="[PB39_PQ].[PlanBase39].[All]" allUniqueName="[PB39_PQ].[PlanBase39].[All]" dimensionUniqueName="[PB39_PQ]" displayFolder="" count="0" memberValueDatatype="5" unbalanced="0"/>
    <cacheHierarchy uniqueName="[PB39_PQ].[N1.N2.N3.N4]" caption="N1.N2.N3.N4" attribute="1" defaultMemberUniqueName="[PB39_PQ].[N1.N2.N3.N4].[All]" allUniqueName="[PB39_PQ].[N1.N2.N3.N4].[All]" dimensionUniqueName="[PB39_PQ]" displayFolder="" count="0" memberValueDatatype="130" unbalanced="0"/>
    <cacheHierarchy uniqueName="[PB39_PQ].[Aportes Nuevo]" caption="Aportes Nuevo" attribute="1" defaultMemberUniqueName="[PB39_PQ].[Aportes Nuevo].[All]" allUniqueName="[PB39_PQ].[Aportes Nuevo].[All]" dimensionUniqueName="[PB39_PQ]" displayFolder="" count="0" memberValueDatatype="5" unbalanced="0"/>
    <cacheHierarchy uniqueName="[RA100_PQ].[N1]" caption="N1" attribute="1" defaultMemberUniqueName="[RA100_PQ].[N1].[All]" allUniqueName="[RA100_PQ].[N1].[All]" dimensionUniqueName="[RA100_PQ]" displayFolder="" count="0" memberValueDatatype="130" unbalanced="0"/>
    <cacheHierarchy uniqueName="[RA100_PQ].[N2]" caption="N2" attribute="1" defaultMemberUniqueName="[RA100_PQ].[N2].[All]" allUniqueName="[RA100_PQ].[N2].[All]" dimensionUniqueName="[RA100_PQ]" displayFolder="" count="0" memberValueDatatype="130" unbalanced="0"/>
    <cacheHierarchy uniqueName="[RA100_PQ].[N3]" caption="N3" attribute="1" defaultMemberUniqueName="[RA100_PQ].[N3].[All]" allUniqueName="[RA100_PQ].[N3].[All]" dimensionUniqueName="[RA100_PQ]" displayFolder="" count="0" memberValueDatatype="130" unbalanced="0"/>
    <cacheHierarchy uniqueName="[RA100_PQ].[N4]" caption="N4" attribute="1" defaultMemberUniqueName="[RA100_PQ].[N4].[All]" allUniqueName="[RA100_PQ].[N4].[All]" dimensionUniqueName="[RA100_PQ]" displayFolder="" count="0" memberValueDatatype="130" unbalanced="0"/>
    <cacheHierarchy uniqueName="[RA100_PQ].[Pesos]" caption="Pesos" attribute="1" defaultMemberUniqueName="[RA100_PQ].[Pesos].[All]" allUniqueName="[RA100_PQ].[Pesos].[All]" dimensionUniqueName="[RA100_PQ]" displayFolder="" count="0" memberValueDatatype="5" unbalanced="0"/>
    <cacheHierarchy uniqueName="[RA100_PQ].[Fecha]" caption="Fecha" attribute="1" time="1" defaultMemberUniqueName="[RA100_PQ].[Fecha].[All]" allUniqueName="[RA100_PQ].[Fecha].[All]" dimensionUniqueName="[RA100_PQ]" displayFolder="" count="0" memberValueDatatype="7" unbalanced="0"/>
    <cacheHierarchy uniqueName="[RA100_PQ].[RA100]" caption="RA100" attribute="1" defaultMemberUniqueName="[RA100_PQ].[RA100].[All]" allUniqueName="[RA100_PQ].[RA100].[All]" dimensionUniqueName="[RA100_PQ]" displayFolder="" count="0" memberValueDatatype="5" unbalanced="0"/>
    <cacheHierarchy uniqueName="[RA100_PQ].[N1.N2.N3.N4]" caption="N1.N2.N3.N4" attribute="1" defaultMemberUniqueName="[RA100_PQ].[N1.N2.N3.N4].[All]" allUniqueName="[RA100_PQ].[N1.N2.N3.N4].[All]" dimensionUniqueName="[RA100_PQ]" displayFolder="" count="0" memberValueDatatype="130" unbalanced="0"/>
    <cacheHierarchy uniqueName="[RA100_PQ].[AporteViejo]" caption="AporteViejo" attribute="1" defaultMemberUniqueName="[RA100_PQ].[AporteViejo].[All]" allUniqueName="[RA100_PQ].[AporteViejo].[All]" dimensionUniqueName="[RA100_PQ]" displayFolder="" count="0" memberValueDatatype="5" unbalanced="0"/>
    <cacheHierarchy uniqueName="[Measures].[Aporte Real Acumulado Semanal]" caption="Aporte Real Acumulado Semanal" measure="1" displayFolder="" measureGroup="RA100_PQ" count="0"/>
    <cacheHierarchy uniqueName="[Measures].[Aporte Real Acumulado Semanal Anterior]" caption="Aporte Real Acumulado Semanal Anterior" measure="1" displayFolder="" measureGroup="RA100_PQ" count="0"/>
    <cacheHierarchy uniqueName="[Measures].[Aporte Real Semanal]" caption="Aporte Real Semanal" measure="1" displayFolder="" measureGroup="RA100_PQ" count="0"/>
    <cacheHierarchy uniqueName="[Measures].[Avance Real Base 100 Semanal]" caption="Avance Real Base 100 Semanal" measure="1" displayFolder="" measureGroup="RA100_PQ" count="0"/>
    <cacheHierarchy uniqueName="[Measures].[Avance Real base 100 Acumulado Semanal]" caption="Avance Real base 100 Acumulado Semanal" measure="1" displayFolder="" measureGroup="RA100_PQ" count="0"/>
    <cacheHierarchy uniqueName="[Measures].[Avance Real base 100 Acumulado Anterior (2 sem)]" caption="Avance Real base 100 Acumulado Anterior (2 sem)" measure="1" displayFolder="" measureGroup="RA100_PQ" count="0"/>
    <cacheHierarchy uniqueName="[Measures].[Avance Real base 100 Acumulado Anterior (1 mes)]" caption="Avance Real base 100 Acumulado Anterior (1 mes)" measure="1" displayFolder="" measureGroup="RA100_PQ" count="0"/>
    <cacheHierarchy uniqueName="[Measures].[Aporte Plan B39 Acumulado Semanal]" caption="Aporte Plan B39 Acumulado Semanal" measure="1" displayFolder="" measureGroup="PB39_PQ" count="0"/>
    <cacheHierarchy uniqueName="[Measures].[Aporte Plan B39 Acumulado Semanal Anterior]" caption="Aporte Plan B39 Acumulado Semanal Anterior" measure="1" displayFolder="" measureGroup="PB39_PQ" count="0"/>
    <cacheHierarchy uniqueName="[Measures].[Aporte Plan B39 Semanal]" caption="Aporte Plan B39 Semanal" measure="1" displayFolder="" measureGroup="PB39_PQ" count="0"/>
    <cacheHierarchy uniqueName="[Measures].[Avance Plan B39 Base 100 Semanal]" caption="Avance Plan B39 Base 100 Semanal" measure="1" displayFolder="" measureGroup="PB39_PQ" count="0"/>
    <cacheHierarchy uniqueName="[Measures].[Avance Plan B39 base 100 Acumulado Semanal]" caption="Avance Plan B39 base 100 Acumulado Semanal" measure="1" displayFolder="" measureGroup="PB39_PQ" count="0"/>
    <cacheHierarchy uniqueName="[Measures].[Avance Plan B39 base 100 Acumulado Anterior (2 sem)]" caption="Avance Plan B39 base 100 Acumulado Anterior (2 sem)" measure="1" displayFolder="" measureGroup="PB39_PQ" count="0"/>
    <cacheHierarchy uniqueName="[Measures].[Avance Plan Periodo B39 (2 sem)]" caption="Avance Plan Periodo B39 (2 sem)" measure="1" displayFolder="" measureGroup="PB39_PQ" count="0"/>
    <cacheHierarchy uniqueName="[Measures].[Avance Plan B39 base 100 Acumulado Anterior (1 mes)]" caption="Avance Plan B39 base 100 Acumulado Anterior (1 mes)" measure="1" displayFolder="" measureGroup="PB39_PQ" count="0"/>
    <cacheHierarchy uniqueName="[Measures].[Avance Plan Periodo B39 (1 mes)]" caption="Avance Plan Periodo B39 (1 mes)" measure="1" displayFolder="" measureGroup="PB39_PQ" count="0"/>
    <cacheHierarchy uniqueName="[Measures].[Aporte Real B39 Acumulado Semanal]" caption="Aporte Real B39 Acumulado Semanal" measure="1" displayFolder="" measureGroup="AR39_PQ" count="0"/>
    <cacheHierarchy uniqueName="[Measures].[Aporte Real B39 Acumulado Semanal Anterior]" caption="Aporte Real B39 Acumulado Semanal Anterior" measure="1" displayFolder="" measureGroup="AR39_PQ" count="0"/>
    <cacheHierarchy uniqueName="[Measures].[Aporte Real B39 Semanal]" caption="Aporte Real B39 Semanal" measure="1" displayFolder="" measureGroup="AR39_PQ" count="0"/>
    <cacheHierarchy uniqueName="[Measures].[Avance Real B39 Base 100 Semanal]" caption="Avance Real B39 Base 100 Semanal" measure="1" displayFolder="" measureGroup="AR39_PQ" count="0"/>
    <cacheHierarchy uniqueName="[Measures].[Avance Real B39 base 100 Acumulado Semanal]" caption="Avance Real B39 base 100 Acumulado Semanal" measure="1" displayFolder="" measureGroup="AR39_PQ" count="0"/>
    <cacheHierarchy uniqueName="[Measures].[Avance Real B39 base 100 Acumulado Anterior (2 sem)]" caption="Avance Real B39 base 100 Acumulado Anterior (2 sem)" measure="1" displayFolder="" measureGroup="AR39_PQ" count="0"/>
    <cacheHierarchy uniqueName="[Measures].[Avance Real B39 Periodo (2 sem)]" caption="Avance Real B39 Periodo (2 sem)" measure="1" displayFolder="" measureGroup="AR39_PQ" count="0"/>
    <cacheHierarchy uniqueName="[Measures].[Avance Real B39 base 100 Acumulado Anterior (1 mes)]" caption="Avance Real B39 base 100 Acumulado Anterior (1 mes)" measure="1" displayFolder="" measureGroup="AR39_PQ" count="0"/>
    <cacheHierarchy uniqueName="[Measures].[Avance Real B39 Periodo (1 mes)]" caption="Avance Real B39 Periodo (1 mes)" measure="1" displayFolder="" measureGroup="AR39_PQ" count="0"/>
    <cacheHierarchy uniqueName="[Measures].[Desviación B39]" caption="Desviación B39" measure="1" displayFolder="" measureGroup="AR39_PQ" count="0" oneField="1">
      <fieldsUsage count="1">
        <fieldUsage x="3"/>
      </fieldsUsage>
    </cacheHierarchy>
    <cacheHierarchy uniqueName="[Measures].[Desviación B39 (2 sem)]" caption="Desviación B39 (2 sem)" measure="1" displayFolder="" measureGroup="AR39_PQ" count="0"/>
    <cacheHierarchy uniqueName="[Measures].[Desviación B39 (1 mes)]" caption="Desviación B39 (1 mes)" measure="1" displayFolder="" measureGroup="AR39_PQ" count="0"/>
    <cacheHierarchy uniqueName="[Measures].[Sum Aportes B39]" caption="Sum Aportes B39" measure="1" displayFolder="" measureGroup="EDTN_PQ" count="0"/>
    <cacheHierarchy uniqueName="[Measures].[Sum Aportes (sin filtro)]" caption="Sum Aportes (sin filtro)" measure="1" displayFolder="" measureGroup="EDTN_PQ" count="0"/>
    <cacheHierarchy uniqueName="[Measures].[Aporte a la Desviación B39]" caption="Aporte a la Desviación B39" measure="1" displayFolder="" measureGroup="AR39_PQ" count="0"/>
    <cacheHierarchy uniqueName="[Measures].[Desviacion periodo B39 (1 mes)]" caption="Desviacion periodo B39 (1 mes)" measure="1" displayFolder="" measureGroup="AR39_PQ" count="0"/>
    <cacheHierarchy uniqueName="[Measures].[Desviacion periodo B39 (2 sem)]" caption="Desviacion periodo B39 (2 sem)" measure="1" displayFolder="" measureGroup="AR39_PQ" count="0"/>
    <cacheHierarchy uniqueName="[Measures].[Aporte Plan Acumulado Semanal]" caption="Aporte Plan Acumulado Semanal" measure="1" displayFolder="" measureGroup="PB100_PQ" count="0"/>
    <cacheHierarchy uniqueName="[Measures].[Aporte Plan Acumulado Semanal Anterior]" caption="Aporte Plan Acumulado Semanal Anterior" measure="1" displayFolder="" measureGroup="PB100_PQ" count="0"/>
    <cacheHierarchy uniqueName="[Measures].[Aporte Plan Semanal]" caption="Aporte Plan Semanal" measure="1" displayFolder="" measureGroup="PB100_PQ" count="0"/>
    <cacheHierarchy uniqueName="[Measures].[Avance Plan Base 100 Semanal]" caption="Avance Plan Base 100 Semanal" measure="1" displayFolder="" measureGroup="PB100_PQ" count="0"/>
    <cacheHierarchy uniqueName="[Measures].[Avance Plan base 100 Acumulado Semanal]" caption="Avance Plan base 100 Acumulado Semanal" measure="1" displayFolder="" measureGroup="PB100_PQ" count="0"/>
    <cacheHierarchy uniqueName="[Measures].[Avance Plan base 100 Acumulado Anterior (2 sem)]" caption="Avance Plan base 100 Acumulado Anterior (2 sem)" measure="1" displayFolder="" measureGroup="PB100_PQ" count="0"/>
    <cacheHierarchy uniqueName="[Measures].[Avance Plan Periodo (2 sem)]" caption="Avance Plan Periodo (2 sem)" measure="1" displayFolder="" measureGroup="PB100_PQ" count="0"/>
    <cacheHierarchy uniqueName="[Measures].[Avance Plan base 100 Acumulado Anterior (1 mes)]" caption="Avance Plan base 100 Acumulado Anterior (1 mes)" measure="1" displayFolder="" measureGroup="PB100_PQ" count="0"/>
    <cacheHierarchy uniqueName="[Measures].[Avance Plan Periodo (1 mes)]" caption="Avance Plan Periodo (1 mes)" measure="1" displayFolder="" measureGroup="PB100_PQ" count="0"/>
    <cacheHierarchy uniqueName="[Measures].[Desviación]" caption="Desviación" measure="1" displayFolder="" measureGroup="RA100_PQ" count="0"/>
    <cacheHierarchy uniqueName="[Measures].[Sum Aportes]" caption="Sum Aportes" measure="1" displayFolder="" measureGroup="EDTV_PQ" count="0"/>
    <cacheHierarchy uniqueName="[Measures].[Aporte a la Desviación]" caption="Aporte a la Desviación" measure="1" displayFolder="" measureGroup="RA100_PQ" count="0"/>
    <cacheHierarchy uniqueName="[Measures].[Avance Real Periodo (2 sem)]" caption="Avance Real Periodo (2 sem)" measure="1" displayFolder="" measureGroup="RA100_PQ" count="0"/>
    <cacheHierarchy uniqueName="[Measures].[Avance Real Periodo (1 mes)]" caption="Avance Real Periodo (1 mes)" measure="1" displayFolder="" measureGroup="RA100_PQ" count="0"/>
    <cacheHierarchy uniqueName="[Measures].[__XL_Count EDTV_PQ]" caption="__XL_Count EDTV_PQ" measure="1" displayFolder="" measureGroup="EDTV_PQ" count="0" hidden="1"/>
    <cacheHierarchy uniqueName="[Measures].[__XL_Count EDTN_PQ]" caption="__XL_Count EDTN_PQ" measure="1" displayFolder="" measureGroup="EDTN_PQ" count="0" hidden="1"/>
    <cacheHierarchy uniqueName="[Measures].[__XL_Count RA100_PQ]" caption="__XL_Count RA100_PQ" measure="1" displayFolder="" measureGroup="RA100_PQ" count="0" hidden="1"/>
    <cacheHierarchy uniqueName="[Measures].[__XL_Count AR39_PQ]" caption="__XL_Count AR39_PQ" measure="1" displayFolder="" measureGroup="AR39_PQ" count="0" hidden="1"/>
    <cacheHierarchy uniqueName="[Measures].[__XL_Count PB39_PQ]" caption="__XL_Count PB39_PQ" measure="1" displayFolder="" measureGroup="PB39_PQ" count="0" hidden="1"/>
    <cacheHierarchy uniqueName="[Measures].[__XL_Count PB100_PQ]" caption="__XL_Count PB100_PQ" measure="1" displayFolder="" measureGroup="PB100_PQ" count="0" hidden="1"/>
    <cacheHierarchy uniqueName="[Measures].[__XL_Count Calendario 1]" caption="__XL_Count Calendario 1" measure="1" displayFolder="" measureGroup="Calendario 1" count="0" hidden="1"/>
    <cacheHierarchy uniqueName="[Measures].[__No measures defined]" caption="__No measures defined" measure="1" displayFolder="" count="0" hidden="1"/>
  </cacheHierarchies>
  <kpis count="0"/>
  <dimensions count="8">
    <dimension name="AR39_PQ" uniqueName="[AR39_PQ]" caption="AR39_PQ"/>
    <dimension name="Calendario 1" uniqueName="[Calendario 1]" caption="Calendario 1"/>
    <dimension name="EDTN_PQ" uniqueName="[EDTN_PQ]" caption="EDTN_PQ"/>
    <dimension name="EDTV_PQ" uniqueName="[EDTV_PQ]" caption="EDTV_PQ"/>
    <dimension measure="1" name="Measures" uniqueName="[Measures]" caption="Measures"/>
    <dimension name="PB100_PQ" uniqueName="[PB100_PQ]" caption="PB100_PQ"/>
    <dimension name="PB39_PQ" uniqueName="[PB39_PQ]" caption="PB39_PQ"/>
    <dimension name="RA100_PQ" uniqueName="[RA100_PQ]" caption="RA100_PQ"/>
  </dimensions>
  <measureGroups count="7">
    <measureGroup name="AR39_PQ" caption="AR39_PQ"/>
    <measureGroup name="Calendario 1" caption="Calendario 1"/>
    <measureGroup name="EDTN_PQ" caption="EDTN_PQ"/>
    <measureGroup name="EDTV_PQ" caption="EDTV_PQ"/>
    <measureGroup name="PB100_PQ" caption="PB100_PQ"/>
    <measureGroup name="PB39_PQ" caption="PB39_PQ"/>
    <measureGroup name="RA100_PQ" caption="RA100_PQ"/>
  </measureGroups>
  <maps count="15">
    <map measureGroup="0" dimension="0"/>
    <map measureGroup="0" dimension="1"/>
    <map measureGroup="0" dimension="2"/>
    <map measureGroup="1" dimension="1"/>
    <map measureGroup="2" dimension="2"/>
    <map measureGroup="3" dimension="3"/>
    <map measureGroup="4" dimension="1"/>
    <map measureGroup="4" dimension="3"/>
    <map measureGroup="4" dimension="5"/>
    <map measureGroup="5" dimension="1"/>
    <map measureGroup="5" dimension="2"/>
    <map measureGroup="5" dimension="6"/>
    <map measureGroup="6" dimension="1"/>
    <map measureGroup="6" dimension="3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dro Sosa" refreshedDate="46204.685371064814" createdVersion="5" refreshedVersion="7" minRefreshableVersion="3" recordCount="0" supportSubquery="1" supportAdvancedDrill="1" xr:uid="{F405C7D5-794D-4874-8BE3-23CB62623618}">
  <cacheSource type="external" connectionId="8"/>
  <cacheFields count="15">
    <cacheField name="[EDTN_PQ].[N1].[N1]" caption="N1" numFmtId="0" hierarchy="11" level="1">
      <sharedItems count="1">
        <s v="Proyecto: Plan Master Tacoa"/>
      </sharedItems>
    </cacheField>
    <cacheField name="[EDTN_PQ].[N2].[N2]" caption="N2" numFmtId="0" hierarchy="12" level="1">
      <sharedItems count="2">
        <s v="Mantenimiento del Generador de Vapor (Caldera) y Equipos Auxiliares"/>
        <s v="Mantenimiento del Turbo Generador y Equipos Auxiliares"/>
      </sharedItems>
    </cacheField>
    <cacheField name="[EDTN_PQ].[N3].[N3]" caption="N3" numFmtId="0" hierarchy="13" level="1">
      <sharedItems count="22">
        <s v="0.0 Fin de actividades"/>
        <s v="1.1 Reparación de expansiones metálicas"/>
        <s v="1.10 Mantenimiento compresores de aire"/>
        <s v="1.2 Reemplazo de tubos de gas"/>
        <s v="1.3 Reparación envoltura metálica"/>
        <s v="1.4 Reparación de cámaras muertas"/>
        <s v="1.5 Reparación ductos de aire y gas"/>
        <s v="1.6 Reemplazo de tuberías ácido y soda"/>
        <s v="1.7 Mantenimiento en los equipos de balance BOP y equipos"/>
        <s v="1.9 Matenimiento de equipos y sistema de instrumentación"/>
        <s v="0.0 Actividades preliminares"/>
        <s v="2.10 Aislamiento térmico"/>
        <s v="2.11 Inspección y pruebas eléctricas del generador"/>
        <s v="2.12 Preparación de superficie metálica y cubrimiento"/>
        <s v="2.13 Mantenimiento de válvulas principales"/>
        <s v="2.14 Mantenimiento de equipos auxiliares"/>
        <s v="2.15 Desarmado de componentes y mantenimientos"/>
        <s v="2.16 Armado y ajustes"/>
        <s v="2.4 Reparación de componentes en talleres"/>
        <s v="2.6 Pruebas de ensayos no destructivos"/>
        <s v="2.7 Alineación de la turbina"/>
        <s v="2.9 Limpieza del sistema de lubricación y control"/>
      </sharedItems>
    </cacheField>
    <cacheField name="[EDTN_PQ].[N4].[N4]" caption="N4" numFmtId="0" hierarchy="14" level="1">
      <sharedItems count="61">
        <s v="Fin de actividades"/>
        <s v="Galvanizado de expansiones fabricadas"/>
        <s v="Instalación de aislamiento y enchaquetado aluminio"/>
        <s v="Instalación de expansiones nuevas"/>
        <s v="Remoción de expansiones deterioradas"/>
        <s v="Mantenimiento de los compresores de aire"/>
        <s v="Reemplazo de tubos de gas de los quemdores de la caldera"/>
        <s v="Montaje y ajuste de envoltura metálica externa en paredes"/>
        <s v="Montaje y ajuste de lana mineral externa en paredes"/>
        <s v="Reparación de cámara muerta inferior"/>
        <s v="Reparación de cámara muerta intermedia"/>
        <s v="Reparación de cámara muerta superior"/>
        <s v="Reconstrucción de ductos aire caliente"/>
        <s v="Reconstrucción de ductos de entrada de aire"/>
        <s v="Instalación de tuberías y válvulas de PVC"/>
        <s v="Servicio de mantenimiento de bombas extracción de condensando"/>
        <s v="Servicio de mantenimiento mantenimiento bombas agua de componentes"/>
        <s v="Servicio de mantenimiento mantenimiento valvula check de la bomba agua de alimentación"/>
        <s v="Servicio de Actuador Neumáticos"/>
        <s v="Servicio de Barrido y Llenado del Hidrógeno (H2) del Generador"/>
        <s v="Servicio de Mantenimiento Compuertas Aire Auxiliar y Combustión"/>
        <s v="Servicio de Mantenimiento de Válvulas de Control"/>
        <s v="Servicio de Mantenimiento Interruptores de Flujo"/>
        <s v="Servicio de Mantenimiento Interruptores de Nivel"/>
        <s v="Servicio de Mantenimiento Interruptores de Temperatura"/>
        <s v="Servicio de Revisión de Manómetros y Termómetros"/>
        <s v="Servicio de Revisión de Termocupla"/>
        <s v="Servicio de Revisión de Trasmisores de Presión"/>
        <s v="Desmontaje de Rotor Generador."/>
        <s v="Desmontaje de aislamiento térmico"/>
        <s v="Fabricación e instalación de aislamiento térmico"/>
        <s v="Inspección y mantenimiento al estator del generador"/>
        <s v="Inspección y mantenimiento al rotor del generador"/>
        <s v="Preparación y cubrimiento de carcazas de turbina, generador y excitatriz"/>
        <s v="Preparación y cubrimiento de equipos auxiliares del turbogenerador"/>
        <s v="Preparación y cubrimiento de partes y piezas de la turbina"/>
        <s v="Mantenimiento de válvulas de control"/>
        <s v="Mantenimiento de válvulas interceptoras"/>
        <s v="Mantenimiento de válvulas principales de turbinas"/>
        <s v="Mantenimiento y cambio de rodamientos de motobomba de aceite auxiliar"/>
        <s v="Mantenimiento y cambio de rodamientos de motobomba de aceite de sellos"/>
        <s v="Mantenimiento y cambio de rodamientos de motobomba de aceite principal"/>
        <s v="Mantenimiento y cambio de rodamientos de motobomba de agua estórica"/>
        <s v="Mantenimiento y cambio de rodamientos de motor de rotación lenta"/>
        <s v="Mantenimiento y cambio de rodamientos de motor ventilador extrator de vapor de sellos"/>
        <s v="Mantenimiento de crossover y sustitución de empaquetaduras"/>
        <s v="Mantenimiento y fabricación de tornillería"/>
        <s v="Mantenimiento, limpieza y pintura de carcaza"/>
        <s v="Instalación de rotor de generador eléctrico y Alinear."/>
        <s v="Instalación y rearmado de los diafragmas"/>
        <s v="Re-armado de la Turbina."/>
        <s v="Carga y traslado de taller a obra de deflectores de aceite."/>
        <s v="Carga y traslado de taller a obra de diafragmas."/>
        <s v="Inspeccion y Mantenimiento de rotores, Alta, Baja presión A y B."/>
        <s v="Inspeccion y Reparación de Diafragmas."/>
        <s v="Reparación de todos los deflectores de aceite."/>
        <s v="Limpieza e inspección de ensayos no destructivos y dimensional de deflectores de aire"/>
        <s v="Realizar inspección de ensayos no destructivos para determinar cualquier daño posible a las carcazas, válvula príncipal de vapor, etc"/>
        <s v="Instalación y alineación de ejes, realizar acople."/>
        <s v="Flushing al sistema de lubricación."/>
        <s v="Limpieza al reservorio de aceite."/>
      </sharedItems>
    </cacheField>
    <cacheField name="[Measures].[Avance Plan B39 base 100 Acumulado Anterior (1 mes)]" caption="Avance Plan B39 base 100 Acumulado Anterior (1 mes)" numFmtId="0" hierarchy="66" level="32767"/>
    <cacheField name="[Measures].[Avance Plan Periodo B39 (1 mes)]" caption="Avance Plan Periodo B39 (1 mes)" numFmtId="0" hierarchy="67" level="32767"/>
    <cacheField name="[Measures].[Avance Plan B39 base 100 Acumulado Semanal]" caption="Avance Plan B39 base 100 Acumulado Semanal" numFmtId="0" hierarchy="63" level="32767"/>
    <cacheField name="[Measures].[Avance Real B39 base 100 Acumulado Anterior (1 mes)]" caption="Avance Real B39 base 100 Acumulado Anterior (1 mes)" numFmtId="0" hierarchy="75" level="32767"/>
    <cacheField name="[Measures].[Avance Real B39 Periodo (1 mes)]" caption="Avance Real B39 Periodo (1 mes)" numFmtId="0" hierarchy="76" level="32767"/>
    <cacheField name="[Measures].[Avance Real B39 base 100 Acumulado Semanal]" caption="Avance Real B39 base 100 Acumulado Semanal" numFmtId="0" hierarchy="72" level="32767"/>
    <cacheField name="[Measures].[Desviación B39 (1 mes)]" caption="Desviación B39 (1 mes)" numFmtId="0" hierarchy="79" level="32767"/>
    <cacheField name="[Measures].[Desviacion periodo B39 (1 mes)]" caption="Desviacion periodo B39 (1 mes)" numFmtId="0" hierarchy="83" level="32767"/>
    <cacheField name="[Measures].[Desviación B39]" caption="Desviación B39" numFmtId="0" hierarchy="77" level="32767"/>
    <cacheField name="[Measures].[Aporte a la Desviación B39]" caption="Aporte a la Desviación B39" numFmtId="0" hierarchy="82" level="32767"/>
    <cacheField name="[Calendario 1].[Calendario].[Calendario]" caption="Calendario" numFmtId="0" hierarchy="9" level="1">
      <sharedItems containsSemiMixedTypes="0" containsNonDate="0" containsString="0"/>
    </cacheField>
  </cacheFields>
  <cacheHierarchies count="107">
    <cacheHierarchy uniqueName="[AR39_PQ].[N1]" caption="N1" attribute="1" defaultMemberUniqueName="[AR39_PQ].[N1].[All]" allUniqueName="[AR39_PQ].[N1].[All]" dimensionUniqueName="[AR39_PQ]" displayFolder="" count="0" memberValueDatatype="130" unbalanced="0"/>
    <cacheHierarchy uniqueName="[AR39_PQ].[N2]" caption="N2" attribute="1" defaultMemberUniqueName="[AR39_PQ].[N2].[All]" allUniqueName="[AR39_PQ].[N2].[All]" dimensionUniqueName="[AR39_PQ]" displayFolder="" count="0" memberValueDatatype="130" unbalanced="0"/>
    <cacheHierarchy uniqueName="[AR39_PQ].[N3]" caption="N3" attribute="1" defaultMemberUniqueName="[AR39_PQ].[N3].[All]" allUniqueName="[AR39_PQ].[N3].[All]" dimensionUniqueName="[AR39_PQ]" displayFolder="" count="0" memberValueDatatype="130" unbalanced="0"/>
    <cacheHierarchy uniqueName="[AR39_PQ].[N4]" caption="N4" attribute="1" defaultMemberUniqueName="[AR39_PQ].[N4].[All]" allUniqueName="[AR39_PQ].[N4].[All]" dimensionUniqueName="[AR39_PQ]" displayFolder="" count="0" memberValueDatatype="130" unbalanced="0"/>
    <cacheHierarchy uniqueName="[AR39_PQ].[Nuevos Pesos]" caption="Nuevos Pesos" attribute="1" defaultMemberUniqueName="[AR39_PQ].[Nuevos Pesos].[All]" allUniqueName="[AR39_PQ].[Nuevos Pesos].[All]" dimensionUniqueName="[AR39_PQ]" displayFolder="" count="0" memberValueDatatype="5" unbalanced="0"/>
    <cacheHierarchy uniqueName="[AR39_PQ].[Fecha]" caption="Fecha" attribute="1" time="1" defaultMemberUniqueName="[AR39_PQ].[Fecha].[All]" allUniqueName="[AR39_PQ].[Fecha].[All]" dimensionUniqueName="[AR39_PQ]" displayFolder="" count="0" memberValueDatatype="7" unbalanced="0"/>
    <cacheHierarchy uniqueName="[AR39_PQ].[AvanceBase39]" caption="AvanceBase39" attribute="1" defaultMemberUniqueName="[AR39_PQ].[AvanceBase39].[All]" allUniqueName="[AR39_PQ].[AvanceBase39].[All]" dimensionUniqueName="[AR39_PQ]" displayFolder="" count="0" memberValueDatatype="5" unbalanced="0"/>
    <cacheHierarchy uniqueName="[AR39_PQ].[N1.N2.N3.N4]" caption="N1.N2.N3.N4" attribute="1" defaultMemberUniqueName="[AR39_PQ].[N1.N2.N3.N4].[All]" allUniqueName="[AR39_PQ].[N1.N2.N3.N4].[All]" dimensionUniqueName="[AR39_PQ]" displayFolder="" count="0" memberValueDatatype="130" unbalanced="0"/>
    <cacheHierarchy uniqueName="[AR39_PQ].[Aporte Nuevo]" caption="Aporte Nuevo" attribute="1" defaultMemberUniqueName="[AR39_PQ].[Aporte Nuevo].[All]" allUniqueName="[AR39_PQ].[Aporte Nuevo].[All]" dimensionUniqueName="[AR39_PQ]" displayFolder="" count="0" memberValueDatatype="5" unbalanced="0"/>
    <cacheHierarchy uniqueName="[Calendario 1].[Calendario]" caption="Calendario" attribute="1" time="1" defaultMemberUniqueName="[Calendario 1].[Calendario].[All]" allUniqueName="[Calendario 1].[Calendario].[All]" dimensionUniqueName="[Calendario 1]" displayFolder="" count="2" memberValueDatatype="7" unbalanced="0">
      <fieldsUsage count="2">
        <fieldUsage x="-1"/>
        <fieldUsage x="14"/>
      </fieldsUsage>
    </cacheHierarchy>
    <cacheHierarchy uniqueName="[Calendario 1].[Columna calculada 1]" caption="Columna calculada 1" attribute="1" defaultMemberUniqueName="[Calendario 1].[Columna calculada 1].[All]" allUniqueName="[Calendario 1].[Columna calculada 1].[All]" dimensionUniqueName="[Calendario 1]" displayFolder="" count="0" memberValueDatatype="130" unbalanced="0"/>
    <cacheHierarchy uniqueName="[EDTN_PQ].[N1]" caption="N1" attribute="1" defaultMemberUniqueName="[EDTN_PQ].[N1].[All]" allUniqueName="[EDTN_PQ].[N1].[All]" dimensionUniqueName="[EDTN_PQ]" displayFolder="" count="2" memberValueDatatype="130" unbalanced="0">
      <fieldsUsage count="2">
        <fieldUsage x="-1"/>
        <fieldUsage x="0"/>
      </fieldsUsage>
    </cacheHierarchy>
    <cacheHierarchy uniqueName="[EDTN_PQ].[N2]" caption="N2" attribute="1" defaultMemberUniqueName="[EDTN_PQ].[N2].[All]" allUniqueName="[EDTN_PQ].[N2].[All]" dimensionUniqueName="[EDTN_PQ]" displayFolder="" count="2" memberValueDatatype="130" unbalanced="0">
      <fieldsUsage count="2">
        <fieldUsage x="-1"/>
        <fieldUsage x="1"/>
      </fieldsUsage>
    </cacheHierarchy>
    <cacheHierarchy uniqueName="[EDTN_PQ].[N3]" caption="N3" attribute="1" defaultMemberUniqueName="[EDTN_PQ].[N3].[All]" allUniqueName="[EDTN_PQ].[N3].[All]" dimensionUniqueName="[EDTN_PQ]" displayFolder="" count="2" memberValueDatatype="130" unbalanced="0">
      <fieldsUsage count="2">
        <fieldUsage x="-1"/>
        <fieldUsage x="2"/>
      </fieldsUsage>
    </cacheHierarchy>
    <cacheHierarchy uniqueName="[EDTN_PQ].[N4]" caption="N4" attribute="1" defaultMemberUniqueName="[EDTN_PQ].[N4].[All]" allUniqueName="[EDTN_PQ].[N4].[All]" dimensionUniqueName="[EDTN_PQ]" displayFolder="" count="2" memberValueDatatype="130" unbalanced="0">
      <fieldsUsage count="2">
        <fieldUsage x="-1"/>
        <fieldUsage x="3"/>
      </fieldsUsage>
    </cacheHierarchy>
    <cacheHierarchy uniqueName="[EDTN_PQ].[Nuevos Pesos]" caption="Nuevos Pesos" attribute="1" defaultMemberUniqueName="[EDTN_PQ].[Nuevos Pesos].[All]" allUniqueName="[EDTN_PQ].[Nuevos Pesos].[All]" dimensionUniqueName="[EDTN_PQ]" displayFolder="" count="0" memberValueDatatype="5" unbalanced="0"/>
    <cacheHierarchy uniqueName="[EDTN_PQ].[Aporte Nuevo]" caption="Aporte Nuevo" attribute="1" defaultMemberUniqueName="[EDTN_PQ].[Aporte Nuevo].[All]" allUniqueName="[EDTN_PQ].[Aporte Nuevo].[All]" dimensionUniqueName="[EDTN_PQ]" displayFolder="" count="0" memberValueDatatype="5" unbalanced="0"/>
    <cacheHierarchy uniqueName="[EDTN_PQ].[N1.N2.N3.N4]" caption="N1.N2.N3.N4" attribute="1" defaultMemberUniqueName="[EDTN_PQ].[N1.N2.N3.N4].[All]" allUniqueName="[EDTN_PQ].[N1.N2.N3.N4].[All]" dimensionUniqueName="[EDTN_PQ]" displayFolder="" count="0" memberValueDatatype="130" unbalanced="0"/>
    <cacheHierarchy uniqueName="[EDTV_PQ].[N1]" caption="N1" attribute="1" defaultMemberUniqueName="[EDTV_PQ].[N1].[All]" allUniqueName="[EDTV_PQ].[N1].[All]" dimensionUniqueName="[EDTV_PQ]" displayFolder="" count="0" memberValueDatatype="130" unbalanced="0"/>
    <cacheHierarchy uniqueName="[EDTV_PQ].[N2]" caption="N2" attribute="1" defaultMemberUniqueName="[EDTV_PQ].[N2].[All]" allUniqueName="[EDTV_PQ].[N2].[All]" dimensionUniqueName="[EDTV_PQ]" displayFolder="" count="0" memberValueDatatype="130" unbalanced="0"/>
    <cacheHierarchy uniqueName="[EDTV_PQ].[N3]" caption="N3" attribute="1" defaultMemberUniqueName="[EDTV_PQ].[N3].[All]" allUniqueName="[EDTV_PQ].[N3].[All]" dimensionUniqueName="[EDTV_PQ]" displayFolder="" count="0" memberValueDatatype="130" unbalanced="0"/>
    <cacheHierarchy uniqueName="[EDTV_PQ].[N4]" caption="N4" attribute="1" defaultMemberUniqueName="[EDTV_PQ].[N4].[All]" allUniqueName="[EDTV_PQ].[N4].[All]" dimensionUniqueName="[EDTV_PQ]" displayFolder="" count="0" memberValueDatatype="130" unbalanced="0"/>
    <cacheHierarchy uniqueName="[EDTV_PQ].[Pesos]" caption="Pesos" attribute="1" defaultMemberUniqueName="[EDTV_PQ].[Pesos].[All]" allUniqueName="[EDTV_PQ].[Pesos].[All]" dimensionUniqueName="[EDTV_PQ]" displayFolder="" count="0" memberValueDatatype="5" unbalanced="0"/>
    <cacheHierarchy uniqueName="[EDTV_PQ].[Aporte]" caption="Aporte" attribute="1" defaultMemberUniqueName="[EDTV_PQ].[Aporte].[All]" allUniqueName="[EDTV_PQ].[Aporte].[All]" dimensionUniqueName="[EDTV_PQ]" displayFolder="" count="0" memberValueDatatype="5" unbalanced="0"/>
    <cacheHierarchy uniqueName="[EDTV_PQ].[N1.N2.N3.N4]" caption="N1.N2.N3.N4" attribute="1" defaultMemberUniqueName="[EDTV_PQ].[N1.N2.N3.N4].[All]" allUniqueName="[EDTV_PQ].[N1.N2.N3.N4].[All]" dimensionUniqueName="[EDTV_PQ]" displayFolder="" count="0" memberValueDatatype="130" unbalanced="0"/>
    <cacheHierarchy uniqueName="[PB100_PQ].[N1]" caption="N1" attribute="1" defaultMemberUniqueName="[PB100_PQ].[N1].[All]" allUniqueName="[PB100_PQ].[N1].[All]" dimensionUniqueName="[PB100_PQ]" displayFolder="" count="0" memberValueDatatype="130" unbalanced="0"/>
    <cacheHierarchy uniqueName="[PB100_PQ].[N2]" caption="N2" attribute="1" defaultMemberUniqueName="[PB100_PQ].[N2].[All]" allUniqueName="[PB100_PQ].[N2].[All]" dimensionUniqueName="[PB100_PQ]" displayFolder="" count="0" memberValueDatatype="130" unbalanced="0"/>
    <cacheHierarchy uniqueName="[PB100_PQ].[N3]" caption="N3" attribute="1" defaultMemberUniqueName="[PB100_PQ].[N3].[All]" allUniqueName="[PB100_PQ].[N3].[All]" dimensionUniqueName="[PB100_PQ]" displayFolder="" count="0" memberValueDatatype="130" unbalanced="0"/>
    <cacheHierarchy uniqueName="[PB100_PQ].[N4]" caption="N4" attribute="1" defaultMemberUniqueName="[PB100_PQ].[N4].[All]" allUniqueName="[PB100_PQ].[N4].[All]" dimensionUniqueName="[PB100_PQ]" displayFolder="" count="0" memberValueDatatype="130" unbalanced="0"/>
    <cacheHierarchy uniqueName="[PB100_PQ].[Pesos]" caption="Pesos" attribute="1" defaultMemberUniqueName="[PB100_PQ].[Pesos].[All]" allUniqueName="[PB100_PQ].[Pesos].[All]" dimensionUniqueName="[PB100_PQ]" displayFolder="" count="0" memberValueDatatype="5" unbalanced="0"/>
    <cacheHierarchy uniqueName="[PB100_PQ].[Atributo]" caption="Atributo" attribute="1" time="1" defaultMemberUniqueName="[PB100_PQ].[Atributo].[All]" allUniqueName="[PB100_PQ].[Atributo].[All]" dimensionUniqueName="[PB100_PQ]" displayFolder="" count="0" memberValueDatatype="7" unbalanced="0"/>
    <cacheHierarchy uniqueName="[PB100_PQ].[Valor]" caption="Valor" attribute="1" defaultMemberUniqueName="[PB100_PQ].[Valor].[All]" allUniqueName="[PB100_PQ].[Valor].[All]" dimensionUniqueName="[PB100_PQ]" displayFolder="" count="0" memberValueDatatype="5" unbalanced="0"/>
    <cacheHierarchy uniqueName="[PB100_PQ].[N1.N2.N3.N4]" caption="N1.N2.N3.N4" attribute="1" defaultMemberUniqueName="[PB100_PQ].[N1.N2.N3.N4].[All]" allUniqueName="[PB100_PQ].[N1.N2.N3.N4].[All]" dimensionUniqueName="[PB100_PQ]" displayFolder="" count="0" memberValueDatatype="130" unbalanced="0"/>
    <cacheHierarchy uniqueName="[PB100_PQ].[Aportes Viejos]" caption="Aportes Viejos" attribute="1" defaultMemberUniqueName="[PB100_PQ].[Aportes Viejos].[All]" allUniqueName="[PB100_PQ].[Aportes Viejos].[All]" dimensionUniqueName="[PB100_PQ]" displayFolder="" count="0" memberValueDatatype="5" unbalanced="0"/>
    <cacheHierarchy uniqueName="[PB39_PQ].[N1]" caption="N1" attribute="1" defaultMemberUniqueName="[PB39_PQ].[N1].[All]" allUniqueName="[PB39_PQ].[N1].[All]" dimensionUniqueName="[PB39_PQ]" displayFolder="" count="0" memberValueDatatype="130" unbalanced="0"/>
    <cacheHierarchy uniqueName="[PB39_PQ].[N2]" caption="N2" attribute="1" defaultMemberUniqueName="[PB39_PQ].[N2].[All]" allUniqueName="[PB39_PQ].[N2].[All]" dimensionUniqueName="[PB39_PQ]" displayFolder="" count="0" memberValueDatatype="130" unbalanced="0"/>
    <cacheHierarchy uniqueName="[PB39_PQ].[N3]" caption="N3" attribute="1" defaultMemberUniqueName="[PB39_PQ].[N3].[All]" allUniqueName="[PB39_PQ].[N3].[All]" dimensionUniqueName="[PB39_PQ]" displayFolder="" count="0" memberValueDatatype="130" unbalanced="0"/>
    <cacheHierarchy uniqueName="[PB39_PQ].[N4]" caption="N4" attribute="1" defaultMemberUniqueName="[PB39_PQ].[N4].[All]" allUniqueName="[PB39_PQ].[N4].[All]" dimensionUniqueName="[PB39_PQ]" displayFolder="" count="0" memberValueDatatype="130" unbalanced="0"/>
    <cacheHierarchy uniqueName="[PB39_PQ].[Nuevos Pesos]" caption="Nuevos Pesos" attribute="1" defaultMemberUniqueName="[PB39_PQ].[Nuevos Pesos].[All]" allUniqueName="[PB39_PQ].[Nuevos Pesos].[All]" dimensionUniqueName="[PB39_PQ]" displayFolder="" count="0" memberValueDatatype="5" unbalanced="0"/>
    <cacheHierarchy uniqueName="[PB39_PQ].[Fecha]" caption="Fecha" attribute="1" time="1" defaultMemberUniqueName="[PB39_PQ].[Fecha].[All]" allUniqueName="[PB39_PQ].[Fecha].[All]" dimensionUniqueName="[PB39_PQ]" displayFolder="" count="0" memberValueDatatype="7" unbalanced="0"/>
    <cacheHierarchy uniqueName="[PB39_PQ].[PlanBase39]" caption="PlanBase39" attribute="1" defaultMemberUniqueName="[PB39_PQ].[PlanBase39].[All]" allUniqueName="[PB39_PQ].[PlanBase39].[All]" dimensionUniqueName="[PB39_PQ]" displayFolder="" count="0" memberValueDatatype="5" unbalanced="0"/>
    <cacheHierarchy uniqueName="[PB39_PQ].[N1.N2.N3.N4]" caption="N1.N2.N3.N4" attribute="1" defaultMemberUniqueName="[PB39_PQ].[N1.N2.N3.N4].[All]" allUniqueName="[PB39_PQ].[N1.N2.N3.N4].[All]" dimensionUniqueName="[PB39_PQ]" displayFolder="" count="0" memberValueDatatype="130" unbalanced="0"/>
    <cacheHierarchy uniqueName="[PB39_PQ].[Aportes Nuevo]" caption="Aportes Nuevo" attribute="1" defaultMemberUniqueName="[PB39_PQ].[Aportes Nuevo].[All]" allUniqueName="[PB39_PQ].[Aportes Nuevo].[All]" dimensionUniqueName="[PB39_PQ]" displayFolder="" count="0" memberValueDatatype="5" unbalanced="0"/>
    <cacheHierarchy uniqueName="[RA100_PQ].[N1]" caption="N1" attribute="1" defaultMemberUniqueName="[RA100_PQ].[N1].[All]" allUniqueName="[RA100_PQ].[N1].[All]" dimensionUniqueName="[RA100_PQ]" displayFolder="" count="0" memberValueDatatype="130" unbalanced="0"/>
    <cacheHierarchy uniqueName="[RA100_PQ].[N2]" caption="N2" attribute="1" defaultMemberUniqueName="[RA100_PQ].[N2].[All]" allUniqueName="[RA100_PQ].[N2].[All]" dimensionUniqueName="[RA100_PQ]" displayFolder="" count="0" memberValueDatatype="130" unbalanced="0"/>
    <cacheHierarchy uniqueName="[RA100_PQ].[N3]" caption="N3" attribute="1" defaultMemberUniqueName="[RA100_PQ].[N3].[All]" allUniqueName="[RA100_PQ].[N3].[All]" dimensionUniqueName="[RA100_PQ]" displayFolder="" count="0" memberValueDatatype="130" unbalanced="0"/>
    <cacheHierarchy uniqueName="[RA100_PQ].[N4]" caption="N4" attribute="1" defaultMemberUniqueName="[RA100_PQ].[N4].[All]" allUniqueName="[RA100_PQ].[N4].[All]" dimensionUniqueName="[RA100_PQ]" displayFolder="" count="0" memberValueDatatype="130" unbalanced="0"/>
    <cacheHierarchy uniqueName="[RA100_PQ].[Pesos]" caption="Pesos" attribute="1" defaultMemberUniqueName="[RA100_PQ].[Pesos].[All]" allUniqueName="[RA100_PQ].[Pesos].[All]" dimensionUniqueName="[RA100_PQ]" displayFolder="" count="0" memberValueDatatype="5" unbalanced="0"/>
    <cacheHierarchy uniqueName="[RA100_PQ].[Fecha]" caption="Fecha" attribute="1" time="1" defaultMemberUniqueName="[RA100_PQ].[Fecha].[All]" allUniqueName="[RA100_PQ].[Fecha].[All]" dimensionUniqueName="[RA100_PQ]" displayFolder="" count="0" memberValueDatatype="7" unbalanced="0"/>
    <cacheHierarchy uniqueName="[RA100_PQ].[RA100]" caption="RA100" attribute="1" defaultMemberUniqueName="[RA100_PQ].[RA100].[All]" allUniqueName="[RA100_PQ].[RA100].[All]" dimensionUniqueName="[RA100_PQ]" displayFolder="" count="0" memberValueDatatype="5" unbalanced="0"/>
    <cacheHierarchy uniqueName="[RA100_PQ].[N1.N2.N3.N4]" caption="N1.N2.N3.N4" attribute="1" defaultMemberUniqueName="[RA100_PQ].[N1.N2.N3.N4].[All]" allUniqueName="[RA100_PQ].[N1.N2.N3.N4].[All]" dimensionUniqueName="[RA100_PQ]" displayFolder="" count="0" memberValueDatatype="130" unbalanced="0"/>
    <cacheHierarchy uniqueName="[RA100_PQ].[AporteViejo]" caption="AporteViejo" attribute="1" defaultMemberUniqueName="[RA100_PQ].[AporteViejo].[All]" allUniqueName="[RA100_PQ].[AporteViejo].[All]" dimensionUniqueName="[RA100_PQ]" displayFolder="" count="0" memberValueDatatype="5" unbalanced="0"/>
    <cacheHierarchy uniqueName="[Measures].[Aporte Real Acumulado Semanal]" caption="Aporte Real Acumulado Semanal" measure="1" displayFolder="" measureGroup="RA100_PQ" count="0"/>
    <cacheHierarchy uniqueName="[Measures].[Aporte Real Acumulado Semanal Anterior]" caption="Aporte Real Acumulado Semanal Anterior" measure="1" displayFolder="" measureGroup="RA100_PQ" count="0"/>
    <cacheHierarchy uniqueName="[Measures].[Aporte Real Semanal]" caption="Aporte Real Semanal" measure="1" displayFolder="" measureGroup="RA100_PQ" count="0"/>
    <cacheHierarchy uniqueName="[Measures].[Avance Real Base 100 Semanal]" caption="Avance Real Base 100 Semanal" measure="1" displayFolder="" measureGroup="RA100_PQ" count="0"/>
    <cacheHierarchy uniqueName="[Measures].[Avance Real base 100 Acumulado Semanal]" caption="Avance Real base 100 Acumulado Semanal" measure="1" displayFolder="" measureGroup="RA100_PQ" count="0"/>
    <cacheHierarchy uniqueName="[Measures].[Avance Real base 100 Acumulado Anterior (2 sem)]" caption="Avance Real base 100 Acumulado Anterior (2 sem)" measure="1" displayFolder="" measureGroup="RA100_PQ" count="0"/>
    <cacheHierarchy uniqueName="[Measures].[Avance Real base 100 Acumulado Anterior (1 mes)]" caption="Avance Real base 100 Acumulado Anterior (1 mes)" measure="1" displayFolder="" measureGroup="RA100_PQ" count="0"/>
    <cacheHierarchy uniqueName="[Measures].[Aporte Plan B39 Acumulado Semanal]" caption="Aporte Plan B39 Acumulado Semanal" measure="1" displayFolder="" measureGroup="PB39_PQ" count="0"/>
    <cacheHierarchy uniqueName="[Measures].[Aporte Plan B39 Acumulado Semanal Anterior]" caption="Aporte Plan B39 Acumulado Semanal Anterior" measure="1" displayFolder="" measureGroup="PB39_PQ" count="0"/>
    <cacheHierarchy uniqueName="[Measures].[Aporte Plan B39 Semanal]" caption="Aporte Plan B39 Semanal" measure="1" displayFolder="" measureGroup="PB39_PQ" count="0"/>
    <cacheHierarchy uniqueName="[Measures].[Avance Plan B39 Base 100 Semanal]" caption="Avance Plan B39 Base 100 Semanal" measure="1" displayFolder="" measureGroup="PB39_PQ" count="0"/>
    <cacheHierarchy uniqueName="[Measures].[Avance Plan B39 base 100 Acumulado Semanal]" caption="Avance Plan B39 base 100 Acumulado Semanal" measure="1" displayFolder="" measureGroup="PB39_PQ" count="0" oneField="1">
      <fieldsUsage count="1">
        <fieldUsage x="6"/>
      </fieldsUsage>
    </cacheHierarchy>
    <cacheHierarchy uniqueName="[Measures].[Avance Plan B39 base 100 Acumulado Anterior (2 sem)]" caption="Avance Plan B39 base 100 Acumulado Anterior (2 sem)" measure="1" displayFolder="" measureGroup="PB39_PQ" count="0"/>
    <cacheHierarchy uniqueName="[Measures].[Avance Plan Periodo B39 (2 sem)]" caption="Avance Plan Periodo B39 (2 sem)" measure="1" displayFolder="" measureGroup="PB39_PQ" count="0"/>
    <cacheHierarchy uniqueName="[Measures].[Avance Plan B39 base 100 Acumulado Anterior (1 mes)]" caption="Avance Plan B39 base 100 Acumulado Anterior (1 mes)" measure="1" displayFolder="" measureGroup="PB39_PQ" count="0" oneField="1">
      <fieldsUsage count="1">
        <fieldUsage x="4"/>
      </fieldsUsage>
    </cacheHierarchy>
    <cacheHierarchy uniqueName="[Measures].[Avance Plan Periodo B39 (1 mes)]" caption="Avance Plan Periodo B39 (1 mes)" measure="1" displayFolder="" measureGroup="PB39_PQ" count="0" oneField="1">
      <fieldsUsage count="1">
        <fieldUsage x="5"/>
      </fieldsUsage>
    </cacheHierarchy>
    <cacheHierarchy uniqueName="[Measures].[Aporte Real B39 Acumulado Semanal]" caption="Aporte Real B39 Acumulado Semanal" measure="1" displayFolder="" measureGroup="AR39_PQ" count="0"/>
    <cacheHierarchy uniqueName="[Measures].[Aporte Real B39 Acumulado Semanal Anterior]" caption="Aporte Real B39 Acumulado Semanal Anterior" measure="1" displayFolder="" measureGroup="AR39_PQ" count="0"/>
    <cacheHierarchy uniqueName="[Measures].[Aporte Real B39 Semanal]" caption="Aporte Real B39 Semanal" measure="1" displayFolder="" measureGroup="AR39_PQ" count="0"/>
    <cacheHierarchy uniqueName="[Measures].[Avance Real B39 Base 100 Semanal]" caption="Avance Real B39 Base 100 Semanal" measure="1" displayFolder="" measureGroup="AR39_PQ" count="0"/>
    <cacheHierarchy uniqueName="[Measures].[Avance Real B39 base 100 Acumulado Semanal]" caption="Avance Real B39 base 100 Acumulado Semanal" measure="1" displayFolder="" measureGroup="AR39_PQ" count="0" oneField="1">
      <fieldsUsage count="1">
        <fieldUsage x="9"/>
      </fieldsUsage>
    </cacheHierarchy>
    <cacheHierarchy uniqueName="[Measures].[Avance Real B39 base 100 Acumulado Anterior (2 sem)]" caption="Avance Real B39 base 100 Acumulado Anterior (2 sem)" measure="1" displayFolder="" measureGroup="AR39_PQ" count="0"/>
    <cacheHierarchy uniqueName="[Measures].[Avance Real B39 Periodo (2 sem)]" caption="Avance Real B39 Periodo (2 sem)" measure="1" displayFolder="" measureGroup="AR39_PQ" count="0"/>
    <cacheHierarchy uniqueName="[Measures].[Avance Real B39 base 100 Acumulado Anterior (1 mes)]" caption="Avance Real B39 base 100 Acumulado Anterior (1 mes)" measure="1" displayFolder="" measureGroup="AR39_PQ" count="0" oneField="1">
      <fieldsUsage count="1">
        <fieldUsage x="7"/>
      </fieldsUsage>
    </cacheHierarchy>
    <cacheHierarchy uniqueName="[Measures].[Avance Real B39 Periodo (1 mes)]" caption="Avance Real B39 Periodo (1 mes)" measure="1" displayFolder="" measureGroup="AR39_PQ" count="0" oneField="1">
      <fieldsUsage count="1">
        <fieldUsage x="8"/>
      </fieldsUsage>
    </cacheHierarchy>
    <cacheHierarchy uniqueName="[Measures].[Desviación B39]" caption="Desviación B39" measure="1" displayFolder="" measureGroup="AR39_PQ" count="0" oneField="1">
      <fieldsUsage count="1">
        <fieldUsage x="12"/>
      </fieldsUsage>
    </cacheHierarchy>
    <cacheHierarchy uniqueName="[Measures].[Desviación B39 (2 sem)]" caption="Desviación B39 (2 sem)" measure="1" displayFolder="" measureGroup="AR39_PQ" count="0"/>
    <cacheHierarchy uniqueName="[Measures].[Desviación B39 (1 mes)]" caption="Desviación B39 (1 mes)" measure="1" displayFolder="" measureGroup="AR39_PQ" count="0" oneField="1">
      <fieldsUsage count="1">
        <fieldUsage x="10"/>
      </fieldsUsage>
    </cacheHierarchy>
    <cacheHierarchy uniqueName="[Measures].[Sum Aportes B39]" caption="Sum Aportes B39" measure="1" displayFolder="" measureGroup="EDTN_PQ" count="0"/>
    <cacheHierarchy uniqueName="[Measures].[Sum Aportes (sin filtro)]" caption="Sum Aportes (sin filtro)" measure="1" displayFolder="" measureGroup="EDTN_PQ" count="0"/>
    <cacheHierarchy uniqueName="[Measures].[Aporte a la Desviación B39]" caption="Aporte a la Desviación B39" measure="1" displayFolder="" measureGroup="AR39_PQ" count="0" oneField="1">
      <fieldsUsage count="1">
        <fieldUsage x="13"/>
      </fieldsUsage>
    </cacheHierarchy>
    <cacheHierarchy uniqueName="[Measures].[Desviacion periodo B39 (1 mes)]" caption="Desviacion periodo B39 (1 mes)" measure="1" displayFolder="" measureGroup="AR39_PQ" count="0" oneField="1">
      <fieldsUsage count="1">
        <fieldUsage x="11"/>
      </fieldsUsage>
    </cacheHierarchy>
    <cacheHierarchy uniqueName="[Measures].[Desviacion periodo B39 (2 sem)]" caption="Desviacion periodo B39 (2 sem)" measure="1" displayFolder="" measureGroup="AR39_PQ" count="0"/>
    <cacheHierarchy uniqueName="[Measures].[Aporte Plan Acumulado Semanal]" caption="Aporte Plan Acumulado Semanal" measure="1" displayFolder="" measureGroup="PB100_PQ" count="0"/>
    <cacheHierarchy uniqueName="[Measures].[Aporte Plan Acumulado Semanal Anterior]" caption="Aporte Plan Acumulado Semanal Anterior" measure="1" displayFolder="" measureGroup="PB100_PQ" count="0"/>
    <cacheHierarchy uniqueName="[Measures].[Aporte Plan Semanal]" caption="Aporte Plan Semanal" measure="1" displayFolder="" measureGroup="PB100_PQ" count="0"/>
    <cacheHierarchy uniqueName="[Measures].[Avance Plan Base 100 Semanal]" caption="Avance Plan Base 100 Semanal" measure="1" displayFolder="" measureGroup="PB100_PQ" count="0"/>
    <cacheHierarchy uniqueName="[Measures].[Avance Plan base 100 Acumulado Semanal]" caption="Avance Plan base 100 Acumulado Semanal" measure="1" displayFolder="" measureGroup="PB100_PQ" count="0"/>
    <cacheHierarchy uniqueName="[Measures].[Avance Plan base 100 Acumulado Anterior (2 sem)]" caption="Avance Plan base 100 Acumulado Anterior (2 sem)" measure="1" displayFolder="" measureGroup="PB100_PQ" count="0"/>
    <cacheHierarchy uniqueName="[Measures].[Avance Plan Periodo (2 sem)]" caption="Avance Plan Periodo (2 sem)" measure="1" displayFolder="" measureGroup="PB100_PQ" count="0"/>
    <cacheHierarchy uniqueName="[Measures].[Avance Plan base 100 Acumulado Anterior (1 mes)]" caption="Avance Plan base 100 Acumulado Anterior (1 mes)" measure="1" displayFolder="" measureGroup="PB100_PQ" count="0"/>
    <cacheHierarchy uniqueName="[Measures].[Avance Plan Periodo (1 mes)]" caption="Avance Plan Periodo (1 mes)" measure="1" displayFolder="" measureGroup="PB100_PQ" count="0"/>
    <cacheHierarchy uniqueName="[Measures].[Desviación]" caption="Desviación" measure="1" displayFolder="" measureGroup="RA100_PQ" count="0"/>
    <cacheHierarchy uniqueName="[Measures].[Sum Aportes]" caption="Sum Aportes" measure="1" displayFolder="" measureGroup="EDTV_PQ" count="0"/>
    <cacheHierarchy uniqueName="[Measures].[Aporte a la Desviación]" caption="Aporte a la Desviación" measure="1" displayFolder="" measureGroup="RA100_PQ" count="0"/>
    <cacheHierarchy uniqueName="[Measures].[Avance Real Periodo (2 sem)]" caption="Avance Real Periodo (2 sem)" measure="1" displayFolder="" measureGroup="RA100_PQ" count="0"/>
    <cacheHierarchy uniqueName="[Measures].[Avance Real Periodo (1 mes)]" caption="Avance Real Periodo (1 mes)" measure="1" displayFolder="" measureGroup="RA100_PQ" count="0"/>
    <cacheHierarchy uniqueName="[Measures].[__XL_Count EDTV_PQ]" caption="__XL_Count EDTV_PQ" measure="1" displayFolder="" measureGroup="EDTV_PQ" count="0" hidden="1"/>
    <cacheHierarchy uniqueName="[Measures].[__XL_Count EDTN_PQ]" caption="__XL_Count EDTN_PQ" measure="1" displayFolder="" measureGroup="EDTN_PQ" count="0" hidden="1"/>
    <cacheHierarchy uniqueName="[Measures].[__XL_Count RA100_PQ]" caption="__XL_Count RA100_PQ" measure="1" displayFolder="" measureGroup="RA100_PQ" count="0" hidden="1"/>
    <cacheHierarchy uniqueName="[Measures].[__XL_Count AR39_PQ]" caption="__XL_Count AR39_PQ" measure="1" displayFolder="" measureGroup="AR39_PQ" count="0" hidden="1"/>
    <cacheHierarchy uniqueName="[Measures].[__XL_Count PB39_PQ]" caption="__XL_Count PB39_PQ" measure="1" displayFolder="" measureGroup="PB39_PQ" count="0" hidden="1"/>
    <cacheHierarchy uniqueName="[Measures].[__XL_Count PB100_PQ]" caption="__XL_Count PB100_PQ" measure="1" displayFolder="" measureGroup="PB100_PQ" count="0" hidden="1"/>
    <cacheHierarchy uniqueName="[Measures].[__XL_Count Calendario 1]" caption="__XL_Count Calendario 1" measure="1" displayFolder="" measureGroup="Calendario 1" count="0" hidden="1"/>
    <cacheHierarchy uniqueName="[Measures].[__No measures defined]" caption="__No measures defined" measure="1" displayFolder="" count="0" hidden="1"/>
  </cacheHierarchies>
  <kpis count="0"/>
  <dimensions count="8">
    <dimension name="AR39_PQ" uniqueName="[AR39_PQ]" caption="AR39_PQ"/>
    <dimension name="Calendario 1" uniqueName="[Calendario 1]" caption="Calendario 1"/>
    <dimension name="EDTN_PQ" uniqueName="[EDTN_PQ]" caption="EDTN_PQ"/>
    <dimension name="EDTV_PQ" uniqueName="[EDTV_PQ]" caption="EDTV_PQ"/>
    <dimension measure="1" name="Measures" uniqueName="[Measures]" caption="Measures"/>
    <dimension name="PB100_PQ" uniqueName="[PB100_PQ]" caption="PB100_PQ"/>
    <dimension name="PB39_PQ" uniqueName="[PB39_PQ]" caption="PB39_PQ"/>
    <dimension name="RA100_PQ" uniqueName="[RA100_PQ]" caption="RA100_PQ"/>
  </dimensions>
  <measureGroups count="7">
    <measureGroup name="AR39_PQ" caption="AR39_PQ"/>
    <measureGroup name="Calendario 1" caption="Calendario 1"/>
    <measureGroup name="EDTN_PQ" caption="EDTN_PQ"/>
    <measureGroup name="EDTV_PQ" caption="EDTV_PQ"/>
    <measureGroup name="PB100_PQ" caption="PB100_PQ"/>
    <measureGroup name="PB39_PQ" caption="PB39_PQ"/>
    <measureGroup name="RA100_PQ" caption="RA100_PQ"/>
  </measureGroups>
  <maps count="15">
    <map measureGroup="0" dimension="0"/>
    <map measureGroup="0" dimension="1"/>
    <map measureGroup="0" dimension="2"/>
    <map measureGroup="1" dimension="1"/>
    <map measureGroup="2" dimension="2"/>
    <map measureGroup="3" dimension="3"/>
    <map measureGroup="4" dimension="1"/>
    <map measureGroup="4" dimension="3"/>
    <map measureGroup="4" dimension="5"/>
    <map measureGroup="5" dimension="1"/>
    <map measureGroup="5" dimension="2"/>
    <map measureGroup="5" dimension="6"/>
    <map measureGroup="6" dimension="1"/>
    <map measureGroup="6" dimension="3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dro Sosa" refreshedDate="46204.685358912036" createdVersion="3" refreshedVersion="7" minRefreshableVersion="3" recordCount="0" supportSubquery="1" supportAdvancedDrill="1" xr:uid="{B61875A0-5D46-4AE8-90B6-E75E7B426006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7">
    <cacheHierarchy uniqueName="[AR39_PQ].[N1]" caption="N1" attribute="1" defaultMemberUniqueName="[AR39_PQ].[N1].[All]" allUniqueName="[AR39_PQ].[N1].[All]" dimensionUniqueName="[AR39_PQ]" displayFolder="" count="0" memberValueDatatype="130" unbalanced="0"/>
    <cacheHierarchy uniqueName="[AR39_PQ].[N2]" caption="N2" attribute="1" defaultMemberUniqueName="[AR39_PQ].[N2].[All]" allUniqueName="[AR39_PQ].[N2].[All]" dimensionUniqueName="[AR39_PQ]" displayFolder="" count="0" memberValueDatatype="130" unbalanced="0"/>
    <cacheHierarchy uniqueName="[AR39_PQ].[N3]" caption="N3" attribute="1" defaultMemberUniqueName="[AR39_PQ].[N3].[All]" allUniqueName="[AR39_PQ].[N3].[All]" dimensionUniqueName="[AR39_PQ]" displayFolder="" count="0" memberValueDatatype="130" unbalanced="0"/>
    <cacheHierarchy uniqueName="[AR39_PQ].[N4]" caption="N4" attribute="1" defaultMemberUniqueName="[AR39_PQ].[N4].[All]" allUniqueName="[AR39_PQ].[N4].[All]" dimensionUniqueName="[AR39_PQ]" displayFolder="" count="0" memberValueDatatype="130" unbalanced="0"/>
    <cacheHierarchy uniqueName="[AR39_PQ].[Nuevos Pesos]" caption="Nuevos Pesos" attribute="1" defaultMemberUniqueName="[AR39_PQ].[Nuevos Pesos].[All]" allUniqueName="[AR39_PQ].[Nuevos Pesos].[All]" dimensionUniqueName="[AR39_PQ]" displayFolder="" count="0" memberValueDatatype="5" unbalanced="0"/>
    <cacheHierarchy uniqueName="[AR39_PQ].[Fecha]" caption="Fecha" attribute="1" time="1" defaultMemberUniqueName="[AR39_PQ].[Fecha].[All]" allUniqueName="[AR39_PQ].[Fecha].[All]" dimensionUniqueName="[AR39_PQ]" displayFolder="" count="0" memberValueDatatype="7" unbalanced="0"/>
    <cacheHierarchy uniqueName="[AR39_PQ].[AvanceBase39]" caption="AvanceBase39" attribute="1" defaultMemberUniqueName="[AR39_PQ].[AvanceBase39].[All]" allUniqueName="[AR39_PQ].[AvanceBase39].[All]" dimensionUniqueName="[AR39_PQ]" displayFolder="" count="0" memberValueDatatype="5" unbalanced="0"/>
    <cacheHierarchy uniqueName="[AR39_PQ].[N1.N2.N3.N4]" caption="N1.N2.N3.N4" attribute="1" defaultMemberUniqueName="[AR39_PQ].[N1.N2.N3.N4].[All]" allUniqueName="[AR39_PQ].[N1.N2.N3.N4].[All]" dimensionUniqueName="[AR39_PQ]" displayFolder="" count="0" memberValueDatatype="130" unbalanced="0"/>
    <cacheHierarchy uniqueName="[AR39_PQ].[Aporte Nuevo]" caption="Aporte Nuevo" attribute="1" defaultMemberUniqueName="[AR39_PQ].[Aporte Nuevo].[All]" allUniqueName="[AR39_PQ].[Aporte Nuevo].[All]" dimensionUniqueName="[AR39_PQ]" displayFolder="" count="0" memberValueDatatype="5" unbalanced="0"/>
    <cacheHierarchy uniqueName="[Calendario 1].[Calendario]" caption="Calendario" attribute="1" time="1" defaultMemberUniqueName="[Calendario 1].[Calendario].[All]" allUniqueName="[Calendario 1].[Calendario].[All]" dimensionUniqueName="[Calendario 1]" displayFolder="" count="2" memberValueDatatype="7" unbalanced="0"/>
    <cacheHierarchy uniqueName="[Calendario 1].[Columna calculada 1]" caption="Columna calculada 1" attribute="1" defaultMemberUniqueName="[Calendario 1].[Columna calculada 1].[All]" allUniqueName="[Calendario 1].[Columna calculada 1].[All]" dimensionUniqueName="[Calendario 1]" displayFolder="" count="0" memberValueDatatype="130" unbalanced="0"/>
    <cacheHierarchy uniqueName="[EDTN_PQ].[N1]" caption="N1" attribute="1" defaultMemberUniqueName="[EDTN_PQ].[N1].[All]" allUniqueName="[EDTN_PQ].[N1].[All]" dimensionUniqueName="[EDTN_PQ]" displayFolder="" count="0" memberValueDatatype="130" unbalanced="0"/>
    <cacheHierarchy uniqueName="[EDTN_PQ].[N2]" caption="N2" attribute="1" defaultMemberUniqueName="[EDTN_PQ].[N2].[All]" allUniqueName="[EDTN_PQ].[N2].[All]" dimensionUniqueName="[EDTN_PQ]" displayFolder="" count="0" memberValueDatatype="130" unbalanced="0"/>
    <cacheHierarchy uniqueName="[EDTN_PQ].[N3]" caption="N3" attribute="1" defaultMemberUniqueName="[EDTN_PQ].[N3].[All]" allUniqueName="[EDTN_PQ].[N3].[All]" dimensionUniqueName="[EDTN_PQ]" displayFolder="" count="0" memberValueDatatype="130" unbalanced="0"/>
    <cacheHierarchy uniqueName="[EDTN_PQ].[N4]" caption="N4" attribute="1" defaultMemberUniqueName="[EDTN_PQ].[N4].[All]" allUniqueName="[EDTN_PQ].[N4].[All]" dimensionUniqueName="[EDTN_PQ]" displayFolder="" count="0" memberValueDatatype="130" unbalanced="0"/>
    <cacheHierarchy uniqueName="[EDTN_PQ].[Nuevos Pesos]" caption="Nuevos Pesos" attribute="1" defaultMemberUniqueName="[EDTN_PQ].[Nuevos Pesos].[All]" allUniqueName="[EDTN_PQ].[Nuevos Pesos].[All]" dimensionUniqueName="[EDTN_PQ]" displayFolder="" count="0" memberValueDatatype="5" unbalanced="0"/>
    <cacheHierarchy uniqueName="[EDTN_PQ].[Aporte Nuevo]" caption="Aporte Nuevo" attribute="1" defaultMemberUniqueName="[EDTN_PQ].[Aporte Nuevo].[All]" allUniqueName="[EDTN_PQ].[Aporte Nuevo].[All]" dimensionUniqueName="[EDTN_PQ]" displayFolder="" count="0" memberValueDatatype="5" unbalanced="0"/>
    <cacheHierarchy uniqueName="[EDTN_PQ].[N1.N2.N3.N4]" caption="N1.N2.N3.N4" attribute="1" defaultMemberUniqueName="[EDTN_PQ].[N1.N2.N3.N4].[All]" allUniqueName="[EDTN_PQ].[N1.N2.N3.N4].[All]" dimensionUniqueName="[EDTN_PQ]" displayFolder="" count="0" memberValueDatatype="130" unbalanced="0"/>
    <cacheHierarchy uniqueName="[EDTV_PQ].[N1]" caption="N1" attribute="1" defaultMemberUniqueName="[EDTV_PQ].[N1].[All]" allUniqueName="[EDTV_PQ].[N1].[All]" dimensionUniqueName="[EDTV_PQ]" displayFolder="" count="0" memberValueDatatype="130" unbalanced="0"/>
    <cacheHierarchy uniqueName="[EDTV_PQ].[N2]" caption="N2" attribute="1" defaultMemberUniqueName="[EDTV_PQ].[N2].[All]" allUniqueName="[EDTV_PQ].[N2].[All]" dimensionUniqueName="[EDTV_PQ]" displayFolder="" count="0" memberValueDatatype="130" unbalanced="0"/>
    <cacheHierarchy uniqueName="[EDTV_PQ].[N3]" caption="N3" attribute="1" defaultMemberUniqueName="[EDTV_PQ].[N3].[All]" allUniqueName="[EDTV_PQ].[N3].[All]" dimensionUniqueName="[EDTV_PQ]" displayFolder="" count="0" memberValueDatatype="130" unbalanced="0"/>
    <cacheHierarchy uniqueName="[EDTV_PQ].[N4]" caption="N4" attribute="1" defaultMemberUniqueName="[EDTV_PQ].[N4].[All]" allUniqueName="[EDTV_PQ].[N4].[All]" dimensionUniqueName="[EDTV_PQ]" displayFolder="" count="0" memberValueDatatype="130" unbalanced="0"/>
    <cacheHierarchy uniqueName="[EDTV_PQ].[Pesos]" caption="Pesos" attribute="1" defaultMemberUniqueName="[EDTV_PQ].[Pesos].[All]" allUniqueName="[EDTV_PQ].[Pesos].[All]" dimensionUniqueName="[EDTV_PQ]" displayFolder="" count="0" memberValueDatatype="5" unbalanced="0"/>
    <cacheHierarchy uniqueName="[EDTV_PQ].[Aporte]" caption="Aporte" attribute="1" defaultMemberUniqueName="[EDTV_PQ].[Aporte].[All]" allUniqueName="[EDTV_PQ].[Aporte].[All]" dimensionUniqueName="[EDTV_PQ]" displayFolder="" count="0" memberValueDatatype="5" unbalanced="0"/>
    <cacheHierarchy uniqueName="[EDTV_PQ].[N1.N2.N3.N4]" caption="N1.N2.N3.N4" attribute="1" defaultMemberUniqueName="[EDTV_PQ].[N1.N2.N3.N4].[All]" allUniqueName="[EDTV_PQ].[N1.N2.N3.N4].[All]" dimensionUniqueName="[EDTV_PQ]" displayFolder="" count="0" memberValueDatatype="130" unbalanced="0"/>
    <cacheHierarchy uniqueName="[PB100_PQ].[N1]" caption="N1" attribute="1" defaultMemberUniqueName="[PB100_PQ].[N1].[All]" allUniqueName="[PB100_PQ].[N1].[All]" dimensionUniqueName="[PB100_PQ]" displayFolder="" count="0" memberValueDatatype="130" unbalanced="0"/>
    <cacheHierarchy uniqueName="[PB100_PQ].[N2]" caption="N2" attribute="1" defaultMemberUniqueName="[PB100_PQ].[N2].[All]" allUniqueName="[PB100_PQ].[N2].[All]" dimensionUniqueName="[PB100_PQ]" displayFolder="" count="0" memberValueDatatype="130" unbalanced="0"/>
    <cacheHierarchy uniqueName="[PB100_PQ].[N3]" caption="N3" attribute="1" defaultMemberUniqueName="[PB100_PQ].[N3].[All]" allUniqueName="[PB100_PQ].[N3].[All]" dimensionUniqueName="[PB100_PQ]" displayFolder="" count="0" memberValueDatatype="130" unbalanced="0"/>
    <cacheHierarchy uniqueName="[PB100_PQ].[N4]" caption="N4" attribute="1" defaultMemberUniqueName="[PB100_PQ].[N4].[All]" allUniqueName="[PB100_PQ].[N4].[All]" dimensionUniqueName="[PB100_PQ]" displayFolder="" count="0" memberValueDatatype="130" unbalanced="0"/>
    <cacheHierarchy uniqueName="[PB100_PQ].[Pesos]" caption="Pesos" attribute="1" defaultMemberUniqueName="[PB100_PQ].[Pesos].[All]" allUniqueName="[PB100_PQ].[Pesos].[All]" dimensionUniqueName="[PB100_PQ]" displayFolder="" count="0" memberValueDatatype="5" unbalanced="0"/>
    <cacheHierarchy uniqueName="[PB100_PQ].[Atributo]" caption="Atributo" attribute="1" time="1" defaultMemberUniqueName="[PB100_PQ].[Atributo].[All]" allUniqueName="[PB100_PQ].[Atributo].[All]" dimensionUniqueName="[PB100_PQ]" displayFolder="" count="0" memberValueDatatype="7" unbalanced="0"/>
    <cacheHierarchy uniqueName="[PB100_PQ].[Valor]" caption="Valor" attribute="1" defaultMemberUniqueName="[PB100_PQ].[Valor].[All]" allUniqueName="[PB100_PQ].[Valor].[All]" dimensionUniqueName="[PB100_PQ]" displayFolder="" count="0" memberValueDatatype="5" unbalanced="0"/>
    <cacheHierarchy uniqueName="[PB100_PQ].[N1.N2.N3.N4]" caption="N1.N2.N3.N4" attribute="1" defaultMemberUniqueName="[PB100_PQ].[N1.N2.N3.N4].[All]" allUniqueName="[PB100_PQ].[N1.N2.N3.N4].[All]" dimensionUniqueName="[PB100_PQ]" displayFolder="" count="0" memberValueDatatype="130" unbalanced="0"/>
    <cacheHierarchy uniqueName="[PB100_PQ].[Aportes Viejos]" caption="Aportes Viejos" attribute="1" defaultMemberUniqueName="[PB100_PQ].[Aportes Viejos].[All]" allUniqueName="[PB100_PQ].[Aportes Viejos].[All]" dimensionUniqueName="[PB100_PQ]" displayFolder="" count="0" memberValueDatatype="5" unbalanced="0"/>
    <cacheHierarchy uniqueName="[PB39_PQ].[N1]" caption="N1" attribute="1" defaultMemberUniqueName="[PB39_PQ].[N1].[All]" allUniqueName="[PB39_PQ].[N1].[All]" dimensionUniqueName="[PB39_PQ]" displayFolder="" count="0" memberValueDatatype="130" unbalanced="0"/>
    <cacheHierarchy uniqueName="[PB39_PQ].[N2]" caption="N2" attribute="1" defaultMemberUniqueName="[PB39_PQ].[N2].[All]" allUniqueName="[PB39_PQ].[N2].[All]" dimensionUniqueName="[PB39_PQ]" displayFolder="" count="0" memberValueDatatype="130" unbalanced="0"/>
    <cacheHierarchy uniqueName="[PB39_PQ].[N3]" caption="N3" attribute="1" defaultMemberUniqueName="[PB39_PQ].[N3].[All]" allUniqueName="[PB39_PQ].[N3].[All]" dimensionUniqueName="[PB39_PQ]" displayFolder="" count="0" memberValueDatatype="130" unbalanced="0"/>
    <cacheHierarchy uniqueName="[PB39_PQ].[N4]" caption="N4" attribute="1" defaultMemberUniqueName="[PB39_PQ].[N4].[All]" allUniqueName="[PB39_PQ].[N4].[All]" dimensionUniqueName="[PB39_PQ]" displayFolder="" count="0" memberValueDatatype="130" unbalanced="0"/>
    <cacheHierarchy uniqueName="[PB39_PQ].[Nuevos Pesos]" caption="Nuevos Pesos" attribute="1" defaultMemberUniqueName="[PB39_PQ].[Nuevos Pesos].[All]" allUniqueName="[PB39_PQ].[Nuevos Pesos].[All]" dimensionUniqueName="[PB39_PQ]" displayFolder="" count="0" memberValueDatatype="5" unbalanced="0"/>
    <cacheHierarchy uniqueName="[PB39_PQ].[Fecha]" caption="Fecha" attribute="1" time="1" defaultMemberUniqueName="[PB39_PQ].[Fecha].[All]" allUniqueName="[PB39_PQ].[Fecha].[All]" dimensionUniqueName="[PB39_PQ]" displayFolder="" count="0" memberValueDatatype="7" unbalanced="0"/>
    <cacheHierarchy uniqueName="[PB39_PQ].[PlanBase39]" caption="PlanBase39" attribute="1" defaultMemberUniqueName="[PB39_PQ].[PlanBase39].[All]" allUniqueName="[PB39_PQ].[PlanBase39].[All]" dimensionUniqueName="[PB39_PQ]" displayFolder="" count="0" memberValueDatatype="5" unbalanced="0"/>
    <cacheHierarchy uniqueName="[PB39_PQ].[N1.N2.N3.N4]" caption="N1.N2.N3.N4" attribute="1" defaultMemberUniqueName="[PB39_PQ].[N1.N2.N3.N4].[All]" allUniqueName="[PB39_PQ].[N1.N2.N3.N4].[All]" dimensionUniqueName="[PB39_PQ]" displayFolder="" count="0" memberValueDatatype="130" unbalanced="0"/>
    <cacheHierarchy uniqueName="[PB39_PQ].[Aportes Nuevo]" caption="Aportes Nuevo" attribute="1" defaultMemberUniqueName="[PB39_PQ].[Aportes Nuevo].[All]" allUniqueName="[PB39_PQ].[Aportes Nuevo].[All]" dimensionUniqueName="[PB39_PQ]" displayFolder="" count="0" memberValueDatatype="5" unbalanced="0"/>
    <cacheHierarchy uniqueName="[RA100_PQ].[N1]" caption="N1" attribute="1" defaultMemberUniqueName="[RA100_PQ].[N1].[All]" allUniqueName="[RA100_PQ].[N1].[All]" dimensionUniqueName="[RA100_PQ]" displayFolder="" count="0" memberValueDatatype="130" unbalanced="0"/>
    <cacheHierarchy uniqueName="[RA100_PQ].[N2]" caption="N2" attribute="1" defaultMemberUniqueName="[RA100_PQ].[N2].[All]" allUniqueName="[RA100_PQ].[N2].[All]" dimensionUniqueName="[RA100_PQ]" displayFolder="" count="0" memberValueDatatype="130" unbalanced="0"/>
    <cacheHierarchy uniqueName="[RA100_PQ].[N3]" caption="N3" attribute="1" defaultMemberUniqueName="[RA100_PQ].[N3].[All]" allUniqueName="[RA100_PQ].[N3].[All]" dimensionUniqueName="[RA100_PQ]" displayFolder="" count="0" memberValueDatatype="130" unbalanced="0"/>
    <cacheHierarchy uniqueName="[RA100_PQ].[N4]" caption="N4" attribute="1" defaultMemberUniqueName="[RA100_PQ].[N4].[All]" allUniqueName="[RA100_PQ].[N4].[All]" dimensionUniqueName="[RA100_PQ]" displayFolder="" count="0" memberValueDatatype="130" unbalanced="0"/>
    <cacheHierarchy uniqueName="[RA100_PQ].[Pesos]" caption="Pesos" attribute="1" defaultMemberUniqueName="[RA100_PQ].[Pesos].[All]" allUniqueName="[RA100_PQ].[Pesos].[All]" dimensionUniqueName="[RA100_PQ]" displayFolder="" count="0" memberValueDatatype="5" unbalanced="0"/>
    <cacheHierarchy uniqueName="[RA100_PQ].[Fecha]" caption="Fecha" attribute="1" time="1" defaultMemberUniqueName="[RA100_PQ].[Fecha].[All]" allUniqueName="[RA100_PQ].[Fecha].[All]" dimensionUniqueName="[RA100_PQ]" displayFolder="" count="0" memberValueDatatype="7" unbalanced="0"/>
    <cacheHierarchy uniqueName="[RA100_PQ].[RA100]" caption="RA100" attribute="1" defaultMemberUniqueName="[RA100_PQ].[RA100].[All]" allUniqueName="[RA100_PQ].[RA100].[All]" dimensionUniqueName="[RA100_PQ]" displayFolder="" count="0" memberValueDatatype="5" unbalanced="0"/>
    <cacheHierarchy uniqueName="[RA100_PQ].[N1.N2.N3.N4]" caption="N1.N2.N3.N4" attribute="1" defaultMemberUniqueName="[RA100_PQ].[N1.N2.N3.N4].[All]" allUniqueName="[RA100_PQ].[N1.N2.N3.N4].[All]" dimensionUniqueName="[RA100_PQ]" displayFolder="" count="0" memberValueDatatype="130" unbalanced="0"/>
    <cacheHierarchy uniqueName="[RA100_PQ].[AporteViejo]" caption="AporteViejo" attribute="1" defaultMemberUniqueName="[RA100_PQ].[AporteViejo].[All]" allUniqueName="[RA100_PQ].[AporteViejo].[All]" dimensionUniqueName="[RA100_PQ]" displayFolder="" count="0" memberValueDatatype="5" unbalanced="0"/>
    <cacheHierarchy uniqueName="[Measures].[Aporte Real Acumulado Semanal]" caption="Aporte Real Acumulado Semanal" measure="1" displayFolder="" measureGroup="RA100_PQ" count="0"/>
    <cacheHierarchy uniqueName="[Measures].[Aporte Real Acumulado Semanal Anterior]" caption="Aporte Real Acumulado Semanal Anterior" measure="1" displayFolder="" measureGroup="RA100_PQ" count="0"/>
    <cacheHierarchy uniqueName="[Measures].[Aporte Real Semanal]" caption="Aporte Real Semanal" measure="1" displayFolder="" measureGroup="RA100_PQ" count="0"/>
    <cacheHierarchy uniqueName="[Measures].[Avance Real Base 100 Semanal]" caption="Avance Real Base 100 Semanal" measure="1" displayFolder="" measureGroup="RA100_PQ" count="0"/>
    <cacheHierarchy uniqueName="[Measures].[Avance Real base 100 Acumulado Semanal]" caption="Avance Real base 100 Acumulado Semanal" measure="1" displayFolder="" measureGroup="RA100_PQ" count="0"/>
    <cacheHierarchy uniqueName="[Measures].[Avance Real base 100 Acumulado Anterior (2 sem)]" caption="Avance Real base 100 Acumulado Anterior (2 sem)" measure="1" displayFolder="" measureGroup="RA100_PQ" count="0"/>
    <cacheHierarchy uniqueName="[Measures].[Avance Real base 100 Acumulado Anterior (1 mes)]" caption="Avance Real base 100 Acumulado Anterior (1 mes)" measure="1" displayFolder="" measureGroup="RA100_PQ" count="0"/>
    <cacheHierarchy uniqueName="[Measures].[Aporte Plan B39 Acumulado Semanal]" caption="Aporte Plan B39 Acumulado Semanal" measure="1" displayFolder="" measureGroup="PB39_PQ" count="0"/>
    <cacheHierarchy uniqueName="[Measures].[Aporte Plan B39 Acumulado Semanal Anterior]" caption="Aporte Plan B39 Acumulado Semanal Anterior" measure="1" displayFolder="" measureGroup="PB39_PQ" count="0"/>
    <cacheHierarchy uniqueName="[Measures].[Aporte Plan B39 Semanal]" caption="Aporte Plan B39 Semanal" measure="1" displayFolder="" measureGroup="PB39_PQ" count="0"/>
    <cacheHierarchy uniqueName="[Measures].[Avance Plan B39 Base 100 Semanal]" caption="Avance Plan B39 Base 100 Semanal" measure="1" displayFolder="" measureGroup="PB39_PQ" count="0"/>
    <cacheHierarchy uniqueName="[Measures].[Avance Plan B39 base 100 Acumulado Semanal]" caption="Avance Plan B39 base 100 Acumulado Semanal" measure="1" displayFolder="" measureGroup="PB39_PQ" count="0"/>
    <cacheHierarchy uniqueName="[Measures].[Avance Plan B39 base 100 Acumulado Anterior (2 sem)]" caption="Avance Plan B39 base 100 Acumulado Anterior (2 sem)" measure="1" displayFolder="" measureGroup="PB39_PQ" count="0"/>
    <cacheHierarchy uniqueName="[Measures].[Avance Plan Periodo B39 (2 sem)]" caption="Avance Plan Periodo B39 (2 sem)" measure="1" displayFolder="" measureGroup="PB39_PQ" count="0"/>
    <cacheHierarchy uniqueName="[Measures].[Avance Plan B39 base 100 Acumulado Anterior (1 mes)]" caption="Avance Plan B39 base 100 Acumulado Anterior (1 mes)" measure="1" displayFolder="" measureGroup="PB39_PQ" count="0"/>
    <cacheHierarchy uniqueName="[Measures].[Avance Plan Periodo B39 (1 mes)]" caption="Avance Plan Periodo B39 (1 mes)" measure="1" displayFolder="" measureGroup="PB39_PQ" count="0"/>
    <cacheHierarchy uniqueName="[Measures].[Aporte Real B39 Acumulado Semanal]" caption="Aporte Real B39 Acumulado Semanal" measure="1" displayFolder="" measureGroup="AR39_PQ" count="0"/>
    <cacheHierarchy uniqueName="[Measures].[Aporte Real B39 Acumulado Semanal Anterior]" caption="Aporte Real B39 Acumulado Semanal Anterior" measure="1" displayFolder="" measureGroup="AR39_PQ" count="0"/>
    <cacheHierarchy uniqueName="[Measures].[Aporte Real B39 Semanal]" caption="Aporte Real B39 Semanal" measure="1" displayFolder="" measureGroup="AR39_PQ" count="0"/>
    <cacheHierarchy uniqueName="[Measures].[Avance Real B39 Base 100 Semanal]" caption="Avance Real B39 Base 100 Semanal" measure="1" displayFolder="" measureGroup="AR39_PQ" count="0"/>
    <cacheHierarchy uniqueName="[Measures].[Avance Real B39 base 100 Acumulado Semanal]" caption="Avance Real B39 base 100 Acumulado Semanal" measure="1" displayFolder="" measureGroup="AR39_PQ" count="0"/>
    <cacheHierarchy uniqueName="[Measures].[Avance Real B39 base 100 Acumulado Anterior (2 sem)]" caption="Avance Real B39 base 100 Acumulado Anterior (2 sem)" measure="1" displayFolder="" measureGroup="AR39_PQ" count="0"/>
    <cacheHierarchy uniqueName="[Measures].[Avance Real B39 Periodo (2 sem)]" caption="Avance Real B39 Periodo (2 sem)" measure="1" displayFolder="" measureGroup="AR39_PQ" count="0"/>
    <cacheHierarchy uniqueName="[Measures].[Avance Real B39 base 100 Acumulado Anterior (1 mes)]" caption="Avance Real B39 base 100 Acumulado Anterior (1 mes)" measure="1" displayFolder="" measureGroup="AR39_PQ" count="0"/>
    <cacheHierarchy uniqueName="[Measures].[Avance Real B39 Periodo (1 mes)]" caption="Avance Real B39 Periodo (1 mes)" measure="1" displayFolder="" measureGroup="AR39_PQ" count="0"/>
    <cacheHierarchy uniqueName="[Measures].[Desviación B39]" caption="Desviación B39" measure="1" displayFolder="" measureGroup="AR39_PQ" count="0"/>
    <cacheHierarchy uniqueName="[Measures].[Desviación B39 (2 sem)]" caption="Desviación B39 (2 sem)" measure="1" displayFolder="" measureGroup="AR39_PQ" count="0"/>
    <cacheHierarchy uniqueName="[Measures].[Desviación B39 (1 mes)]" caption="Desviación B39 (1 mes)" measure="1" displayFolder="" measureGroup="AR39_PQ" count="0"/>
    <cacheHierarchy uniqueName="[Measures].[Sum Aportes B39]" caption="Sum Aportes B39" measure="1" displayFolder="" measureGroup="EDTN_PQ" count="0"/>
    <cacheHierarchy uniqueName="[Measures].[Sum Aportes (sin filtro)]" caption="Sum Aportes (sin filtro)" measure="1" displayFolder="" measureGroup="EDTN_PQ" count="0"/>
    <cacheHierarchy uniqueName="[Measures].[Aporte a la Desviación B39]" caption="Aporte a la Desviación B39" measure="1" displayFolder="" measureGroup="AR39_PQ" count="0"/>
    <cacheHierarchy uniqueName="[Measures].[Desviacion periodo B39 (1 mes)]" caption="Desviacion periodo B39 (1 mes)" measure="1" displayFolder="" measureGroup="AR39_PQ" count="0"/>
    <cacheHierarchy uniqueName="[Measures].[Desviacion periodo B39 (2 sem)]" caption="Desviacion periodo B39 (2 sem)" measure="1" displayFolder="" measureGroup="AR39_PQ" count="0"/>
    <cacheHierarchy uniqueName="[Measures].[Aporte Plan Acumulado Semanal]" caption="Aporte Plan Acumulado Semanal" measure="1" displayFolder="" measureGroup="PB100_PQ" count="0"/>
    <cacheHierarchy uniqueName="[Measures].[Aporte Plan Acumulado Semanal Anterior]" caption="Aporte Plan Acumulado Semanal Anterior" measure="1" displayFolder="" measureGroup="PB100_PQ" count="0"/>
    <cacheHierarchy uniqueName="[Measures].[Aporte Plan Semanal]" caption="Aporte Plan Semanal" measure="1" displayFolder="" measureGroup="PB100_PQ" count="0"/>
    <cacheHierarchy uniqueName="[Measures].[Avance Plan Base 100 Semanal]" caption="Avance Plan Base 100 Semanal" measure="1" displayFolder="" measureGroup="PB100_PQ" count="0"/>
    <cacheHierarchy uniqueName="[Measures].[Avance Plan base 100 Acumulado Semanal]" caption="Avance Plan base 100 Acumulado Semanal" measure="1" displayFolder="" measureGroup="PB100_PQ" count="0"/>
    <cacheHierarchy uniqueName="[Measures].[Avance Plan base 100 Acumulado Anterior (2 sem)]" caption="Avance Plan base 100 Acumulado Anterior (2 sem)" measure="1" displayFolder="" measureGroup="PB100_PQ" count="0"/>
    <cacheHierarchy uniqueName="[Measures].[Avance Plan Periodo (2 sem)]" caption="Avance Plan Periodo (2 sem)" measure="1" displayFolder="" measureGroup="PB100_PQ" count="0"/>
    <cacheHierarchy uniqueName="[Measures].[Avance Plan base 100 Acumulado Anterior (1 mes)]" caption="Avance Plan base 100 Acumulado Anterior (1 mes)" measure="1" displayFolder="" measureGroup="PB100_PQ" count="0"/>
    <cacheHierarchy uniqueName="[Measures].[Avance Plan Periodo (1 mes)]" caption="Avance Plan Periodo (1 mes)" measure="1" displayFolder="" measureGroup="PB100_PQ" count="0"/>
    <cacheHierarchy uniqueName="[Measures].[Desviación]" caption="Desviación" measure="1" displayFolder="" measureGroup="RA100_PQ" count="0"/>
    <cacheHierarchy uniqueName="[Measures].[Sum Aportes]" caption="Sum Aportes" measure="1" displayFolder="" measureGroup="EDTV_PQ" count="0"/>
    <cacheHierarchy uniqueName="[Measures].[Aporte a la Desviación]" caption="Aporte a la Desviación" measure="1" displayFolder="" measureGroup="RA100_PQ" count="0"/>
    <cacheHierarchy uniqueName="[Measures].[Avance Real Periodo (2 sem)]" caption="Avance Real Periodo (2 sem)" measure="1" displayFolder="" measureGroup="RA100_PQ" count="0"/>
    <cacheHierarchy uniqueName="[Measures].[Avance Real Periodo (1 mes)]" caption="Avance Real Periodo (1 mes)" measure="1" displayFolder="" measureGroup="RA100_PQ" count="0"/>
    <cacheHierarchy uniqueName="[Measures].[__XL_Count EDTV_PQ]" caption="__XL_Count EDTV_PQ" measure="1" displayFolder="" measureGroup="EDTV_PQ" count="0" hidden="1"/>
    <cacheHierarchy uniqueName="[Measures].[__XL_Count EDTN_PQ]" caption="__XL_Count EDTN_PQ" measure="1" displayFolder="" measureGroup="EDTN_PQ" count="0" hidden="1"/>
    <cacheHierarchy uniqueName="[Measures].[__XL_Count RA100_PQ]" caption="__XL_Count RA100_PQ" measure="1" displayFolder="" measureGroup="RA100_PQ" count="0" hidden="1"/>
    <cacheHierarchy uniqueName="[Measures].[__XL_Count AR39_PQ]" caption="__XL_Count AR39_PQ" measure="1" displayFolder="" measureGroup="AR39_PQ" count="0" hidden="1"/>
    <cacheHierarchy uniqueName="[Measures].[__XL_Count PB39_PQ]" caption="__XL_Count PB39_PQ" measure="1" displayFolder="" measureGroup="PB39_PQ" count="0" hidden="1"/>
    <cacheHierarchy uniqueName="[Measures].[__XL_Count PB100_PQ]" caption="__XL_Count PB100_PQ" measure="1" displayFolder="" measureGroup="PB100_PQ" count="0" hidden="1"/>
    <cacheHierarchy uniqueName="[Measures].[__XL_Count Calendario 1]" caption="__XL_Count Calendario 1" measure="1" displayFolder="" measureGroup="Calendario 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029310743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dro Sosa" refreshedDate="46204.68536585648" createdVersion="3" refreshedVersion="7" minRefreshableVersion="3" recordCount="0" supportSubquery="1" supportAdvancedDrill="1" xr:uid="{35B29CA2-819C-43D1-BA6B-969A1732A75B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7">
    <cacheHierarchy uniqueName="[AR39_PQ].[N1]" caption="N1" attribute="1" defaultMemberUniqueName="[AR39_PQ].[N1].[All]" allUniqueName="[AR39_PQ].[N1].[All]" dimensionUniqueName="[AR39_PQ]" displayFolder="" count="0" memberValueDatatype="130" unbalanced="0"/>
    <cacheHierarchy uniqueName="[AR39_PQ].[N2]" caption="N2" attribute="1" defaultMemberUniqueName="[AR39_PQ].[N2].[All]" allUniqueName="[AR39_PQ].[N2].[All]" dimensionUniqueName="[AR39_PQ]" displayFolder="" count="0" memberValueDatatype="130" unbalanced="0"/>
    <cacheHierarchy uniqueName="[AR39_PQ].[N3]" caption="N3" attribute="1" defaultMemberUniqueName="[AR39_PQ].[N3].[All]" allUniqueName="[AR39_PQ].[N3].[All]" dimensionUniqueName="[AR39_PQ]" displayFolder="" count="0" memberValueDatatype="130" unbalanced="0"/>
    <cacheHierarchy uniqueName="[AR39_PQ].[N4]" caption="N4" attribute="1" defaultMemberUniqueName="[AR39_PQ].[N4].[All]" allUniqueName="[AR39_PQ].[N4].[All]" dimensionUniqueName="[AR39_PQ]" displayFolder="" count="0" memberValueDatatype="130" unbalanced="0"/>
    <cacheHierarchy uniqueName="[AR39_PQ].[Nuevos Pesos]" caption="Nuevos Pesos" attribute="1" defaultMemberUniqueName="[AR39_PQ].[Nuevos Pesos].[All]" allUniqueName="[AR39_PQ].[Nuevos Pesos].[All]" dimensionUniqueName="[AR39_PQ]" displayFolder="" count="0" memberValueDatatype="5" unbalanced="0"/>
    <cacheHierarchy uniqueName="[AR39_PQ].[Fecha]" caption="Fecha" attribute="1" time="1" defaultMemberUniqueName="[AR39_PQ].[Fecha].[All]" allUniqueName="[AR39_PQ].[Fecha].[All]" dimensionUniqueName="[AR39_PQ]" displayFolder="" count="0" memberValueDatatype="7" unbalanced="0"/>
    <cacheHierarchy uniqueName="[AR39_PQ].[AvanceBase39]" caption="AvanceBase39" attribute="1" defaultMemberUniqueName="[AR39_PQ].[AvanceBase39].[All]" allUniqueName="[AR39_PQ].[AvanceBase39].[All]" dimensionUniqueName="[AR39_PQ]" displayFolder="" count="0" memberValueDatatype="5" unbalanced="0"/>
    <cacheHierarchy uniqueName="[AR39_PQ].[N1.N2.N3.N4]" caption="N1.N2.N3.N4" attribute="1" defaultMemberUniqueName="[AR39_PQ].[N1.N2.N3.N4].[All]" allUniqueName="[AR39_PQ].[N1.N2.N3.N4].[All]" dimensionUniqueName="[AR39_PQ]" displayFolder="" count="0" memberValueDatatype="130" unbalanced="0"/>
    <cacheHierarchy uniqueName="[AR39_PQ].[Aporte Nuevo]" caption="Aporte Nuevo" attribute="1" defaultMemberUniqueName="[AR39_PQ].[Aporte Nuevo].[All]" allUniqueName="[AR39_PQ].[Aporte Nuevo].[All]" dimensionUniqueName="[AR39_PQ]" displayFolder="" count="0" memberValueDatatype="5" unbalanced="0"/>
    <cacheHierarchy uniqueName="[Calendario 1].[Calendario]" caption="Calendario" attribute="1" time="1" defaultMemberUniqueName="[Calendario 1].[Calendario].[All]" allUniqueName="[Calendario 1].[Calendario].[All]" dimensionUniqueName="[Calendario 1]" displayFolder="" count="2" memberValueDatatype="7" unbalanced="0"/>
    <cacheHierarchy uniqueName="[Calendario 1].[Columna calculada 1]" caption="Columna calculada 1" attribute="1" defaultMemberUniqueName="[Calendario 1].[Columna calculada 1].[All]" allUniqueName="[Calendario 1].[Columna calculada 1].[All]" dimensionUniqueName="[Calendario 1]" displayFolder="" count="0" memberValueDatatype="130" unbalanced="0"/>
    <cacheHierarchy uniqueName="[EDTN_PQ].[N1]" caption="N1" attribute="1" defaultMemberUniqueName="[EDTN_PQ].[N1].[All]" allUniqueName="[EDTN_PQ].[N1].[All]" dimensionUniqueName="[EDTN_PQ]" displayFolder="" count="0" memberValueDatatype="130" unbalanced="0"/>
    <cacheHierarchy uniqueName="[EDTN_PQ].[N2]" caption="N2" attribute="1" defaultMemberUniqueName="[EDTN_PQ].[N2].[All]" allUniqueName="[EDTN_PQ].[N2].[All]" dimensionUniqueName="[EDTN_PQ]" displayFolder="" count="0" memberValueDatatype="130" unbalanced="0"/>
    <cacheHierarchy uniqueName="[EDTN_PQ].[N3]" caption="N3" attribute="1" defaultMemberUniqueName="[EDTN_PQ].[N3].[All]" allUniqueName="[EDTN_PQ].[N3].[All]" dimensionUniqueName="[EDTN_PQ]" displayFolder="" count="0" memberValueDatatype="130" unbalanced="0"/>
    <cacheHierarchy uniqueName="[EDTN_PQ].[N4]" caption="N4" attribute="1" defaultMemberUniqueName="[EDTN_PQ].[N4].[All]" allUniqueName="[EDTN_PQ].[N4].[All]" dimensionUniqueName="[EDTN_PQ]" displayFolder="" count="0" memberValueDatatype="130" unbalanced="0"/>
    <cacheHierarchy uniqueName="[EDTN_PQ].[Nuevos Pesos]" caption="Nuevos Pesos" attribute="1" defaultMemberUniqueName="[EDTN_PQ].[Nuevos Pesos].[All]" allUniqueName="[EDTN_PQ].[Nuevos Pesos].[All]" dimensionUniqueName="[EDTN_PQ]" displayFolder="" count="0" memberValueDatatype="5" unbalanced="0"/>
    <cacheHierarchy uniqueName="[EDTN_PQ].[Aporte Nuevo]" caption="Aporte Nuevo" attribute="1" defaultMemberUniqueName="[EDTN_PQ].[Aporte Nuevo].[All]" allUniqueName="[EDTN_PQ].[Aporte Nuevo].[All]" dimensionUniqueName="[EDTN_PQ]" displayFolder="" count="0" memberValueDatatype="5" unbalanced="0"/>
    <cacheHierarchy uniqueName="[EDTN_PQ].[N1.N2.N3.N4]" caption="N1.N2.N3.N4" attribute="1" defaultMemberUniqueName="[EDTN_PQ].[N1.N2.N3.N4].[All]" allUniqueName="[EDTN_PQ].[N1.N2.N3.N4].[All]" dimensionUniqueName="[EDTN_PQ]" displayFolder="" count="0" memberValueDatatype="130" unbalanced="0"/>
    <cacheHierarchy uniqueName="[EDTV_PQ].[N1]" caption="N1" attribute="1" defaultMemberUniqueName="[EDTV_PQ].[N1].[All]" allUniqueName="[EDTV_PQ].[N1].[All]" dimensionUniqueName="[EDTV_PQ]" displayFolder="" count="0" memberValueDatatype="130" unbalanced="0"/>
    <cacheHierarchy uniqueName="[EDTV_PQ].[N2]" caption="N2" attribute="1" defaultMemberUniqueName="[EDTV_PQ].[N2].[All]" allUniqueName="[EDTV_PQ].[N2].[All]" dimensionUniqueName="[EDTV_PQ]" displayFolder="" count="0" memberValueDatatype="130" unbalanced="0"/>
    <cacheHierarchy uniqueName="[EDTV_PQ].[N3]" caption="N3" attribute="1" defaultMemberUniqueName="[EDTV_PQ].[N3].[All]" allUniqueName="[EDTV_PQ].[N3].[All]" dimensionUniqueName="[EDTV_PQ]" displayFolder="" count="0" memberValueDatatype="130" unbalanced="0"/>
    <cacheHierarchy uniqueName="[EDTV_PQ].[N4]" caption="N4" attribute="1" defaultMemberUniqueName="[EDTV_PQ].[N4].[All]" allUniqueName="[EDTV_PQ].[N4].[All]" dimensionUniqueName="[EDTV_PQ]" displayFolder="" count="0" memberValueDatatype="130" unbalanced="0"/>
    <cacheHierarchy uniqueName="[EDTV_PQ].[Pesos]" caption="Pesos" attribute="1" defaultMemberUniqueName="[EDTV_PQ].[Pesos].[All]" allUniqueName="[EDTV_PQ].[Pesos].[All]" dimensionUniqueName="[EDTV_PQ]" displayFolder="" count="0" memberValueDatatype="5" unbalanced="0"/>
    <cacheHierarchy uniqueName="[EDTV_PQ].[Aporte]" caption="Aporte" attribute="1" defaultMemberUniqueName="[EDTV_PQ].[Aporte].[All]" allUniqueName="[EDTV_PQ].[Aporte].[All]" dimensionUniqueName="[EDTV_PQ]" displayFolder="" count="0" memberValueDatatype="5" unbalanced="0"/>
    <cacheHierarchy uniqueName="[EDTV_PQ].[N1.N2.N3.N4]" caption="N1.N2.N3.N4" attribute="1" defaultMemberUniqueName="[EDTV_PQ].[N1.N2.N3.N4].[All]" allUniqueName="[EDTV_PQ].[N1.N2.N3.N4].[All]" dimensionUniqueName="[EDTV_PQ]" displayFolder="" count="0" memberValueDatatype="130" unbalanced="0"/>
    <cacheHierarchy uniqueName="[PB100_PQ].[N1]" caption="N1" attribute="1" defaultMemberUniqueName="[PB100_PQ].[N1].[All]" allUniqueName="[PB100_PQ].[N1].[All]" dimensionUniqueName="[PB100_PQ]" displayFolder="" count="0" memberValueDatatype="130" unbalanced="0"/>
    <cacheHierarchy uniqueName="[PB100_PQ].[N2]" caption="N2" attribute="1" defaultMemberUniqueName="[PB100_PQ].[N2].[All]" allUniqueName="[PB100_PQ].[N2].[All]" dimensionUniqueName="[PB100_PQ]" displayFolder="" count="0" memberValueDatatype="130" unbalanced="0"/>
    <cacheHierarchy uniqueName="[PB100_PQ].[N3]" caption="N3" attribute="1" defaultMemberUniqueName="[PB100_PQ].[N3].[All]" allUniqueName="[PB100_PQ].[N3].[All]" dimensionUniqueName="[PB100_PQ]" displayFolder="" count="0" memberValueDatatype="130" unbalanced="0"/>
    <cacheHierarchy uniqueName="[PB100_PQ].[N4]" caption="N4" attribute="1" defaultMemberUniqueName="[PB100_PQ].[N4].[All]" allUniqueName="[PB100_PQ].[N4].[All]" dimensionUniqueName="[PB100_PQ]" displayFolder="" count="0" memberValueDatatype="130" unbalanced="0"/>
    <cacheHierarchy uniqueName="[PB100_PQ].[Pesos]" caption="Pesos" attribute="1" defaultMemberUniqueName="[PB100_PQ].[Pesos].[All]" allUniqueName="[PB100_PQ].[Pesos].[All]" dimensionUniqueName="[PB100_PQ]" displayFolder="" count="0" memberValueDatatype="5" unbalanced="0"/>
    <cacheHierarchy uniqueName="[PB100_PQ].[Atributo]" caption="Atributo" attribute="1" time="1" defaultMemberUniqueName="[PB100_PQ].[Atributo].[All]" allUniqueName="[PB100_PQ].[Atributo].[All]" dimensionUniqueName="[PB100_PQ]" displayFolder="" count="0" memberValueDatatype="7" unbalanced="0"/>
    <cacheHierarchy uniqueName="[PB100_PQ].[Valor]" caption="Valor" attribute="1" defaultMemberUniqueName="[PB100_PQ].[Valor].[All]" allUniqueName="[PB100_PQ].[Valor].[All]" dimensionUniqueName="[PB100_PQ]" displayFolder="" count="0" memberValueDatatype="5" unbalanced="0"/>
    <cacheHierarchy uniqueName="[PB100_PQ].[N1.N2.N3.N4]" caption="N1.N2.N3.N4" attribute="1" defaultMemberUniqueName="[PB100_PQ].[N1.N2.N3.N4].[All]" allUniqueName="[PB100_PQ].[N1.N2.N3.N4].[All]" dimensionUniqueName="[PB100_PQ]" displayFolder="" count="0" memberValueDatatype="130" unbalanced="0"/>
    <cacheHierarchy uniqueName="[PB100_PQ].[Aportes Viejos]" caption="Aportes Viejos" attribute="1" defaultMemberUniqueName="[PB100_PQ].[Aportes Viejos].[All]" allUniqueName="[PB100_PQ].[Aportes Viejos].[All]" dimensionUniqueName="[PB100_PQ]" displayFolder="" count="0" memberValueDatatype="5" unbalanced="0"/>
    <cacheHierarchy uniqueName="[PB39_PQ].[N1]" caption="N1" attribute="1" defaultMemberUniqueName="[PB39_PQ].[N1].[All]" allUniqueName="[PB39_PQ].[N1].[All]" dimensionUniqueName="[PB39_PQ]" displayFolder="" count="0" memberValueDatatype="130" unbalanced="0"/>
    <cacheHierarchy uniqueName="[PB39_PQ].[N2]" caption="N2" attribute="1" defaultMemberUniqueName="[PB39_PQ].[N2].[All]" allUniqueName="[PB39_PQ].[N2].[All]" dimensionUniqueName="[PB39_PQ]" displayFolder="" count="0" memberValueDatatype="130" unbalanced="0"/>
    <cacheHierarchy uniqueName="[PB39_PQ].[N3]" caption="N3" attribute="1" defaultMemberUniqueName="[PB39_PQ].[N3].[All]" allUniqueName="[PB39_PQ].[N3].[All]" dimensionUniqueName="[PB39_PQ]" displayFolder="" count="0" memberValueDatatype="130" unbalanced="0"/>
    <cacheHierarchy uniqueName="[PB39_PQ].[N4]" caption="N4" attribute="1" defaultMemberUniqueName="[PB39_PQ].[N4].[All]" allUniqueName="[PB39_PQ].[N4].[All]" dimensionUniqueName="[PB39_PQ]" displayFolder="" count="0" memberValueDatatype="130" unbalanced="0"/>
    <cacheHierarchy uniqueName="[PB39_PQ].[Nuevos Pesos]" caption="Nuevos Pesos" attribute="1" defaultMemberUniqueName="[PB39_PQ].[Nuevos Pesos].[All]" allUniqueName="[PB39_PQ].[Nuevos Pesos].[All]" dimensionUniqueName="[PB39_PQ]" displayFolder="" count="0" memberValueDatatype="5" unbalanced="0"/>
    <cacheHierarchy uniqueName="[PB39_PQ].[Fecha]" caption="Fecha" attribute="1" time="1" defaultMemberUniqueName="[PB39_PQ].[Fecha].[All]" allUniqueName="[PB39_PQ].[Fecha].[All]" dimensionUniqueName="[PB39_PQ]" displayFolder="" count="0" memberValueDatatype="7" unbalanced="0"/>
    <cacheHierarchy uniqueName="[PB39_PQ].[PlanBase39]" caption="PlanBase39" attribute="1" defaultMemberUniqueName="[PB39_PQ].[PlanBase39].[All]" allUniqueName="[PB39_PQ].[PlanBase39].[All]" dimensionUniqueName="[PB39_PQ]" displayFolder="" count="0" memberValueDatatype="5" unbalanced="0"/>
    <cacheHierarchy uniqueName="[PB39_PQ].[N1.N2.N3.N4]" caption="N1.N2.N3.N4" attribute="1" defaultMemberUniqueName="[PB39_PQ].[N1.N2.N3.N4].[All]" allUniqueName="[PB39_PQ].[N1.N2.N3.N4].[All]" dimensionUniqueName="[PB39_PQ]" displayFolder="" count="0" memberValueDatatype="130" unbalanced="0"/>
    <cacheHierarchy uniqueName="[PB39_PQ].[Aportes Nuevo]" caption="Aportes Nuevo" attribute="1" defaultMemberUniqueName="[PB39_PQ].[Aportes Nuevo].[All]" allUniqueName="[PB39_PQ].[Aportes Nuevo].[All]" dimensionUniqueName="[PB39_PQ]" displayFolder="" count="0" memberValueDatatype="5" unbalanced="0"/>
    <cacheHierarchy uniqueName="[RA100_PQ].[N1]" caption="N1" attribute="1" defaultMemberUniqueName="[RA100_PQ].[N1].[All]" allUniqueName="[RA100_PQ].[N1].[All]" dimensionUniqueName="[RA100_PQ]" displayFolder="" count="0" memberValueDatatype="130" unbalanced="0"/>
    <cacheHierarchy uniqueName="[RA100_PQ].[N2]" caption="N2" attribute="1" defaultMemberUniqueName="[RA100_PQ].[N2].[All]" allUniqueName="[RA100_PQ].[N2].[All]" dimensionUniqueName="[RA100_PQ]" displayFolder="" count="0" memberValueDatatype="130" unbalanced="0"/>
    <cacheHierarchy uniqueName="[RA100_PQ].[N3]" caption="N3" attribute="1" defaultMemberUniqueName="[RA100_PQ].[N3].[All]" allUniqueName="[RA100_PQ].[N3].[All]" dimensionUniqueName="[RA100_PQ]" displayFolder="" count="0" memberValueDatatype="130" unbalanced="0"/>
    <cacheHierarchy uniqueName="[RA100_PQ].[N4]" caption="N4" attribute="1" defaultMemberUniqueName="[RA100_PQ].[N4].[All]" allUniqueName="[RA100_PQ].[N4].[All]" dimensionUniqueName="[RA100_PQ]" displayFolder="" count="0" memberValueDatatype="130" unbalanced="0"/>
    <cacheHierarchy uniqueName="[RA100_PQ].[Pesos]" caption="Pesos" attribute="1" defaultMemberUniqueName="[RA100_PQ].[Pesos].[All]" allUniqueName="[RA100_PQ].[Pesos].[All]" dimensionUniqueName="[RA100_PQ]" displayFolder="" count="0" memberValueDatatype="5" unbalanced="0"/>
    <cacheHierarchy uniqueName="[RA100_PQ].[Fecha]" caption="Fecha" attribute="1" time="1" defaultMemberUniqueName="[RA100_PQ].[Fecha].[All]" allUniqueName="[RA100_PQ].[Fecha].[All]" dimensionUniqueName="[RA100_PQ]" displayFolder="" count="0" memberValueDatatype="7" unbalanced="0"/>
    <cacheHierarchy uniqueName="[RA100_PQ].[RA100]" caption="RA100" attribute="1" defaultMemberUniqueName="[RA100_PQ].[RA100].[All]" allUniqueName="[RA100_PQ].[RA100].[All]" dimensionUniqueName="[RA100_PQ]" displayFolder="" count="0" memberValueDatatype="5" unbalanced="0"/>
    <cacheHierarchy uniqueName="[RA100_PQ].[N1.N2.N3.N4]" caption="N1.N2.N3.N4" attribute="1" defaultMemberUniqueName="[RA100_PQ].[N1.N2.N3.N4].[All]" allUniqueName="[RA100_PQ].[N1.N2.N3.N4].[All]" dimensionUniqueName="[RA100_PQ]" displayFolder="" count="0" memberValueDatatype="130" unbalanced="0"/>
    <cacheHierarchy uniqueName="[RA100_PQ].[AporteViejo]" caption="AporteViejo" attribute="1" defaultMemberUniqueName="[RA100_PQ].[AporteViejo].[All]" allUniqueName="[RA100_PQ].[AporteViejo].[All]" dimensionUniqueName="[RA100_PQ]" displayFolder="" count="0" memberValueDatatype="5" unbalanced="0"/>
    <cacheHierarchy uniqueName="[Measures].[Aporte Real Acumulado Semanal]" caption="Aporte Real Acumulado Semanal" measure="1" displayFolder="" measureGroup="RA100_PQ" count="0"/>
    <cacheHierarchy uniqueName="[Measures].[Aporte Real Acumulado Semanal Anterior]" caption="Aporte Real Acumulado Semanal Anterior" measure="1" displayFolder="" measureGroup="RA100_PQ" count="0"/>
    <cacheHierarchy uniqueName="[Measures].[Aporte Real Semanal]" caption="Aporte Real Semanal" measure="1" displayFolder="" measureGroup="RA100_PQ" count="0"/>
    <cacheHierarchy uniqueName="[Measures].[Avance Real Base 100 Semanal]" caption="Avance Real Base 100 Semanal" measure="1" displayFolder="" measureGroup="RA100_PQ" count="0"/>
    <cacheHierarchy uniqueName="[Measures].[Avance Real base 100 Acumulado Semanal]" caption="Avance Real base 100 Acumulado Semanal" measure="1" displayFolder="" measureGroup="RA100_PQ" count="0"/>
    <cacheHierarchy uniqueName="[Measures].[Avance Real base 100 Acumulado Anterior (2 sem)]" caption="Avance Real base 100 Acumulado Anterior (2 sem)" measure="1" displayFolder="" measureGroup="RA100_PQ" count="0"/>
    <cacheHierarchy uniqueName="[Measures].[Avance Real base 100 Acumulado Anterior (1 mes)]" caption="Avance Real base 100 Acumulado Anterior (1 mes)" measure="1" displayFolder="" measureGroup="RA100_PQ" count="0"/>
    <cacheHierarchy uniqueName="[Measures].[Aporte Plan B39 Acumulado Semanal]" caption="Aporte Plan B39 Acumulado Semanal" measure="1" displayFolder="" measureGroup="PB39_PQ" count="0"/>
    <cacheHierarchy uniqueName="[Measures].[Aporte Plan B39 Acumulado Semanal Anterior]" caption="Aporte Plan B39 Acumulado Semanal Anterior" measure="1" displayFolder="" measureGroup="PB39_PQ" count="0"/>
    <cacheHierarchy uniqueName="[Measures].[Aporte Plan B39 Semanal]" caption="Aporte Plan B39 Semanal" measure="1" displayFolder="" measureGroup="PB39_PQ" count="0"/>
    <cacheHierarchy uniqueName="[Measures].[Avance Plan B39 Base 100 Semanal]" caption="Avance Plan B39 Base 100 Semanal" measure="1" displayFolder="" measureGroup="PB39_PQ" count="0"/>
    <cacheHierarchy uniqueName="[Measures].[Avance Plan B39 base 100 Acumulado Semanal]" caption="Avance Plan B39 base 100 Acumulado Semanal" measure="1" displayFolder="" measureGroup="PB39_PQ" count="0"/>
    <cacheHierarchy uniqueName="[Measures].[Avance Plan B39 base 100 Acumulado Anterior (2 sem)]" caption="Avance Plan B39 base 100 Acumulado Anterior (2 sem)" measure="1" displayFolder="" measureGroup="PB39_PQ" count="0"/>
    <cacheHierarchy uniqueName="[Measures].[Avance Plan Periodo B39 (2 sem)]" caption="Avance Plan Periodo B39 (2 sem)" measure="1" displayFolder="" measureGroup="PB39_PQ" count="0"/>
    <cacheHierarchy uniqueName="[Measures].[Avance Plan B39 base 100 Acumulado Anterior (1 mes)]" caption="Avance Plan B39 base 100 Acumulado Anterior (1 mes)" measure="1" displayFolder="" measureGroup="PB39_PQ" count="0"/>
    <cacheHierarchy uniqueName="[Measures].[Avance Plan Periodo B39 (1 mes)]" caption="Avance Plan Periodo B39 (1 mes)" measure="1" displayFolder="" measureGroup="PB39_PQ" count="0"/>
    <cacheHierarchy uniqueName="[Measures].[Aporte Real B39 Acumulado Semanal]" caption="Aporte Real B39 Acumulado Semanal" measure="1" displayFolder="" measureGroup="AR39_PQ" count="0"/>
    <cacheHierarchy uniqueName="[Measures].[Aporte Real B39 Acumulado Semanal Anterior]" caption="Aporte Real B39 Acumulado Semanal Anterior" measure="1" displayFolder="" measureGroup="AR39_PQ" count="0"/>
    <cacheHierarchy uniqueName="[Measures].[Aporte Real B39 Semanal]" caption="Aporte Real B39 Semanal" measure="1" displayFolder="" measureGroup="AR39_PQ" count="0"/>
    <cacheHierarchy uniqueName="[Measures].[Avance Real B39 Base 100 Semanal]" caption="Avance Real B39 Base 100 Semanal" measure="1" displayFolder="" measureGroup="AR39_PQ" count="0"/>
    <cacheHierarchy uniqueName="[Measures].[Avance Real B39 base 100 Acumulado Semanal]" caption="Avance Real B39 base 100 Acumulado Semanal" measure="1" displayFolder="" measureGroup="AR39_PQ" count="0"/>
    <cacheHierarchy uniqueName="[Measures].[Avance Real B39 base 100 Acumulado Anterior (2 sem)]" caption="Avance Real B39 base 100 Acumulado Anterior (2 sem)" measure="1" displayFolder="" measureGroup="AR39_PQ" count="0"/>
    <cacheHierarchy uniqueName="[Measures].[Avance Real B39 Periodo (2 sem)]" caption="Avance Real B39 Periodo (2 sem)" measure="1" displayFolder="" measureGroup="AR39_PQ" count="0"/>
    <cacheHierarchy uniqueName="[Measures].[Avance Real B39 base 100 Acumulado Anterior (1 mes)]" caption="Avance Real B39 base 100 Acumulado Anterior (1 mes)" measure="1" displayFolder="" measureGroup="AR39_PQ" count="0"/>
    <cacheHierarchy uniqueName="[Measures].[Avance Real B39 Periodo (1 mes)]" caption="Avance Real B39 Periodo (1 mes)" measure="1" displayFolder="" measureGroup="AR39_PQ" count="0"/>
    <cacheHierarchy uniqueName="[Measures].[Desviación B39]" caption="Desviación B39" measure="1" displayFolder="" measureGroup="AR39_PQ" count="0"/>
    <cacheHierarchy uniqueName="[Measures].[Desviación B39 (2 sem)]" caption="Desviación B39 (2 sem)" measure="1" displayFolder="" measureGroup="AR39_PQ" count="0"/>
    <cacheHierarchy uniqueName="[Measures].[Desviación B39 (1 mes)]" caption="Desviación B39 (1 mes)" measure="1" displayFolder="" measureGroup="AR39_PQ" count="0"/>
    <cacheHierarchy uniqueName="[Measures].[Sum Aportes B39]" caption="Sum Aportes B39" measure="1" displayFolder="" measureGroup="EDTN_PQ" count="0"/>
    <cacheHierarchy uniqueName="[Measures].[Sum Aportes (sin filtro)]" caption="Sum Aportes (sin filtro)" measure="1" displayFolder="" measureGroup="EDTN_PQ" count="0"/>
    <cacheHierarchy uniqueName="[Measures].[Aporte a la Desviación B39]" caption="Aporte a la Desviación B39" measure="1" displayFolder="" measureGroup="AR39_PQ" count="0"/>
    <cacheHierarchy uniqueName="[Measures].[Desviacion periodo B39 (1 mes)]" caption="Desviacion periodo B39 (1 mes)" measure="1" displayFolder="" measureGroup="AR39_PQ" count="0"/>
    <cacheHierarchy uniqueName="[Measures].[Desviacion periodo B39 (2 sem)]" caption="Desviacion periodo B39 (2 sem)" measure="1" displayFolder="" measureGroup="AR39_PQ" count="0"/>
    <cacheHierarchy uniqueName="[Measures].[Aporte Plan Acumulado Semanal]" caption="Aporte Plan Acumulado Semanal" measure="1" displayFolder="" measureGroup="PB100_PQ" count="0"/>
    <cacheHierarchy uniqueName="[Measures].[Aporte Plan Acumulado Semanal Anterior]" caption="Aporte Plan Acumulado Semanal Anterior" measure="1" displayFolder="" measureGroup="PB100_PQ" count="0"/>
    <cacheHierarchy uniqueName="[Measures].[Aporte Plan Semanal]" caption="Aporte Plan Semanal" measure="1" displayFolder="" measureGroup="PB100_PQ" count="0"/>
    <cacheHierarchy uniqueName="[Measures].[Avance Plan Base 100 Semanal]" caption="Avance Plan Base 100 Semanal" measure="1" displayFolder="" measureGroup="PB100_PQ" count="0"/>
    <cacheHierarchy uniqueName="[Measures].[Avance Plan base 100 Acumulado Semanal]" caption="Avance Plan base 100 Acumulado Semanal" measure="1" displayFolder="" measureGroup="PB100_PQ" count="0"/>
    <cacheHierarchy uniqueName="[Measures].[Avance Plan base 100 Acumulado Anterior (2 sem)]" caption="Avance Plan base 100 Acumulado Anterior (2 sem)" measure="1" displayFolder="" measureGroup="PB100_PQ" count="0"/>
    <cacheHierarchy uniqueName="[Measures].[Avance Plan Periodo (2 sem)]" caption="Avance Plan Periodo (2 sem)" measure="1" displayFolder="" measureGroup="PB100_PQ" count="0"/>
    <cacheHierarchy uniqueName="[Measures].[Avance Plan base 100 Acumulado Anterior (1 mes)]" caption="Avance Plan base 100 Acumulado Anterior (1 mes)" measure="1" displayFolder="" measureGroup="PB100_PQ" count="0"/>
    <cacheHierarchy uniqueName="[Measures].[Avance Plan Periodo (1 mes)]" caption="Avance Plan Periodo (1 mes)" measure="1" displayFolder="" measureGroup="PB100_PQ" count="0"/>
    <cacheHierarchy uniqueName="[Measures].[Desviación]" caption="Desviación" measure="1" displayFolder="" measureGroup="RA100_PQ" count="0"/>
    <cacheHierarchy uniqueName="[Measures].[Sum Aportes]" caption="Sum Aportes" measure="1" displayFolder="" measureGroup="EDTV_PQ" count="0"/>
    <cacheHierarchy uniqueName="[Measures].[Aporte a la Desviación]" caption="Aporte a la Desviación" measure="1" displayFolder="" measureGroup="RA100_PQ" count="0"/>
    <cacheHierarchy uniqueName="[Measures].[Avance Real Periodo (2 sem)]" caption="Avance Real Periodo (2 sem)" measure="1" displayFolder="" measureGroup="RA100_PQ" count="0"/>
    <cacheHierarchy uniqueName="[Measures].[Avance Real Periodo (1 mes)]" caption="Avance Real Periodo (1 mes)" measure="1" displayFolder="" measureGroup="RA100_PQ" count="0"/>
    <cacheHierarchy uniqueName="[Measures].[__XL_Count EDTV_PQ]" caption="__XL_Count EDTV_PQ" measure="1" displayFolder="" measureGroup="EDTV_PQ" count="0" hidden="1"/>
    <cacheHierarchy uniqueName="[Measures].[__XL_Count EDTN_PQ]" caption="__XL_Count EDTN_PQ" measure="1" displayFolder="" measureGroup="EDTN_PQ" count="0" hidden="1"/>
    <cacheHierarchy uniqueName="[Measures].[__XL_Count RA100_PQ]" caption="__XL_Count RA100_PQ" measure="1" displayFolder="" measureGroup="RA100_PQ" count="0" hidden="1"/>
    <cacheHierarchy uniqueName="[Measures].[__XL_Count AR39_PQ]" caption="__XL_Count AR39_PQ" measure="1" displayFolder="" measureGroup="AR39_PQ" count="0" hidden="1"/>
    <cacheHierarchy uniqueName="[Measures].[__XL_Count PB39_PQ]" caption="__XL_Count PB39_PQ" measure="1" displayFolder="" measureGroup="PB39_PQ" count="0" hidden="1"/>
    <cacheHierarchy uniqueName="[Measures].[__XL_Count PB100_PQ]" caption="__XL_Count PB100_PQ" measure="1" displayFolder="" measureGroup="PB100_PQ" count="0" hidden="1"/>
    <cacheHierarchy uniqueName="[Measures].[__XL_Count Calendario 1]" caption="__XL_Count Calendario 1" measure="1" displayFolder="" measureGroup="Calendario 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57967590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dro Sosa" refreshedDate="46204.685369560182" createdVersion="3" refreshedVersion="7" minRefreshableVersion="3" recordCount="0" supportSubquery="1" supportAdvancedDrill="1" xr:uid="{164F99E8-6ACB-4E4B-AC26-AE4A5415B7CB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7">
    <cacheHierarchy uniqueName="[AR39_PQ].[N1]" caption="N1" attribute="1" defaultMemberUniqueName="[AR39_PQ].[N1].[All]" allUniqueName="[AR39_PQ].[N1].[All]" dimensionUniqueName="[AR39_PQ]" displayFolder="" count="0" memberValueDatatype="130" unbalanced="0"/>
    <cacheHierarchy uniqueName="[AR39_PQ].[N2]" caption="N2" attribute="1" defaultMemberUniqueName="[AR39_PQ].[N2].[All]" allUniqueName="[AR39_PQ].[N2].[All]" dimensionUniqueName="[AR39_PQ]" displayFolder="" count="0" memberValueDatatype="130" unbalanced="0"/>
    <cacheHierarchy uniqueName="[AR39_PQ].[N3]" caption="N3" attribute="1" defaultMemberUniqueName="[AR39_PQ].[N3].[All]" allUniqueName="[AR39_PQ].[N3].[All]" dimensionUniqueName="[AR39_PQ]" displayFolder="" count="0" memberValueDatatype="130" unbalanced="0"/>
    <cacheHierarchy uniqueName="[AR39_PQ].[N4]" caption="N4" attribute="1" defaultMemberUniqueName="[AR39_PQ].[N4].[All]" allUniqueName="[AR39_PQ].[N4].[All]" dimensionUniqueName="[AR39_PQ]" displayFolder="" count="0" memberValueDatatype="130" unbalanced="0"/>
    <cacheHierarchy uniqueName="[AR39_PQ].[Nuevos Pesos]" caption="Nuevos Pesos" attribute="1" defaultMemberUniqueName="[AR39_PQ].[Nuevos Pesos].[All]" allUniqueName="[AR39_PQ].[Nuevos Pesos].[All]" dimensionUniqueName="[AR39_PQ]" displayFolder="" count="0" memberValueDatatype="5" unbalanced="0"/>
    <cacheHierarchy uniqueName="[AR39_PQ].[Fecha]" caption="Fecha" attribute="1" time="1" defaultMemberUniqueName="[AR39_PQ].[Fecha].[All]" allUniqueName="[AR39_PQ].[Fecha].[All]" dimensionUniqueName="[AR39_PQ]" displayFolder="" count="0" memberValueDatatype="7" unbalanced="0"/>
    <cacheHierarchy uniqueName="[AR39_PQ].[AvanceBase39]" caption="AvanceBase39" attribute="1" defaultMemberUniqueName="[AR39_PQ].[AvanceBase39].[All]" allUniqueName="[AR39_PQ].[AvanceBase39].[All]" dimensionUniqueName="[AR39_PQ]" displayFolder="" count="0" memberValueDatatype="5" unbalanced="0"/>
    <cacheHierarchy uniqueName="[AR39_PQ].[N1.N2.N3.N4]" caption="N1.N2.N3.N4" attribute="1" defaultMemberUniqueName="[AR39_PQ].[N1.N2.N3.N4].[All]" allUniqueName="[AR39_PQ].[N1.N2.N3.N4].[All]" dimensionUniqueName="[AR39_PQ]" displayFolder="" count="0" memberValueDatatype="130" unbalanced="0"/>
    <cacheHierarchy uniqueName="[AR39_PQ].[Aporte Nuevo]" caption="Aporte Nuevo" attribute="1" defaultMemberUniqueName="[AR39_PQ].[Aporte Nuevo].[All]" allUniqueName="[AR39_PQ].[Aporte Nuevo].[All]" dimensionUniqueName="[AR39_PQ]" displayFolder="" count="0" memberValueDatatype="5" unbalanced="0"/>
    <cacheHierarchy uniqueName="[Calendario 1].[Calendario]" caption="Calendario" attribute="1" time="1" defaultMemberUniqueName="[Calendario 1].[Calendario].[All]" allUniqueName="[Calendario 1].[Calendario].[All]" dimensionUniqueName="[Calendario 1]" displayFolder="" count="2" memberValueDatatype="7" unbalanced="0"/>
    <cacheHierarchy uniqueName="[Calendario 1].[Columna calculada 1]" caption="Columna calculada 1" attribute="1" defaultMemberUniqueName="[Calendario 1].[Columna calculada 1].[All]" allUniqueName="[Calendario 1].[Columna calculada 1].[All]" dimensionUniqueName="[Calendario 1]" displayFolder="" count="0" memberValueDatatype="130" unbalanced="0"/>
    <cacheHierarchy uniqueName="[EDTN_PQ].[N1]" caption="N1" attribute="1" defaultMemberUniqueName="[EDTN_PQ].[N1].[All]" allUniqueName="[EDTN_PQ].[N1].[All]" dimensionUniqueName="[EDTN_PQ]" displayFolder="" count="0" memberValueDatatype="130" unbalanced="0"/>
    <cacheHierarchy uniqueName="[EDTN_PQ].[N2]" caption="N2" attribute="1" defaultMemberUniqueName="[EDTN_PQ].[N2].[All]" allUniqueName="[EDTN_PQ].[N2].[All]" dimensionUniqueName="[EDTN_PQ]" displayFolder="" count="0" memberValueDatatype="130" unbalanced="0"/>
    <cacheHierarchy uniqueName="[EDTN_PQ].[N3]" caption="N3" attribute="1" defaultMemberUniqueName="[EDTN_PQ].[N3].[All]" allUniqueName="[EDTN_PQ].[N3].[All]" dimensionUniqueName="[EDTN_PQ]" displayFolder="" count="0" memberValueDatatype="130" unbalanced="0"/>
    <cacheHierarchy uniqueName="[EDTN_PQ].[N4]" caption="N4" attribute="1" defaultMemberUniqueName="[EDTN_PQ].[N4].[All]" allUniqueName="[EDTN_PQ].[N4].[All]" dimensionUniqueName="[EDTN_PQ]" displayFolder="" count="0" memberValueDatatype="130" unbalanced="0"/>
    <cacheHierarchy uniqueName="[EDTN_PQ].[Nuevos Pesos]" caption="Nuevos Pesos" attribute="1" defaultMemberUniqueName="[EDTN_PQ].[Nuevos Pesos].[All]" allUniqueName="[EDTN_PQ].[Nuevos Pesos].[All]" dimensionUniqueName="[EDTN_PQ]" displayFolder="" count="0" memberValueDatatype="5" unbalanced="0"/>
    <cacheHierarchy uniqueName="[EDTN_PQ].[Aporte Nuevo]" caption="Aporte Nuevo" attribute="1" defaultMemberUniqueName="[EDTN_PQ].[Aporte Nuevo].[All]" allUniqueName="[EDTN_PQ].[Aporte Nuevo].[All]" dimensionUniqueName="[EDTN_PQ]" displayFolder="" count="0" memberValueDatatype="5" unbalanced="0"/>
    <cacheHierarchy uniqueName="[EDTN_PQ].[N1.N2.N3.N4]" caption="N1.N2.N3.N4" attribute="1" defaultMemberUniqueName="[EDTN_PQ].[N1.N2.N3.N4].[All]" allUniqueName="[EDTN_PQ].[N1.N2.N3.N4].[All]" dimensionUniqueName="[EDTN_PQ]" displayFolder="" count="0" memberValueDatatype="130" unbalanced="0"/>
    <cacheHierarchy uniqueName="[EDTV_PQ].[N1]" caption="N1" attribute="1" defaultMemberUniqueName="[EDTV_PQ].[N1].[All]" allUniqueName="[EDTV_PQ].[N1].[All]" dimensionUniqueName="[EDTV_PQ]" displayFolder="" count="0" memberValueDatatype="130" unbalanced="0"/>
    <cacheHierarchy uniqueName="[EDTV_PQ].[N2]" caption="N2" attribute="1" defaultMemberUniqueName="[EDTV_PQ].[N2].[All]" allUniqueName="[EDTV_PQ].[N2].[All]" dimensionUniqueName="[EDTV_PQ]" displayFolder="" count="0" memberValueDatatype="130" unbalanced="0"/>
    <cacheHierarchy uniqueName="[EDTV_PQ].[N3]" caption="N3" attribute="1" defaultMemberUniqueName="[EDTV_PQ].[N3].[All]" allUniqueName="[EDTV_PQ].[N3].[All]" dimensionUniqueName="[EDTV_PQ]" displayFolder="" count="0" memberValueDatatype="130" unbalanced="0"/>
    <cacheHierarchy uniqueName="[EDTV_PQ].[N4]" caption="N4" attribute="1" defaultMemberUniqueName="[EDTV_PQ].[N4].[All]" allUniqueName="[EDTV_PQ].[N4].[All]" dimensionUniqueName="[EDTV_PQ]" displayFolder="" count="0" memberValueDatatype="130" unbalanced="0"/>
    <cacheHierarchy uniqueName="[EDTV_PQ].[Pesos]" caption="Pesos" attribute="1" defaultMemberUniqueName="[EDTV_PQ].[Pesos].[All]" allUniqueName="[EDTV_PQ].[Pesos].[All]" dimensionUniqueName="[EDTV_PQ]" displayFolder="" count="0" memberValueDatatype="5" unbalanced="0"/>
    <cacheHierarchy uniqueName="[EDTV_PQ].[Aporte]" caption="Aporte" attribute="1" defaultMemberUniqueName="[EDTV_PQ].[Aporte].[All]" allUniqueName="[EDTV_PQ].[Aporte].[All]" dimensionUniqueName="[EDTV_PQ]" displayFolder="" count="0" memberValueDatatype="5" unbalanced="0"/>
    <cacheHierarchy uniqueName="[EDTV_PQ].[N1.N2.N3.N4]" caption="N1.N2.N3.N4" attribute="1" defaultMemberUniqueName="[EDTV_PQ].[N1.N2.N3.N4].[All]" allUniqueName="[EDTV_PQ].[N1.N2.N3.N4].[All]" dimensionUniqueName="[EDTV_PQ]" displayFolder="" count="0" memberValueDatatype="130" unbalanced="0"/>
    <cacheHierarchy uniqueName="[PB100_PQ].[N1]" caption="N1" attribute="1" defaultMemberUniqueName="[PB100_PQ].[N1].[All]" allUniqueName="[PB100_PQ].[N1].[All]" dimensionUniqueName="[PB100_PQ]" displayFolder="" count="0" memberValueDatatype="130" unbalanced="0"/>
    <cacheHierarchy uniqueName="[PB100_PQ].[N2]" caption="N2" attribute="1" defaultMemberUniqueName="[PB100_PQ].[N2].[All]" allUniqueName="[PB100_PQ].[N2].[All]" dimensionUniqueName="[PB100_PQ]" displayFolder="" count="0" memberValueDatatype="130" unbalanced="0"/>
    <cacheHierarchy uniqueName="[PB100_PQ].[N3]" caption="N3" attribute="1" defaultMemberUniqueName="[PB100_PQ].[N3].[All]" allUniqueName="[PB100_PQ].[N3].[All]" dimensionUniqueName="[PB100_PQ]" displayFolder="" count="0" memberValueDatatype="130" unbalanced="0"/>
    <cacheHierarchy uniqueName="[PB100_PQ].[N4]" caption="N4" attribute="1" defaultMemberUniqueName="[PB100_PQ].[N4].[All]" allUniqueName="[PB100_PQ].[N4].[All]" dimensionUniqueName="[PB100_PQ]" displayFolder="" count="0" memberValueDatatype="130" unbalanced="0"/>
    <cacheHierarchy uniqueName="[PB100_PQ].[Pesos]" caption="Pesos" attribute="1" defaultMemberUniqueName="[PB100_PQ].[Pesos].[All]" allUniqueName="[PB100_PQ].[Pesos].[All]" dimensionUniqueName="[PB100_PQ]" displayFolder="" count="0" memberValueDatatype="5" unbalanced="0"/>
    <cacheHierarchy uniqueName="[PB100_PQ].[Atributo]" caption="Atributo" attribute="1" time="1" defaultMemberUniqueName="[PB100_PQ].[Atributo].[All]" allUniqueName="[PB100_PQ].[Atributo].[All]" dimensionUniqueName="[PB100_PQ]" displayFolder="" count="0" memberValueDatatype="7" unbalanced="0"/>
    <cacheHierarchy uniqueName="[PB100_PQ].[Valor]" caption="Valor" attribute="1" defaultMemberUniqueName="[PB100_PQ].[Valor].[All]" allUniqueName="[PB100_PQ].[Valor].[All]" dimensionUniqueName="[PB100_PQ]" displayFolder="" count="0" memberValueDatatype="5" unbalanced="0"/>
    <cacheHierarchy uniqueName="[PB100_PQ].[N1.N2.N3.N4]" caption="N1.N2.N3.N4" attribute="1" defaultMemberUniqueName="[PB100_PQ].[N1.N2.N3.N4].[All]" allUniqueName="[PB100_PQ].[N1.N2.N3.N4].[All]" dimensionUniqueName="[PB100_PQ]" displayFolder="" count="0" memberValueDatatype="130" unbalanced="0"/>
    <cacheHierarchy uniqueName="[PB100_PQ].[Aportes Viejos]" caption="Aportes Viejos" attribute="1" defaultMemberUniqueName="[PB100_PQ].[Aportes Viejos].[All]" allUniqueName="[PB100_PQ].[Aportes Viejos].[All]" dimensionUniqueName="[PB100_PQ]" displayFolder="" count="0" memberValueDatatype="5" unbalanced="0"/>
    <cacheHierarchy uniqueName="[PB39_PQ].[N1]" caption="N1" attribute="1" defaultMemberUniqueName="[PB39_PQ].[N1].[All]" allUniqueName="[PB39_PQ].[N1].[All]" dimensionUniqueName="[PB39_PQ]" displayFolder="" count="0" memberValueDatatype="130" unbalanced="0"/>
    <cacheHierarchy uniqueName="[PB39_PQ].[N2]" caption="N2" attribute="1" defaultMemberUniqueName="[PB39_PQ].[N2].[All]" allUniqueName="[PB39_PQ].[N2].[All]" dimensionUniqueName="[PB39_PQ]" displayFolder="" count="0" memberValueDatatype="130" unbalanced="0"/>
    <cacheHierarchy uniqueName="[PB39_PQ].[N3]" caption="N3" attribute="1" defaultMemberUniqueName="[PB39_PQ].[N3].[All]" allUniqueName="[PB39_PQ].[N3].[All]" dimensionUniqueName="[PB39_PQ]" displayFolder="" count="0" memberValueDatatype="130" unbalanced="0"/>
    <cacheHierarchy uniqueName="[PB39_PQ].[N4]" caption="N4" attribute="1" defaultMemberUniqueName="[PB39_PQ].[N4].[All]" allUniqueName="[PB39_PQ].[N4].[All]" dimensionUniqueName="[PB39_PQ]" displayFolder="" count="0" memberValueDatatype="130" unbalanced="0"/>
    <cacheHierarchy uniqueName="[PB39_PQ].[Nuevos Pesos]" caption="Nuevos Pesos" attribute="1" defaultMemberUniqueName="[PB39_PQ].[Nuevos Pesos].[All]" allUniqueName="[PB39_PQ].[Nuevos Pesos].[All]" dimensionUniqueName="[PB39_PQ]" displayFolder="" count="0" memberValueDatatype="5" unbalanced="0"/>
    <cacheHierarchy uniqueName="[PB39_PQ].[Fecha]" caption="Fecha" attribute="1" time="1" defaultMemberUniqueName="[PB39_PQ].[Fecha].[All]" allUniqueName="[PB39_PQ].[Fecha].[All]" dimensionUniqueName="[PB39_PQ]" displayFolder="" count="0" memberValueDatatype="7" unbalanced="0"/>
    <cacheHierarchy uniqueName="[PB39_PQ].[PlanBase39]" caption="PlanBase39" attribute="1" defaultMemberUniqueName="[PB39_PQ].[PlanBase39].[All]" allUniqueName="[PB39_PQ].[PlanBase39].[All]" dimensionUniqueName="[PB39_PQ]" displayFolder="" count="0" memberValueDatatype="5" unbalanced="0"/>
    <cacheHierarchy uniqueName="[PB39_PQ].[N1.N2.N3.N4]" caption="N1.N2.N3.N4" attribute="1" defaultMemberUniqueName="[PB39_PQ].[N1.N2.N3.N4].[All]" allUniqueName="[PB39_PQ].[N1.N2.N3.N4].[All]" dimensionUniqueName="[PB39_PQ]" displayFolder="" count="0" memberValueDatatype="130" unbalanced="0"/>
    <cacheHierarchy uniqueName="[PB39_PQ].[Aportes Nuevo]" caption="Aportes Nuevo" attribute="1" defaultMemberUniqueName="[PB39_PQ].[Aportes Nuevo].[All]" allUniqueName="[PB39_PQ].[Aportes Nuevo].[All]" dimensionUniqueName="[PB39_PQ]" displayFolder="" count="0" memberValueDatatype="5" unbalanced="0"/>
    <cacheHierarchy uniqueName="[RA100_PQ].[N1]" caption="N1" attribute="1" defaultMemberUniqueName="[RA100_PQ].[N1].[All]" allUniqueName="[RA100_PQ].[N1].[All]" dimensionUniqueName="[RA100_PQ]" displayFolder="" count="0" memberValueDatatype="130" unbalanced="0"/>
    <cacheHierarchy uniqueName="[RA100_PQ].[N2]" caption="N2" attribute="1" defaultMemberUniqueName="[RA100_PQ].[N2].[All]" allUniqueName="[RA100_PQ].[N2].[All]" dimensionUniqueName="[RA100_PQ]" displayFolder="" count="0" memberValueDatatype="130" unbalanced="0"/>
    <cacheHierarchy uniqueName="[RA100_PQ].[N3]" caption="N3" attribute="1" defaultMemberUniqueName="[RA100_PQ].[N3].[All]" allUniqueName="[RA100_PQ].[N3].[All]" dimensionUniqueName="[RA100_PQ]" displayFolder="" count="0" memberValueDatatype="130" unbalanced="0"/>
    <cacheHierarchy uniqueName="[RA100_PQ].[N4]" caption="N4" attribute="1" defaultMemberUniqueName="[RA100_PQ].[N4].[All]" allUniqueName="[RA100_PQ].[N4].[All]" dimensionUniqueName="[RA100_PQ]" displayFolder="" count="0" memberValueDatatype="130" unbalanced="0"/>
    <cacheHierarchy uniqueName="[RA100_PQ].[Pesos]" caption="Pesos" attribute="1" defaultMemberUniqueName="[RA100_PQ].[Pesos].[All]" allUniqueName="[RA100_PQ].[Pesos].[All]" dimensionUniqueName="[RA100_PQ]" displayFolder="" count="0" memberValueDatatype="5" unbalanced="0"/>
    <cacheHierarchy uniqueName="[RA100_PQ].[Fecha]" caption="Fecha" attribute="1" time="1" defaultMemberUniqueName="[RA100_PQ].[Fecha].[All]" allUniqueName="[RA100_PQ].[Fecha].[All]" dimensionUniqueName="[RA100_PQ]" displayFolder="" count="0" memberValueDatatype="7" unbalanced="0"/>
    <cacheHierarchy uniqueName="[RA100_PQ].[RA100]" caption="RA100" attribute="1" defaultMemberUniqueName="[RA100_PQ].[RA100].[All]" allUniqueName="[RA100_PQ].[RA100].[All]" dimensionUniqueName="[RA100_PQ]" displayFolder="" count="0" memberValueDatatype="5" unbalanced="0"/>
    <cacheHierarchy uniqueName="[RA100_PQ].[N1.N2.N3.N4]" caption="N1.N2.N3.N4" attribute="1" defaultMemberUniqueName="[RA100_PQ].[N1.N2.N3.N4].[All]" allUniqueName="[RA100_PQ].[N1.N2.N3.N4].[All]" dimensionUniqueName="[RA100_PQ]" displayFolder="" count="0" memberValueDatatype="130" unbalanced="0"/>
    <cacheHierarchy uniqueName="[RA100_PQ].[AporteViejo]" caption="AporteViejo" attribute="1" defaultMemberUniqueName="[RA100_PQ].[AporteViejo].[All]" allUniqueName="[RA100_PQ].[AporteViejo].[All]" dimensionUniqueName="[RA100_PQ]" displayFolder="" count="0" memberValueDatatype="5" unbalanced="0"/>
    <cacheHierarchy uniqueName="[Measures].[Aporte Real Acumulado Semanal]" caption="Aporte Real Acumulado Semanal" measure="1" displayFolder="" measureGroup="RA100_PQ" count="0"/>
    <cacheHierarchy uniqueName="[Measures].[Aporte Real Acumulado Semanal Anterior]" caption="Aporte Real Acumulado Semanal Anterior" measure="1" displayFolder="" measureGroup="RA100_PQ" count="0"/>
    <cacheHierarchy uniqueName="[Measures].[Aporte Real Semanal]" caption="Aporte Real Semanal" measure="1" displayFolder="" measureGroup="RA100_PQ" count="0"/>
    <cacheHierarchy uniqueName="[Measures].[Avance Real Base 100 Semanal]" caption="Avance Real Base 100 Semanal" measure="1" displayFolder="" measureGroup="RA100_PQ" count="0"/>
    <cacheHierarchy uniqueName="[Measures].[Avance Real base 100 Acumulado Semanal]" caption="Avance Real base 100 Acumulado Semanal" measure="1" displayFolder="" measureGroup="RA100_PQ" count="0"/>
    <cacheHierarchy uniqueName="[Measures].[Avance Real base 100 Acumulado Anterior (2 sem)]" caption="Avance Real base 100 Acumulado Anterior (2 sem)" measure="1" displayFolder="" measureGroup="RA100_PQ" count="0"/>
    <cacheHierarchy uniqueName="[Measures].[Avance Real base 100 Acumulado Anterior (1 mes)]" caption="Avance Real base 100 Acumulado Anterior (1 mes)" measure="1" displayFolder="" measureGroup="RA100_PQ" count="0"/>
    <cacheHierarchy uniqueName="[Measures].[Aporte Plan B39 Acumulado Semanal]" caption="Aporte Plan B39 Acumulado Semanal" measure="1" displayFolder="" measureGroup="PB39_PQ" count="0"/>
    <cacheHierarchy uniqueName="[Measures].[Aporte Plan B39 Acumulado Semanal Anterior]" caption="Aporte Plan B39 Acumulado Semanal Anterior" measure="1" displayFolder="" measureGroup="PB39_PQ" count="0"/>
    <cacheHierarchy uniqueName="[Measures].[Aporte Plan B39 Semanal]" caption="Aporte Plan B39 Semanal" measure="1" displayFolder="" measureGroup="PB39_PQ" count="0"/>
    <cacheHierarchy uniqueName="[Measures].[Avance Plan B39 Base 100 Semanal]" caption="Avance Plan B39 Base 100 Semanal" measure="1" displayFolder="" measureGroup="PB39_PQ" count="0"/>
    <cacheHierarchy uniqueName="[Measures].[Avance Plan B39 base 100 Acumulado Semanal]" caption="Avance Plan B39 base 100 Acumulado Semanal" measure="1" displayFolder="" measureGroup="PB39_PQ" count="0"/>
    <cacheHierarchy uniqueName="[Measures].[Avance Plan B39 base 100 Acumulado Anterior (2 sem)]" caption="Avance Plan B39 base 100 Acumulado Anterior (2 sem)" measure="1" displayFolder="" measureGroup="PB39_PQ" count="0"/>
    <cacheHierarchy uniqueName="[Measures].[Avance Plan Periodo B39 (2 sem)]" caption="Avance Plan Periodo B39 (2 sem)" measure="1" displayFolder="" measureGroup="PB39_PQ" count="0"/>
    <cacheHierarchy uniqueName="[Measures].[Avance Plan B39 base 100 Acumulado Anterior (1 mes)]" caption="Avance Plan B39 base 100 Acumulado Anterior (1 mes)" measure="1" displayFolder="" measureGroup="PB39_PQ" count="0"/>
    <cacheHierarchy uniqueName="[Measures].[Avance Plan Periodo B39 (1 mes)]" caption="Avance Plan Periodo B39 (1 mes)" measure="1" displayFolder="" measureGroup="PB39_PQ" count="0"/>
    <cacheHierarchy uniqueName="[Measures].[Aporte Real B39 Acumulado Semanal]" caption="Aporte Real B39 Acumulado Semanal" measure="1" displayFolder="" measureGroup="AR39_PQ" count="0"/>
    <cacheHierarchy uniqueName="[Measures].[Aporte Real B39 Acumulado Semanal Anterior]" caption="Aporte Real B39 Acumulado Semanal Anterior" measure="1" displayFolder="" measureGroup="AR39_PQ" count="0"/>
    <cacheHierarchy uniqueName="[Measures].[Aporte Real B39 Semanal]" caption="Aporte Real B39 Semanal" measure="1" displayFolder="" measureGroup="AR39_PQ" count="0"/>
    <cacheHierarchy uniqueName="[Measures].[Avance Real B39 Base 100 Semanal]" caption="Avance Real B39 Base 100 Semanal" measure="1" displayFolder="" measureGroup="AR39_PQ" count="0"/>
    <cacheHierarchy uniqueName="[Measures].[Avance Real B39 base 100 Acumulado Semanal]" caption="Avance Real B39 base 100 Acumulado Semanal" measure="1" displayFolder="" measureGroup="AR39_PQ" count="0"/>
    <cacheHierarchy uniqueName="[Measures].[Avance Real B39 base 100 Acumulado Anterior (2 sem)]" caption="Avance Real B39 base 100 Acumulado Anterior (2 sem)" measure="1" displayFolder="" measureGroup="AR39_PQ" count="0"/>
    <cacheHierarchy uniqueName="[Measures].[Avance Real B39 Periodo (2 sem)]" caption="Avance Real B39 Periodo (2 sem)" measure="1" displayFolder="" measureGroup="AR39_PQ" count="0"/>
    <cacheHierarchy uniqueName="[Measures].[Avance Real B39 base 100 Acumulado Anterior (1 mes)]" caption="Avance Real B39 base 100 Acumulado Anterior (1 mes)" measure="1" displayFolder="" measureGroup="AR39_PQ" count="0"/>
    <cacheHierarchy uniqueName="[Measures].[Avance Real B39 Periodo (1 mes)]" caption="Avance Real B39 Periodo (1 mes)" measure="1" displayFolder="" measureGroup="AR39_PQ" count="0"/>
    <cacheHierarchy uniqueName="[Measures].[Desviación B39]" caption="Desviación B39" measure="1" displayFolder="" measureGroup="AR39_PQ" count="0"/>
    <cacheHierarchy uniqueName="[Measures].[Desviación B39 (2 sem)]" caption="Desviación B39 (2 sem)" measure="1" displayFolder="" measureGroup="AR39_PQ" count="0"/>
    <cacheHierarchy uniqueName="[Measures].[Desviación B39 (1 mes)]" caption="Desviación B39 (1 mes)" measure="1" displayFolder="" measureGroup="AR39_PQ" count="0"/>
    <cacheHierarchy uniqueName="[Measures].[Sum Aportes B39]" caption="Sum Aportes B39" measure="1" displayFolder="" measureGroup="EDTN_PQ" count="0"/>
    <cacheHierarchy uniqueName="[Measures].[Sum Aportes (sin filtro)]" caption="Sum Aportes (sin filtro)" measure="1" displayFolder="" measureGroup="EDTN_PQ" count="0"/>
    <cacheHierarchy uniqueName="[Measures].[Aporte a la Desviación B39]" caption="Aporte a la Desviación B39" measure="1" displayFolder="" measureGroup="AR39_PQ" count="0"/>
    <cacheHierarchy uniqueName="[Measures].[Desviacion periodo B39 (1 mes)]" caption="Desviacion periodo B39 (1 mes)" measure="1" displayFolder="" measureGroup="AR39_PQ" count="0"/>
    <cacheHierarchy uniqueName="[Measures].[Desviacion periodo B39 (2 sem)]" caption="Desviacion periodo B39 (2 sem)" measure="1" displayFolder="" measureGroup="AR39_PQ" count="0"/>
    <cacheHierarchy uniqueName="[Measures].[Aporte Plan Acumulado Semanal]" caption="Aporte Plan Acumulado Semanal" measure="1" displayFolder="" measureGroup="PB100_PQ" count="0"/>
    <cacheHierarchy uniqueName="[Measures].[Aporte Plan Acumulado Semanal Anterior]" caption="Aporte Plan Acumulado Semanal Anterior" measure="1" displayFolder="" measureGroup="PB100_PQ" count="0"/>
    <cacheHierarchy uniqueName="[Measures].[Aporte Plan Semanal]" caption="Aporte Plan Semanal" measure="1" displayFolder="" measureGroup="PB100_PQ" count="0"/>
    <cacheHierarchy uniqueName="[Measures].[Avance Plan Base 100 Semanal]" caption="Avance Plan Base 100 Semanal" measure="1" displayFolder="" measureGroup="PB100_PQ" count="0"/>
    <cacheHierarchy uniqueName="[Measures].[Avance Plan base 100 Acumulado Semanal]" caption="Avance Plan base 100 Acumulado Semanal" measure="1" displayFolder="" measureGroup="PB100_PQ" count="0"/>
    <cacheHierarchy uniqueName="[Measures].[Avance Plan base 100 Acumulado Anterior (2 sem)]" caption="Avance Plan base 100 Acumulado Anterior (2 sem)" measure="1" displayFolder="" measureGroup="PB100_PQ" count="0"/>
    <cacheHierarchy uniqueName="[Measures].[Avance Plan Periodo (2 sem)]" caption="Avance Plan Periodo (2 sem)" measure="1" displayFolder="" measureGroup="PB100_PQ" count="0"/>
    <cacheHierarchy uniqueName="[Measures].[Avance Plan base 100 Acumulado Anterior (1 mes)]" caption="Avance Plan base 100 Acumulado Anterior (1 mes)" measure="1" displayFolder="" measureGroup="PB100_PQ" count="0"/>
    <cacheHierarchy uniqueName="[Measures].[Avance Plan Periodo (1 mes)]" caption="Avance Plan Periodo (1 mes)" measure="1" displayFolder="" measureGroup="PB100_PQ" count="0"/>
    <cacheHierarchy uniqueName="[Measures].[Desviación]" caption="Desviación" measure="1" displayFolder="" measureGroup="RA100_PQ" count="0"/>
    <cacheHierarchy uniqueName="[Measures].[Sum Aportes]" caption="Sum Aportes" measure="1" displayFolder="" measureGroup="EDTV_PQ" count="0"/>
    <cacheHierarchy uniqueName="[Measures].[Aporte a la Desviación]" caption="Aporte a la Desviación" measure="1" displayFolder="" measureGroup="RA100_PQ" count="0"/>
    <cacheHierarchy uniqueName="[Measures].[Avance Real Periodo (2 sem)]" caption="Avance Real Periodo (2 sem)" measure="1" displayFolder="" measureGroup="RA100_PQ" count="0"/>
    <cacheHierarchy uniqueName="[Measures].[Avance Real Periodo (1 mes)]" caption="Avance Real Periodo (1 mes)" measure="1" displayFolder="" measureGroup="RA100_PQ" count="0"/>
    <cacheHierarchy uniqueName="[Measures].[__XL_Count EDTV_PQ]" caption="__XL_Count EDTV_PQ" measure="1" displayFolder="" measureGroup="EDTV_PQ" count="0" hidden="1"/>
    <cacheHierarchy uniqueName="[Measures].[__XL_Count EDTN_PQ]" caption="__XL_Count EDTN_PQ" measure="1" displayFolder="" measureGroup="EDTN_PQ" count="0" hidden="1"/>
    <cacheHierarchy uniqueName="[Measures].[__XL_Count RA100_PQ]" caption="__XL_Count RA100_PQ" measure="1" displayFolder="" measureGroup="RA100_PQ" count="0" hidden="1"/>
    <cacheHierarchy uniqueName="[Measures].[__XL_Count AR39_PQ]" caption="__XL_Count AR39_PQ" measure="1" displayFolder="" measureGroup="AR39_PQ" count="0" hidden="1"/>
    <cacheHierarchy uniqueName="[Measures].[__XL_Count PB39_PQ]" caption="__XL_Count PB39_PQ" measure="1" displayFolder="" measureGroup="PB39_PQ" count="0" hidden="1"/>
    <cacheHierarchy uniqueName="[Measures].[__XL_Count PB100_PQ]" caption="__XL_Count PB100_PQ" measure="1" displayFolder="" measureGroup="PB100_PQ" count="0" hidden="1"/>
    <cacheHierarchy uniqueName="[Measures].[__XL_Count Calendario 1]" caption="__XL_Count Calendario 1" measure="1" displayFolder="" measureGroup="Calendario 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07144683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09A29-C6D8-4243-9508-24BED017C154}" name="ControlAvanceBisemanal" cacheId="1" applyNumberFormats="0" applyBorderFormats="0" applyFontFormats="0" applyPatternFormats="0" applyAlignmentFormats="0" applyWidthHeightFormats="1" dataCaption="Valores" missingCaption="0" tag="28500de2-c4b3-4dd4-b496-5fe4d29c7a55" updatedVersion="7" minRefreshableVersion="3" subtotalHiddenItems="1" rowGrandTotals="0" itemPrintTitles="1" createdVersion="5" indent="0" outline="1" outlineData="1" multipleFieldFilters="0">
  <location ref="H6:R94" firstHeaderRow="0" firstDataRow="1" firstDataCol="1"/>
  <pivotFields count="15">
    <pivotField axis="axisRow" allDrilled="1" showAll="0" dataSourceSort="1" defaultAttributeDrillState="1">
      <items count="2">
        <item x="0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name="CtrlAvance" axis="axisRow" allDrilled="1" showAll="0" defaultAttributeDrillState="1">
      <items count="23">
        <item x="1"/>
        <item x="3"/>
        <item x="4"/>
        <item x="5"/>
        <item x="6"/>
        <item x="7"/>
        <item x="8"/>
        <item x="9"/>
        <item x="10"/>
        <item x="18"/>
        <item x="19"/>
        <item x="20"/>
        <item x="21"/>
        <item x="11"/>
        <item x="12"/>
        <item x="13"/>
        <item x="14"/>
        <item x="15"/>
        <item x="16"/>
        <item x="17"/>
        <item x="2"/>
        <item x="0"/>
        <item t="default"/>
      </items>
    </pivotField>
    <pivotField axis="axisRow" allDrilled="1" showAll="0" defaultAttributeDrillState="1">
      <items count="62">
        <item x="0"/>
        <item x="4"/>
        <item x="3"/>
        <item x="1"/>
        <item x="2"/>
        <item x="5"/>
        <item x="6"/>
        <item x="7"/>
        <item x="11"/>
        <item x="10"/>
        <item x="13"/>
        <item x="14"/>
        <item x="15"/>
        <item x="17"/>
        <item x="16"/>
        <item x="18"/>
        <item x="19"/>
        <item x="25"/>
        <item x="27"/>
        <item x="21"/>
        <item x="24"/>
        <item x="23"/>
        <item x="20"/>
        <item x="22"/>
        <item x="26"/>
        <item x="28"/>
        <item x="29"/>
        <item x="30"/>
        <item x="32"/>
        <item x="35"/>
        <item x="33"/>
        <item x="34"/>
        <item x="38"/>
        <item x="36"/>
        <item x="37"/>
        <item x="41"/>
        <item x="40"/>
        <item x="42"/>
        <item x="44"/>
        <item x="43"/>
        <item x="39"/>
        <item x="46"/>
        <item x="47"/>
        <item x="49"/>
        <item x="48"/>
        <item x="50"/>
        <item x="53"/>
        <item x="54"/>
        <item x="52"/>
        <item x="55"/>
        <item x="56"/>
        <item x="57"/>
        <item x="58"/>
        <item x="60"/>
        <item x="9"/>
        <item x="12"/>
        <item x="51"/>
        <item x="59"/>
        <item x="31"/>
        <item x="45"/>
        <item x="8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howAll="0" dataSourceSort="1" defaultAttributeDrillState="1"/>
  </pivotFields>
  <rowFields count="4">
    <field x="0"/>
    <field x="1"/>
    <field x="2"/>
    <field x="3"/>
  </rowFields>
  <rowItems count="88">
    <i>
      <x/>
    </i>
    <i r="1">
      <x/>
    </i>
    <i r="2">
      <x/>
    </i>
    <i r="3">
      <x v="1"/>
    </i>
    <i r="3">
      <x v="2"/>
    </i>
    <i r="3">
      <x v="3"/>
    </i>
    <i r="3">
      <x v="4"/>
    </i>
    <i r="2">
      <x v="1"/>
    </i>
    <i r="3">
      <x v="6"/>
    </i>
    <i r="2">
      <x v="2"/>
    </i>
    <i r="3">
      <x v="7"/>
    </i>
    <i r="3">
      <x v="60"/>
    </i>
    <i r="2">
      <x v="3"/>
    </i>
    <i r="3">
      <x v="8"/>
    </i>
    <i r="3">
      <x v="9"/>
    </i>
    <i r="3">
      <x v="54"/>
    </i>
    <i r="2">
      <x v="4"/>
    </i>
    <i r="3">
      <x v="10"/>
    </i>
    <i r="3">
      <x v="55"/>
    </i>
    <i r="2">
      <x v="5"/>
    </i>
    <i r="3">
      <x v="11"/>
    </i>
    <i r="2">
      <x v="6"/>
    </i>
    <i r="3">
      <x v="12"/>
    </i>
    <i r="3">
      <x v="13"/>
    </i>
    <i r="3">
      <x v="14"/>
    </i>
    <i r="2">
      <x v="7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2">
      <x v="20"/>
    </i>
    <i r="3">
      <x v="5"/>
    </i>
    <i r="2">
      <x v="21"/>
    </i>
    <i r="3">
      <x/>
    </i>
    <i r="1">
      <x v="1"/>
    </i>
    <i r="2">
      <x v="8"/>
    </i>
    <i r="3">
      <x v="25"/>
    </i>
    <i r="2">
      <x v="9"/>
    </i>
    <i r="3">
      <x v="46"/>
    </i>
    <i r="3">
      <x v="47"/>
    </i>
    <i r="3">
      <x v="48"/>
    </i>
    <i r="3">
      <x v="49"/>
    </i>
    <i r="3">
      <x v="56"/>
    </i>
    <i r="2">
      <x v="10"/>
    </i>
    <i r="3">
      <x v="50"/>
    </i>
    <i r="3">
      <x v="51"/>
    </i>
    <i r="2">
      <x v="11"/>
    </i>
    <i r="3">
      <x v="52"/>
    </i>
    <i r="2">
      <x v="12"/>
    </i>
    <i r="3">
      <x v="53"/>
    </i>
    <i r="3">
      <x v="57"/>
    </i>
    <i r="2">
      <x v="13"/>
    </i>
    <i r="3">
      <x v="26"/>
    </i>
    <i r="3">
      <x v="27"/>
    </i>
    <i r="2">
      <x v="14"/>
    </i>
    <i r="3">
      <x v="28"/>
    </i>
    <i r="3">
      <x v="58"/>
    </i>
    <i r="2">
      <x v="15"/>
    </i>
    <i r="3">
      <x v="29"/>
    </i>
    <i r="3">
      <x v="30"/>
    </i>
    <i r="3">
      <x v="31"/>
    </i>
    <i r="2">
      <x v="16"/>
    </i>
    <i r="3">
      <x v="32"/>
    </i>
    <i r="3">
      <x v="33"/>
    </i>
    <i r="3">
      <x v="34"/>
    </i>
    <i r="2">
      <x v="17"/>
    </i>
    <i r="3">
      <x v="35"/>
    </i>
    <i r="3">
      <x v="36"/>
    </i>
    <i r="3">
      <x v="37"/>
    </i>
    <i r="3">
      <x v="38"/>
    </i>
    <i r="3">
      <x v="39"/>
    </i>
    <i r="3">
      <x v="40"/>
    </i>
    <i r="2">
      <x v="18"/>
    </i>
    <i r="3">
      <x v="41"/>
    </i>
    <i r="3">
      <x v="42"/>
    </i>
    <i r="3">
      <x v="59"/>
    </i>
    <i r="2">
      <x v="19"/>
    </i>
    <i r="3">
      <x v="43"/>
    </i>
    <i r="3">
      <x v="44"/>
    </i>
    <i r="3">
      <x v="45"/>
    </i>
    <i r="2">
      <x v="21"/>
    </i>
    <i r="3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fld="5" subtotal="count" baseField="0" baseItem="0"/>
    <dataField fld="4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  <dataField fld="10" subtotal="count" baseField="0" baseItem="0"/>
    <dataField fld="11" subtotal="count" baseField="0" baseItem="0"/>
    <dataField fld="12" subtotal="count" baseField="0" baseItem="0"/>
    <dataField fld="13" subtotal="count" baseField="0" baseItem="0"/>
  </dataFields>
  <formats count="578">
    <format dxfId="760">
      <pivotArea outline="0" collapsedLevelsAreSubtotals="1" fieldPosition="0"/>
    </format>
    <format dxfId="7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8">
      <pivotArea outline="0" collapsedLevelsAreSubtotals="1" fieldPosition="0"/>
    </format>
    <format dxfId="7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6">
      <pivotArea outline="0" collapsedLevelsAreSubtotals="1" fieldPosition="0"/>
    </format>
    <format dxfId="7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4">
      <pivotArea outline="0" collapsedLevelsAreSubtotals="1" fieldPosition="0"/>
    </format>
    <format dxfId="75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52">
      <pivotArea outline="0" collapsedLevelsAreSubtotals="1" fieldPosition="0"/>
    </format>
    <format dxfId="75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50">
      <pivotArea outline="0" collapsedLevelsAreSubtotals="1" fieldPosition="0"/>
    </format>
    <format dxfId="74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48">
      <pivotArea outline="0" collapsedLevelsAreSubtotals="1" fieldPosition="0"/>
    </format>
    <format dxfId="74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46">
      <pivotArea collapsedLevelsAreSubtotals="1" fieldPosition="0">
        <references count="1">
          <reference field="0" count="0"/>
        </references>
      </pivotArea>
    </format>
    <format dxfId="745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74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743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74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741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74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739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73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737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73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735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73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733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11"/>
          </reference>
        </references>
      </pivotArea>
    </format>
    <format dxfId="73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731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73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729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72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727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72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725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0"/>
          </reference>
        </references>
      </pivotArea>
    </format>
    <format dxfId="724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72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722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72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720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71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718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71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716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71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714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71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712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71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710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70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708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70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706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70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704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70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702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70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700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69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698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48832"/>
          </reference>
          <reference field="3" count="2">
            <x v="0"/>
            <x v="1048832"/>
          </reference>
        </references>
      </pivotArea>
    </format>
    <format dxfId="697">
      <pivotArea dataOnly="0" labelOnly="1" fieldPosition="0">
        <references count="1">
          <reference field="0" count="0"/>
        </references>
      </pivotArea>
    </format>
    <format dxfId="696">
      <pivotArea dataOnly="0" labelOnly="1" fieldPosition="0">
        <references count="2">
          <reference field="0" count="0" selected="0"/>
          <reference field="1" count="0"/>
        </references>
      </pivotArea>
    </format>
    <format dxfId="695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10">
            <x v="0"/>
            <x v="1"/>
            <x v="2"/>
            <x v="3"/>
            <x v="4"/>
            <x v="6"/>
            <x v="7"/>
            <x v="20"/>
            <x v="1048832"/>
            <x v="1048832"/>
          </reference>
        </references>
      </pivotArea>
    </format>
    <format dxfId="694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13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1048832"/>
          </reference>
        </references>
      </pivotArea>
    </format>
    <format dxfId="693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692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691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690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689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688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11"/>
          </reference>
        </references>
      </pivotArea>
    </format>
    <format dxfId="687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686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685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684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0"/>
          </reference>
        </references>
      </pivotArea>
    </format>
    <format dxfId="683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682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68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680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679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678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677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676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675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674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673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672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67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48832"/>
          </reference>
          <reference field="3" count="2">
            <x v="0"/>
            <x v="1048832"/>
          </reference>
        </references>
      </pivotArea>
    </format>
    <format dxfId="670">
      <pivotArea collapsedLevelsAreSubtotals="1" fieldPosition="0">
        <references count="1">
          <reference field="0" count="0"/>
        </references>
      </pivotArea>
    </format>
    <format dxfId="669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668">
      <pivotArea collapsedLevelsAreSubtotals="1" fieldPosition="0">
        <references count="1">
          <reference field="0" count="0"/>
        </references>
      </pivotArea>
    </format>
    <format dxfId="667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66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665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66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663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66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661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66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659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65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657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656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65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654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65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652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65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650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64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648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64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646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64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644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64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642">
      <pivotArea collapsedLevelsAreSubtotals="1" fieldPosition="0">
        <references count="1">
          <reference field="0" count="0"/>
        </references>
      </pivotArea>
    </format>
    <format dxfId="641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640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639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63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637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63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635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63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633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63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631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63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629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628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62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626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62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624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62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622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62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620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61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618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61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616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615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  <format dxfId="614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0" count="0" selected="0"/>
          <reference field="1" count="1">
            <x v="0"/>
          </reference>
        </references>
      </pivotArea>
    </format>
    <format dxfId="613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612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611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610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609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608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607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606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605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604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603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602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11"/>
          </reference>
        </references>
      </pivotArea>
    </format>
    <format dxfId="601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600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599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598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597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596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595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594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0"/>
          </reference>
        </references>
      </pivotArea>
    </format>
    <format dxfId="593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0" count="0" selected="0"/>
          <reference field="1" count="1">
            <x v="1"/>
          </reference>
        </references>
      </pivotArea>
    </format>
    <format dxfId="592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591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590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589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588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587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586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585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584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583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582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581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580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579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578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577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576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575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574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573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572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571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570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569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568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5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6">
      <pivotArea collapsedLevelsAreSubtotals="1" fieldPosition="0">
        <references count="2">
          <reference field="4294967294" count="3" selected="0">
            <x v="3"/>
            <x v="4"/>
            <x v="5"/>
          </reference>
          <reference field="0" count="0"/>
        </references>
      </pivotArea>
    </format>
    <format dxfId="565">
      <pivotArea collapsedLevelsAreSubtotals="1" fieldPosition="0">
        <references count="3">
          <reference field="4294967294" count="3" selected="0">
            <x v="3"/>
            <x v="4"/>
            <x v="5"/>
          </reference>
          <reference field="0" count="0" selected="0"/>
          <reference field="1" count="1">
            <x v="0"/>
          </reference>
        </references>
      </pivotArea>
    </format>
    <format dxfId="564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563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562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561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560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559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558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557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556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555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554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553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11"/>
          </reference>
        </references>
      </pivotArea>
    </format>
    <format dxfId="552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551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550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549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548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547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546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545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0"/>
          </reference>
        </references>
      </pivotArea>
    </format>
    <format dxfId="544">
      <pivotArea collapsedLevelsAreSubtotals="1" fieldPosition="0">
        <references count="3">
          <reference field="4294967294" count="3" selected="0">
            <x v="3"/>
            <x v="4"/>
            <x v="5"/>
          </reference>
          <reference field="0" count="0" selected="0"/>
          <reference field="1" count="1">
            <x v="1"/>
          </reference>
        </references>
      </pivotArea>
    </format>
    <format dxfId="543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542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541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540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539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538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537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536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535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534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533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532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531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530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529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528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527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526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525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524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523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522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521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520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519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518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517">
      <pivotArea collapsedLevelsAreSubtotals="1" fieldPosition="0">
        <references count="2">
          <reference field="4294967294" count="3" selected="0">
            <x v="6"/>
            <x v="7"/>
            <x v="8"/>
          </reference>
          <reference field="0" count="0"/>
        </references>
      </pivotArea>
    </format>
    <format dxfId="516">
      <pivotArea collapsedLevelsAreSubtotals="1" fieldPosition="0">
        <references count="3">
          <reference field="4294967294" count="3" selected="0">
            <x v="6"/>
            <x v="7"/>
            <x v="8"/>
          </reference>
          <reference field="0" count="0" selected="0"/>
          <reference field="1" count="1">
            <x v="0"/>
          </reference>
        </references>
      </pivotArea>
    </format>
    <format dxfId="515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514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513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512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511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510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509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508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507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506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505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504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11"/>
          </reference>
        </references>
      </pivotArea>
    </format>
    <format dxfId="503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502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501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500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499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498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497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496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0"/>
          </reference>
        </references>
      </pivotArea>
    </format>
    <format dxfId="495">
      <pivotArea collapsedLevelsAreSubtotals="1" fieldPosition="0">
        <references count="3">
          <reference field="4294967294" count="3" selected="0">
            <x v="6"/>
            <x v="7"/>
            <x v="8"/>
          </reference>
          <reference field="0" count="0" selected="0"/>
          <reference field="1" count="1">
            <x v="1"/>
          </reference>
        </references>
      </pivotArea>
    </format>
    <format dxfId="494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493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492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491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490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489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488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487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486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485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484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483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482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481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480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479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478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477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476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475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474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473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472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471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470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469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468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  <format dxfId="467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0" count="0" selected="0"/>
          <reference field="1" count="1">
            <x v="0"/>
          </reference>
        </references>
      </pivotArea>
    </format>
    <format dxfId="466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465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464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463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462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461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460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459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458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457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456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455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11"/>
          </reference>
        </references>
      </pivotArea>
    </format>
    <format dxfId="454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453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452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451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450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449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448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447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0"/>
          </reference>
        </references>
      </pivotArea>
    </format>
    <format dxfId="446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0" count="0" selected="0"/>
          <reference field="1" count="1">
            <x v="1"/>
          </reference>
        </references>
      </pivotArea>
    </format>
    <format dxfId="445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444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443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442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441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440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439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438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437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436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435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434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433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432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431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430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429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428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427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426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425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424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423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422">
      <pivotArea collapsedLevelsAreSubtotals="1" fieldPosition="0">
        <references count="5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421">
      <pivotArea collapsedLevelsAreSubtotals="1" fieldPosition="0">
        <references count="4">
          <reference field="4294967294" count="3" selected="0">
            <x v="0"/>
            <x v="1"/>
            <x v="2"/>
          </reference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420">
      <pivotArea collapsedLevelsAreSubtotals="1" fieldPosition="0">
        <references count="2">
          <reference field="4294967294" count="3" selected="0">
            <x v="3"/>
            <x v="4"/>
            <x v="5"/>
          </reference>
          <reference field="0" count="0"/>
        </references>
      </pivotArea>
    </format>
    <format dxfId="419">
      <pivotArea collapsedLevelsAreSubtotals="1" fieldPosition="0">
        <references count="3">
          <reference field="4294967294" count="3" selected="0">
            <x v="3"/>
            <x v="4"/>
            <x v="5"/>
          </reference>
          <reference field="0" count="0" selected="0"/>
          <reference field="1" count="1">
            <x v="0"/>
          </reference>
        </references>
      </pivotArea>
    </format>
    <format dxfId="418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417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416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415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414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413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412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411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410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409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408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407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11"/>
          </reference>
        </references>
      </pivotArea>
    </format>
    <format dxfId="406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405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404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403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402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401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400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399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0"/>
          </reference>
        </references>
      </pivotArea>
    </format>
    <format dxfId="398">
      <pivotArea collapsedLevelsAreSubtotals="1" fieldPosition="0">
        <references count="3">
          <reference field="4294967294" count="3" selected="0">
            <x v="3"/>
            <x v="4"/>
            <x v="5"/>
          </reference>
          <reference field="0" count="0" selected="0"/>
          <reference field="1" count="1">
            <x v="1"/>
          </reference>
        </references>
      </pivotArea>
    </format>
    <format dxfId="397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396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395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394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393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392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391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390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389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388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387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386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385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384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383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382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381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380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379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378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377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376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375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374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373">
      <pivotArea collapsedLevelsAreSubtotals="1" fieldPosition="0">
        <references count="4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372">
      <pivotArea collapsedLevelsAreSubtotals="1" fieldPosition="0">
        <references count="2">
          <reference field="4294967294" count="3" selected="0">
            <x v="6"/>
            <x v="7"/>
            <x v="8"/>
          </reference>
          <reference field="0" count="0"/>
        </references>
      </pivotArea>
    </format>
    <format dxfId="371">
      <pivotArea collapsedLevelsAreSubtotals="1" fieldPosition="0">
        <references count="3">
          <reference field="4294967294" count="3" selected="0">
            <x v="6"/>
            <x v="7"/>
            <x v="8"/>
          </reference>
          <reference field="0" count="0" selected="0"/>
          <reference field="1" count="1">
            <x v="0"/>
          </reference>
        </references>
      </pivotArea>
    </format>
    <format dxfId="370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369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368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367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366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365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364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363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362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361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360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359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11"/>
          </reference>
        </references>
      </pivotArea>
    </format>
    <format dxfId="358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357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356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355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354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353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352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351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0"/>
          </reference>
        </references>
      </pivotArea>
    </format>
    <format dxfId="350">
      <pivotArea collapsedLevelsAreSubtotals="1" fieldPosition="0">
        <references count="3">
          <reference field="4294967294" count="3" selected="0">
            <x v="6"/>
            <x v="7"/>
            <x v="8"/>
          </reference>
          <reference field="0" count="0" selected="0"/>
          <reference field="1" count="1">
            <x v="1"/>
          </reference>
        </references>
      </pivotArea>
    </format>
    <format dxfId="349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348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347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346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345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344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343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342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341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340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339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338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337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336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335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334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333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332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331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330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329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328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327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326">
      <pivotArea collapsedLevelsAreSubtotals="1" fieldPosition="0">
        <references count="5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325">
      <pivotArea collapsedLevelsAreSubtotals="1" fieldPosition="0">
        <references count="4">
          <reference field="4294967294" count="3" selected="0">
            <x v="6"/>
            <x v="7"/>
            <x v="8"/>
          </reference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324">
      <pivotArea collapsedLevelsAreSubtotals="1" fieldPosition="0">
        <references count="2">
          <reference field="4294967294" count="1" selected="0">
            <x v="9"/>
          </reference>
          <reference field="0" count="0"/>
        </references>
      </pivotArea>
    </format>
    <format dxfId="323">
      <pivotArea collapsedLevelsAreSubtotals="1" fieldPosition="0">
        <references count="3">
          <reference field="4294967294" count="1" selected="0">
            <x v="9"/>
          </reference>
          <reference field="0" count="0" selected="0"/>
          <reference field="1" count="1">
            <x v="0"/>
          </reference>
        </references>
      </pivotArea>
    </format>
    <format dxfId="322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321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320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319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318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317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316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315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314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313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312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311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11"/>
          </reference>
        </references>
      </pivotArea>
    </format>
    <format dxfId="310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309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308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307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306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305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304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303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0"/>
          </reference>
        </references>
      </pivotArea>
    </format>
    <format dxfId="302">
      <pivotArea collapsedLevelsAreSubtotals="1" fieldPosition="0">
        <references count="3">
          <reference field="4294967294" count="1" selected="0">
            <x v="9"/>
          </reference>
          <reference field="0" count="0" selected="0"/>
          <reference field="1" count="1">
            <x v="1"/>
          </reference>
        </references>
      </pivotArea>
    </format>
    <format dxfId="301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300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299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298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297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296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295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294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293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292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291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290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289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288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287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286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285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284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283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282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281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280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279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278">
      <pivotArea collapsedLevelsAreSubtotals="1" fieldPosition="0">
        <references count="5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277">
      <pivotArea collapsedLevelsAreSubtotals="1" fieldPosition="0">
        <references count="4">
          <reference field="4294967294" count="1" selected="0">
            <x v="9"/>
          </reference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27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5"/>
          </reference>
        </references>
      </pivotArea>
    </format>
    <format dxfId="275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27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5"/>
          </reference>
        </references>
      </pivotArea>
    </format>
    <format dxfId="273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5"/>
          </reference>
        </references>
      </pivotArea>
    </format>
    <format dxfId="27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5"/>
          </reference>
        </references>
      </pivotArea>
    </format>
    <format dxfId="271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70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69">
      <pivotArea outline="0" collapsedLevelsAreSubtotals="1" fieldPosition="0">
        <references count="1">
          <reference field="4294967294" count="3" selected="0">
            <x v="6"/>
            <x v="7"/>
            <x v="8"/>
          </reference>
        </references>
      </pivotArea>
    </format>
    <format dxfId="268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26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21"/>
          </reference>
        </references>
      </pivotArea>
    </format>
    <format dxfId="266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21"/>
          </reference>
        </references>
      </pivotArea>
    </format>
    <format dxfId="265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1"/>
          </reference>
        </references>
      </pivotArea>
    </format>
    <format dxfId="26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1"/>
          </reference>
        </references>
      </pivotArea>
    </format>
    <format dxfId="263">
      <pivotArea type="all" dataOnly="0" outline="0" fieldPosition="0"/>
    </format>
    <format dxfId="262">
      <pivotArea outline="0" collapsedLevelsAreSubtotals="1" fieldPosition="0"/>
    </format>
    <format dxfId="261">
      <pivotArea field="0" type="button" dataOnly="0" labelOnly="1" outline="0" axis="axisRow" fieldPosition="0"/>
    </format>
    <format dxfId="260">
      <pivotArea dataOnly="0" labelOnly="1" fieldPosition="0">
        <references count="1">
          <reference field="0" count="0"/>
        </references>
      </pivotArea>
    </format>
    <format dxfId="259">
      <pivotArea dataOnly="0" labelOnly="1" fieldPosition="0">
        <references count="2">
          <reference field="0" count="0" selected="0"/>
          <reference field="1" count="0"/>
        </references>
      </pivotArea>
    </format>
    <format dxfId="258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10">
            <x v="0"/>
            <x v="1"/>
            <x v="2"/>
            <x v="3"/>
            <x v="4"/>
            <x v="5"/>
            <x v="6"/>
            <x v="7"/>
            <x v="20"/>
            <x v="21"/>
          </reference>
        </references>
      </pivotArea>
    </format>
    <format dxfId="257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13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dxfId="256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255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54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253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252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251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250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249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48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247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1"/>
          </reference>
          <reference field="3" count="1">
            <x v="0"/>
          </reference>
        </references>
      </pivotArea>
    </format>
    <format dxfId="246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245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244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243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242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24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240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239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238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237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236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235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234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21"/>
          </reference>
          <reference field="3" count="1">
            <x v="0"/>
          </reference>
        </references>
      </pivotArea>
    </format>
    <format dxfId="23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32">
      <pivotArea type="all" dataOnly="0" outline="0" fieldPosition="0"/>
    </format>
    <format dxfId="231">
      <pivotArea field="0" type="button" dataOnly="0" labelOnly="1" outline="0" axis="axisRow" fieldPosition="0"/>
    </format>
    <format dxfId="230">
      <pivotArea dataOnly="0" labelOnly="1" fieldPosition="0">
        <references count="2">
          <reference field="0" count="0" selected="0"/>
          <reference field="1" count="0"/>
        </references>
      </pivotArea>
    </format>
    <format dxfId="229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10">
            <x v="0"/>
            <x v="1"/>
            <x v="2"/>
            <x v="3"/>
            <x v="4"/>
            <x v="5"/>
            <x v="6"/>
            <x v="7"/>
            <x v="20"/>
            <x v="21"/>
          </reference>
        </references>
      </pivotArea>
    </format>
    <format dxfId="228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13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dxfId="227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226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25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224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223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222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221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220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19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218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1"/>
          </reference>
          <reference field="3" count="1">
            <x v="0"/>
          </reference>
        </references>
      </pivotArea>
    </format>
    <format dxfId="217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216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215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214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213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212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21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210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209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208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207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206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205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21"/>
          </reference>
          <reference field="3" count="1">
            <x v="0"/>
          </reference>
        </references>
      </pivotArea>
    </format>
    <format dxfId="204">
      <pivotArea outline="0" collapsedLevelsAreSubtotals="1" fieldPosition="0"/>
    </format>
    <format dxfId="20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02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201">
      <pivotArea dataOnly="0" labelOnly="1" fieldPosition="0">
        <references count="2">
          <reference field="0" count="0" selected="0"/>
          <reference field="1" count="1">
            <x v="1"/>
          </reference>
        </references>
      </pivotArea>
    </format>
    <format dxfId="200">
      <pivotArea collapsedLevelsAreSubtotals="1" fieldPosition="0">
        <references count="1">
          <reference field="0" count="0"/>
        </references>
      </pivotArea>
    </format>
    <format dxfId="199">
      <pivotArea dataOnly="0" labelOnly="1" fieldPosition="0">
        <references count="1">
          <reference field="0" count="0"/>
        </references>
      </pivotArea>
    </format>
    <format dxfId="198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197">
      <pivotArea dataOnly="0" labelOnly="1" fieldPosition="0">
        <references count="2">
          <reference field="0" count="0" selected="0"/>
          <reference field="1" count="1">
            <x v="0"/>
          </reference>
        </references>
      </pivotArea>
    </format>
    <format dxfId="196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21"/>
          </reference>
        </references>
      </pivotArea>
    </format>
    <format dxfId="195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4">
      <pivotArea collapsedLevelsAreSubtotals="1" fieldPosition="0">
        <references count="5">
          <reference field="4294967294" count="1" selected="0">
            <x v="4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1">
            <x v="30"/>
          </reference>
        </references>
      </pivotArea>
    </format>
    <format dxfId="193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92">
      <pivotArea outline="0" collapsedLevelsAreSubtotals="1" fieldPosition="0">
        <references count="1">
          <reference field="4294967294" count="3" selected="0">
            <x v="6"/>
            <x v="7"/>
            <x v="8"/>
          </reference>
        </references>
      </pivotArea>
    </format>
    <format dxfId="191">
      <pivotArea collapsedLevelsAreSubtotals="1" fieldPosition="0">
        <references count="5">
          <reference field="4294967294" count="1" selected="0">
            <x v="4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1">
            <x v="30"/>
          </reference>
        </references>
      </pivotArea>
    </format>
    <format dxfId="190">
      <pivotArea collapsedLevelsAreSubtotals="1" fieldPosition="0">
        <references count="5">
          <reference field="4294967294" count="1" selected="0">
            <x v="4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1">
            <x v="30"/>
          </reference>
        </references>
      </pivotArea>
    </format>
    <format dxfId="189">
      <pivotArea collapsedLevelsAreSubtotals="1" fieldPosition="0">
        <references count="5">
          <reference field="4294967294" count="1" selected="0">
            <x v="4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1">
            <x v="30"/>
          </reference>
        </references>
      </pivotArea>
    </format>
    <format dxfId="188">
      <pivotArea collapsedLevelsAreSubtotals="1" fieldPosition="0">
        <references count="5">
          <reference field="4294967294" count="1" selected="0">
            <x v="4"/>
          </reference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1">
            <x v="30"/>
          </reference>
        </references>
      </pivotArea>
    </format>
    <format dxfId="187">
      <pivotArea outline="0" collapsedLevelsAreSubtotals="1" fieldPosition="0">
        <references count="1">
          <reference field="4294967294" count="3" selected="0">
            <x v="6"/>
            <x v="7"/>
            <x v="8"/>
          </reference>
        </references>
      </pivotArea>
    </format>
    <format dxfId="186">
      <pivotArea collapsedLevelsAreSubtotals="1" fieldPosition="0">
        <references count="4">
          <reference field="4294967294" count="9" selected="0">
            <x v="0"/>
            <x v="1"/>
            <x v="2"/>
            <x v="3"/>
            <x v="4"/>
            <x v="5"/>
            <x v="6"/>
            <x v="7"/>
            <x v="8"/>
          </reference>
          <reference field="0" count="0" selected="0"/>
          <reference field="1" count="1" selected="0">
            <x v="0"/>
          </reference>
          <reference field="2" count="1">
            <x v="21"/>
          </reference>
        </references>
      </pivotArea>
    </format>
    <format dxfId="185">
      <pivotArea collapsedLevelsAreSubtotals="1" fieldPosition="0">
        <references count="4">
          <reference field="4294967294" count="1" selected="0">
            <x v="2"/>
          </reference>
          <reference field="0" count="0" selected="0"/>
          <reference field="1" count="1" selected="0">
            <x v="0"/>
          </reference>
          <reference field="2" count="1">
            <x v="21"/>
          </reference>
        </references>
      </pivotArea>
    </format>
    <format dxfId="184">
      <pivotArea collapsedLevelsAreSubtotals="1" fieldPosition="0">
        <references count="4">
          <reference field="4294967294" count="1" selected="0">
            <x v="5"/>
          </reference>
          <reference field="0" count="0" selected="0"/>
          <reference field="1" count="1" selected="0">
            <x v="0"/>
          </reference>
          <reference field="2" count="1">
            <x v="21"/>
          </reference>
        </references>
      </pivotArea>
    </format>
    <format dxfId="183">
      <pivotArea collapsedLevelsAreSubtotals="1" fieldPosition="0">
        <references count="5">
          <reference field="4294967294" count="3" selected="0">
            <x v="3"/>
            <x v="4"/>
            <x v="5"/>
          </reference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60"/>
          </reference>
        </references>
      </pivotArea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 1].[Calendario].&amp;[2026-06-29T00:00:00]"/>
      </members>
    </pivotHierarchy>
    <pivotHierarchy dragToData="1"/>
    <pivotHierarchy dragToData="1"/>
    <pivotHierarchy dragToData="1"/>
    <pivotHierarchy dragToData="1" caption="CtrlAvan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4">
    <rowHierarchyUsage hierarchyUsage="11"/>
    <rowHierarchyUsage hierarchyUsage="12"/>
    <rowHierarchyUsage hierarchyUsage="13"/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1">
          <x14:conditionalFormat priority="5" id="{64ED163F-EEE7-4996-A3A7-D1E68786ECE7}">
            <x14:pivotAreas count="1">
              <pivotArea type="data" outline="0" collapsedLevelsAreSubtotals="1" fieldPosition="0">
                <references count="1">
                  <reference field="4294967294" count="1" selected="0">
                    <x v="8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EDTN_PQ]"/>
        <x15:activeTabTopLevelEntity name="[PB39_PQ]"/>
        <x15:activeTabTopLevelEntity name="[Calendario]"/>
        <x15:activeTabTopLevelEntity name="[AR39_PQ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F7B0D-7E07-4EE2-8ABD-3EB909627395}" name="ControlAvanceMensual" cacheId="3" applyNumberFormats="0" applyBorderFormats="0" applyFontFormats="0" applyPatternFormats="0" applyAlignmentFormats="0" applyWidthHeightFormats="1" dataCaption="Valores" missingCaption="0" tag="c559ecef-77f2-40dc-ad6c-47409c849f4f" updatedVersion="7" minRefreshableVersion="3" subtotalHiddenItems="1" rowGrandTotals="0" itemPrintTitles="1" createdVersion="5" indent="0" outline="1" outlineData="1" multipleFieldFilters="0">
  <location ref="H100:R188" firstHeaderRow="0" firstDataRow="1" firstDataCol="1"/>
  <pivotFields count="15">
    <pivotField axis="axisRow" allDrilled="1" showAll="0" dataSourceSort="1" defaultAttributeDrillState="1">
      <items count="2">
        <item x="0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name="CtrlAvance" axis="axisRow" allDrilled="1" showAll="0" defaultAttributeDrillState="1">
      <items count="23">
        <item x="1"/>
        <item x="3"/>
        <item x="4"/>
        <item x="5"/>
        <item x="6"/>
        <item x="7"/>
        <item x="8"/>
        <item x="9"/>
        <item x="10"/>
        <item x="18"/>
        <item x="19"/>
        <item x="20"/>
        <item x="21"/>
        <item x="11"/>
        <item x="12"/>
        <item x="13"/>
        <item x="14"/>
        <item x="15"/>
        <item x="16"/>
        <item x="17"/>
        <item x="2"/>
        <item x="0"/>
        <item t="default"/>
      </items>
    </pivotField>
    <pivotField axis="axisRow" allDrilled="1" showAll="0" defaultAttributeDrillState="1">
      <items count="62">
        <item x="0"/>
        <item x="4"/>
        <item x="3"/>
        <item x="1"/>
        <item x="2"/>
        <item x="5"/>
        <item x="6"/>
        <item x="7"/>
        <item x="11"/>
        <item x="10"/>
        <item x="13"/>
        <item x="14"/>
        <item x="15"/>
        <item x="17"/>
        <item x="16"/>
        <item x="18"/>
        <item x="19"/>
        <item x="25"/>
        <item x="27"/>
        <item x="21"/>
        <item x="24"/>
        <item x="23"/>
        <item x="20"/>
        <item x="22"/>
        <item x="26"/>
        <item x="28"/>
        <item x="29"/>
        <item x="30"/>
        <item x="32"/>
        <item x="35"/>
        <item x="33"/>
        <item x="34"/>
        <item x="38"/>
        <item x="36"/>
        <item x="37"/>
        <item x="41"/>
        <item x="40"/>
        <item x="42"/>
        <item x="44"/>
        <item x="43"/>
        <item x="39"/>
        <item x="46"/>
        <item x="47"/>
        <item x="49"/>
        <item x="48"/>
        <item x="50"/>
        <item x="53"/>
        <item x="54"/>
        <item x="52"/>
        <item x="55"/>
        <item x="56"/>
        <item x="57"/>
        <item x="58"/>
        <item x="60"/>
        <item x="9"/>
        <item x="12"/>
        <item x="51"/>
        <item x="59"/>
        <item x="31"/>
        <item x="45"/>
        <item x="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llDrilled="1" showAll="0" dataSourceSort="1" defaultAttributeDrillState="1"/>
  </pivotFields>
  <rowFields count="4">
    <field x="0"/>
    <field x="1"/>
    <field x="2"/>
    <field x="3"/>
  </rowFields>
  <rowItems count="88">
    <i>
      <x/>
    </i>
    <i r="1">
      <x/>
    </i>
    <i r="2">
      <x/>
    </i>
    <i r="3">
      <x v="1"/>
    </i>
    <i r="3">
      <x v="2"/>
    </i>
    <i r="3">
      <x v="3"/>
    </i>
    <i r="3">
      <x v="4"/>
    </i>
    <i r="2">
      <x v="1"/>
    </i>
    <i r="3">
      <x v="6"/>
    </i>
    <i r="2">
      <x v="2"/>
    </i>
    <i r="3">
      <x v="7"/>
    </i>
    <i r="3">
      <x v="60"/>
    </i>
    <i r="2">
      <x v="3"/>
    </i>
    <i r="3">
      <x v="8"/>
    </i>
    <i r="3">
      <x v="9"/>
    </i>
    <i r="3">
      <x v="54"/>
    </i>
    <i r="2">
      <x v="4"/>
    </i>
    <i r="3">
      <x v="10"/>
    </i>
    <i r="3">
      <x v="55"/>
    </i>
    <i r="2">
      <x v="5"/>
    </i>
    <i r="3">
      <x v="11"/>
    </i>
    <i r="2">
      <x v="6"/>
    </i>
    <i r="3">
      <x v="12"/>
    </i>
    <i r="3">
      <x v="13"/>
    </i>
    <i r="3">
      <x v="14"/>
    </i>
    <i r="2">
      <x v="7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2">
      <x v="20"/>
    </i>
    <i r="3">
      <x v="5"/>
    </i>
    <i r="2">
      <x v="21"/>
    </i>
    <i r="3">
      <x/>
    </i>
    <i r="1">
      <x v="1"/>
    </i>
    <i r="2">
      <x v="8"/>
    </i>
    <i r="3">
      <x v="25"/>
    </i>
    <i r="2">
      <x v="9"/>
    </i>
    <i r="3">
      <x v="46"/>
    </i>
    <i r="3">
      <x v="47"/>
    </i>
    <i r="3">
      <x v="48"/>
    </i>
    <i r="3">
      <x v="49"/>
    </i>
    <i r="3">
      <x v="56"/>
    </i>
    <i r="2">
      <x v="10"/>
    </i>
    <i r="3">
      <x v="50"/>
    </i>
    <i r="3">
      <x v="51"/>
    </i>
    <i r="2">
      <x v="11"/>
    </i>
    <i r="3">
      <x v="52"/>
    </i>
    <i r="2">
      <x v="12"/>
    </i>
    <i r="3">
      <x v="53"/>
    </i>
    <i r="3">
      <x v="57"/>
    </i>
    <i r="2">
      <x v="13"/>
    </i>
    <i r="3">
      <x v="26"/>
    </i>
    <i r="3">
      <x v="27"/>
    </i>
    <i r="2">
      <x v="14"/>
    </i>
    <i r="3">
      <x v="28"/>
    </i>
    <i r="3">
      <x v="58"/>
    </i>
    <i r="2">
      <x v="15"/>
    </i>
    <i r="3">
      <x v="29"/>
    </i>
    <i r="3">
      <x v="30"/>
    </i>
    <i r="3">
      <x v="31"/>
    </i>
    <i r="2">
      <x v="16"/>
    </i>
    <i r="3">
      <x v="32"/>
    </i>
    <i r="3">
      <x v="33"/>
    </i>
    <i r="3">
      <x v="34"/>
    </i>
    <i r="2">
      <x v="17"/>
    </i>
    <i r="3">
      <x v="35"/>
    </i>
    <i r="3">
      <x v="36"/>
    </i>
    <i r="3">
      <x v="37"/>
    </i>
    <i r="3">
      <x v="38"/>
    </i>
    <i r="3">
      <x v="39"/>
    </i>
    <i r="3">
      <x v="40"/>
    </i>
    <i r="2">
      <x v="18"/>
    </i>
    <i r="3">
      <x v="41"/>
    </i>
    <i r="3">
      <x v="42"/>
    </i>
    <i r="3">
      <x v="59"/>
    </i>
    <i r="2">
      <x v="19"/>
    </i>
    <i r="3">
      <x v="43"/>
    </i>
    <i r="3">
      <x v="44"/>
    </i>
    <i r="3">
      <x v="45"/>
    </i>
    <i r="2">
      <x v="21"/>
    </i>
    <i r="3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  <dataField fld="10" subtotal="count" baseField="0" baseItem="0"/>
    <dataField fld="11" subtotal="count" baseField="0" baseItem="0"/>
    <dataField fld="12" subtotal="count" baseField="0" baseItem="0"/>
    <dataField fld="13" subtotal="count" baseField="0" baseItem="0"/>
  </dataFields>
  <formats count="221">
    <format dxfId="981">
      <pivotArea outline="0" collapsedLevelsAreSubtotals="1" fieldPosition="0"/>
    </format>
    <format dxfId="980">
      <pivotArea outline="0" collapsedLevelsAreSubtotals="1" fieldPosition="0"/>
    </format>
    <format dxfId="979">
      <pivotArea outline="0" collapsedLevelsAreSubtotals="1" fieldPosition="0"/>
    </format>
    <format dxfId="978">
      <pivotArea outline="0" collapsedLevelsAreSubtotals="1" fieldPosition="0"/>
    </format>
    <format dxfId="977">
      <pivotArea outline="0" collapsedLevelsAreSubtotals="1" fieldPosition="0"/>
    </format>
    <format dxfId="976">
      <pivotArea outline="0" collapsedLevelsAreSubtotals="1" fieldPosition="0"/>
    </format>
    <format dxfId="975">
      <pivotArea outline="0" collapsedLevelsAreSubtotals="1" fieldPosition="0"/>
    </format>
    <format dxfId="974">
      <pivotArea collapsedLevelsAreSubtotals="1" fieldPosition="0">
        <references count="1">
          <reference field="0" count="0"/>
        </references>
      </pivotArea>
    </format>
    <format dxfId="973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97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971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97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969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96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967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96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965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96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963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96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961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11"/>
          </reference>
        </references>
      </pivotArea>
    </format>
    <format dxfId="96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959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95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957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95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955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95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953">
      <pivotArea collapsedLevelsAreSubtotals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0"/>
          </reference>
        </references>
      </pivotArea>
    </format>
    <format dxfId="952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95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950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94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948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94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946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94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944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94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942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94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940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93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938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93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936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93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934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93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932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93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930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92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928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92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926">
      <pivotArea collapsedLevelsAreSubtotals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48832"/>
          </reference>
          <reference field="3" count="2">
            <x v="0"/>
            <x v="1048832"/>
          </reference>
        </references>
      </pivotArea>
    </format>
    <format dxfId="925">
      <pivotArea dataOnly="0" labelOnly="1" fieldPosition="0">
        <references count="1">
          <reference field="0" count="0"/>
        </references>
      </pivotArea>
    </format>
    <format dxfId="924">
      <pivotArea dataOnly="0" labelOnly="1" fieldPosition="0">
        <references count="2">
          <reference field="0" count="0" selected="0"/>
          <reference field="1" count="0"/>
        </references>
      </pivotArea>
    </format>
    <format dxfId="923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10">
            <x v="0"/>
            <x v="1"/>
            <x v="2"/>
            <x v="3"/>
            <x v="4"/>
            <x v="6"/>
            <x v="7"/>
            <x v="20"/>
            <x v="1048832"/>
            <x v="1048832"/>
          </reference>
        </references>
      </pivotArea>
    </format>
    <format dxfId="922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13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1048832"/>
          </reference>
        </references>
      </pivotArea>
    </format>
    <format dxfId="921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920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919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918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917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916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11"/>
          </reference>
        </references>
      </pivotArea>
    </format>
    <format dxfId="915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914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913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912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048832"/>
          </reference>
          <reference field="3" count="1">
            <x v="0"/>
          </reference>
        </references>
      </pivotArea>
    </format>
    <format dxfId="91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910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909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908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907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906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905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904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903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902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90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900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899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48832"/>
          </reference>
          <reference field="3" count="2">
            <x v="0"/>
            <x v="1048832"/>
          </reference>
        </references>
      </pivotArea>
    </format>
    <format dxfId="898">
      <pivotArea collapsedLevelsAreSubtotals="1" fieldPosition="0">
        <references count="1">
          <reference field="0" count="0"/>
        </references>
      </pivotArea>
    </format>
    <format dxfId="897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896">
      <pivotArea collapsedLevelsAreSubtotals="1" fieldPosition="0">
        <references count="1">
          <reference field="0" count="0"/>
        </references>
      </pivotArea>
    </format>
    <format dxfId="895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89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893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89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891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89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889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88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887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88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885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884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88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882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88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880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87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878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87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876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87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874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87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872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87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870">
      <pivotArea collapsedLevelsAreSubtotals="1" fieldPosition="0">
        <references count="1">
          <reference field="0" count="0"/>
        </references>
      </pivotArea>
    </format>
    <format dxfId="869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868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867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86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865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86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863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86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861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86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859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85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857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856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85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854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85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852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85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850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84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848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84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846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84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844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843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842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41">
      <pivotArea outline="0" collapsedLevelsAreSubtotals="1" fieldPosition="0">
        <references count="1">
          <reference field="4294967294" count="3" selected="0">
            <x v="6"/>
            <x v="7"/>
            <x v="8"/>
          </reference>
        </references>
      </pivotArea>
    </format>
    <format dxfId="84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5"/>
          </reference>
        </references>
      </pivotArea>
    </format>
    <format dxfId="839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5"/>
          </reference>
        </references>
      </pivotArea>
    </format>
    <format dxfId="838">
      <pivotArea collapsedLevelsAreSubtotals="1" fieldPosition="0">
        <references count="5">
          <reference field="4294967294" count="1" selected="0">
            <x v="2"/>
          </reference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1048832"/>
          </reference>
        </references>
      </pivotArea>
    </format>
    <format dxfId="837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83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1"/>
          </reference>
        </references>
      </pivotArea>
    </format>
    <format dxfId="835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1"/>
          </reference>
        </references>
      </pivotArea>
    </format>
    <format dxfId="834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21"/>
          </reference>
        </references>
      </pivotArea>
    </format>
    <format dxfId="83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21"/>
          </reference>
        </references>
      </pivotArea>
    </format>
    <format dxfId="832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831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30">
      <pivotArea outline="0" collapsedLevelsAreSubtotals="1" fieldPosition="0">
        <references count="1">
          <reference field="4294967294" count="3" selected="0">
            <x v="6"/>
            <x v="7"/>
            <x v="8"/>
          </reference>
        </references>
      </pivotArea>
    </format>
    <format dxfId="829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828">
      <pivotArea type="all" dataOnly="0" outline="0" fieldPosition="0"/>
    </format>
    <format dxfId="827">
      <pivotArea field="0" type="button" dataOnly="0" labelOnly="1" outline="0" axis="axisRow" fieldPosition="0"/>
    </format>
    <format dxfId="826">
      <pivotArea dataOnly="0" labelOnly="1" fieldPosition="0">
        <references count="2">
          <reference field="0" count="0" selected="0"/>
          <reference field="1" count="0"/>
        </references>
      </pivotArea>
    </format>
    <format dxfId="825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10">
            <x v="0"/>
            <x v="1"/>
            <x v="2"/>
            <x v="3"/>
            <x v="4"/>
            <x v="5"/>
            <x v="6"/>
            <x v="7"/>
            <x v="20"/>
            <x v="21"/>
          </reference>
        </references>
      </pivotArea>
    </format>
    <format dxfId="824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13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dxfId="823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822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821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820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819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818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817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816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815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814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1"/>
          </reference>
          <reference field="3" count="1">
            <x v="0"/>
          </reference>
        </references>
      </pivotArea>
    </format>
    <format dxfId="813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812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81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810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809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808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807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806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805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804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803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802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80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21"/>
          </reference>
          <reference field="3" count="1">
            <x v="0"/>
          </reference>
        </references>
      </pivotArea>
    </format>
    <format dxfId="800">
      <pivotArea outline="0" collapsedLevelsAreSubtotals="1" fieldPosition="0"/>
    </format>
    <format dxfId="79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98">
      <pivotArea type="all" dataOnly="0" outline="0" fieldPosition="0"/>
    </format>
    <format dxfId="797">
      <pivotArea outline="0" collapsedLevelsAreSubtotals="1" fieldPosition="0"/>
    </format>
    <format dxfId="796">
      <pivotArea field="0" type="button" dataOnly="0" labelOnly="1" outline="0" axis="axisRow" fieldPosition="0"/>
    </format>
    <format dxfId="795">
      <pivotArea dataOnly="0" labelOnly="1" fieldPosition="0">
        <references count="1">
          <reference field="0" count="0"/>
        </references>
      </pivotArea>
    </format>
    <format dxfId="794">
      <pivotArea dataOnly="0" labelOnly="1" fieldPosition="0">
        <references count="2">
          <reference field="0" count="0" selected="0"/>
          <reference field="1" count="0"/>
        </references>
      </pivotArea>
    </format>
    <format dxfId="793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10">
            <x v="0"/>
            <x v="1"/>
            <x v="2"/>
            <x v="3"/>
            <x v="4"/>
            <x v="5"/>
            <x v="6"/>
            <x v="7"/>
            <x v="20"/>
            <x v="21"/>
          </reference>
        </references>
      </pivotArea>
    </format>
    <format dxfId="792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13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dxfId="791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  <format dxfId="790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789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2">
            <x v="7"/>
            <x v="1048832"/>
          </reference>
        </references>
      </pivotArea>
    </format>
    <format dxfId="788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3">
            <x v="8"/>
            <x v="9"/>
            <x v="54"/>
          </reference>
        </references>
      </pivotArea>
    </format>
    <format dxfId="787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3" count="2">
            <x v="10"/>
            <x v="55"/>
          </reference>
        </references>
      </pivotArea>
    </format>
    <format dxfId="786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785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6"/>
          </reference>
          <reference field="3" count="3">
            <x v="12"/>
            <x v="13"/>
            <x v="14"/>
          </reference>
        </references>
      </pivotArea>
    </format>
    <format dxfId="784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7"/>
          </reference>
          <reference field="3" count="10"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783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0"/>
          </reference>
          <reference field="3" count="1">
            <x v="5"/>
          </reference>
        </references>
      </pivotArea>
    </format>
    <format dxfId="782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1"/>
          </reference>
          <reference field="3" count="1">
            <x v="0"/>
          </reference>
        </references>
      </pivotArea>
    </format>
    <format dxfId="78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8"/>
          </reference>
          <reference field="3" count="1">
            <x v="25"/>
          </reference>
        </references>
      </pivotArea>
    </format>
    <format dxfId="780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9"/>
          </reference>
          <reference field="3" count="5">
            <x v="46"/>
            <x v="47"/>
            <x v="48"/>
            <x v="49"/>
            <x v="56"/>
          </reference>
        </references>
      </pivotArea>
    </format>
    <format dxfId="779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0"/>
          </reference>
          <reference field="3" count="2">
            <x v="50"/>
            <x v="51"/>
          </reference>
        </references>
      </pivotArea>
    </format>
    <format dxfId="778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1"/>
          </reference>
          <reference field="3" count="1">
            <x v="52"/>
          </reference>
        </references>
      </pivotArea>
    </format>
    <format dxfId="777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2"/>
          </reference>
          <reference field="3" count="2">
            <x v="53"/>
            <x v="57"/>
          </reference>
        </references>
      </pivotArea>
    </format>
    <format dxfId="776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3"/>
          </reference>
          <reference field="3" count="2">
            <x v="26"/>
            <x v="27"/>
          </reference>
        </references>
      </pivotArea>
    </format>
    <format dxfId="775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4"/>
          </reference>
          <reference field="3" count="2">
            <x v="28"/>
            <x v="58"/>
          </reference>
        </references>
      </pivotArea>
    </format>
    <format dxfId="774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5"/>
          </reference>
          <reference field="3" count="3">
            <x v="29"/>
            <x v="30"/>
            <x v="31"/>
          </reference>
        </references>
      </pivotArea>
    </format>
    <format dxfId="773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6"/>
          </reference>
          <reference field="3" count="3">
            <x v="32"/>
            <x v="33"/>
            <x v="34"/>
          </reference>
        </references>
      </pivotArea>
    </format>
    <format dxfId="772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7"/>
          </reference>
          <reference field="3" count="6">
            <x v="35"/>
            <x v="36"/>
            <x v="37"/>
            <x v="38"/>
            <x v="39"/>
            <x v="40"/>
          </reference>
        </references>
      </pivotArea>
    </format>
    <format dxfId="771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8"/>
          </reference>
          <reference field="3" count="3">
            <x v="41"/>
            <x v="42"/>
            <x v="59"/>
          </reference>
        </references>
      </pivotArea>
    </format>
    <format dxfId="770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9"/>
          </reference>
          <reference field="3" count="3">
            <x v="43"/>
            <x v="44"/>
            <x v="45"/>
          </reference>
        </references>
      </pivotArea>
    </format>
    <format dxfId="769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21"/>
          </reference>
          <reference field="3" count="1">
            <x v="0"/>
          </reference>
        </references>
      </pivotArea>
    </format>
    <format dxfId="76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67">
      <pivotArea collapsedLevelsAreSubtotals="1" fieldPosition="0">
        <references count="1">
          <reference field="0" count="0"/>
        </references>
      </pivotArea>
    </format>
    <format dxfId="766">
      <pivotArea dataOnly="0" labelOnly="1" fieldPosition="0">
        <references count="1">
          <reference field="0" count="0"/>
        </references>
      </pivotArea>
    </format>
    <format dxfId="765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764">
      <pivotArea dataOnly="0" labelOnly="1" fieldPosition="0">
        <references count="2">
          <reference field="0" count="0" selected="0"/>
          <reference field="1" count="1">
            <x v="0"/>
          </reference>
        </references>
      </pivotArea>
    </format>
    <format dxfId="763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762">
      <pivotArea dataOnly="0" labelOnly="1" fieldPosition="0">
        <references count="2">
          <reference field="0" count="0" selected="0"/>
          <reference field="1" count="1">
            <x v="1"/>
          </reference>
        </references>
      </pivotArea>
    </format>
    <format dxfId="761">
      <pivotArea collapsedLevelsAreSubtotals="1" fieldPosition="0">
        <references count="5">
          <reference field="4294967294" count="1" selected="0">
            <x v="4"/>
          </reference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4">
            <x v="1"/>
            <x v="2"/>
            <x v="3"/>
            <x v="4"/>
          </reference>
        </references>
      </pivotArea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 1].[Calendario].&amp;[2026-06-29T00:00:00]"/>
      </members>
    </pivotHierarchy>
    <pivotHierarchy dragToData="1"/>
    <pivotHierarchy dragToData="1"/>
    <pivotHierarchy dragToData="1"/>
    <pivotHierarchy dragToData="1" caption="CtrlAvan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4">
    <rowHierarchyUsage hierarchyUsage="11"/>
    <rowHierarchyUsage hierarchyUsage="12"/>
    <rowHierarchyUsage hierarchyUsage="13"/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4">
          <x14:conditionalFormat priority="1" id="{F2EC751D-34DA-4181-A1FB-0D7B5FB20DEF}">
            <x14:pivotAreas count="1">
              <pivotArea type="data" collapsedLevelsAreSubtotals="1" fieldPosition="0">
                <references count="3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>
                    <x v="1"/>
                  </reference>
                </references>
              </pivotArea>
            </x14:pivotAreas>
          </x14:conditionalFormat>
          <x14:conditionalFormat priority="2" id="{53A0CBE3-37F0-46CD-B0DB-8C1B46D7A151}">
            <x14:pivotAreas count="1">
              <pivotArea type="data" collapsedLevelsAreSubtotals="1" fieldPosition="0">
                <references count="3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>
                    <x v="0"/>
                  </reference>
                </references>
              </pivotArea>
            </x14:pivotAreas>
          </x14:conditionalFormat>
          <x14:conditionalFormat priority="3" id="{9B621C7C-8002-42ED-A08A-845D0D49F03E}">
            <x14:pivotAreas count="1">
              <pivotArea type="data" collapsedLevelsAreSubtotals="1" fieldPosition="0">
                <references count="2">
                  <reference field="4294967294" count="1" selected="0">
                    <x v="8"/>
                  </reference>
                  <reference field="0" count="1">
                    <x v="0"/>
                  </reference>
                </references>
              </pivotArea>
            </x14:pivotAreas>
          </x14:conditionalFormat>
          <x14:conditionalFormat priority="4" id="{E9E5E89B-C10B-4166-8FC1-3B193491FD28}">
            <x14:pivotAreas count="46"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>
                    <x v="0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 selected="0">
                    <x v="0"/>
                  </reference>
                  <reference field="3" count="4">
                    <x v="1"/>
                    <x v="2"/>
                    <x v="3"/>
                    <x v="4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>
                    <x v="1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 selected="0">
                    <x v="1"/>
                  </reference>
                  <reference field="3" count="1">
                    <x v="6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>
                    <x v="2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 selected="0">
                    <x v="2"/>
                  </reference>
                  <reference field="3" count="2">
                    <x v="7"/>
                    <x v="1048832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>
                    <x v="3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 selected="0">
                    <x v="3"/>
                  </reference>
                  <reference field="3" count="3">
                    <x v="8"/>
                    <x v="9"/>
                    <x v="54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>
                    <x v="4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 selected="0">
                    <x v="4"/>
                  </reference>
                  <reference field="3" count="2">
                    <x v="10"/>
                    <x v="55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>
                    <x v="5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 selected="0">
                    <x v="5"/>
                  </reference>
                  <reference field="3" count="1">
                    <x v="11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>
                    <x v="6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 selected="0">
                    <x v="6"/>
                  </reference>
                  <reference field="3" count="3">
                    <x v="12"/>
                    <x v="13"/>
                    <x v="14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>
                    <x v="7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 selected="0">
                    <x v="7"/>
                  </reference>
                  <reference field="3" count="10">
                    <x v="15"/>
                    <x v="16"/>
                    <x v="17"/>
                    <x v="18"/>
                    <x v="19"/>
                    <x v="20"/>
                    <x v="21"/>
                    <x v="22"/>
                    <x v="23"/>
                    <x v="24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>
                    <x v="20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 selected="0">
                    <x v="20"/>
                  </reference>
                  <reference field="3" count="1">
                    <x v="5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>
                    <x v="21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0"/>
                  </reference>
                  <reference field="2" count="1" selected="0">
                    <x v="21"/>
                  </reference>
                  <reference field="3" count="1">
                    <x v="0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8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8"/>
                  </reference>
                  <reference field="3" count="1">
                    <x v="25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9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9"/>
                  </reference>
                  <reference field="3" count="5">
                    <x v="46"/>
                    <x v="47"/>
                    <x v="48"/>
                    <x v="49"/>
                    <x v="56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10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10"/>
                  </reference>
                  <reference field="3" count="2">
                    <x v="50"/>
                    <x v="51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11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11"/>
                  </reference>
                  <reference field="3" count="1">
                    <x v="52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12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12"/>
                  </reference>
                  <reference field="3" count="2">
                    <x v="53"/>
                    <x v="57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13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13"/>
                  </reference>
                  <reference field="3" count="2">
                    <x v="26"/>
                    <x v="27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14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14"/>
                  </reference>
                  <reference field="3" count="2">
                    <x v="28"/>
                    <x v="58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15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15"/>
                  </reference>
                  <reference field="3" count="3">
                    <x v="29"/>
                    <x v="30"/>
                    <x v="31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16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16"/>
                  </reference>
                  <reference field="3" count="3">
                    <x v="32"/>
                    <x v="33"/>
                    <x v="34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17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17"/>
                  </reference>
                  <reference field="3" count="6">
                    <x v="35"/>
                    <x v="36"/>
                    <x v="37"/>
                    <x v="38"/>
                    <x v="39"/>
                    <x v="40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18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18"/>
                  </reference>
                  <reference field="3" count="3">
                    <x v="41"/>
                    <x v="42"/>
                    <x v="59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19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19"/>
                  </reference>
                  <reference field="3" count="3">
                    <x v="43"/>
                    <x v="44"/>
                    <x v="45"/>
                  </reference>
                </references>
              </pivotArea>
              <pivotArea type="data" collapsedLevelsAreSubtotals="1" fieldPosition="0">
                <references count="4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>
                    <x v="21"/>
                  </reference>
                </references>
              </pivotArea>
              <pivotArea type="data" collapsedLevelsAreSubtotals="1" fieldPosition="0">
                <references count="5">
                  <reference field="4294967294" count="1" selected="0">
                    <x v="8"/>
                  </reference>
                  <reference field="0" count="1" selected="0">
                    <x v="0"/>
                  </reference>
                  <reference field="1" count="1" selected="0">
                    <x v="1"/>
                  </reference>
                  <reference field="2" count="1" selected="0">
                    <x v="21"/>
                  </reference>
                  <reference field="3" count="1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EDTN_PQ]"/>
        <x15:activeTabTopLevelEntity name="[PB39_PQ]"/>
        <x15:activeTabTopLevelEntity name="[Calendario]"/>
        <x15:activeTabTopLevelEntity name="[AR39_PQ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D6562-D5D9-471E-8893-83510CF416D2}" name="ControlAvance" cacheId="2" applyNumberFormats="0" applyBorderFormats="0" applyFontFormats="0" applyPatternFormats="0" applyAlignmentFormats="0" applyWidthHeightFormats="1" dataCaption="Valores" missingCaption="0" tag="921b2b6c-c057-4669-b889-d6ac23d4cf08" updatedVersion="7" minRefreshableVersion="3" subtotalHiddenItems="1" rowGrandTotals="0" itemPrintTitles="1" createdVersion="5" indent="0" outline="1" outlineData="1" multipleFieldFilters="0">
  <location ref="G5:H31" firstHeaderRow="1" firstDataRow="1" firstDataCol="1"/>
  <pivotFields count="5">
    <pivotField axis="axisRow" allDrilled="1" showAll="0" dataSourceSort="1" defaultAttributeDrillState="1">
      <items count="2">
        <item x="0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name="CtrlAvance" axis="axisRow" allDrilled="1" showAll="0" defaultAttributeDrillState="1">
      <items count="23">
        <item x="1"/>
        <item x="3"/>
        <item x="4"/>
        <item x="5"/>
        <item x="6"/>
        <item x="7"/>
        <item x="8"/>
        <item x="9"/>
        <item x="10"/>
        <item x="18"/>
        <item x="19"/>
        <item x="20"/>
        <item x="21"/>
        <item x="11"/>
        <item x="12"/>
        <item x="13"/>
        <item x="14"/>
        <item x="15"/>
        <item x="16"/>
        <item x="17"/>
        <item x="2"/>
        <item x="0"/>
        <item t="default"/>
      </items>
    </pivotField>
    <pivotField dataField="1" subtotalTop="0" showAll="0" defaultSubtotal="0"/>
    <pivotField allDrilled="1" showAll="0" dataSourceSort="1" defaultAttributeDrillState="1"/>
  </pivotFields>
  <rowFields count="3">
    <field x="0"/>
    <field x="1"/>
    <field x="2"/>
  </rowFields>
  <rowItems count="26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20"/>
    </i>
    <i r="2">
      <x v="21"/>
    </i>
    <i r="1">
      <x v="1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</rowItems>
  <colItems count="1">
    <i/>
  </colItems>
  <dataFields count="1">
    <dataField fld="3" subtotal="count" baseField="0" baseItem="0"/>
  </dataFields>
  <formats count="160">
    <format dxfId="166">
      <pivotArea outline="0" collapsedLevelsAreSubtotals="1" fieldPosition="0"/>
    </format>
    <format dxfId="165">
      <pivotArea outline="0" collapsedLevelsAreSubtotals="1" fieldPosition="0"/>
    </format>
    <format dxfId="164">
      <pivotArea outline="0" collapsedLevelsAreSubtotals="1" fieldPosition="0"/>
    </format>
    <format dxfId="163">
      <pivotArea outline="0" collapsedLevelsAreSubtotals="1" fieldPosition="0"/>
    </format>
    <format dxfId="1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1">
      <pivotArea outline="0" collapsedLevelsAreSubtotals="1" fieldPosition="0"/>
    </format>
    <format dxfId="1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9">
      <pivotArea outline="0" collapsedLevelsAreSubtotals="1" fieldPosition="0"/>
    </format>
    <format dxfId="1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7">
      <pivotArea outline="0" collapsedLevelsAreSubtotals="1" fieldPosition="0"/>
    </format>
    <format dxfId="1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5">
      <pivotArea collapsedLevelsAreSubtotals="1" fieldPosition="0">
        <references count="1">
          <reference field="0" count="0"/>
        </references>
      </pivotArea>
    </format>
    <format dxfId="154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153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15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151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15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149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14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147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14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145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14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143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142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14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140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13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138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13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136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13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134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13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132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13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130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129">
      <pivotArea dataOnly="0" labelOnly="1" fieldPosition="0">
        <references count="1">
          <reference field="0" count="0"/>
        </references>
      </pivotArea>
    </format>
    <format dxfId="128">
      <pivotArea dataOnly="0" labelOnly="1" fieldPosition="0">
        <references count="2">
          <reference field="0" count="0" selected="0"/>
          <reference field="1" count="0"/>
        </references>
      </pivotArea>
    </format>
    <format dxfId="127">
      <pivotArea dataOnly="0" labelOnly="1" fieldPosition="0">
        <references count="3">
          <reference field="0" count="0" selected="0"/>
          <reference field="1" count="1" selected="0">
            <x v="0"/>
          </reference>
          <reference field="2" count="10">
            <x v="0"/>
            <x v="1"/>
            <x v="2"/>
            <x v="3"/>
            <x v="4"/>
            <x v="6"/>
            <x v="7"/>
            <x v="20"/>
            <x v="1048832"/>
            <x v="1048832"/>
          </reference>
        </references>
      </pivotArea>
    </format>
    <format dxfId="126">
      <pivotArea dataOnly="0" labelOnly="1" fieldPosition="0">
        <references count="3">
          <reference field="0" count="0" selected="0"/>
          <reference field="1" count="1" selected="0">
            <x v="1"/>
          </reference>
          <reference field="2" count="13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1048832"/>
          </reference>
        </references>
      </pivotArea>
    </format>
    <format dxfId="125">
      <pivotArea collapsedLevelsAreSubtotals="1" fieldPosition="0">
        <references count="1">
          <reference field="0" count="0"/>
        </references>
      </pivotArea>
    </format>
    <format dxfId="124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123">
      <pivotArea collapsedLevelsAreSubtotals="1" fieldPosition="0">
        <references count="1">
          <reference field="0" count="0"/>
        </references>
      </pivotArea>
    </format>
    <format dxfId="122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121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12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119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11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117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11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115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11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113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11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111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110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10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108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10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106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10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104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10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102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10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100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9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98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97">
      <pivotArea collapsedLevelsAreSubtotals="1" fieldPosition="0">
        <references count="1">
          <reference field="0" count="0"/>
        </references>
      </pivotArea>
    </format>
    <format dxfId="96">
      <pivotArea collapsedLevelsAreSubtotals="1" fieldPosition="0">
        <references count="2">
          <reference field="0" count="0" selected="0"/>
          <reference field="1" count="1">
            <x v="0"/>
          </reference>
        </references>
      </pivotArea>
    </format>
    <format dxfId="95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94">
      <pivotArea collapsedLevelsAreSubtotals="1" fieldPosition="0">
        <references count="2">
          <reference field="0" count="0" selected="0"/>
          <reference field="1" count="1">
            <x v="1"/>
          </reference>
        </references>
      </pivotArea>
    </format>
    <format dxfId="93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92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91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90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89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8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87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8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85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8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8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82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8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80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7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78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77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76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75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74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7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72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7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69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1" count="1">
            <x v="0"/>
          </reference>
        </references>
      </pivotArea>
    </format>
    <format dxfId="68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67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66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65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64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63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62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61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60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59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58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1" count="1">
            <x v="1"/>
          </reference>
        </references>
      </pivotArea>
    </format>
    <format dxfId="57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56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55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54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53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52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51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50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49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48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47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46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45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42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1" count="1">
            <x v="0"/>
          </reference>
        </references>
      </pivotArea>
    </format>
    <format dxfId="41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40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39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2"/>
          </reference>
        </references>
      </pivotArea>
    </format>
    <format dxfId="38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37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4"/>
          </reference>
        </references>
      </pivotArea>
    </format>
    <format dxfId="36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35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6"/>
          </reference>
        </references>
      </pivotArea>
    </format>
    <format dxfId="34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7"/>
          </reference>
        </references>
      </pivotArea>
    </format>
    <format dxfId="33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20"/>
          </reference>
        </references>
      </pivotArea>
    </format>
    <format dxfId="32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0"/>
          </reference>
          <reference field="2" count="1">
            <x v="1048832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1" count="1">
            <x v="1"/>
          </reference>
        </references>
      </pivotArea>
    </format>
    <format dxfId="30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8"/>
          </reference>
        </references>
      </pivotArea>
    </format>
    <format dxfId="29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9"/>
          </reference>
        </references>
      </pivotArea>
    </format>
    <format dxfId="28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0"/>
          </reference>
        </references>
      </pivotArea>
    </format>
    <format dxfId="27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1"/>
          </reference>
        </references>
      </pivotArea>
    </format>
    <format dxfId="26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2"/>
          </reference>
        </references>
      </pivotArea>
    </format>
    <format dxfId="25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3"/>
          </reference>
        </references>
      </pivotArea>
    </format>
    <format dxfId="24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4"/>
          </reference>
        </references>
      </pivotArea>
    </format>
    <format dxfId="23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5"/>
          </reference>
        </references>
      </pivotArea>
    </format>
    <format dxfId="22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6"/>
          </reference>
        </references>
      </pivotArea>
    </format>
    <format dxfId="21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7"/>
          </reference>
        </references>
      </pivotArea>
    </format>
    <format dxfId="20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8"/>
          </reference>
        </references>
      </pivotArea>
    </format>
    <format dxfId="19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9"/>
          </reference>
        </references>
      </pivotArea>
    </format>
    <format dxfId="18">
      <pivotArea collapsedLevelsAreSubtotals="1" fieldPosition="0">
        <references count="4">
          <reference field="4294967294" count="1" selected="0">
            <x v="0"/>
          </reference>
          <reference field="0" count="0" selected="0"/>
          <reference field="1" count="1" selected="0">
            <x v="1"/>
          </reference>
          <reference field="2" count="1">
            <x v="1048832"/>
          </reference>
        </references>
      </pivotArea>
    </format>
    <format dxfId="17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5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5"/>
          </reference>
        </references>
      </pivotArea>
    </format>
    <format dxfId="1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5"/>
          </reference>
        </references>
      </pivotArea>
    </format>
    <format dxfId="13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5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21"/>
          </reference>
        </references>
      </pivotArea>
    </format>
    <format dxfId="9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21"/>
          </reference>
        </references>
      </pivotArea>
    </format>
    <format dxfId="8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1"/>
          </reference>
        </references>
      </pivotArea>
    </format>
    <format dxfId="7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21"/>
          </reference>
        </references>
      </pivotArea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 1].[Calendario].&amp;[2026-06-29T00:00:00]"/>
      </members>
    </pivotHierarchy>
    <pivotHierarchy dragToData="1"/>
    <pivotHierarchy dragToData="1"/>
    <pivotHierarchy dragToData="1"/>
    <pivotHierarchy dragToData="1" caption="CtrlAvan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3">
    <rowHierarchyUsage hierarchyUsage="11"/>
    <rowHierarchyUsage hierarchyUsage="12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1">
          <x14:conditionalFormat priority="3" id="{C8BE6D25-2E01-4E1E-8065-61DB2570F240}">
            <x14:pivotAreas count="1">
              <pivotArea type="data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EDTN_PQ]"/>
        <x15:activeTabTopLevelEntity name="[PB39_PQ]"/>
        <x15:activeTabTopLevelEntity name="[Calendario]"/>
        <x15:activeTabTopLevelEntity name="[AR39_PQ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lendario" xr10:uid="{EE7098C6-CDED-4FAD-B24D-BE93A639A4CB}" sourceName="[Calendario 1].[Calendario]">
  <pivotTables>
    <pivotTable tabId="8" name="ControlAvanceMensual"/>
  </pivotTables>
  <data>
    <olap pivotCacheId="1071446834">
      <levels count="2">
        <level uniqueName="[Calendario 1].[Calendario].[(All)]" sourceCaption="(All)" count="0"/>
        <level uniqueName="[Calendario 1].[Calendario].[Calendario]" sourceCaption="Calendario" count="131">
          <ranges>
            <range startItem="0">
              <i n="[Calendario 1].[Calendario].&amp;[2025-05-05T00:00:00]" c="05/05/2025"/>
              <i n="[Calendario 1].[Calendario].&amp;[2025-05-12T00:00:00]" c="12/05/2025"/>
              <i n="[Calendario 1].[Calendario].&amp;[2025-05-19T00:00:00]" c="19/05/2025"/>
              <i n="[Calendario 1].[Calendario].&amp;[2025-05-26T00:00:00]" c="26/05/2025"/>
              <i n="[Calendario 1].[Calendario].&amp;[2025-06-02T00:00:00]" c="02/06/2025"/>
              <i n="[Calendario 1].[Calendario].&amp;[2025-06-09T00:00:00]" c="09/06/2025"/>
              <i n="[Calendario 1].[Calendario].&amp;[2025-06-16T00:00:00]" c="16/06/2025"/>
              <i n="[Calendario 1].[Calendario].&amp;[2025-06-23T00:00:00]" c="23/06/2025"/>
              <i n="[Calendario 1].[Calendario].&amp;[2025-06-30T00:00:00]" c="30/06/2025"/>
              <i n="[Calendario 1].[Calendario].&amp;[2025-07-07T00:00:00]" c="07/07/2025"/>
              <i n="[Calendario 1].[Calendario].&amp;[2025-07-14T00:00:00]" c="14/07/2025"/>
              <i n="[Calendario 1].[Calendario].&amp;[2025-07-21T00:00:00]" c="21/07/2025"/>
              <i n="[Calendario 1].[Calendario].&amp;[2025-07-28T00:00:00]" c="28/07/2025"/>
              <i n="[Calendario 1].[Calendario].&amp;[2025-08-04T00:00:00]" c="04/08/2025"/>
              <i n="[Calendario 1].[Calendario].&amp;[2025-08-11T00:00:00]" c="11/08/2025"/>
              <i n="[Calendario 1].[Calendario].&amp;[2025-08-18T00:00:00]" c="18/08/2025"/>
              <i n="[Calendario 1].[Calendario].&amp;[2025-08-25T00:00:00]" c="25/08/2025"/>
              <i n="[Calendario 1].[Calendario].&amp;[2025-09-01T00:00:00]" c="01/09/2025"/>
              <i n="[Calendario 1].[Calendario].&amp;[2025-09-08T00:00:00]" c="08/09/2025"/>
              <i n="[Calendario 1].[Calendario].&amp;[2025-09-15T00:00:00]" c="15/09/2025"/>
              <i n="[Calendario 1].[Calendario].&amp;[2025-09-22T00:00:00]" c="22/09/2025"/>
              <i n="[Calendario 1].[Calendario].&amp;[2025-09-29T00:00:00]" c="29/09/2025"/>
              <i n="[Calendario 1].[Calendario].&amp;[2025-10-06T00:00:00]" c="06/10/2025"/>
              <i n="[Calendario 1].[Calendario].&amp;[2025-10-13T00:00:00]" c="13/10/2025"/>
              <i n="[Calendario 1].[Calendario].&amp;[2025-10-20T00:00:00]" c="20/10/2025"/>
              <i n="[Calendario 1].[Calendario].&amp;[2025-10-27T00:00:00]" c="27/10/2025"/>
              <i n="[Calendario 1].[Calendario].&amp;[2025-11-03T00:00:00]" c="03/11/2025"/>
              <i n="[Calendario 1].[Calendario].&amp;[2025-11-10T00:00:00]" c="10/11/2025"/>
              <i n="[Calendario 1].[Calendario].&amp;[2025-11-17T00:00:00]" c="17/11/2025"/>
              <i n="[Calendario 1].[Calendario].&amp;[2025-11-24T00:00:00]" c="24/11/2025"/>
              <i n="[Calendario 1].[Calendario].&amp;[2025-12-01T00:00:00]" c="01/12/2025"/>
              <i n="[Calendario 1].[Calendario].&amp;[2025-12-08T00:00:00]" c="08/12/2025"/>
              <i n="[Calendario 1].[Calendario].&amp;[2025-12-15T00:00:00]" c="15/12/2025"/>
              <i n="[Calendario 1].[Calendario].&amp;[2025-12-22T00:00:00]" c="22/12/2025"/>
              <i n="[Calendario 1].[Calendario].&amp;[2025-12-29T00:00:00]" c="29/12/2025"/>
              <i n="[Calendario 1].[Calendario].&amp;[2026-01-05T00:00:00]" c="05/01/2026"/>
              <i n="[Calendario 1].[Calendario].&amp;[2026-01-12T00:00:00]" c="12/01/2026"/>
              <i n="[Calendario 1].[Calendario].&amp;[2026-01-19T00:00:00]" c="19/01/2026"/>
              <i n="[Calendario 1].[Calendario].&amp;[2026-01-26T00:00:00]" c="26/01/2026"/>
              <i n="[Calendario 1].[Calendario].&amp;[2026-02-02T00:00:00]" c="02/02/2026"/>
              <i n="[Calendario 1].[Calendario].&amp;[2026-02-09T00:00:00]" c="09/02/2026"/>
              <i n="[Calendario 1].[Calendario].&amp;[2026-02-16T00:00:00]" c="16/02/2026"/>
              <i n="[Calendario 1].[Calendario].&amp;[2026-02-23T00:00:00]" c="23/02/2026"/>
              <i n="[Calendario 1].[Calendario].&amp;[2026-03-02T00:00:00]" c="02/03/2026"/>
              <i n="[Calendario 1].[Calendario].&amp;[2026-03-09T00:00:00]" c="09/03/2026"/>
              <i n="[Calendario 1].[Calendario].&amp;[2026-03-16T00:00:00]" c="16/03/2026"/>
              <i n="[Calendario 1].[Calendario].&amp;[2026-03-23T00:00:00]" c="23/03/2026"/>
              <i n="[Calendario 1].[Calendario].&amp;[2026-03-30T00:00:00]" c="30/03/2026"/>
              <i n="[Calendario 1].[Calendario].&amp;[2026-04-06T00:00:00]" c="06/04/2026"/>
              <i n="[Calendario 1].[Calendario].&amp;[2026-04-13T00:00:00]" c="13/04/2026"/>
              <i n="[Calendario 1].[Calendario].&amp;[2026-04-20T00:00:00]" c="20/04/2026"/>
              <i n="[Calendario 1].[Calendario].&amp;[2026-04-27T00:00:00]" c="27/04/2026"/>
              <i n="[Calendario 1].[Calendario].&amp;[2026-05-04T00:00:00]" c="04/05/2026"/>
              <i n="[Calendario 1].[Calendario].&amp;[2026-05-11T00:00:00]" c="11/05/2026"/>
              <i n="[Calendario 1].[Calendario].&amp;[2026-05-18T00:00:00]" c="18/05/2026"/>
              <i n="[Calendario 1].[Calendario].&amp;[2026-05-25T00:00:00]" c="25/05/2026"/>
              <i n="[Calendario 1].[Calendario].&amp;[2026-06-01T00:00:00]" c="01/06/2026"/>
              <i n="[Calendario 1].[Calendario].&amp;[2026-06-08T00:00:00]" c="08/06/2026"/>
              <i n="[Calendario 1].[Calendario].&amp;[2026-06-15T00:00:00]" c="15/06/2026"/>
              <i n="[Calendario 1].[Calendario].&amp;[2026-06-22T00:00:00]" c="22/06/2026"/>
              <i n="[Calendario 1].[Calendario].&amp;[2026-06-29T00:00:00]" c="29/06/2026"/>
              <i n="[Calendario 1].[Calendario].&amp;[2026-07-06T00:00:00]" c="06/07/2026"/>
              <i n="[Calendario 1].[Calendario].&amp;[2026-07-13T00:00:00]" c="13/07/2026"/>
              <i n="[Calendario 1].[Calendario].&amp;[2026-07-20T00:00:00]" c="20/07/2026"/>
              <i n="[Calendario 1].[Calendario].&amp;[2026-07-27T00:00:00]" c="27/07/2026"/>
              <i n="[Calendario 1].[Calendario].&amp;[2026-08-03T00:00:00]" c="03/08/2026"/>
              <i n="[Calendario 1].[Calendario].&amp;[2026-08-10T00:00:00]" c="10/08/2026"/>
              <i n="[Calendario 1].[Calendario].&amp;[2026-08-17T00:00:00]" c="17/08/2026"/>
              <i n="[Calendario 1].[Calendario].&amp;[2026-08-24T00:00:00]" c="24/08/2026"/>
              <i n="[Calendario 1].[Calendario].&amp;[2026-08-31T00:00:00]" c="31/08/2026"/>
              <i n="[Calendario 1].[Calendario].&amp;[2026-09-07T00:00:00]" c="07/09/2026"/>
              <i n="[Calendario 1].[Calendario].&amp;[2026-09-14T00:00:00]" c="14/09/2026"/>
              <i n="[Calendario 1].[Calendario].&amp;[2026-09-21T00:00:00]" c="21/09/2026"/>
              <i n="[Calendario 1].[Calendario].&amp;[2026-09-28T00:00:00]" c="28/09/2026"/>
              <i n="[Calendario 1].[Calendario].&amp;[2026-10-05T00:00:00]" c="05/10/2026"/>
              <i n="[Calendario 1].[Calendario].&amp;[2026-10-12T00:00:00]" c="12/10/2026"/>
              <i n="[Calendario 1].[Calendario].&amp;[2026-10-19T00:00:00]" c="19/10/2026"/>
              <i n="[Calendario 1].[Calendario].&amp;[2026-10-26T00:00:00]" c="26/10/2026"/>
              <i n="[Calendario 1].[Calendario].&amp;[2026-11-02T00:00:00]" c="02/11/2026"/>
              <i n="[Calendario 1].[Calendario].&amp;[2026-11-09T00:00:00]" c="09/11/2026"/>
              <i n="[Calendario 1].[Calendario].&amp;[2026-11-16T00:00:00]" c="16/11/2026"/>
              <i n="[Calendario 1].[Calendario].&amp;[2026-11-23T00:00:00]" c="23/11/2026"/>
              <i n="[Calendario 1].[Calendario].&amp;[2026-11-30T00:00:00]" c="30/11/2026"/>
              <i n="[Calendario 1].[Calendario].&amp;[2026-12-07T00:00:00]" c="07/12/2026"/>
              <i n="[Calendario 1].[Calendario].&amp;[2026-12-14T00:00:00]" c="14/12/2026"/>
              <i n="[Calendario 1].[Calendario].&amp;[2026-12-21T00:00:00]" c="21/12/2026"/>
              <i n="[Calendario 1].[Calendario].&amp;[2026-12-28T00:00:00]" c="28/12/2026"/>
              <i n="[Calendario 1].[Calendario].&amp;[2024-07-01T00:00:00]" c="01/07/2024" nd="1"/>
              <i n="[Calendario 1].[Calendario].&amp;[2024-07-08T00:00:00]" c="08/07/2024" nd="1"/>
              <i n="[Calendario 1].[Calendario].&amp;[2024-07-15T00:00:00]" c="15/07/2024" nd="1"/>
              <i n="[Calendario 1].[Calendario].&amp;[2024-07-22T00:00:00]" c="22/07/2024" nd="1"/>
              <i n="[Calendario 1].[Calendario].&amp;[2024-07-29T00:00:00]" c="29/07/2024" nd="1"/>
              <i n="[Calendario 1].[Calendario].&amp;[2024-08-05T00:00:00]" c="05/08/2024" nd="1"/>
              <i n="[Calendario 1].[Calendario].&amp;[2024-08-12T00:00:00]" c="12/08/2024" nd="1"/>
              <i n="[Calendario 1].[Calendario].&amp;[2024-08-19T00:00:00]" c="19/08/2024" nd="1"/>
              <i n="[Calendario 1].[Calendario].&amp;[2024-08-26T00:00:00]" c="26/08/2024" nd="1"/>
              <i n="[Calendario 1].[Calendario].&amp;[2024-09-02T00:00:00]" c="02/09/2024" nd="1"/>
              <i n="[Calendario 1].[Calendario].&amp;[2024-09-09T00:00:00]" c="09/09/2024" nd="1"/>
              <i n="[Calendario 1].[Calendario].&amp;[2024-09-16T00:00:00]" c="16/09/2024" nd="1"/>
              <i n="[Calendario 1].[Calendario].&amp;[2024-09-23T00:00:00]" c="23/09/2024" nd="1"/>
              <i n="[Calendario 1].[Calendario].&amp;[2024-09-30T00:00:00]" c="30/09/2024" nd="1"/>
              <i n="[Calendario 1].[Calendario].&amp;[2024-10-07T00:00:00]" c="07/10/2024" nd="1"/>
              <i n="[Calendario 1].[Calendario].&amp;[2024-10-14T00:00:00]" c="14/10/2024" nd="1"/>
              <i n="[Calendario 1].[Calendario].&amp;[2024-10-21T00:00:00]" c="21/10/2024" nd="1"/>
              <i n="[Calendario 1].[Calendario].&amp;[2024-10-28T00:00:00]" c="28/10/2024" nd="1"/>
              <i n="[Calendario 1].[Calendario].&amp;[2024-11-04T00:00:00]" c="04/11/2024" nd="1"/>
              <i n="[Calendario 1].[Calendario].&amp;[2024-11-11T00:00:00]" c="11/11/2024" nd="1"/>
              <i n="[Calendario 1].[Calendario].&amp;[2024-11-18T00:00:00]" c="18/11/2024" nd="1"/>
              <i n="[Calendario 1].[Calendario].&amp;[2024-11-25T00:00:00]" c="25/11/2024" nd="1"/>
              <i n="[Calendario 1].[Calendario].&amp;[2024-12-02T00:00:00]" c="02/12/2024" nd="1"/>
              <i n="[Calendario 1].[Calendario].&amp;[2024-12-09T00:00:00]" c="09/12/2024" nd="1"/>
              <i n="[Calendario 1].[Calendario].&amp;[2024-12-16T00:00:00]" c="16/12/2024" nd="1"/>
              <i n="[Calendario 1].[Calendario].&amp;[2024-12-23T00:00:00]" c="23/12/2024" nd="1"/>
              <i n="[Calendario 1].[Calendario].&amp;[2024-12-30T00:00:00]" c="30/12/2024" nd="1"/>
              <i n="[Calendario 1].[Calendario].&amp;[2025-01-06T00:00:00]" c="06/01/2025" nd="1"/>
              <i n="[Calendario 1].[Calendario].&amp;[2025-01-13T00:00:00]" c="13/01/2025" nd="1"/>
              <i n="[Calendario 1].[Calendario].&amp;[2025-01-20T00:00:00]" c="20/01/2025" nd="1"/>
              <i n="[Calendario 1].[Calendario].&amp;[2025-01-27T00:00:00]" c="27/01/2025" nd="1"/>
              <i n="[Calendario 1].[Calendario].&amp;[2025-02-03T00:00:00]" c="03/02/2025" nd="1"/>
              <i n="[Calendario 1].[Calendario].&amp;[2025-02-10T00:00:00]" c="10/02/2025" nd="1"/>
              <i n="[Calendario 1].[Calendario].&amp;[2025-02-17T00:00:00]" c="17/02/2025" nd="1"/>
              <i n="[Calendario 1].[Calendario].&amp;[2025-02-24T00:00:00]" c="24/02/2025" nd="1"/>
              <i n="[Calendario 1].[Calendario].&amp;[2025-03-03T00:00:00]" c="03/03/2025" nd="1"/>
              <i n="[Calendario 1].[Calendario].&amp;[2025-03-10T00:00:00]" c="10/03/2025" nd="1"/>
              <i n="[Calendario 1].[Calendario].&amp;[2025-03-17T00:00:00]" c="17/03/2025" nd="1"/>
              <i n="[Calendario 1].[Calendario].&amp;[2025-03-24T00:00:00]" c="24/03/2025" nd="1"/>
              <i n="[Calendario 1].[Calendario].&amp;[2025-03-31T00:00:00]" c="31/03/2025" nd="1"/>
              <i n="[Calendario 1].[Calendario].&amp;[2025-04-07T00:00:00]" c="07/04/2025" nd="1"/>
              <i n="[Calendario 1].[Calendario].&amp;[2025-04-14T00:00:00]" c="14/04/2025" nd="1"/>
              <i n="[Calendario 1].[Calendario].&amp;[2025-04-21T00:00:00]" c="21/04/2025" nd="1"/>
              <i n="[Calendario 1].[Calendario].&amp;[2025-04-28T00:00:00]" c="28/04/2025" nd="1"/>
            </range>
          </ranges>
        </level>
      </levels>
      <selections count="1">
        <selection n="[Calendario 1].[Calendario].&amp;[2026-06-29T00:00:00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lendario1" xr10:uid="{7F45CC30-A8AB-468E-85E5-64B372127974}" sourceName="[Calendario 1].[Calendario]">
  <pivotTables>
    <pivotTable tabId="16" name="ControlAvance"/>
  </pivotTables>
  <data>
    <olap pivotCacheId="157967590">
      <levels count="2">
        <level uniqueName="[Calendario 1].[Calendario].[(All)]" sourceCaption="(All)" count="0"/>
        <level uniqueName="[Calendario 1].[Calendario].[Calendario]" sourceCaption="Calendario" count="131">
          <ranges>
            <range startItem="0">
              <i n="[Calendario 1].[Calendario].&amp;[2025-05-05T00:00:00]" c="05/05/2025"/>
              <i n="[Calendario 1].[Calendario].&amp;[2025-05-12T00:00:00]" c="12/05/2025"/>
              <i n="[Calendario 1].[Calendario].&amp;[2025-05-19T00:00:00]" c="19/05/2025"/>
              <i n="[Calendario 1].[Calendario].&amp;[2025-05-26T00:00:00]" c="26/05/2025"/>
              <i n="[Calendario 1].[Calendario].&amp;[2025-06-02T00:00:00]" c="02/06/2025"/>
              <i n="[Calendario 1].[Calendario].&amp;[2025-06-09T00:00:00]" c="09/06/2025"/>
              <i n="[Calendario 1].[Calendario].&amp;[2025-06-16T00:00:00]" c="16/06/2025"/>
              <i n="[Calendario 1].[Calendario].&amp;[2025-06-23T00:00:00]" c="23/06/2025"/>
              <i n="[Calendario 1].[Calendario].&amp;[2025-06-30T00:00:00]" c="30/06/2025"/>
              <i n="[Calendario 1].[Calendario].&amp;[2025-07-07T00:00:00]" c="07/07/2025"/>
              <i n="[Calendario 1].[Calendario].&amp;[2025-07-14T00:00:00]" c="14/07/2025"/>
              <i n="[Calendario 1].[Calendario].&amp;[2025-07-21T00:00:00]" c="21/07/2025"/>
              <i n="[Calendario 1].[Calendario].&amp;[2025-07-28T00:00:00]" c="28/07/2025"/>
              <i n="[Calendario 1].[Calendario].&amp;[2025-08-04T00:00:00]" c="04/08/2025"/>
              <i n="[Calendario 1].[Calendario].&amp;[2025-08-11T00:00:00]" c="11/08/2025"/>
              <i n="[Calendario 1].[Calendario].&amp;[2025-08-18T00:00:00]" c="18/08/2025"/>
              <i n="[Calendario 1].[Calendario].&amp;[2025-08-25T00:00:00]" c="25/08/2025"/>
              <i n="[Calendario 1].[Calendario].&amp;[2025-09-01T00:00:00]" c="01/09/2025"/>
              <i n="[Calendario 1].[Calendario].&amp;[2025-09-08T00:00:00]" c="08/09/2025"/>
              <i n="[Calendario 1].[Calendario].&amp;[2025-09-15T00:00:00]" c="15/09/2025"/>
              <i n="[Calendario 1].[Calendario].&amp;[2025-09-22T00:00:00]" c="22/09/2025"/>
              <i n="[Calendario 1].[Calendario].&amp;[2025-09-29T00:00:00]" c="29/09/2025"/>
              <i n="[Calendario 1].[Calendario].&amp;[2025-10-06T00:00:00]" c="06/10/2025"/>
              <i n="[Calendario 1].[Calendario].&amp;[2025-10-13T00:00:00]" c="13/10/2025"/>
              <i n="[Calendario 1].[Calendario].&amp;[2025-10-20T00:00:00]" c="20/10/2025"/>
              <i n="[Calendario 1].[Calendario].&amp;[2025-10-27T00:00:00]" c="27/10/2025"/>
              <i n="[Calendario 1].[Calendario].&amp;[2025-11-03T00:00:00]" c="03/11/2025"/>
              <i n="[Calendario 1].[Calendario].&amp;[2025-11-10T00:00:00]" c="10/11/2025"/>
              <i n="[Calendario 1].[Calendario].&amp;[2025-11-17T00:00:00]" c="17/11/2025"/>
              <i n="[Calendario 1].[Calendario].&amp;[2025-11-24T00:00:00]" c="24/11/2025"/>
              <i n="[Calendario 1].[Calendario].&amp;[2025-12-01T00:00:00]" c="01/12/2025"/>
              <i n="[Calendario 1].[Calendario].&amp;[2025-12-08T00:00:00]" c="08/12/2025"/>
              <i n="[Calendario 1].[Calendario].&amp;[2025-12-15T00:00:00]" c="15/12/2025"/>
              <i n="[Calendario 1].[Calendario].&amp;[2025-12-22T00:00:00]" c="22/12/2025"/>
              <i n="[Calendario 1].[Calendario].&amp;[2025-12-29T00:00:00]" c="29/12/2025"/>
              <i n="[Calendario 1].[Calendario].&amp;[2026-01-05T00:00:00]" c="05/01/2026"/>
              <i n="[Calendario 1].[Calendario].&amp;[2026-01-12T00:00:00]" c="12/01/2026"/>
              <i n="[Calendario 1].[Calendario].&amp;[2026-01-19T00:00:00]" c="19/01/2026"/>
              <i n="[Calendario 1].[Calendario].&amp;[2026-01-26T00:00:00]" c="26/01/2026"/>
              <i n="[Calendario 1].[Calendario].&amp;[2026-02-02T00:00:00]" c="02/02/2026"/>
              <i n="[Calendario 1].[Calendario].&amp;[2026-02-09T00:00:00]" c="09/02/2026"/>
              <i n="[Calendario 1].[Calendario].&amp;[2026-02-16T00:00:00]" c="16/02/2026"/>
              <i n="[Calendario 1].[Calendario].&amp;[2026-02-23T00:00:00]" c="23/02/2026"/>
              <i n="[Calendario 1].[Calendario].&amp;[2026-03-02T00:00:00]" c="02/03/2026"/>
              <i n="[Calendario 1].[Calendario].&amp;[2026-03-09T00:00:00]" c="09/03/2026"/>
              <i n="[Calendario 1].[Calendario].&amp;[2026-03-16T00:00:00]" c="16/03/2026"/>
              <i n="[Calendario 1].[Calendario].&amp;[2026-03-23T00:00:00]" c="23/03/2026"/>
              <i n="[Calendario 1].[Calendario].&amp;[2026-03-30T00:00:00]" c="30/03/2026"/>
              <i n="[Calendario 1].[Calendario].&amp;[2026-04-06T00:00:00]" c="06/04/2026"/>
              <i n="[Calendario 1].[Calendario].&amp;[2026-04-13T00:00:00]" c="13/04/2026"/>
              <i n="[Calendario 1].[Calendario].&amp;[2026-04-20T00:00:00]" c="20/04/2026"/>
              <i n="[Calendario 1].[Calendario].&amp;[2026-04-27T00:00:00]" c="27/04/2026"/>
              <i n="[Calendario 1].[Calendario].&amp;[2026-05-04T00:00:00]" c="04/05/2026"/>
              <i n="[Calendario 1].[Calendario].&amp;[2026-05-11T00:00:00]" c="11/05/2026"/>
              <i n="[Calendario 1].[Calendario].&amp;[2026-05-18T00:00:00]" c="18/05/2026"/>
              <i n="[Calendario 1].[Calendario].&amp;[2026-05-25T00:00:00]" c="25/05/2026"/>
              <i n="[Calendario 1].[Calendario].&amp;[2026-06-01T00:00:00]" c="01/06/2026"/>
              <i n="[Calendario 1].[Calendario].&amp;[2026-06-08T00:00:00]" c="08/06/2026"/>
              <i n="[Calendario 1].[Calendario].&amp;[2026-06-15T00:00:00]" c="15/06/2026"/>
              <i n="[Calendario 1].[Calendario].&amp;[2026-06-22T00:00:00]" c="22/06/2026"/>
              <i n="[Calendario 1].[Calendario].&amp;[2026-06-29T00:00:00]" c="29/06/2026"/>
              <i n="[Calendario 1].[Calendario].&amp;[2026-07-06T00:00:00]" c="06/07/2026"/>
              <i n="[Calendario 1].[Calendario].&amp;[2026-07-13T00:00:00]" c="13/07/2026"/>
              <i n="[Calendario 1].[Calendario].&amp;[2026-07-20T00:00:00]" c="20/07/2026"/>
              <i n="[Calendario 1].[Calendario].&amp;[2026-07-27T00:00:00]" c="27/07/2026"/>
              <i n="[Calendario 1].[Calendario].&amp;[2026-08-03T00:00:00]" c="03/08/2026"/>
              <i n="[Calendario 1].[Calendario].&amp;[2026-08-10T00:00:00]" c="10/08/2026"/>
              <i n="[Calendario 1].[Calendario].&amp;[2026-08-17T00:00:00]" c="17/08/2026"/>
              <i n="[Calendario 1].[Calendario].&amp;[2026-08-24T00:00:00]" c="24/08/2026"/>
              <i n="[Calendario 1].[Calendario].&amp;[2026-08-31T00:00:00]" c="31/08/2026"/>
              <i n="[Calendario 1].[Calendario].&amp;[2026-09-07T00:00:00]" c="07/09/2026"/>
              <i n="[Calendario 1].[Calendario].&amp;[2026-09-14T00:00:00]" c="14/09/2026"/>
              <i n="[Calendario 1].[Calendario].&amp;[2026-09-21T00:00:00]" c="21/09/2026"/>
              <i n="[Calendario 1].[Calendario].&amp;[2026-09-28T00:00:00]" c="28/09/2026"/>
              <i n="[Calendario 1].[Calendario].&amp;[2026-10-05T00:00:00]" c="05/10/2026"/>
              <i n="[Calendario 1].[Calendario].&amp;[2026-10-12T00:00:00]" c="12/10/2026"/>
              <i n="[Calendario 1].[Calendario].&amp;[2026-10-19T00:00:00]" c="19/10/2026"/>
              <i n="[Calendario 1].[Calendario].&amp;[2026-10-26T00:00:00]" c="26/10/2026"/>
              <i n="[Calendario 1].[Calendario].&amp;[2026-11-02T00:00:00]" c="02/11/2026"/>
              <i n="[Calendario 1].[Calendario].&amp;[2026-11-09T00:00:00]" c="09/11/2026"/>
              <i n="[Calendario 1].[Calendario].&amp;[2026-11-16T00:00:00]" c="16/11/2026"/>
              <i n="[Calendario 1].[Calendario].&amp;[2026-11-23T00:00:00]" c="23/11/2026"/>
              <i n="[Calendario 1].[Calendario].&amp;[2026-11-30T00:00:00]" c="30/11/2026"/>
              <i n="[Calendario 1].[Calendario].&amp;[2026-12-07T00:00:00]" c="07/12/2026"/>
              <i n="[Calendario 1].[Calendario].&amp;[2026-12-14T00:00:00]" c="14/12/2026"/>
              <i n="[Calendario 1].[Calendario].&amp;[2026-12-21T00:00:00]" c="21/12/2026"/>
              <i n="[Calendario 1].[Calendario].&amp;[2026-12-28T00:00:00]" c="28/12/2026"/>
              <i n="[Calendario 1].[Calendario].&amp;[2024-07-01T00:00:00]" c="01/07/2024" nd="1"/>
              <i n="[Calendario 1].[Calendario].&amp;[2024-07-08T00:00:00]" c="08/07/2024" nd="1"/>
              <i n="[Calendario 1].[Calendario].&amp;[2024-07-15T00:00:00]" c="15/07/2024" nd="1"/>
              <i n="[Calendario 1].[Calendario].&amp;[2024-07-22T00:00:00]" c="22/07/2024" nd="1"/>
              <i n="[Calendario 1].[Calendario].&amp;[2024-07-29T00:00:00]" c="29/07/2024" nd="1"/>
              <i n="[Calendario 1].[Calendario].&amp;[2024-08-05T00:00:00]" c="05/08/2024" nd="1"/>
              <i n="[Calendario 1].[Calendario].&amp;[2024-08-12T00:00:00]" c="12/08/2024" nd="1"/>
              <i n="[Calendario 1].[Calendario].&amp;[2024-08-19T00:00:00]" c="19/08/2024" nd="1"/>
              <i n="[Calendario 1].[Calendario].&amp;[2024-08-26T00:00:00]" c="26/08/2024" nd="1"/>
              <i n="[Calendario 1].[Calendario].&amp;[2024-09-02T00:00:00]" c="02/09/2024" nd="1"/>
              <i n="[Calendario 1].[Calendario].&amp;[2024-09-09T00:00:00]" c="09/09/2024" nd="1"/>
              <i n="[Calendario 1].[Calendario].&amp;[2024-09-16T00:00:00]" c="16/09/2024" nd="1"/>
              <i n="[Calendario 1].[Calendario].&amp;[2024-09-23T00:00:00]" c="23/09/2024" nd="1"/>
              <i n="[Calendario 1].[Calendario].&amp;[2024-09-30T00:00:00]" c="30/09/2024" nd="1"/>
              <i n="[Calendario 1].[Calendario].&amp;[2024-10-07T00:00:00]" c="07/10/2024" nd="1"/>
              <i n="[Calendario 1].[Calendario].&amp;[2024-10-14T00:00:00]" c="14/10/2024" nd="1"/>
              <i n="[Calendario 1].[Calendario].&amp;[2024-10-21T00:00:00]" c="21/10/2024" nd="1"/>
              <i n="[Calendario 1].[Calendario].&amp;[2024-10-28T00:00:00]" c="28/10/2024" nd="1"/>
              <i n="[Calendario 1].[Calendario].&amp;[2024-11-04T00:00:00]" c="04/11/2024" nd="1"/>
              <i n="[Calendario 1].[Calendario].&amp;[2024-11-11T00:00:00]" c="11/11/2024" nd="1"/>
              <i n="[Calendario 1].[Calendario].&amp;[2024-11-18T00:00:00]" c="18/11/2024" nd="1"/>
              <i n="[Calendario 1].[Calendario].&amp;[2024-11-25T00:00:00]" c="25/11/2024" nd="1"/>
              <i n="[Calendario 1].[Calendario].&amp;[2024-12-02T00:00:00]" c="02/12/2024" nd="1"/>
              <i n="[Calendario 1].[Calendario].&amp;[2024-12-09T00:00:00]" c="09/12/2024" nd="1"/>
              <i n="[Calendario 1].[Calendario].&amp;[2024-12-16T00:00:00]" c="16/12/2024" nd="1"/>
              <i n="[Calendario 1].[Calendario].&amp;[2024-12-23T00:00:00]" c="23/12/2024" nd="1"/>
              <i n="[Calendario 1].[Calendario].&amp;[2024-12-30T00:00:00]" c="30/12/2024" nd="1"/>
              <i n="[Calendario 1].[Calendario].&amp;[2025-01-06T00:00:00]" c="06/01/2025" nd="1"/>
              <i n="[Calendario 1].[Calendario].&amp;[2025-01-13T00:00:00]" c="13/01/2025" nd="1"/>
              <i n="[Calendario 1].[Calendario].&amp;[2025-01-20T00:00:00]" c="20/01/2025" nd="1"/>
              <i n="[Calendario 1].[Calendario].&amp;[2025-01-27T00:00:00]" c="27/01/2025" nd="1"/>
              <i n="[Calendario 1].[Calendario].&amp;[2025-02-03T00:00:00]" c="03/02/2025" nd="1"/>
              <i n="[Calendario 1].[Calendario].&amp;[2025-02-10T00:00:00]" c="10/02/2025" nd="1"/>
              <i n="[Calendario 1].[Calendario].&amp;[2025-02-17T00:00:00]" c="17/02/2025" nd="1"/>
              <i n="[Calendario 1].[Calendario].&amp;[2025-02-24T00:00:00]" c="24/02/2025" nd="1"/>
              <i n="[Calendario 1].[Calendario].&amp;[2025-03-03T00:00:00]" c="03/03/2025" nd="1"/>
              <i n="[Calendario 1].[Calendario].&amp;[2025-03-10T00:00:00]" c="10/03/2025" nd="1"/>
              <i n="[Calendario 1].[Calendario].&amp;[2025-03-17T00:00:00]" c="17/03/2025" nd="1"/>
              <i n="[Calendario 1].[Calendario].&amp;[2025-03-24T00:00:00]" c="24/03/2025" nd="1"/>
              <i n="[Calendario 1].[Calendario].&amp;[2025-03-31T00:00:00]" c="31/03/2025" nd="1"/>
              <i n="[Calendario 1].[Calendario].&amp;[2025-04-07T00:00:00]" c="07/04/2025" nd="1"/>
              <i n="[Calendario 1].[Calendario].&amp;[2025-04-14T00:00:00]" c="14/04/2025" nd="1"/>
              <i n="[Calendario 1].[Calendario].&amp;[2025-04-21T00:00:00]" c="21/04/2025" nd="1"/>
              <i n="[Calendario 1].[Calendario].&amp;[2025-04-28T00:00:00]" c="28/04/2025" nd="1"/>
            </range>
          </ranges>
        </level>
      </levels>
      <selections count="1">
        <selection n="[Calendario 1].[Calendario].&amp;[2026-06-29T00:00:00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lendario2" xr10:uid="{48A2DE20-0254-4B3C-8AE6-F5F78186CB31}" sourceName="[Calendario 1].[Calendario]">
  <pivotTables>
    <pivotTable tabId="8" name="ControlAvanceBisemanal"/>
  </pivotTables>
  <data>
    <olap pivotCacheId="1029310743">
      <levels count="2">
        <level uniqueName="[Calendario 1].[Calendario].[(All)]" sourceCaption="(All)" count="0"/>
        <level uniqueName="[Calendario 1].[Calendario].[Calendario]" sourceCaption="Calendario" count="131">
          <ranges>
            <range startItem="0">
              <i n="[Calendario 1].[Calendario].&amp;[2025-05-05T00:00:00]" c="05/05/2025"/>
              <i n="[Calendario 1].[Calendario].&amp;[2025-05-12T00:00:00]" c="12/05/2025"/>
              <i n="[Calendario 1].[Calendario].&amp;[2025-05-19T00:00:00]" c="19/05/2025"/>
              <i n="[Calendario 1].[Calendario].&amp;[2025-05-26T00:00:00]" c="26/05/2025"/>
              <i n="[Calendario 1].[Calendario].&amp;[2025-06-02T00:00:00]" c="02/06/2025"/>
              <i n="[Calendario 1].[Calendario].&amp;[2025-06-09T00:00:00]" c="09/06/2025"/>
              <i n="[Calendario 1].[Calendario].&amp;[2025-06-16T00:00:00]" c="16/06/2025"/>
              <i n="[Calendario 1].[Calendario].&amp;[2025-06-23T00:00:00]" c="23/06/2025"/>
              <i n="[Calendario 1].[Calendario].&amp;[2025-06-30T00:00:00]" c="30/06/2025"/>
              <i n="[Calendario 1].[Calendario].&amp;[2025-07-07T00:00:00]" c="07/07/2025"/>
              <i n="[Calendario 1].[Calendario].&amp;[2025-07-14T00:00:00]" c="14/07/2025"/>
              <i n="[Calendario 1].[Calendario].&amp;[2025-07-21T00:00:00]" c="21/07/2025"/>
              <i n="[Calendario 1].[Calendario].&amp;[2025-07-28T00:00:00]" c="28/07/2025"/>
              <i n="[Calendario 1].[Calendario].&amp;[2025-08-04T00:00:00]" c="04/08/2025"/>
              <i n="[Calendario 1].[Calendario].&amp;[2025-08-11T00:00:00]" c="11/08/2025"/>
              <i n="[Calendario 1].[Calendario].&amp;[2025-08-18T00:00:00]" c="18/08/2025"/>
              <i n="[Calendario 1].[Calendario].&amp;[2025-08-25T00:00:00]" c="25/08/2025"/>
              <i n="[Calendario 1].[Calendario].&amp;[2025-09-01T00:00:00]" c="01/09/2025"/>
              <i n="[Calendario 1].[Calendario].&amp;[2025-09-08T00:00:00]" c="08/09/2025"/>
              <i n="[Calendario 1].[Calendario].&amp;[2025-09-15T00:00:00]" c="15/09/2025"/>
              <i n="[Calendario 1].[Calendario].&amp;[2025-09-22T00:00:00]" c="22/09/2025"/>
              <i n="[Calendario 1].[Calendario].&amp;[2025-09-29T00:00:00]" c="29/09/2025"/>
              <i n="[Calendario 1].[Calendario].&amp;[2025-10-06T00:00:00]" c="06/10/2025"/>
              <i n="[Calendario 1].[Calendario].&amp;[2025-10-13T00:00:00]" c="13/10/2025"/>
              <i n="[Calendario 1].[Calendario].&amp;[2025-10-20T00:00:00]" c="20/10/2025"/>
              <i n="[Calendario 1].[Calendario].&amp;[2025-10-27T00:00:00]" c="27/10/2025"/>
              <i n="[Calendario 1].[Calendario].&amp;[2025-11-03T00:00:00]" c="03/11/2025"/>
              <i n="[Calendario 1].[Calendario].&amp;[2025-11-10T00:00:00]" c="10/11/2025"/>
              <i n="[Calendario 1].[Calendario].&amp;[2025-11-17T00:00:00]" c="17/11/2025"/>
              <i n="[Calendario 1].[Calendario].&amp;[2025-11-24T00:00:00]" c="24/11/2025"/>
              <i n="[Calendario 1].[Calendario].&amp;[2025-12-01T00:00:00]" c="01/12/2025"/>
              <i n="[Calendario 1].[Calendario].&amp;[2025-12-08T00:00:00]" c="08/12/2025"/>
              <i n="[Calendario 1].[Calendario].&amp;[2025-12-15T00:00:00]" c="15/12/2025"/>
              <i n="[Calendario 1].[Calendario].&amp;[2025-12-22T00:00:00]" c="22/12/2025"/>
              <i n="[Calendario 1].[Calendario].&amp;[2025-12-29T00:00:00]" c="29/12/2025"/>
              <i n="[Calendario 1].[Calendario].&amp;[2026-01-05T00:00:00]" c="05/01/2026"/>
              <i n="[Calendario 1].[Calendario].&amp;[2026-01-12T00:00:00]" c="12/01/2026"/>
              <i n="[Calendario 1].[Calendario].&amp;[2026-01-19T00:00:00]" c="19/01/2026"/>
              <i n="[Calendario 1].[Calendario].&amp;[2026-01-26T00:00:00]" c="26/01/2026"/>
              <i n="[Calendario 1].[Calendario].&amp;[2026-02-02T00:00:00]" c="02/02/2026"/>
              <i n="[Calendario 1].[Calendario].&amp;[2026-02-09T00:00:00]" c="09/02/2026"/>
              <i n="[Calendario 1].[Calendario].&amp;[2026-02-16T00:00:00]" c="16/02/2026"/>
              <i n="[Calendario 1].[Calendario].&amp;[2026-02-23T00:00:00]" c="23/02/2026"/>
              <i n="[Calendario 1].[Calendario].&amp;[2026-03-02T00:00:00]" c="02/03/2026"/>
              <i n="[Calendario 1].[Calendario].&amp;[2026-03-09T00:00:00]" c="09/03/2026"/>
              <i n="[Calendario 1].[Calendario].&amp;[2026-03-16T00:00:00]" c="16/03/2026"/>
              <i n="[Calendario 1].[Calendario].&amp;[2026-03-23T00:00:00]" c="23/03/2026"/>
              <i n="[Calendario 1].[Calendario].&amp;[2026-03-30T00:00:00]" c="30/03/2026"/>
              <i n="[Calendario 1].[Calendario].&amp;[2026-04-06T00:00:00]" c="06/04/2026"/>
              <i n="[Calendario 1].[Calendario].&amp;[2026-04-13T00:00:00]" c="13/04/2026"/>
              <i n="[Calendario 1].[Calendario].&amp;[2026-04-20T00:00:00]" c="20/04/2026"/>
              <i n="[Calendario 1].[Calendario].&amp;[2026-04-27T00:00:00]" c="27/04/2026"/>
              <i n="[Calendario 1].[Calendario].&amp;[2026-05-04T00:00:00]" c="04/05/2026"/>
              <i n="[Calendario 1].[Calendario].&amp;[2026-05-11T00:00:00]" c="11/05/2026"/>
              <i n="[Calendario 1].[Calendario].&amp;[2026-05-18T00:00:00]" c="18/05/2026"/>
              <i n="[Calendario 1].[Calendario].&amp;[2026-05-25T00:00:00]" c="25/05/2026"/>
              <i n="[Calendario 1].[Calendario].&amp;[2026-06-01T00:00:00]" c="01/06/2026"/>
              <i n="[Calendario 1].[Calendario].&amp;[2026-06-08T00:00:00]" c="08/06/2026"/>
              <i n="[Calendario 1].[Calendario].&amp;[2026-06-15T00:00:00]" c="15/06/2026"/>
              <i n="[Calendario 1].[Calendario].&amp;[2026-06-22T00:00:00]" c="22/06/2026"/>
              <i n="[Calendario 1].[Calendario].&amp;[2026-06-29T00:00:00]" c="29/06/2026"/>
              <i n="[Calendario 1].[Calendario].&amp;[2026-07-06T00:00:00]" c="06/07/2026"/>
              <i n="[Calendario 1].[Calendario].&amp;[2026-07-13T00:00:00]" c="13/07/2026"/>
              <i n="[Calendario 1].[Calendario].&amp;[2026-07-20T00:00:00]" c="20/07/2026"/>
              <i n="[Calendario 1].[Calendario].&amp;[2026-07-27T00:00:00]" c="27/07/2026"/>
              <i n="[Calendario 1].[Calendario].&amp;[2026-08-03T00:00:00]" c="03/08/2026"/>
              <i n="[Calendario 1].[Calendario].&amp;[2026-08-10T00:00:00]" c="10/08/2026"/>
              <i n="[Calendario 1].[Calendario].&amp;[2026-08-17T00:00:00]" c="17/08/2026"/>
              <i n="[Calendario 1].[Calendario].&amp;[2026-08-24T00:00:00]" c="24/08/2026"/>
              <i n="[Calendario 1].[Calendario].&amp;[2026-08-31T00:00:00]" c="31/08/2026"/>
              <i n="[Calendario 1].[Calendario].&amp;[2026-09-07T00:00:00]" c="07/09/2026"/>
              <i n="[Calendario 1].[Calendario].&amp;[2026-09-14T00:00:00]" c="14/09/2026"/>
              <i n="[Calendario 1].[Calendario].&amp;[2026-09-21T00:00:00]" c="21/09/2026"/>
              <i n="[Calendario 1].[Calendario].&amp;[2026-09-28T00:00:00]" c="28/09/2026"/>
              <i n="[Calendario 1].[Calendario].&amp;[2026-10-05T00:00:00]" c="05/10/2026"/>
              <i n="[Calendario 1].[Calendario].&amp;[2026-10-12T00:00:00]" c="12/10/2026"/>
              <i n="[Calendario 1].[Calendario].&amp;[2026-10-19T00:00:00]" c="19/10/2026"/>
              <i n="[Calendario 1].[Calendario].&amp;[2026-10-26T00:00:00]" c="26/10/2026"/>
              <i n="[Calendario 1].[Calendario].&amp;[2026-11-02T00:00:00]" c="02/11/2026"/>
              <i n="[Calendario 1].[Calendario].&amp;[2026-11-09T00:00:00]" c="09/11/2026"/>
              <i n="[Calendario 1].[Calendario].&amp;[2026-11-16T00:00:00]" c="16/11/2026"/>
              <i n="[Calendario 1].[Calendario].&amp;[2026-11-23T00:00:00]" c="23/11/2026"/>
              <i n="[Calendario 1].[Calendario].&amp;[2026-11-30T00:00:00]" c="30/11/2026"/>
              <i n="[Calendario 1].[Calendario].&amp;[2026-12-07T00:00:00]" c="07/12/2026"/>
              <i n="[Calendario 1].[Calendario].&amp;[2026-12-14T00:00:00]" c="14/12/2026"/>
              <i n="[Calendario 1].[Calendario].&amp;[2026-12-21T00:00:00]" c="21/12/2026"/>
              <i n="[Calendario 1].[Calendario].&amp;[2026-12-28T00:00:00]" c="28/12/2026"/>
              <i n="[Calendario 1].[Calendario].&amp;[2024-07-01T00:00:00]" c="01/07/2024" nd="1"/>
              <i n="[Calendario 1].[Calendario].&amp;[2024-07-08T00:00:00]" c="08/07/2024" nd="1"/>
              <i n="[Calendario 1].[Calendario].&amp;[2024-07-15T00:00:00]" c="15/07/2024" nd="1"/>
              <i n="[Calendario 1].[Calendario].&amp;[2024-07-22T00:00:00]" c="22/07/2024" nd="1"/>
              <i n="[Calendario 1].[Calendario].&amp;[2024-07-29T00:00:00]" c="29/07/2024" nd="1"/>
              <i n="[Calendario 1].[Calendario].&amp;[2024-08-05T00:00:00]" c="05/08/2024" nd="1"/>
              <i n="[Calendario 1].[Calendario].&amp;[2024-08-12T00:00:00]" c="12/08/2024" nd="1"/>
              <i n="[Calendario 1].[Calendario].&amp;[2024-08-19T00:00:00]" c="19/08/2024" nd="1"/>
              <i n="[Calendario 1].[Calendario].&amp;[2024-08-26T00:00:00]" c="26/08/2024" nd="1"/>
              <i n="[Calendario 1].[Calendario].&amp;[2024-09-02T00:00:00]" c="02/09/2024" nd="1"/>
              <i n="[Calendario 1].[Calendario].&amp;[2024-09-09T00:00:00]" c="09/09/2024" nd="1"/>
              <i n="[Calendario 1].[Calendario].&amp;[2024-09-16T00:00:00]" c="16/09/2024" nd="1"/>
              <i n="[Calendario 1].[Calendario].&amp;[2024-09-23T00:00:00]" c="23/09/2024" nd="1"/>
              <i n="[Calendario 1].[Calendario].&amp;[2024-09-30T00:00:00]" c="30/09/2024" nd="1"/>
              <i n="[Calendario 1].[Calendario].&amp;[2024-10-07T00:00:00]" c="07/10/2024" nd="1"/>
              <i n="[Calendario 1].[Calendario].&amp;[2024-10-14T00:00:00]" c="14/10/2024" nd="1"/>
              <i n="[Calendario 1].[Calendario].&amp;[2024-10-21T00:00:00]" c="21/10/2024" nd="1"/>
              <i n="[Calendario 1].[Calendario].&amp;[2024-10-28T00:00:00]" c="28/10/2024" nd="1"/>
              <i n="[Calendario 1].[Calendario].&amp;[2024-11-04T00:00:00]" c="04/11/2024" nd="1"/>
              <i n="[Calendario 1].[Calendario].&amp;[2024-11-11T00:00:00]" c="11/11/2024" nd="1"/>
              <i n="[Calendario 1].[Calendario].&amp;[2024-11-18T00:00:00]" c="18/11/2024" nd="1"/>
              <i n="[Calendario 1].[Calendario].&amp;[2024-11-25T00:00:00]" c="25/11/2024" nd="1"/>
              <i n="[Calendario 1].[Calendario].&amp;[2024-12-02T00:00:00]" c="02/12/2024" nd="1"/>
              <i n="[Calendario 1].[Calendario].&amp;[2024-12-09T00:00:00]" c="09/12/2024" nd="1"/>
              <i n="[Calendario 1].[Calendario].&amp;[2024-12-16T00:00:00]" c="16/12/2024" nd="1"/>
              <i n="[Calendario 1].[Calendario].&amp;[2024-12-23T00:00:00]" c="23/12/2024" nd="1"/>
              <i n="[Calendario 1].[Calendario].&amp;[2024-12-30T00:00:00]" c="30/12/2024" nd="1"/>
              <i n="[Calendario 1].[Calendario].&amp;[2025-01-06T00:00:00]" c="06/01/2025" nd="1"/>
              <i n="[Calendario 1].[Calendario].&amp;[2025-01-13T00:00:00]" c="13/01/2025" nd="1"/>
              <i n="[Calendario 1].[Calendario].&amp;[2025-01-20T00:00:00]" c="20/01/2025" nd="1"/>
              <i n="[Calendario 1].[Calendario].&amp;[2025-01-27T00:00:00]" c="27/01/2025" nd="1"/>
              <i n="[Calendario 1].[Calendario].&amp;[2025-02-03T00:00:00]" c="03/02/2025" nd="1"/>
              <i n="[Calendario 1].[Calendario].&amp;[2025-02-10T00:00:00]" c="10/02/2025" nd="1"/>
              <i n="[Calendario 1].[Calendario].&amp;[2025-02-17T00:00:00]" c="17/02/2025" nd="1"/>
              <i n="[Calendario 1].[Calendario].&amp;[2025-02-24T00:00:00]" c="24/02/2025" nd="1"/>
              <i n="[Calendario 1].[Calendario].&amp;[2025-03-03T00:00:00]" c="03/03/2025" nd="1"/>
              <i n="[Calendario 1].[Calendario].&amp;[2025-03-10T00:00:00]" c="10/03/2025" nd="1"/>
              <i n="[Calendario 1].[Calendario].&amp;[2025-03-17T00:00:00]" c="17/03/2025" nd="1"/>
              <i n="[Calendario 1].[Calendario].&amp;[2025-03-24T00:00:00]" c="24/03/2025" nd="1"/>
              <i n="[Calendario 1].[Calendario].&amp;[2025-03-31T00:00:00]" c="31/03/2025" nd="1"/>
              <i n="[Calendario 1].[Calendario].&amp;[2025-04-07T00:00:00]" c="07/04/2025" nd="1"/>
              <i n="[Calendario 1].[Calendario].&amp;[2025-04-14T00:00:00]" c="14/04/2025" nd="1"/>
              <i n="[Calendario 1].[Calendario].&amp;[2025-04-21T00:00:00]" c="21/04/2025" nd="1"/>
              <i n="[Calendario 1].[Calendario].&amp;[2025-04-28T00:00:00]" c="28/04/2025" nd="1"/>
            </range>
          </ranges>
        </level>
      </levels>
      <selections count="1">
        <selection n="[Calendario 1].[Calendario].&amp;[2026-06-29T00:00:00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lendario" xr10:uid="{E80F5A1C-8E93-4243-B569-24EFC1B17F5E}" cache="SegmentaciónDeDatos_Calendario" caption="Calendario" startItem="45" columnCount="5" level="1" style="SlicerStyleDark4" rowHeight="234950"/>
  <slicer name="Calendario 2" xr10:uid="{6E8B79FA-5FDA-4ACC-8A5A-3FBBF516E29C}" cache="SegmentaciónDeDatos_Calendario2" caption="Calendario" startItem="45" columnCount="5" level="1" style="SlicerStyleDark4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lendario 1" xr10:uid="{116DA94E-74DB-485F-B208-61CB2E5D3971}" cache="SegmentaciónDeDatos_Calendario1" caption="Calendario" startItem="42" columnCount="3" level="1" style="SlicerStyleDark4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DCF27-214C-4B89-951D-154CE2296405}" name="EDT" displayName="EDT" ref="B1:K137" totalsRowShown="0" dataDxfId="1620" headerRowBorderDxfId="1621" tableBorderDxfId="1619" totalsRowBorderDxfId="1618">
  <autoFilter ref="B1:K137" xr:uid="{4ACDCF27-214C-4B89-951D-154CE2296405}"/>
  <tableColumns count="10">
    <tableColumn id="1" xr3:uid="{2AD20D80-31C0-4294-A1A7-F371431E8884}" name="N1" dataDxfId="1617"/>
    <tableColumn id="2" xr3:uid="{9F521DC8-39AB-4311-8DD9-886E502A3D5A}" name="N2" dataDxfId="1616"/>
    <tableColumn id="3" xr3:uid="{FAA44081-AE26-43DA-B830-AF85113F3ABE}" name="N3" dataDxfId="1615"/>
    <tableColumn id="4" xr3:uid="{A9E7C6FB-0DE5-4E06-B9A5-7BD2EC13A4A1}" name="N4" dataDxfId="1614"/>
    <tableColumn id="5" xr3:uid="{3111395C-0E9F-4C4E-AA29-FB4123EDADD2}" name="Dur." dataDxfId="1613"/>
    <tableColumn id="6" xr3:uid="{7A76CE34-9350-4B13-9161-38865FB05661}" name="Comienzo" dataDxfId="1612"/>
    <tableColumn id="7" xr3:uid="{84DA5BCF-05B5-45AF-A572-EF9D02685747}" name="Fin" dataDxfId="1611"/>
    <tableColumn id="8" xr3:uid="{013B4C91-2E84-417E-8D7A-4D32C4B2B94F}" name="Dura." dataDxfId="1610"/>
    <tableColumn id="9" xr3:uid="{0130FC22-866F-4D56-996E-287E0F352AFC}" name="Pesos" dataDxfId="1609"/>
    <tableColumn id="10" xr3:uid="{301B848C-9D13-40BB-AD45-388E58699B4F}" name="Aporte" dataDxfId="1608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88F4A-3389-453B-A224-27E3239EC02C}" name="Calendario" displayName="Calendario" ref="M1:M132" totalsRowShown="0" dataDxfId="1607" totalsRowDxfId="1606">
  <autoFilter ref="M1:M132" xr:uid="{8A388F4A-3389-453B-A224-27E3239EC02C}"/>
  <tableColumns count="1">
    <tableColumn id="1" xr3:uid="{340AEF97-96F2-41D5-A3FF-1CCEE69F1DF0}" name="Calendario" dataDxfId="1605"/>
  </tableColumns>
  <tableStyleInfo name="TableStyleMedium1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BE1704-BA74-4660-B99B-28A1CB8247C2}" name="EDTN" displayName="EDTN" ref="B4:G92" totalsRowShown="0" headerRowDxfId="1604" dataDxfId="1603">
  <autoFilter ref="B4:G92" xr:uid="{16BE1704-BA74-4660-B99B-28A1CB8247C2}"/>
  <tableColumns count="6">
    <tableColumn id="1" xr3:uid="{A14B7F20-C515-41FE-B704-88FA25B61F98}" name="N1" dataDxfId="1602"/>
    <tableColumn id="2" xr3:uid="{87061677-4250-470C-9E85-F6D28928FD97}" name="N2" dataDxfId="1601"/>
    <tableColumn id="3" xr3:uid="{CAAA18E8-829C-4793-9C18-90C7144F7C2D}" name="N3" dataDxfId="1600"/>
    <tableColumn id="4" xr3:uid="{B9DC08A6-8F61-43A9-9D49-010E0C59D268}" name="N4" dataDxfId="1599"/>
    <tableColumn id="5" xr3:uid="{0F019F07-E5A3-4D60-949F-1D7C22BF5073}" name="Nuevos Pesos" dataDxfId="1598"/>
    <tableColumn id="6" xr3:uid="{DA2DFA60-E09D-4354-B1F5-56293CC14AF4}" name="Aporte Nuevo" dataDxfId="159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BF5E43-EF65-44F1-A785-11E0F2D700B1}" name="PlanOG" displayName="PlanOG" ref="B4:EL140" totalsRowShown="0" headerRowDxfId="1596" tableBorderDxfId="1595">
  <autoFilter ref="B4:EL140" xr:uid="{A7BF5E43-EF65-44F1-A785-11E0F2D700B1}"/>
  <tableColumns count="141">
    <tableColumn id="1" xr3:uid="{A0EED16D-6569-4D9C-88A7-850527050E2B}" name="N1" dataDxfId="1594"/>
    <tableColumn id="2" xr3:uid="{C7DE38FD-A855-45B4-BEE3-6326FB889407}" name="N2" dataDxfId="1593"/>
    <tableColumn id="3" xr3:uid="{534D10E4-347E-4109-89D8-44F492F9702B}" name="N3" dataDxfId="1592"/>
    <tableColumn id="4" xr3:uid="{9D9FDC4A-3AE7-49B3-B0F0-DA62F6808536}" name="N4" dataDxfId="1591"/>
    <tableColumn id="5" xr3:uid="{BD079772-00BE-4824-BAF9-E584FFBAF81F}" name="Dur." dataDxfId="1590"/>
    <tableColumn id="6" xr3:uid="{EB0C7E8B-0D84-46B4-8E41-FEEEE64BF4E8}" name="Comienzo" dataDxfId="1589"/>
    <tableColumn id="7" xr3:uid="{3F27954A-44D1-4AED-9C88-697E9B987BBA}" name="Fin" dataDxfId="1588"/>
    <tableColumn id="8" xr3:uid="{FE95F29A-50E1-4519-AD0E-AAA686500658}" name="Dura." dataDxfId="1587">
      <calculatedColumnFormula>+F5</calculatedColumnFormula>
    </tableColumn>
    <tableColumn id="9" xr3:uid="{389F1F56-DA95-42A8-A193-2ACE2CE06325}" name="Pesos" dataDxfId="1586"/>
    <tableColumn id="12" xr3:uid="{93BD3606-704F-4998-B5DB-6905EC3DF70A}" name="Column4" dataDxfId="1585"/>
    <tableColumn id="13" xr3:uid="{72057888-3E69-4149-AB52-16F8C292FD72}" name="01/07/2024" dataDxfId="1584"/>
    <tableColumn id="14" xr3:uid="{BB590F53-DD4E-45DF-BB1D-C9717CD82322}" name="08/07/2024" dataDxfId="1583"/>
    <tableColumn id="15" xr3:uid="{CECFD917-C175-4D5D-AD3A-29072777F06B}" name="15/07/2024" dataDxfId="1582"/>
    <tableColumn id="16" xr3:uid="{DE10A6C2-8B72-45C8-A61E-69BC55456E43}" name="22/07/2024" dataDxfId="1581"/>
    <tableColumn id="17" xr3:uid="{C3AB299A-4E33-4B81-A71B-0FD8395B9C23}" name="29/07/2024" dataDxfId="1580"/>
    <tableColumn id="18" xr3:uid="{A869F5FE-07EE-46F1-92BB-1406D790203A}" name="05/08/2024" dataDxfId="1579"/>
    <tableColumn id="19" xr3:uid="{13F1F692-4026-48FD-A1BF-89355EA1C92B}" name="12/08/2024" dataDxfId="1578"/>
    <tableColumn id="20" xr3:uid="{2D7AEB3C-0A7B-4FFE-A1A6-77A73C28D7FC}" name="19/08/2024" dataDxfId="1577"/>
    <tableColumn id="21" xr3:uid="{F6FBC581-C467-4370-A22D-807A3E70F191}" name="26/08/2024" dataDxfId="1576"/>
    <tableColumn id="22" xr3:uid="{8EE847C2-92CF-443A-849C-A5F0C7EFFDC4}" name="02/09/2024" dataDxfId="1575"/>
    <tableColumn id="23" xr3:uid="{999C7247-B355-4CDF-97BF-90EF429B3F49}" name="09/09/2024" dataDxfId="1574"/>
    <tableColumn id="24" xr3:uid="{75FCE131-31D3-497F-B253-426058DF1AD4}" name="16/09/2024" dataDxfId="1573"/>
    <tableColumn id="25" xr3:uid="{EED84C50-1813-48AC-8594-27C7CE3CC967}" name="23/09/2024" dataDxfId="1572"/>
    <tableColumn id="26" xr3:uid="{EA83312E-9832-4F5E-81D7-831905CA9187}" name="30/09/2024" dataDxfId="1571"/>
    <tableColumn id="27" xr3:uid="{6FDEEFD5-1369-439E-8F74-585471A3A780}" name="07/10/2024" dataDxfId="1570"/>
    <tableColumn id="28" xr3:uid="{98DD3C05-289B-4900-B57C-7C1EA12C2A70}" name="14/10/2024" dataDxfId="1569"/>
    <tableColumn id="29" xr3:uid="{E8E6B4E6-44ED-45FD-A258-91C6274938C6}" name="21/10/2024" dataDxfId="1568"/>
    <tableColumn id="30" xr3:uid="{D7148736-968A-43D5-A508-023084164F8D}" name="28/10/2024" dataDxfId="1567"/>
    <tableColumn id="31" xr3:uid="{D5272E33-13F8-4433-932C-4F5DC0D65CBA}" name="04/11/2024" dataDxfId="1566"/>
    <tableColumn id="32" xr3:uid="{A45D4C8F-0FA4-43EC-9DAC-CB6887FDB407}" name="11/11/2024" dataDxfId="1565"/>
    <tableColumn id="33" xr3:uid="{DF04ABF1-E913-4FA5-AA0E-4577675815E8}" name="18/11/2024" dataDxfId="1564"/>
    <tableColumn id="34" xr3:uid="{8391A750-444A-4BBC-9A75-7980635C6211}" name="25/11/2024" dataDxfId="1563"/>
    <tableColumn id="35" xr3:uid="{56508635-287D-4B33-96C4-D77D29C3F8F5}" name="02/12/2024" dataDxfId="1562"/>
    <tableColumn id="36" xr3:uid="{C9219335-47E3-4E24-98FF-7BCABF0CF2D6}" name="09/12/2024" dataDxfId="1561"/>
    <tableColumn id="37" xr3:uid="{B737940E-2404-4B7B-ABA2-5D5C001C1130}" name="16/12/2024" dataDxfId="1560"/>
    <tableColumn id="38" xr3:uid="{C782AE9E-7C4C-4027-87F6-E963F51FE0FC}" name="23/12/2024" dataDxfId="1559"/>
    <tableColumn id="39" xr3:uid="{2D8E3D73-A7DF-4115-B7DB-E2A4B2C993EF}" name="30/12/2024" dataDxfId="1558"/>
    <tableColumn id="40" xr3:uid="{00E7903D-4B26-4C1F-8649-93833CA4F2B0}" name="06/01/2025" dataDxfId="1557"/>
    <tableColumn id="41" xr3:uid="{A52BE7F4-CC7E-4066-8604-48A46DF2356A}" name="13/01/2025" dataDxfId="1556"/>
    <tableColumn id="42" xr3:uid="{09D473A2-B183-4B3C-A51C-870F2C41B9F1}" name="20/01/2025" dataDxfId="1555"/>
    <tableColumn id="43" xr3:uid="{A86C50FF-F53D-4E44-BC98-E04C06224696}" name="27/01/2025" dataDxfId="1554"/>
    <tableColumn id="44" xr3:uid="{3723A931-1237-4F21-8296-B0445FCE3980}" name="03/02/2025" dataDxfId="1553"/>
    <tableColumn id="45" xr3:uid="{537AEC4D-D7D4-4895-A1AD-061891DE5802}" name="10/02/2025" dataDxfId="1552"/>
    <tableColumn id="46" xr3:uid="{E501AACB-C728-400F-8A0E-8A6E9E0D47CA}" name="17/02/2025" dataDxfId="1551"/>
    <tableColumn id="47" xr3:uid="{8EF2A662-3874-4CD8-B8C3-0C37EB7B11B3}" name="24/02/2025" dataDxfId="1550"/>
    <tableColumn id="48" xr3:uid="{07915FA5-A0F9-466B-9BA5-343D0D52E8D4}" name="03/03/2025" dataDxfId="1549"/>
    <tableColumn id="49" xr3:uid="{C2553B32-AD54-45C5-B366-7CA35254CAD0}" name="10/03/2025" dataDxfId="1548"/>
    <tableColumn id="50" xr3:uid="{7CF10883-90A1-49A9-B279-E45AF7AD63DB}" name="17/03/2025" dataDxfId="1547"/>
    <tableColumn id="51" xr3:uid="{709EF5EE-CE93-43B9-9D5A-FFD29368D518}" name="24/03/2025" dataDxfId="1546"/>
    <tableColumn id="52" xr3:uid="{D5D009B9-BE17-456D-B52B-F45EAAFE28A7}" name="31/03/2025" dataDxfId="1545"/>
    <tableColumn id="53" xr3:uid="{66631CA0-4CB1-45B1-A7BB-AF0E7C8DB467}" name="07/04/2025" dataDxfId="1544"/>
    <tableColumn id="54" xr3:uid="{461A450A-A1B8-45D3-99A7-E2B62E4624F6}" name="14/04/2025" dataDxfId="1543"/>
    <tableColumn id="55" xr3:uid="{F06C2ABB-FFA0-416F-AAE4-74BF9D4E0FE7}" name="21/04/2025" dataDxfId="1542"/>
    <tableColumn id="56" xr3:uid="{91DC8F80-87C8-4788-9D46-8D1D6403C310}" name="28/04/2025" dataDxfId="1541"/>
    <tableColumn id="57" xr3:uid="{D3FE38FD-D9CA-4678-BF12-A8774FDAF4F3}" name="05/05/2025" dataDxfId="1540"/>
    <tableColumn id="58" xr3:uid="{A864CDF2-0D49-4289-9B30-474F43FE2C61}" name="12/05/2025" dataDxfId="1539"/>
    <tableColumn id="59" xr3:uid="{162A49C8-7BD2-4546-9C9F-1FB33BFE3E1E}" name="19/05/2025" dataDxfId="1538"/>
    <tableColumn id="60" xr3:uid="{15E072DE-E022-4699-923A-575D7D22E22D}" name="26/05/2025" dataDxfId="1537"/>
    <tableColumn id="61" xr3:uid="{0C0F32B3-5DA3-4E66-B165-20B36D80B1DA}" name="02/06/2025" dataDxfId="1536"/>
    <tableColumn id="62" xr3:uid="{AF5A3B11-B8E8-4B89-9DF6-0B484D721B70}" name="09/06/2025" dataDxfId="1535"/>
    <tableColumn id="63" xr3:uid="{3A806036-94F8-4B88-A190-B565B4265170}" name="16/06/2025" dataDxfId="1534"/>
    <tableColumn id="64" xr3:uid="{37C4F463-AF74-44ED-8832-D7B216BFCA24}" name="23/06/2025" dataDxfId="1533"/>
    <tableColumn id="65" xr3:uid="{B45A8052-A238-4BEC-923A-C67D7F7B841D}" name="30/06/2025" dataDxfId="1532"/>
    <tableColumn id="66" xr3:uid="{11888D84-463D-470E-A540-EEFA3FBE036C}" name="07/07/2025" dataDxfId="1531"/>
    <tableColumn id="67" xr3:uid="{90CC650C-0CD0-4255-B652-3315B2480680}" name="14/07/2025" dataDxfId="1530"/>
    <tableColumn id="68" xr3:uid="{340EB313-16F9-474B-9BDF-648319314DE2}" name="21/07/2025" dataDxfId="1529"/>
    <tableColumn id="69" xr3:uid="{7A866ACC-931C-4E88-A164-7A71B190C7CD}" name="28/07/2025" dataDxfId="1528"/>
    <tableColumn id="70" xr3:uid="{82BD1F8D-5D33-4850-9225-E958269829EC}" name="04/08/2025" dataDxfId="1527"/>
    <tableColumn id="10" xr3:uid="{B16BB277-FFF1-4091-A8AF-C49E917FB762}" name="11/08/2025" dataDxfId="1526"/>
    <tableColumn id="11" xr3:uid="{D34FBFE4-7E31-4BC9-8BAC-3E398C650AB3}" name="18/08/2025" dataDxfId="1525"/>
    <tableColumn id="71" xr3:uid="{024C34DA-3260-4EF9-8EFC-5C798956C59A}" name="25/08/2025" dataDxfId="1524"/>
    <tableColumn id="72" xr3:uid="{71B3628E-E121-4D52-A859-EA6B839150D2}" name="01/09/2025" dataDxfId="1523"/>
    <tableColumn id="73" xr3:uid="{72645F0D-A904-4A4C-A901-28BEFC829E10}" name="08/09/2025" dataDxfId="1522"/>
    <tableColumn id="74" xr3:uid="{1D4F0963-90FF-44B1-B989-DC86A406E179}" name="15/09/2025" dataDxfId="1521"/>
    <tableColumn id="75" xr3:uid="{DFB38220-502A-4E16-89DC-E302109E4D39}" name="22/09/2025" dataDxfId="1520"/>
    <tableColumn id="76" xr3:uid="{3DC0D71F-F237-4009-93BF-30996565526F}" name="29/09/2025" dataDxfId="1519"/>
    <tableColumn id="77" xr3:uid="{345B4180-726C-44B5-8FA6-518ACAF3AA51}" name="06/10/2025" dataDxfId="1518"/>
    <tableColumn id="78" xr3:uid="{889391EA-AF95-4662-AB5B-3EA2A641A9D1}" name="13/10/2025" dataDxfId="1517"/>
    <tableColumn id="79" xr3:uid="{BBECE7C7-F24F-4E3C-8572-B8B2D00A6B19}" name="20/10/2025" dataDxfId="1516"/>
    <tableColumn id="80" xr3:uid="{7250DBC1-56DF-4934-9489-46F6DAE89469}" name="27/10/2025" dataDxfId="1515"/>
    <tableColumn id="81" xr3:uid="{91EF85C8-A458-4066-ACDC-F30D1507546F}" name="03/11/2025" dataDxfId="1514"/>
    <tableColumn id="82" xr3:uid="{F3AA2DDD-4618-4EE3-ADCA-1A2033EC09B0}" name="10/11/2025" dataDxfId="1513"/>
    <tableColumn id="83" xr3:uid="{EF731D51-F9CF-4AAE-889D-73035218FA2F}" name="17/11/2025" dataDxfId="1512"/>
    <tableColumn id="84" xr3:uid="{829254A7-C563-41AA-AD6E-666FCE1B333B}" name="24/11/2025" dataDxfId="1511"/>
    <tableColumn id="85" xr3:uid="{07AD5CC5-622B-4874-85B6-570B14F515D2}" name="01/12/2025" dataDxfId="1510"/>
    <tableColumn id="86" xr3:uid="{8F4A3D72-ED63-4BF2-92AF-8E9F1CE6F70C}" name="08/12/2025" dataDxfId="1509"/>
    <tableColumn id="87" xr3:uid="{C3493EEE-F176-48B9-842E-288E2BD9A384}" name="15/12/2025" dataDxfId="1508"/>
    <tableColumn id="88" xr3:uid="{A9EDE190-D56A-4C61-A113-9AFA2F010619}" name="22/12/2025" dataDxfId="1507"/>
    <tableColumn id="89" xr3:uid="{56C548A2-9E09-49DC-A046-06503984F500}" name="29/12/2025" dataDxfId="1506"/>
    <tableColumn id="90" xr3:uid="{343B2C39-614C-4A09-936F-9ADBA823ED75}" name="05/01/2026" dataDxfId="1505"/>
    <tableColumn id="91" xr3:uid="{7DDF4F4A-E36A-44A9-933F-73238E3BFAE9}" name="12/01/2026" dataDxfId="1504"/>
    <tableColumn id="92" xr3:uid="{2B4FF70E-2246-4E85-A71B-F9354D85BC77}" name="19/01/2026" dataDxfId="1503"/>
    <tableColumn id="93" xr3:uid="{EF8FB2FB-AAEE-4151-A5F2-8EE764AEAEBF}" name="26/01/2026" dataDxfId="1502"/>
    <tableColumn id="94" xr3:uid="{01A082AD-0F74-40F7-B0BD-66BBBD4F4434}" name="02/02/2026" dataDxfId="1501"/>
    <tableColumn id="95" xr3:uid="{16746C4C-1570-4140-907A-2F01DD093870}" name="09/02/2026" dataDxfId="1500"/>
    <tableColumn id="96" xr3:uid="{37CA119E-C9B0-460B-8AD2-45951471CE68}" name="16/02/2026" dataDxfId="1499"/>
    <tableColumn id="97" xr3:uid="{266EDA3C-8813-4181-96B5-5BA617FC16BF}" name="23/02/2026" dataDxfId="1498"/>
    <tableColumn id="98" xr3:uid="{9AA1C1B3-414D-4F87-BEC2-DF441CE884D8}" name="02/03/2026" dataDxfId="1497"/>
    <tableColumn id="99" xr3:uid="{C3CB6486-009D-4C66-AF2E-5692097D0014}" name="09/03/2026" dataDxfId="1496"/>
    <tableColumn id="100" xr3:uid="{C6C994C8-DFD4-41EC-9407-55B9B2179782}" name="16/03/2026" dataDxfId="1495"/>
    <tableColumn id="101" xr3:uid="{F6B77FAA-FF43-4706-9061-18639B1BD194}" name="23/03/2026" dataDxfId="1494"/>
    <tableColumn id="102" xr3:uid="{6273B5C4-E022-4FFF-B7E6-C91CD448E394}" name="30/03/2026" dataDxfId="1493"/>
    <tableColumn id="103" xr3:uid="{0E7525D9-7981-4160-8903-B25843BA695A}" name="06/04/2026" dataDxfId="1492"/>
    <tableColumn id="104" xr3:uid="{DB950F19-64F9-415A-8D67-7644C69276CF}" name="13/04/2026" dataDxfId="1491"/>
    <tableColumn id="105" xr3:uid="{B26565A2-82E4-4473-8051-0E64089EACC0}" name="20/04/2026" dataDxfId="1490"/>
    <tableColumn id="106" xr3:uid="{D55ADCA1-BA81-4BDF-A645-205C5EE9FEFC}" name="27/04/2026" dataDxfId="1489"/>
    <tableColumn id="107" xr3:uid="{3B35B4E6-69E3-47E9-81DC-62B328491866}" name="04/05/2026" dataDxfId="1488"/>
    <tableColumn id="108" xr3:uid="{A0F917EE-0C18-4D86-9044-334E371A448E}" name="11/05/2026" dataDxfId="1487"/>
    <tableColumn id="109" xr3:uid="{1942C497-9DD9-46F6-8CEC-31991F142F3D}" name="18/05/2026" dataDxfId="1486"/>
    <tableColumn id="110" xr3:uid="{C2AC1F1B-F033-4DFB-9E35-63CC5B8DEFFF}" name="25/05/2026" dataDxfId="1485"/>
    <tableColumn id="111" xr3:uid="{244C9395-8A20-4E75-9A1B-D8C68FB7F5D6}" name="01/06/2026" dataDxfId="1484"/>
    <tableColumn id="112" xr3:uid="{E1FB8FB2-43AE-4978-9831-328645A98A98}" name="08/06/2026" dataDxfId="1483"/>
    <tableColumn id="113" xr3:uid="{E581326D-9225-475B-A15D-599BCCEA57C7}" name="15/06/2026" dataDxfId="1482"/>
    <tableColumn id="114" xr3:uid="{B0E77DE5-7BF6-4A3C-91FB-0C91004231C8}" name="22/06/2026" dataDxfId="1481"/>
    <tableColumn id="115" xr3:uid="{575F7400-0E4C-4736-B4C3-5752862B02AA}" name="29/06/2026" dataDxfId="1480"/>
    <tableColumn id="116" xr3:uid="{07756546-D7EA-4500-8CBE-C9225BF135D9}" name="06/07/2026" dataDxfId="1479"/>
    <tableColumn id="117" xr3:uid="{F1978B18-0E08-4EF8-B35B-1C7E589FF531}" name="13/07/2026" dataDxfId="1478"/>
    <tableColumn id="118" xr3:uid="{F26F4F94-427C-4DA5-9B74-030D229D78C2}" name="20/07/2026" dataDxfId="1477"/>
    <tableColumn id="119" xr3:uid="{B7447069-3475-42C1-9A79-4A550DE5BAA3}" name="27/07/2026" dataDxfId="1476"/>
    <tableColumn id="120" xr3:uid="{76AD95CF-D9DD-4C24-B2C3-52982ACA8A44}" name="03/08/2026" dataDxfId="1475"/>
    <tableColumn id="121" xr3:uid="{4042B185-E5B6-4855-9A04-D7A4D5E3C4BE}" name="10/08/2026" dataDxfId="1474"/>
    <tableColumn id="122" xr3:uid="{699D53F4-8C90-4F66-90D8-A91EE109C654}" name="17/08/2026" dataDxfId="1473"/>
    <tableColumn id="123" xr3:uid="{704D6438-3781-4894-B04B-49182E1E8C0F}" name="24/08/2026" dataDxfId="1472"/>
    <tableColumn id="124" xr3:uid="{A1481935-207C-41E8-B9AE-5800AE921A08}" name="31/08/2026" dataDxfId="1471"/>
    <tableColumn id="125" xr3:uid="{C6321EF8-6973-4168-9F36-67670C9A485E}" name="07/09/2026" dataDxfId="1470"/>
    <tableColumn id="126" xr3:uid="{08700995-800C-4B0D-AAF3-DB3FFA550CF9}" name="14/09/2026" dataDxfId="1469"/>
    <tableColumn id="127" xr3:uid="{D821EB5D-6581-4673-8EB3-D5635AB27707}" name="21/09/2026" dataDxfId="1468"/>
    <tableColumn id="128" xr3:uid="{4D1A8A9B-C3B4-4F8A-8FD1-D7F81726378F}" name="28/09/2026" dataDxfId="1467"/>
    <tableColumn id="129" xr3:uid="{E2C0D9EB-0EA2-4585-B923-7E89097C8F17}" name="05/10/2026" dataDxfId="1466"/>
    <tableColumn id="130" xr3:uid="{CCA24524-AB1C-4859-897B-0928FB86F42F}" name="12/10/2026" dataDxfId="1465"/>
    <tableColumn id="131" xr3:uid="{A16A771D-6C34-4A05-8282-44734C2C73F6}" name="19/10/2026" dataDxfId="1464"/>
    <tableColumn id="132" xr3:uid="{7D89B602-F7FC-499A-BDDE-F26090E40D87}" name="26/10/2026" dataDxfId="1463"/>
    <tableColumn id="133" xr3:uid="{5F3D1D59-51C9-471F-AAC9-2EA256FD91CF}" name="02/11/2026" dataDxfId="1462"/>
    <tableColumn id="134" xr3:uid="{B28452C1-E6BE-4438-8985-214C12E4C69B}" name="09/11/2026" dataDxfId="1461"/>
    <tableColumn id="135" xr3:uid="{05C3FEB3-0E14-4516-B60C-0E3EDF10E0BA}" name="16/11/2026" dataDxfId="1460"/>
    <tableColumn id="136" xr3:uid="{068AD472-CA6B-4D93-8FB8-13835165BA73}" name="23/11/2026" dataDxfId="1459"/>
    <tableColumn id="137" xr3:uid="{C92E4A22-4BD7-4C03-A574-C34781A01FCE}" name="30/11/2026" dataDxfId="1458"/>
    <tableColumn id="138" xr3:uid="{3FDFF6D7-46FC-4DDB-A233-12AA2A4FFD23}" name="07/12/2026" dataDxfId="1457"/>
    <tableColumn id="139" xr3:uid="{CC5C9F25-4D3D-4ED0-BEE8-ACBB8FA34FC0}" name="14/12/2026" dataDxfId="1456"/>
    <tableColumn id="140" xr3:uid="{8FBAF905-BA0D-40ED-81B1-946716AE7ED7}" name="21/12/2026" dataDxfId="1455"/>
    <tableColumn id="141" xr3:uid="{5C85E714-4BFB-47F3-B702-04440CDF527C}" name="28/12/2026" dataDxfId="1454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B72941-0C36-402D-A550-71FDA640E49E}" name="Real" displayName="Real" ref="B5:EI141" totalsRowShown="0" headerRowDxfId="1453" headerRowBorderDxfId="1452" tableBorderDxfId="1451" totalsRowBorderDxfId="1450">
  <autoFilter ref="B5:EI141" xr:uid="{7CB72941-0C36-402D-A550-71FDA640E49E}"/>
  <tableColumns count="138">
    <tableColumn id="1" xr3:uid="{1F10DFB6-98F5-4311-A610-1D95473641BD}" name="N1" dataDxfId="1449"/>
    <tableColumn id="2" xr3:uid="{79D81ED7-E12E-4D67-AFF3-6DBD46B0BF52}" name="N2" dataDxfId="1448"/>
    <tableColumn id="3" xr3:uid="{6759D24B-BF76-4472-9118-7B6FA9152EF6}" name="N3" dataDxfId="1447"/>
    <tableColumn id="4" xr3:uid="{B149E0D5-8CB3-4B72-8CD0-1340D2C61014}" name="N4" dataDxfId="1446"/>
    <tableColumn id="5" xr3:uid="{07FBF47A-9436-4B4E-ADD9-6A98692A9041}" name="Dura." dataDxfId="1445"/>
    <tableColumn id="6" xr3:uid="{BBAFA175-00D1-467F-9416-1809A791E61F}" name="Pesos" dataDxfId="1444"/>
    <tableColumn id="9" xr3:uid="{ABBA5B84-14AC-4E4D-91D8-349B772E7A6D}" name="Column4" dataDxfId="1443"/>
    <tableColumn id="10" xr3:uid="{28FE01F3-9D16-45B1-8232-033CC91DC817}" name="01/07/24" dataDxfId="1442"/>
    <tableColumn id="11" xr3:uid="{09A4FA3C-760F-4E3D-AB1A-008DB93AE52B}" name="08/07/24" dataDxfId="1441"/>
    <tableColumn id="12" xr3:uid="{8BE1A22B-DE62-437F-850A-EA4E9FF2B918}" name="15/07/24" dataDxfId="1440"/>
    <tableColumn id="13" xr3:uid="{00563482-7403-466E-B674-AEFA5FC15DCE}" name="22/07/24" dataDxfId="1439"/>
    <tableColumn id="14" xr3:uid="{89EFDC1A-91F0-4EF9-9337-EECAB292A6C4}" name="29/07/24" dataDxfId="1438"/>
    <tableColumn id="15" xr3:uid="{1BE514FD-3B16-4821-9A53-7038BFBE3F62}" name="05/08/24" dataDxfId="1437"/>
    <tableColumn id="16" xr3:uid="{FDA0BC1B-6CC3-4509-AC2B-3FB735209E13}" name="12/08/24" dataDxfId="1436"/>
    <tableColumn id="17" xr3:uid="{49A2521D-5B45-42AB-873D-BFE8E5EEE1A5}" name="19/08/24" dataDxfId="1435"/>
    <tableColumn id="18" xr3:uid="{12AA4B7F-E076-4D08-A4AA-2B05B44B6EEC}" name="26/08/24" dataDxfId="1434"/>
    <tableColumn id="19" xr3:uid="{8499D4A6-A62B-45FF-A6D4-FA9531C63709}" name="02/09/24" dataDxfId="1433"/>
    <tableColumn id="20" xr3:uid="{80CC983A-6EF3-4DAA-9D0B-96AAADE639B3}" name="09/09/24" dataDxfId="1432"/>
    <tableColumn id="21" xr3:uid="{F4CCB793-9C27-4E1E-A56D-7C79FD0D44A7}" name="16/09/24" dataDxfId="1431"/>
    <tableColumn id="22" xr3:uid="{D7D4D1F4-C2D5-452D-AFC7-910C0873EEA4}" name="23/09/24" dataDxfId="1430"/>
    <tableColumn id="23" xr3:uid="{9D8DD524-FC7B-4B0B-95F1-71524F85583E}" name="30/09/24" dataDxfId="1429"/>
    <tableColumn id="24" xr3:uid="{2664EBE8-BAF9-4A6B-B3F5-4F75C1C8E571}" name="07/10/24" dataDxfId="1428"/>
    <tableColumn id="25" xr3:uid="{F312BB97-B423-40A1-9383-644DD888CB5E}" name="14/10/24" dataDxfId="1427"/>
    <tableColumn id="26" xr3:uid="{DB0ECF8F-1D4D-4CCC-A289-1DF47AE33093}" name="21/10/24" dataDxfId="1426"/>
    <tableColumn id="27" xr3:uid="{6474F630-6599-41C6-8797-1CD057CEA202}" name="28/10/24" dataDxfId="1425"/>
    <tableColumn id="28" xr3:uid="{76ED67BD-8332-41AB-9423-649CB8A1C174}" name="04/11/24" dataDxfId="1424"/>
    <tableColumn id="29" xr3:uid="{31C77D9E-B2E1-421D-8648-C26E53A7339A}" name="11/11/24" dataDxfId="1423"/>
    <tableColumn id="30" xr3:uid="{9709E10A-E4DD-4A2E-8F55-AC54CC9F8C8D}" name="18/11/24" dataDxfId="1422"/>
    <tableColumn id="31" xr3:uid="{730CD7B0-361F-48C6-A311-241E2A4B2F87}" name="25/11/24" dataDxfId="1421"/>
    <tableColumn id="32" xr3:uid="{10A71D19-FCC9-47DC-AF47-BEDAB3B9D203}" name="02/12/24" dataDxfId="1420"/>
    <tableColumn id="33" xr3:uid="{E70EE181-CF4D-4DD5-9F63-8B4B49C3278A}" name="09/12/24" dataDxfId="1419"/>
    <tableColumn id="34" xr3:uid="{46802B3B-EEAF-4817-9F87-02A1EB0004D6}" name="16/12/24" dataDxfId="1418"/>
    <tableColumn id="35" xr3:uid="{627552CB-11E5-4058-8C4E-2A180F2A583E}" name="23/12/24" dataDxfId="1417"/>
    <tableColumn id="36" xr3:uid="{D1297839-9434-4232-A6A6-18B1256E2175}" name="30/12/24" dataDxfId="1416"/>
    <tableColumn id="37" xr3:uid="{54F873C7-1F46-4924-8285-900BD7BD7661}" name="06/01/25" dataDxfId="1415"/>
    <tableColumn id="38" xr3:uid="{55E0C153-05B5-44BA-9ECB-E45C6E4CD179}" name="13/01/25" dataDxfId="1414"/>
    <tableColumn id="39" xr3:uid="{48C4D4B9-FA9E-4E51-9C10-C3E335B8F52C}" name="20/01/25" dataDxfId="1413"/>
    <tableColumn id="40" xr3:uid="{9EB86F0C-49BA-4CE1-8BD8-4EE69B855A20}" name="27/01/25" dataDxfId="1412"/>
    <tableColumn id="41" xr3:uid="{59267BE6-461A-4317-A012-4C0A61E9E118}" name="03/02/25" dataDxfId="1411"/>
    <tableColumn id="42" xr3:uid="{5BA7D83A-5A48-450B-ADA8-C50DFF1FCB5B}" name="10/02/25" dataDxfId="1410"/>
    <tableColumn id="43" xr3:uid="{DDD6B804-D74D-43B4-A7A2-26F77F27F90A}" name="17/02/25" dataDxfId="1409"/>
    <tableColumn id="44" xr3:uid="{429ABCB2-8474-407B-AA3F-CED22D604A48}" name="24/02/25" dataDxfId="1408"/>
    <tableColumn id="45" xr3:uid="{48C74A7A-BC89-4057-A97F-A7FC1D662E82}" name="03/03/25" dataDxfId="1407"/>
    <tableColumn id="46" xr3:uid="{CF8DB6C9-5835-4459-80FF-DD496CC9449B}" name="10/03/25" dataDxfId="1406"/>
    <tableColumn id="47" xr3:uid="{816A2464-2E6F-4FB8-BEF7-7C46CA76F7CA}" name="17/03/25" dataDxfId="1405"/>
    <tableColumn id="48" xr3:uid="{6B853E82-6D60-4145-8763-61D0249D7659}" name="24/03/25" dataDxfId="1404"/>
    <tableColumn id="49" xr3:uid="{A04E3D97-8C7F-47B9-9D51-E2A7C6199AB9}" name="31/03/25" dataDxfId="1403"/>
    <tableColumn id="50" xr3:uid="{521A0605-D68B-4C50-B277-173ABD28F1A8}" name="07/04/25" dataDxfId="1402"/>
    <tableColumn id="51" xr3:uid="{9149CF5F-90BF-4A34-9244-7FA140E99763}" name="14/04/25" dataDxfId="1401"/>
    <tableColumn id="52" xr3:uid="{17172C47-7814-4DD0-A166-A38CD800EB13}" name="21/04/25" dataDxfId="1400"/>
    <tableColumn id="53" xr3:uid="{94539447-3D01-4C68-B39F-EAA2F45278CB}" name="28/04/25" dataDxfId="1399"/>
    <tableColumn id="54" xr3:uid="{A8F23F26-C802-4416-9ACF-B0FFE2AE08C9}" name="05/05/25" dataDxfId="1398"/>
    <tableColumn id="55" xr3:uid="{B0369659-FA34-412E-A211-57D8EFD381E0}" name="12/05/25" dataDxfId="1397"/>
    <tableColumn id="56" xr3:uid="{ED4646DE-0128-4503-BE98-E57B00FC5062}" name="19/05/25" dataDxfId="1396"/>
    <tableColumn id="7" xr3:uid="{9832DCB4-E6FE-42F4-A3DE-00B084A134E6}" name="26/05/25" dataDxfId="1395"/>
    <tableColumn id="8" xr3:uid="{55C33A4F-1A41-4EF6-AD23-16ECC30CC398}" name="02/06/25" dataDxfId="1394"/>
    <tableColumn id="57" xr3:uid="{271B4EEE-7C23-49F3-BAD4-81A521F3D88E}" name="09/06/25" dataDxfId="1393"/>
    <tableColumn id="58" xr3:uid="{DAED92CA-8E28-4C8F-9CE1-F70AA507397C}" name="16/06/25" dataDxfId="1392"/>
    <tableColumn id="59" xr3:uid="{AF0B262F-0DDB-4E3C-B177-528839F22381}" name="23/06/25" dataDxfId="1391"/>
    <tableColumn id="60" xr3:uid="{17C7794A-139D-4942-9587-0D7398A33936}" name="30/06/25" dataDxfId="1390"/>
    <tableColumn id="61" xr3:uid="{DEF22FF7-F46B-403E-9165-4BF465ADF117}" name="07/07/25" dataDxfId="1389"/>
    <tableColumn id="62" xr3:uid="{CAFE53F7-6C31-4DD8-910C-9E400481F5B1}" name="14/07/25" dataDxfId="1388"/>
    <tableColumn id="63" xr3:uid="{A3866126-E774-4FA4-8DB2-6153F6AEB3C8}" name="21/07/25" dataDxfId="1387"/>
    <tableColumn id="64" xr3:uid="{5A8581AE-7882-4EAD-AE79-0B35F4060529}" name="28/07/25" dataDxfId="1386"/>
    <tableColumn id="65" xr3:uid="{BD11B1F8-616B-4ADC-8CB7-A9BB18B224BE}" name="04/08/25" dataDxfId="1385"/>
    <tableColumn id="66" xr3:uid="{0D1DAF1E-078A-4B94-8DB9-A02EE1A2B0C1}" name="11/08/25" dataDxfId="1384"/>
    <tableColumn id="67" xr3:uid="{58BDF2AF-EF85-4500-AC75-D60E302C3056}" name="18/08/25" dataDxfId="1383"/>
    <tableColumn id="68" xr3:uid="{79DCF9F6-5E56-4678-B2B0-C9D519AC8EF6}" name="25/08/25" dataDxfId="1382"/>
    <tableColumn id="69" xr3:uid="{9D480A96-058A-41B6-97F3-61DC6AAB4A6A}" name="01/09/25" dataDxfId="1381"/>
    <tableColumn id="70" xr3:uid="{9FC8D48E-15B7-428A-AF7A-E9E861DA604D}" name="08/09/25" dataDxfId="1380"/>
    <tableColumn id="71" xr3:uid="{C1C808EA-BA0F-4C8F-8E69-D5FAF7A79775}" name="15/09/25" dataDxfId="1379"/>
    <tableColumn id="72" xr3:uid="{A20E5401-907E-4F98-9CD5-F69922D5D1F8}" name="22/09/25" dataDxfId="1378"/>
    <tableColumn id="73" xr3:uid="{97F84602-D252-431D-A4A6-55A393629E15}" name="29/09/25" dataDxfId="1377"/>
    <tableColumn id="74" xr3:uid="{1E87D983-964A-40F1-AD35-1A38B86B7210}" name="06/10/25" dataDxfId="1376"/>
    <tableColumn id="75" xr3:uid="{B5F88548-BE5F-437E-ADE5-90BA543766CD}" name="13/10/25" dataDxfId="1375"/>
    <tableColumn id="76" xr3:uid="{11CECB4E-60CD-4BDD-8970-97D718A6E831}" name="20/10/25" dataDxfId="1374"/>
    <tableColumn id="77" xr3:uid="{3FC7639D-08A8-400E-91B2-18BAC91216C2}" name="27/10/25" dataDxfId="1373"/>
    <tableColumn id="78" xr3:uid="{855829EC-EF02-425C-B6D9-70EBD18422F2}" name="03/11/25" dataDxfId="1372"/>
    <tableColumn id="79" xr3:uid="{95D62619-03D1-4DB9-BBFC-D90666A6AB7E}" name="10/11/25" dataDxfId="1371"/>
    <tableColumn id="80" xr3:uid="{026826D9-B37A-46A2-AF42-5044D6F0B440}" name="17/11/25" dataDxfId="1370"/>
    <tableColumn id="81" xr3:uid="{E0231B3C-DE7D-4392-90EA-F706F0E31B1A}" name="24/11/25" dataDxfId="1369"/>
    <tableColumn id="82" xr3:uid="{524F827C-3F4C-4206-AE83-57DACA932642}" name="01/12/25" dataDxfId="1368"/>
    <tableColumn id="83" xr3:uid="{40A4C6A0-8532-4476-B082-9570B6DF4410}" name="08/12/25" dataDxfId="1367"/>
    <tableColumn id="84" xr3:uid="{1650462E-31B9-4DCC-96AB-89C4D0399E28}" name="15/12/25" dataDxfId="1366"/>
    <tableColumn id="85" xr3:uid="{06A00CA7-1DD3-4311-88AB-210D5FB42B6E}" name="22/12/25" dataDxfId="1365"/>
    <tableColumn id="86" xr3:uid="{4DD95EFE-EAFD-4745-BA87-880EF6902223}" name="29/12/25" dataDxfId="1364"/>
    <tableColumn id="87" xr3:uid="{BEA48671-706A-4F4E-A0D1-C8A9DFAE3FFB}" name="05/01/26" dataDxfId="1363"/>
    <tableColumn id="88" xr3:uid="{3041F0EF-0061-4ABF-A003-FCAAD25E0621}" name="12/01/26" dataDxfId="1362"/>
    <tableColumn id="89" xr3:uid="{E8B51D8E-A092-4AF6-AD03-E13774825511}" name="19/01/26" dataDxfId="1361"/>
    <tableColumn id="90" xr3:uid="{165257B0-1252-4178-9432-CB658B6D5708}" name="26/01/26" dataDxfId="1360"/>
    <tableColumn id="91" xr3:uid="{E542F723-98E9-4EE4-BDA0-A803D691831F}" name="02/02/26" dataDxfId="1359"/>
    <tableColumn id="92" xr3:uid="{7A1C1206-A84D-4F32-B1C1-5CAFF696AE7E}" name="09/02/26" dataDxfId="1358"/>
    <tableColumn id="93" xr3:uid="{8BDD5083-2957-4A88-96DE-5289F8A85551}" name="16/02/26" dataDxfId="1357"/>
    <tableColumn id="94" xr3:uid="{26B29290-1675-458C-A10A-E2DD71CB891D}" name="23/02/26" dataDxfId="1356"/>
    <tableColumn id="95" xr3:uid="{763DAA40-07C6-4E13-909A-6D4BE29E6B5B}" name="02/03/26" dataDxfId="1355"/>
    <tableColumn id="96" xr3:uid="{D4D7AF2C-6613-4387-A230-74DC5BE599C8}" name="09/03/26" dataDxfId="1354"/>
    <tableColumn id="97" xr3:uid="{8169502D-3DB1-418D-870E-AE966A595AEC}" name="16/03/26" dataDxfId="1353"/>
    <tableColumn id="98" xr3:uid="{162F6711-CF17-462E-981C-C0748024FDC1}" name="23/03/26" dataDxfId="1352"/>
    <tableColumn id="99" xr3:uid="{AF0942A0-8278-4F67-B884-9D1FD1FAE763}" name="30/03/26" dataDxfId="1351"/>
    <tableColumn id="100" xr3:uid="{49A3972B-C529-40A7-86F5-1D8E64DCC16B}" name="06/04/26" dataDxfId="1350"/>
    <tableColumn id="101" xr3:uid="{7F8A9C7F-9D23-4278-AC9C-5D547BF50876}" name="13/04/26" dataDxfId="1349"/>
    <tableColumn id="102" xr3:uid="{4C7706F6-9BF0-42FB-8E96-E3A03EC68AC2}" name="20/04/26" dataDxfId="1348"/>
    <tableColumn id="103" xr3:uid="{29645E9A-2258-40F8-8B9F-736E6EA30D37}" name="27/04/26" dataDxfId="1347"/>
    <tableColumn id="104" xr3:uid="{C53EAA4B-B6E8-4978-A26B-73F4C4D09DF5}" name="04/05/26" dataDxfId="1346"/>
    <tableColumn id="105" xr3:uid="{E1917366-0C94-4E85-B27F-26AA82A13489}" name="11/05/26" dataDxfId="1345"/>
    <tableColumn id="106" xr3:uid="{4D53C248-0CF7-4179-920D-4DC75CD6330F}" name="18/05/26" dataDxfId="1344"/>
    <tableColumn id="107" xr3:uid="{2B7A7CE3-7BCD-4F27-BB88-861399D3A7B7}" name="25/05/26" dataDxfId="1343"/>
    <tableColumn id="108" xr3:uid="{36447A4F-572A-4CE3-9DAB-605361D61030}" name="01/06/26" dataDxfId="1342"/>
    <tableColumn id="139" xr3:uid="{2E0F94AF-8EA3-4109-833A-43C43FE15B0B}" name="08/06/26" dataDxfId="1341"/>
    <tableColumn id="140" xr3:uid="{02534176-9FC2-42B4-B91A-F0724F807F2C}" name="15/06/26" dataDxfId="1340"/>
    <tableColumn id="141" xr3:uid="{EB5ED39B-3D69-44A7-A3AA-A8F5AAD46EF0}" name="22/06/26" dataDxfId="1339"/>
    <tableColumn id="142" xr3:uid="{0CF948C5-0F1A-4D93-AC5F-DB70F6DA448B}" name="29/06/26" dataDxfId="1338"/>
    <tableColumn id="143" xr3:uid="{4DCC0EC0-A842-4581-AA7F-028A96CF050E}" name="06/07/26" dataDxfId="1337"/>
    <tableColumn id="144" xr3:uid="{F96AFA35-B5A4-4CBD-B9A8-14855BC47993}" name="13/07/26" dataDxfId="1336"/>
    <tableColumn id="145" xr3:uid="{4CB3561F-5844-48CB-B338-546266F89840}" name="20/07/26" dataDxfId="1335"/>
    <tableColumn id="146" xr3:uid="{887F7CC3-5470-4DCA-B23D-A33F33B69EB3}" name="27/07/26" dataDxfId="1334"/>
    <tableColumn id="147" xr3:uid="{AAD23261-D644-4763-A862-0E9C9E9AA8BB}" name="03/08/26" dataDxfId="1333"/>
    <tableColumn id="148" xr3:uid="{0EE49E90-AF3C-4936-944A-F15DD1F5725A}" name="10/08/26" dataDxfId="1332"/>
    <tableColumn id="149" xr3:uid="{5AB9F33A-3082-4ED9-97D6-92A5BC8CDFAC}" name="17/08/26" dataDxfId="1331"/>
    <tableColumn id="150" xr3:uid="{7DFE8D8F-B091-4D20-BDD7-3FF8C8F3755A}" name="24/08/26" dataDxfId="1330"/>
    <tableColumn id="151" xr3:uid="{D1586843-522D-4FA0-9D7E-86431C34E351}" name="31/08/26" dataDxfId="1329"/>
    <tableColumn id="152" xr3:uid="{85309B47-F762-48C7-B687-C4CA0DDEB7E3}" name="07/09/26" dataDxfId="1328"/>
    <tableColumn id="153" xr3:uid="{A368509F-4655-47D9-9029-C8CFBEF960CB}" name="14/09/26" dataDxfId="1327"/>
    <tableColumn id="154" xr3:uid="{CB8749E8-54A5-450D-80BB-211343801BCD}" name="21/09/26" dataDxfId="1326"/>
    <tableColumn id="155" xr3:uid="{12A11702-5363-475F-856A-619335845E3C}" name="28/09/26" dataDxfId="1325"/>
    <tableColumn id="156" xr3:uid="{0DB00904-EF7B-45AA-88DA-73E32885462C}" name="05/10/26" dataDxfId="1324"/>
    <tableColumn id="157" xr3:uid="{A6469231-6762-4F0D-8D6E-A7DFD42F6FBE}" name="12/10/26" dataDxfId="1323"/>
    <tableColumn id="158" xr3:uid="{C838EED3-F8B7-4E54-85FC-67FD5BA33D0A}" name="19/10/26" dataDxfId="1322"/>
    <tableColumn id="159" xr3:uid="{A75BF8EF-2F78-44DD-B824-54E4E09DF356}" name="26/10/26" dataDxfId="1321"/>
    <tableColumn id="160" xr3:uid="{193E955A-7748-4448-B4B7-F2DC772858FF}" name="02/11/26" dataDxfId="1320"/>
    <tableColumn id="161" xr3:uid="{7C0B0079-7096-40B7-8BAC-4F3591A81690}" name="09/11/26" dataDxfId="1319"/>
    <tableColumn id="162" xr3:uid="{D25D845A-DA1D-4B50-84DD-6C01F29AF6E4}" name="16/11/26" dataDxfId="1318"/>
    <tableColumn id="163" xr3:uid="{B9D09B2F-3655-4CAA-BC6A-B6A7FF9F790B}" name="23/11/26" dataDxfId="1317"/>
    <tableColumn id="164" xr3:uid="{04583A16-A57C-4742-91B7-B020E43248F8}" name="30/11/26" dataDxfId="1316"/>
    <tableColumn id="165" xr3:uid="{B827E558-A37D-40E2-AEF1-456B45F2D8D5}" name="07/12/26" dataDxfId="1315"/>
    <tableColumn id="166" xr3:uid="{61F983E7-9C48-4252-B092-C096C314B624}" name="14/12/26" dataDxfId="1314"/>
    <tableColumn id="167" xr3:uid="{AAF8326F-1CED-4895-9018-F678779345C9}" name="21/12/26" dataDxfId="1313"/>
    <tableColumn id="168" xr3:uid="{BBAC9769-3B34-400C-8697-099D75CFA80D}" name="28/12/26" dataDxfId="1312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211597-F426-4B61-9962-BE1B35142D47}" name="Planbase100" displayName="Planbase100" ref="B4:EI140" totalsRowShown="0" headerRowDxfId="1311" tableBorderDxfId="1310">
  <autoFilter ref="B4:EI140" xr:uid="{7CB72941-0C36-402D-A550-71FDA640E49E}"/>
  <tableColumns count="138">
    <tableColumn id="1" xr3:uid="{2843F505-F0EB-491B-A011-393715DF90FE}" name="N1" dataDxfId="1309"/>
    <tableColumn id="2" xr3:uid="{45E1741C-FAB7-40BD-AB40-54B707F25CE3}" name="N2" dataDxfId="1308"/>
    <tableColumn id="3" xr3:uid="{6262212F-5C0B-49D0-86C4-746EC24D4636}" name="N3" dataDxfId="1307"/>
    <tableColumn id="4" xr3:uid="{B4BDC8DC-1CE2-416F-A18E-18F7662CC9F4}" name="N4" dataDxfId="1306"/>
    <tableColumn id="5" xr3:uid="{62624406-850B-4078-A735-6556476C4A02}" name="Dura." dataDxfId="1305"/>
    <tableColumn id="6" xr3:uid="{C8C16E6B-5D25-4C55-889F-BE084A85B5BC}" name="Pesos" dataDxfId="1304"/>
    <tableColumn id="9" xr3:uid="{831CAC5B-BC87-4C2B-9BAA-4EAE44AF406B}" name="Column4" dataDxfId="1303"/>
    <tableColumn id="10" xr3:uid="{DE634932-ED2A-46AE-A266-20A98C63F9A6}" name="01/07/24" dataDxfId="1302"/>
    <tableColumn id="11" xr3:uid="{AFE68B74-519E-4EC6-8BA2-91224B7C95D3}" name="08/07/24" dataDxfId="1301"/>
    <tableColumn id="12" xr3:uid="{BBFD3BF6-7BDE-4038-A083-BF88037EE577}" name="15/07/24" dataDxfId="1300"/>
    <tableColumn id="13" xr3:uid="{264EDE1C-DCF4-4A66-92CD-19F18BD2F903}" name="22/07/24" dataDxfId="1299"/>
    <tableColumn id="14" xr3:uid="{3826CB06-0A4E-4011-8FE9-60E50A3614B1}" name="29/07/24" dataDxfId="1298"/>
    <tableColumn id="15" xr3:uid="{D0C91B37-79CE-46AA-BC83-D151855169D1}" name="05/08/24" dataDxfId="1297"/>
    <tableColumn id="16" xr3:uid="{C8B91134-CE21-48FF-8ED9-FD10CA0CB6A7}" name="12/08/24" dataDxfId="1296"/>
    <tableColumn id="17" xr3:uid="{AAAB6797-0CE4-4BBD-83E1-3EC47F30D446}" name="19/08/24" dataDxfId="1295"/>
    <tableColumn id="18" xr3:uid="{4FED15BE-F083-4CE4-841E-A1847681930B}" name="26/08/24" dataDxfId="1294"/>
    <tableColumn id="19" xr3:uid="{A34FCEA5-A042-43E3-BFAB-3A98892E53F3}" name="02/09/24" dataDxfId="1293"/>
    <tableColumn id="20" xr3:uid="{684B9DC0-B5DE-4F99-9595-8DE7E56C6EE3}" name="09/09/24" dataDxfId="1292"/>
    <tableColumn id="21" xr3:uid="{A4819B35-0E66-49BF-ABE2-8CB22563573A}" name="16/09/24" dataDxfId="1291"/>
    <tableColumn id="22" xr3:uid="{51815128-9990-4794-9BB8-F9D148953B8F}" name="23/09/24" dataDxfId="1290"/>
    <tableColumn id="23" xr3:uid="{76BA305A-3AF2-4712-A55F-293558CA7EF6}" name="30/09/24" dataDxfId="1289"/>
    <tableColumn id="24" xr3:uid="{B24A6B16-796E-4026-B0E3-7AD1FD656937}" name="07/10/24" dataDxfId="1288"/>
    <tableColumn id="25" xr3:uid="{A564E99D-89E1-4C7F-B614-4807340177AE}" name="14/10/24" dataDxfId="1287"/>
    <tableColumn id="26" xr3:uid="{ABA72899-D2B0-49BE-9B70-E74AD6F9E71F}" name="21/10/24" dataDxfId="1286"/>
    <tableColumn id="27" xr3:uid="{C1C7BFB1-4952-478C-8D47-BDA8A941B4DC}" name="28/10/24" dataDxfId="1285"/>
    <tableColumn id="28" xr3:uid="{DC95268B-A0F1-4E1B-A7C8-FC136039A652}" name="04/11/24" dataDxfId="1284"/>
    <tableColumn id="29" xr3:uid="{EA6F3C8E-6E18-4D57-AD93-290C19039ADB}" name="11/11/24" dataDxfId="1283"/>
    <tableColumn id="30" xr3:uid="{8A3ECD82-9F30-4C6D-8F0F-0C45F69C461E}" name="18/11/24" dataDxfId="1282"/>
    <tableColumn id="31" xr3:uid="{B81DAA22-DD70-43F6-950F-A6D83B88A0D8}" name="25/11/24" dataDxfId="1281"/>
    <tableColumn id="32" xr3:uid="{9CB02A7F-98CC-4C77-820E-7A7E3AA5B27D}" name="02/12/24" dataDxfId="1280"/>
    <tableColumn id="33" xr3:uid="{340481D1-2D84-4CA9-B2E1-244093D0E3FF}" name="09/12/24" dataDxfId="1279"/>
    <tableColumn id="34" xr3:uid="{538C7473-F8D7-47A8-86CC-A8B01A340533}" name="16/12/24" dataDxfId="1278"/>
    <tableColumn id="35" xr3:uid="{820B6CF5-176B-40AE-9C3C-0C5357EC3073}" name="23/12/24" dataDxfId="1277"/>
    <tableColumn id="36" xr3:uid="{DC5289DB-84AD-4A68-96C3-D64B32533300}" name="30/12/24" dataDxfId="1276"/>
    <tableColumn id="37" xr3:uid="{3DCD0F0A-0B3E-42D2-87BA-01318D0D0654}" name="06/01/25" dataDxfId="1275"/>
    <tableColumn id="38" xr3:uid="{9DC98313-83AD-46D4-8504-520186D7B40E}" name="13/01/25" dataDxfId="1274"/>
    <tableColumn id="39" xr3:uid="{1AFC64F3-47EF-460C-85BF-F246E7A1164F}" name="20/01/25" dataDxfId="1273"/>
    <tableColumn id="40" xr3:uid="{55C56A41-3163-4616-B2AC-D48A2347FE41}" name="27/01/25" dataDxfId="1272"/>
    <tableColumn id="41" xr3:uid="{5892C2B6-478D-472B-957A-922C38BD2A34}" name="03/02/25" dataDxfId="1271"/>
    <tableColumn id="42" xr3:uid="{193806BE-DE0D-4160-8802-C6FB49F25278}" name="10/02/25" dataDxfId="1270"/>
    <tableColumn id="43" xr3:uid="{0CA7E703-76EB-443E-A02C-D30AEF0A971F}" name="17/02/25" dataDxfId="1269"/>
    <tableColumn id="44" xr3:uid="{E94E5ACF-586A-4582-9A15-F653FDF60FB3}" name="24/02/25" dataDxfId="1268"/>
    <tableColumn id="45" xr3:uid="{30DB08C9-4F10-4C5C-AB39-531D75256B6C}" name="03/03/25" dataDxfId="1267"/>
    <tableColumn id="46" xr3:uid="{42C0E5CC-3EA0-4E51-8F3A-B69BA30D9039}" name="10/03/25" dataDxfId="1266"/>
    <tableColumn id="47" xr3:uid="{3A360E9E-C531-4F65-86CA-79E90D223FC7}" name="17/03/25" dataDxfId="1265"/>
    <tableColumn id="48" xr3:uid="{BA81C16A-7ECB-49C8-A1B1-4438D73894C9}" name="24/03/25" dataDxfId="1264"/>
    <tableColumn id="49" xr3:uid="{EDD96F70-7B72-4927-BBDE-F44D4E695506}" name="31/03/25" dataDxfId="1263"/>
    <tableColumn id="50" xr3:uid="{16A19E53-4CEA-4493-92F6-2207F19DEBF0}" name="07/04/25" dataDxfId="1262"/>
    <tableColumn id="51" xr3:uid="{AFF8F28F-DC2E-4B3C-A2A2-8B1D2CC2951E}" name="14/04/25" dataDxfId="1261"/>
    <tableColumn id="52" xr3:uid="{6ACA7D4E-7725-49D9-A00F-DA27CE76AB79}" name="21/04/25" dataDxfId="1260"/>
    <tableColumn id="53" xr3:uid="{D6174481-F1C8-4E48-82D6-8A95101C2E7E}" name="28/04/25" dataDxfId="1259"/>
    <tableColumn id="54" xr3:uid="{ADA218E5-5930-45CC-96DC-4896DB5E676F}" name="05/05/25" dataDxfId="1258"/>
    <tableColumn id="55" xr3:uid="{1F697058-C3A8-4CA0-B2D9-7E0610BBCE23}" name="12/05/25" dataDxfId="1257"/>
    <tableColumn id="7" xr3:uid="{A03DEB43-7A87-408B-A563-AE24A155F4B6}" name="19/05/25" dataDxfId="1256"/>
    <tableColumn id="8" xr3:uid="{EE77475E-CBA7-4122-8F49-B1E0FA1A28D7}" name="26/05/25" dataDxfId="1255"/>
    <tableColumn id="56" xr3:uid="{4276CC26-D320-42D0-B4E6-434316C73499}" name="02/06/25" dataDxfId="1254"/>
    <tableColumn id="57" xr3:uid="{FA46A391-519C-4730-80F4-EAB4561E1AE8}" name="09/06/25" dataDxfId="1253"/>
    <tableColumn id="58" xr3:uid="{9F58217D-5016-445D-870E-68BE219074B9}" name="16/06/25" dataDxfId="1252"/>
    <tableColumn id="59" xr3:uid="{C166256E-6610-4736-A162-61D8DF40ADD2}" name="23/06/25" dataDxfId="1251"/>
    <tableColumn id="60" xr3:uid="{8587656C-325D-41EA-8A2B-2601B47B15B4}" name="30/06/25" dataDxfId="1250"/>
    <tableColumn id="61" xr3:uid="{B438A494-F083-4B0A-A880-F1D0B3917932}" name="07/07/25" dataDxfId="1249"/>
    <tableColumn id="62" xr3:uid="{02BB3B26-C82E-451E-98C6-015983D1FBC7}" name="14/07/25" dataDxfId="1248"/>
    <tableColumn id="63" xr3:uid="{96D5687C-FD54-4071-8A1D-8A42D3782AAA}" name="21/07/25" dataDxfId="1247"/>
    <tableColumn id="64" xr3:uid="{1E2190ED-57AC-4521-B9E0-F8C7C61F1696}" name="28/07/25" dataDxfId="1246"/>
    <tableColumn id="65" xr3:uid="{C5BD3392-1D9C-4EAB-9D81-4E33A1FF1DF1}" name="04/08/25" dataDxfId="1245"/>
    <tableColumn id="66" xr3:uid="{F09BE6D2-20BB-4050-9F8F-0673A494D35E}" name="11/08/25" dataDxfId="1244"/>
    <tableColumn id="67" xr3:uid="{A212CE01-7D7A-46F3-9A7F-6161807FA077}" name="18/08/25" dataDxfId="1243"/>
    <tableColumn id="68" xr3:uid="{0723610F-78DF-4F9E-BAE4-0D59737AEB99}" name="25/08/25" dataDxfId="1242"/>
    <tableColumn id="69" xr3:uid="{30F2D5AC-86C3-40E6-AF80-F4C59F913F05}" name="01/09/25" dataDxfId="1241"/>
    <tableColumn id="70" xr3:uid="{71853CBB-03EF-4B08-B270-FD926E6CFFD8}" name="08/09/25" dataDxfId="1240"/>
    <tableColumn id="71" xr3:uid="{6197ED13-F393-4206-A2FE-375E7EEFB4B5}" name="15/09/25" dataDxfId="1239"/>
    <tableColumn id="72" xr3:uid="{CB4F0750-72AE-49C4-902F-754833D824C0}" name="22/09/25" dataDxfId="1238"/>
    <tableColumn id="73" xr3:uid="{EB125C95-DAC0-4152-8B13-E280AB916747}" name="29/09/25" dataDxfId="1237"/>
    <tableColumn id="74" xr3:uid="{2FF94287-0955-44AA-8D1B-61A27317A8D6}" name="06/10/25" dataDxfId="1236"/>
    <tableColumn id="75" xr3:uid="{D70B7119-2DE9-4438-BB38-0D04453247AE}" name="13/10/25" dataDxfId="1235"/>
    <tableColumn id="76" xr3:uid="{CF6C8621-1CE8-4F44-96A2-1C4AA21CAA92}" name="20/10/25" dataDxfId="1234"/>
    <tableColumn id="77" xr3:uid="{C32AE74B-F806-47DD-B4D6-2A33317CC2AE}" name="27/10/25" dataDxfId="1233"/>
    <tableColumn id="78" xr3:uid="{25979C87-808F-494D-BE95-1475F2D5A7DE}" name="03/11/25" dataDxfId="1232"/>
    <tableColumn id="79" xr3:uid="{175C7CE4-5903-4E3B-8DA3-563E71AF201D}" name="10/11/25" dataDxfId="1231"/>
    <tableColumn id="80" xr3:uid="{3F9F2F85-20CE-4311-9151-70027A36F62E}" name="17/11/25" dataDxfId="1230"/>
    <tableColumn id="81" xr3:uid="{BDF6B7A3-BB0F-4BE6-B466-43A728EB2EB3}" name="24/11/25" dataDxfId="1229"/>
    <tableColumn id="82" xr3:uid="{A34C68F8-F0E0-4102-B92F-C6BA21E5C233}" name="01/12/25" dataDxfId="1228"/>
    <tableColumn id="83" xr3:uid="{1CFE769F-A917-468A-BF0C-AF4DE27F7E49}" name="08/12/25" dataDxfId="1227"/>
    <tableColumn id="84" xr3:uid="{98886BD4-B330-47A6-BF58-79D838D48F66}" name="15/12/25" dataDxfId="1226"/>
    <tableColumn id="85" xr3:uid="{3102E2EF-5C2E-43E1-B4A5-75C45119216F}" name="22/12/25" dataDxfId="1225"/>
    <tableColumn id="86" xr3:uid="{6B2CD7A5-21E0-41AF-8664-FFF0C4AEE0AF}" name="29/12/25" dataDxfId="1224"/>
    <tableColumn id="87" xr3:uid="{806D5DDA-20A7-4538-B29B-492FA58FD531}" name="05/01/26" dataDxfId="1223"/>
    <tableColumn id="88" xr3:uid="{C29FF318-4989-40E7-AA61-2910F2054CC7}" name="12/01/26" dataDxfId="1222"/>
    <tableColumn id="89" xr3:uid="{9C5FDB63-384B-4F5C-A6A7-447DC9F4FA21}" name="19/01/26" dataDxfId="1221"/>
    <tableColumn id="90" xr3:uid="{D39E9531-BE50-49E0-94C6-534CABCF3A6C}" name="26/01/26" dataDxfId="1220"/>
    <tableColumn id="91" xr3:uid="{D508EABE-A27F-4FAF-9D50-9A40545D849F}" name="02/02/26" dataDxfId="1219"/>
    <tableColumn id="92" xr3:uid="{41269A75-3D56-4A26-B82E-7ABD55442C53}" name="09/02/26" dataDxfId="1218"/>
    <tableColumn id="93" xr3:uid="{4069EB37-AEBA-4020-B114-CE6FF3AB711B}" name="16/02/26" dataDxfId="1217"/>
    <tableColumn id="94" xr3:uid="{4A400272-32A9-4CB3-888C-9280BBEB6A13}" name="23/02/26" dataDxfId="1216"/>
    <tableColumn id="95" xr3:uid="{9C9AE42C-DD0D-4941-A843-34707B477427}" name="02/03/26" dataDxfId="1215"/>
    <tableColumn id="96" xr3:uid="{25C29922-8BED-4BA3-9364-AC5BAA2EBE4B}" name="09/03/26" dataDxfId="1214"/>
    <tableColumn id="97" xr3:uid="{59F3B9BC-4211-4C3F-ADA1-D50BDEC041F7}" name="16/03/26" dataDxfId="1213"/>
    <tableColumn id="98" xr3:uid="{2EBB2276-3B3F-4CCD-99B6-D045702FE405}" name="23/03/26" dataDxfId="1212"/>
    <tableColumn id="99" xr3:uid="{D6187C63-6AE7-4FE4-ABF8-066A71DCB321}" name="30/03/26" dataDxfId="1211"/>
    <tableColumn id="100" xr3:uid="{8D6A42F4-038D-453B-AE5A-8926EDF70DE4}" name="06/04/26" dataDxfId="1210"/>
    <tableColumn id="101" xr3:uid="{CBAC5B79-F70C-4D2E-8F00-711314FA84F2}" name="13/04/26" dataDxfId="1209"/>
    <tableColumn id="102" xr3:uid="{BC09A5A7-E447-4D9F-A722-EB57DACBD7F0}" name="20/04/26" dataDxfId="1208"/>
    <tableColumn id="103" xr3:uid="{989068FF-CF52-4457-B18D-EDE8E3D16252}" name="27/04/26" dataDxfId="1207"/>
    <tableColumn id="104" xr3:uid="{456F504B-87FB-41D4-B23D-B39549D8B3B6}" name="04/05/26" dataDxfId="1206"/>
    <tableColumn id="105" xr3:uid="{E7BBF60F-0A10-4160-83AF-F986228D3F62}" name="11/05/26" dataDxfId="1205"/>
    <tableColumn id="106" xr3:uid="{A556318B-72C5-4A55-B711-27B44D79F5FD}" name="18/05/26" dataDxfId="1204"/>
    <tableColumn id="107" xr3:uid="{1D8F4DBD-F26B-49A3-91E5-B4C39DF41036}" name="25/05/26" dataDxfId="1203"/>
    <tableColumn id="108" xr3:uid="{A2D0BC06-1156-4CCC-9E4F-E23D7E2B067E}" name="01/06/26" dataDxfId="1202"/>
    <tableColumn id="109" xr3:uid="{3184A5B1-22AF-4A11-9F0A-056A51B964AC}" name="08/06/26" dataDxfId="1201"/>
    <tableColumn id="110" xr3:uid="{DBCC10E3-45E2-4B27-B8DA-7286F6461A05}" name="15/06/26" dataDxfId="1200"/>
    <tableColumn id="111" xr3:uid="{B9FE3E8B-0B62-49A4-81FE-756D10832DBF}" name="22/06/26" dataDxfId="1199"/>
    <tableColumn id="112" xr3:uid="{045EF5B5-F7F2-4961-8A0D-C73A4A191105}" name="29/06/26" dataDxfId="1198"/>
    <tableColumn id="113" xr3:uid="{2D59BCF1-08F2-4773-AF18-9D9B251A8918}" name="06/07/26" dataDxfId="1197"/>
    <tableColumn id="114" xr3:uid="{6C9493D9-73DF-4C60-8EEA-3B6F977F2F89}" name="13/07/26" dataDxfId="1196"/>
    <tableColumn id="115" xr3:uid="{48D73455-5B1E-40A5-9911-4907FFBF4C3B}" name="20/07/26" dataDxfId="1195"/>
    <tableColumn id="116" xr3:uid="{DC46806F-AFD8-4555-A9BF-5597C458CC86}" name="27/07/26" dataDxfId="1194"/>
    <tableColumn id="117" xr3:uid="{5D60F9C8-901A-47E7-9AF9-B9B3DB3DB81D}" name="03/08/26" dataDxfId="1193"/>
    <tableColumn id="118" xr3:uid="{E4888F22-C8B2-41E2-8CC2-EB8879FADEEF}" name="10/08/26" dataDxfId="1192"/>
    <tableColumn id="119" xr3:uid="{64943881-3E9A-4EE6-93F1-608E14E652D7}" name="17/08/26" dataDxfId="1191"/>
    <tableColumn id="120" xr3:uid="{E1CC4C13-5D9D-4E31-8004-A8EACE62BE78}" name="24/08/26" dataDxfId="1190"/>
    <tableColumn id="121" xr3:uid="{905DE5C6-D500-4CA1-99EC-14542BF4AF51}" name="31/08/26" dataDxfId="1189"/>
    <tableColumn id="122" xr3:uid="{30C90785-E392-48A8-B7E4-F4F1CA44EFEC}" name="07/09/26" dataDxfId="1188"/>
    <tableColumn id="123" xr3:uid="{48F5534E-AA2A-4534-B753-C44CDFFD5AF9}" name="14/09/26" dataDxfId="1187"/>
    <tableColumn id="124" xr3:uid="{73CBF9DD-4B3A-40B7-A46A-5ECBE88413F0}" name="21/09/26" dataDxfId="1186"/>
    <tableColumn id="125" xr3:uid="{387EF8CD-24BF-4806-BA4D-27C477A44B32}" name="28/09/26" dataDxfId="1185"/>
    <tableColumn id="126" xr3:uid="{667D5AF5-C28B-4CFD-AD2C-37FC1AAACD41}" name="05/10/26" dataDxfId="1184"/>
    <tableColumn id="127" xr3:uid="{74B24274-AFC0-40F3-936B-6174D455C813}" name="12/10/26" dataDxfId="1183"/>
    <tableColumn id="128" xr3:uid="{4C502A6C-A09E-46B1-9B55-9A653BC1F334}" name="19/10/26" dataDxfId="1182"/>
    <tableColumn id="129" xr3:uid="{4B23203A-021E-48BE-B77C-FF276E347459}" name="26/10/26" dataDxfId="1181"/>
    <tableColumn id="130" xr3:uid="{01E2CC26-B55C-4EF2-B4CE-6C859D2D43DD}" name="02/11/26" dataDxfId="1180"/>
    <tableColumn id="131" xr3:uid="{15808F2C-2B52-43B3-B86F-04B729C99564}" name="09/11/26" dataDxfId="1179"/>
    <tableColumn id="132" xr3:uid="{DD283DAF-34DE-4FE6-8037-7AE6A752653B}" name="16/11/26" dataDxfId="1178"/>
    <tableColumn id="133" xr3:uid="{8940B134-F999-40DB-A5FD-06A191D4B438}" name="23/11/26" dataDxfId="1177"/>
    <tableColumn id="134" xr3:uid="{26BBFB9E-86B7-49FF-AEA0-D966E7EA2BB0}" name="30/11/26" dataDxfId="1176"/>
    <tableColumn id="135" xr3:uid="{66724B22-5CEA-49A5-B626-F9ED747DDEE3}" name="07/12/26" dataDxfId="1175"/>
    <tableColumn id="136" xr3:uid="{4D998738-DB1C-4DB8-8A03-5F20053C17E4}" name="14/12/26" dataDxfId="1174"/>
    <tableColumn id="137" xr3:uid="{1D413A94-9A89-4390-A2A4-15BA24DC7416}" name="21/12/26" dataDxfId="1173"/>
    <tableColumn id="138" xr3:uid="{F37E716A-E223-4EAC-BACA-FA749ACF935A}" name="28/12/26" dataDxfId="1172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D90974-86F7-4095-B017-3FCC56E6432E}" name="AvanceReal39" displayName="AvanceReal39" ref="B5:CP93" totalsRowShown="0" headerRowDxfId="1171" dataDxfId="1170">
  <autoFilter ref="B5:CP93" xr:uid="{C0D90974-86F7-4095-B017-3FCC56E6432E}"/>
  <tableColumns count="93">
    <tableColumn id="1" xr3:uid="{E85D51F4-D37B-4F95-8C94-5E8E31DBA507}" name="N1" dataDxfId="1169"/>
    <tableColumn id="2" xr3:uid="{452D34F6-5887-49F3-8D79-BBE5082BDF5E}" name="N2" dataDxfId="1168"/>
    <tableColumn id="3" xr3:uid="{E55567D1-820C-4310-A650-690C567835E1}" name="N3" dataDxfId="1167"/>
    <tableColumn id="4" xr3:uid="{64636C3E-A26D-433B-9921-ED8A45AA1412}" name="N4" dataDxfId="1166"/>
    <tableColumn id="5" xr3:uid="{5BBE352B-F11A-43E7-BC56-F55220D2C6E6}" name="Nuevos Pesos" dataDxfId="1165">
      <calculatedColumnFormula>'EDT Nueva'!F5</calculatedColumnFormula>
    </tableColumn>
    <tableColumn id="6" xr3:uid="{ADE698ED-CE30-463A-B8E2-E4EA4FDF3383}" name="Columna3" dataDxfId="1164"/>
    <tableColumn id="7" xr3:uid="{400DE80B-1375-4087-847B-326B07D951C8}" name="05/05/25" dataDxfId="1163"/>
    <tableColumn id="8" xr3:uid="{EB411B93-4809-40BB-8674-28446FF77A16}" name="12/05/25" dataDxfId="1162"/>
    <tableColumn id="9" xr3:uid="{8161E615-9D6C-4D77-AF73-A74BE9C0E4B4}" name="19/05/25" dataDxfId="1161"/>
    <tableColumn id="10" xr3:uid="{F68BB840-3FE2-4433-B0B4-4A8AC8250315}" name="26/05/25" dataDxfId="1160"/>
    <tableColumn id="11" xr3:uid="{8BBD5FD6-DDFF-44CC-B036-9D115F738602}" name="02/06/25" dataDxfId="1159"/>
    <tableColumn id="12" xr3:uid="{82B661AA-1870-4302-9AAA-6A11B1B44DA6}" name="09/06/25" dataDxfId="1158"/>
    <tableColumn id="13" xr3:uid="{B5390C69-5117-4578-A413-BED83F9A92BF}" name="16/06/25" dataDxfId="1157"/>
    <tableColumn id="14" xr3:uid="{9B123D38-1408-4101-9098-CF30F7CA2D47}" name="23/06/25" dataDxfId="1156"/>
    <tableColumn id="15" xr3:uid="{B8361235-6112-4E5E-8507-91A8D6E64B72}" name="30/06/25" dataDxfId="1155"/>
    <tableColumn id="16" xr3:uid="{BEF8542A-C4AF-48E4-9FDA-0B98FFC5687C}" name="07/07/25" dataDxfId="1154"/>
    <tableColumn id="17" xr3:uid="{DC4B95F0-1AEA-4F31-8657-49EFC4BD48A0}" name="14/07/25" dataDxfId="1153"/>
    <tableColumn id="18" xr3:uid="{E0992C9D-C323-44D2-9F8C-1B4794267E3D}" name="21/07/25" dataDxfId="1152" dataCellStyle="Porcentaje"/>
    <tableColumn id="19" xr3:uid="{F6ECC4A2-DDF1-49CB-959C-811BEC4FB2E3}" name="28/07/25" dataDxfId="1151" dataCellStyle="Porcentaje"/>
    <tableColumn id="20" xr3:uid="{B22B58D3-90CA-466B-8DC2-7D02FBAB39BF}" name="04/08/25" dataDxfId="1150" dataCellStyle="Porcentaje"/>
    <tableColumn id="21" xr3:uid="{B40F306E-7E58-4CBF-9653-E1D2EB028314}" name="11/08/25" dataDxfId="1149" dataCellStyle="Porcentaje"/>
    <tableColumn id="22" xr3:uid="{71035336-ECD8-49A0-B636-996C8A425107}" name="18/08/25" dataDxfId="1148" dataCellStyle="Porcentaje"/>
    <tableColumn id="23" xr3:uid="{9A7B04FC-683E-4755-844C-1BC2CABF59AA}" name="25/08/25" dataDxfId="1147" dataCellStyle="Porcentaje"/>
    <tableColumn id="24" xr3:uid="{C54D3644-D59E-4187-A37E-99373ECF0FEC}" name="01/09/25" dataDxfId="1146" dataCellStyle="Porcentaje"/>
    <tableColumn id="25" xr3:uid="{88EDF44F-B903-41C9-AD28-D59B189A071C}" name="08/09/25" dataDxfId="1145" dataCellStyle="Porcentaje"/>
    <tableColumn id="26" xr3:uid="{F79B6447-5465-4E1B-9D7C-AFABDCEEF768}" name="15/09/25" dataDxfId="1144" dataCellStyle="Porcentaje"/>
    <tableColumn id="27" xr3:uid="{5ABFC653-CF86-43AA-B5B6-19E264E408E2}" name="22/09/25" dataDxfId="1143" dataCellStyle="Porcentaje"/>
    <tableColumn id="28" xr3:uid="{C5A84AF7-D1DB-46D2-BB9C-1844CE9B87B5}" name="29/09/25" dataDxfId="1142" dataCellStyle="Porcentaje"/>
    <tableColumn id="29" xr3:uid="{FCC2F227-5E73-4044-989E-AC05B6AE7733}" name="06/10/25" dataDxfId="1141" dataCellStyle="Porcentaje"/>
    <tableColumn id="30" xr3:uid="{362D55CE-12E3-4A41-92CB-A644D0541AF0}" name="13/10/25" dataDxfId="1140" dataCellStyle="Porcentaje"/>
    <tableColumn id="31" xr3:uid="{878F6F85-4977-4D6D-A74F-550731740DD7}" name="20/10/25" dataDxfId="1139" dataCellStyle="Porcentaje"/>
    <tableColumn id="32" xr3:uid="{3C767AF6-23F8-4657-90C5-8A230D6BA048}" name="27/10/25" dataDxfId="1138" dataCellStyle="Porcentaje"/>
    <tableColumn id="33" xr3:uid="{81DD163F-3341-4830-BC30-C0C386233571}" name="03/11/25" dataDxfId="1137" dataCellStyle="Porcentaje"/>
    <tableColumn id="34" xr3:uid="{135F200C-C631-46C3-AA0C-63DB0D9C8DE2}" name="10/11/25" dataDxfId="1136" dataCellStyle="Porcentaje"/>
    <tableColumn id="35" xr3:uid="{E40803BA-7026-478A-A664-E5A6177908CC}" name="17/11/25" dataDxfId="1135" dataCellStyle="Porcentaje"/>
    <tableColumn id="36" xr3:uid="{E750B767-8D51-4BA3-AA4F-D59085384A3E}" name="24/11/25" dataDxfId="1134" dataCellStyle="Porcentaje"/>
    <tableColumn id="37" xr3:uid="{E09824B2-A473-4F34-9950-6D8EC5413A04}" name="01/12/25" dataDxfId="1133" dataCellStyle="Porcentaje"/>
    <tableColumn id="38" xr3:uid="{A4C0A9E7-94CA-4510-80BC-0271309FAE58}" name="08/12/25" dataDxfId="1132" dataCellStyle="Porcentaje"/>
    <tableColumn id="39" xr3:uid="{47E364E6-0CE4-4F38-8E9A-0AF39E6FC346}" name="15/12/25" dataDxfId="1131" dataCellStyle="Porcentaje"/>
    <tableColumn id="40" xr3:uid="{C5D007FE-C1EA-4241-89A8-7ED31C1B5AFF}" name="22/12/25" dataDxfId="1130" dataCellStyle="Porcentaje"/>
    <tableColumn id="41" xr3:uid="{A14AE68E-BC21-4C80-86E5-51A547B95475}" name="29/12/25" dataDxfId="1129" dataCellStyle="Porcentaje"/>
    <tableColumn id="42" xr3:uid="{837115B5-A93D-477F-86E4-F763E742194B}" name="05/01/26" dataDxfId="1128" dataCellStyle="Porcentaje"/>
    <tableColumn id="43" xr3:uid="{A4363391-7130-422C-86E3-A12A4CDAEFF6}" name="12/01/26" dataDxfId="1127" dataCellStyle="Porcentaje"/>
    <tableColumn id="44" xr3:uid="{9393D4D9-9F41-4F18-B3F1-642841E54282}" name="19/01/26" dataDxfId="1126" dataCellStyle="Porcentaje"/>
    <tableColumn id="45" xr3:uid="{7E82E2FA-4F62-4C6A-87EF-144513DC54A3}" name="26/01/26" dataDxfId="1125" dataCellStyle="Porcentaje"/>
    <tableColumn id="46" xr3:uid="{71611E69-3B64-4C26-9C07-946AB68D34E1}" name="02/02/26" dataDxfId="1124" dataCellStyle="Porcentaje"/>
    <tableColumn id="47" xr3:uid="{CBF2332D-A347-4034-8231-B2D68DDF4201}" name="09/02/26" dataDxfId="1123" dataCellStyle="Porcentaje"/>
    <tableColumn id="48" xr3:uid="{0B73C479-C2E4-4B30-BA7E-E4EEBD40215E}" name="16/02/26" dataDxfId="1122" dataCellStyle="Porcentaje"/>
    <tableColumn id="49" xr3:uid="{FBB27ABD-077B-4E5D-9BF5-8FD910F39CFE}" name="23/02/26" dataDxfId="1121" dataCellStyle="Porcentaje"/>
    <tableColumn id="50" xr3:uid="{22BCB449-6715-4837-9E5A-22808E957D5B}" name="02/03/26" dataDxfId="1120" dataCellStyle="Porcentaje"/>
    <tableColumn id="51" xr3:uid="{B6E67C9C-AB96-451C-B3C4-0E76DA9C7C38}" name="09/03/26" dataDxfId="1119" dataCellStyle="Porcentaje"/>
    <tableColumn id="52" xr3:uid="{E2F5C982-EA74-4BA6-B314-37E463FEEDF2}" name="16/03/26" dataDxfId="1118" dataCellStyle="Porcentaje"/>
    <tableColumn id="53" xr3:uid="{8F354EE3-DB90-44B8-9F2C-77FA0DEC3D4D}" name="23/03/26" dataDxfId="1117" dataCellStyle="Porcentaje"/>
    <tableColumn id="54" xr3:uid="{0761F589-4B32-47E0-8D3B-D34DCB6DD171}" name="30/03/26" dataDxfId="1116" dataCellStyle="Porcentaje"/>
    <tableColumn id="64" xr3:uid="{CC2C58A4-BD8D-4437-885F-53E9FDDDD9A1}" name="06/04/26" dataDxfId="1115" dataCellStyle="Porcentaje"/>
    <tableColumn id="55" xr3:uid="{DE73BD2D-4178-4DB1-B54A-BBC0B522FAF2}" name="13/04/26" dataDxfId="1114" dataCellStyle="Porcentaje"/>
    <tableColumn id="56" xr3:uid="{BA564C07-C124-4391-A019-2C75D6829FBA}" name="20/04/26" dataDxfId="1113" dataCellStyle="Porcentaje"/>
    <tableColumn id="57" xr3:uid="{E6EE1D73-D1A9-4468-97B4-41C69CE5D874}" name="27/04/26" dataDxfId="1112" dataCellStyle="Porcentaje"/>
    <tableColumn id="58" xr3:uid="{07A8BB6E-015C-4EFC-9245-2A3FE4CC5D03}" name="04/05/26" dataDxfId="1111" dataCellStyle="Porcentaje"/>
    <tableColumn id="59" xr3:uid="{BDD3B26E-E652-4AFE-96A1-628C41C5CB03}" name="11/05/26" dataDxfId="1110" dataCellStyle="Porcentaje"/>
    <tableColumn id="60" xr3:uid="{752B9C2C-0DD2-4637-8206-FAF8CDCF6A15}" name="18/05/26" dataDxfId="1109" dataCellStyle="Porcentaje"/>
    <tableColumn id="61" xr3:uid="{148CD7D5-A043-4001-9478-94316FA912FB}" name="25/05/26" dataDxfId="1108" dataCellStyle="Porcentaje"/>
    <tableColumn id="62" xr3:uid="{6EC5CDA5-D0A4-4019-BFF2-0433CB0BCA0F}" name="01/06/26" dataDxfId="1107" dataCellStyle="Porcentaje"/>
    <tableColumn id="63" xr3:uid="{2065DA3C-11F7-4C33-B0D2-49C62874A606}" name="08/06/26" dataDxfId="1106" dataCellStyle="Porcentaje"/>
    <tableColumn id="65" xr3:uid="{FBB0E47D-9A5B-4C9A-A1BD-B795A3C04332}" name="15/06/26" dataDxfId="1105" dataCellStyle="Porcentaje"/>
    <tableColumn id="66" xr3:uid="{255BF650-EA3A-429A-8CEA-3933340E2E58}" name="22/06/26" dataDxfId="1104" dataCellStyle="Porcentaje"/>
    <tableColumn id="67" xr3:uid="{0F2B5B75-78C2-42BF-B89A-41A357A949B2}" name="29/06/26" dataDxfId="1103" dataCellStyle="Porcentaje"/>
    <tableColumn id="68" xr3:uid="{CF5D1DBE-2FCB-40C5-8254-BB1F22AA8C24}" name="06/07/26" dataDxfId="1102" dataCellStyle="Porcentaje"/>
    <tableColumn id="69" xr3:uid="{9B56DE5C-06EE-4826-9D63-703DB8799138}" name="13/07/26" dataDxfId="1101" dataCellStyle="Porcentaje"/>
    <tableColumn id="70" xr3:uid="{5F99835D-EE37-4E63-8D5F-D24EA2DB507F}" name="20/07/26" dataDxfId="1100" dataCellStyle="Porcentaje"/>
    <tableColumn id="71" xr3:uid="{A9F18126-9F78-4D3B-8102-BC8E10DBCF41}" name="27/07/26" dataDxfId="1099" dataCellStyle="Porcentaje"/>
    <tableColumn id="72" xr3:uid="{31DF556C-6164-4AFE-9B1F-23981E99C77A}" name="03/08/26" dataDxfId="1098" dataCellStyle="Porcentaje"/>
    <tableColumn id="73" xr3:uid="{C3085FA3-7FD6-43E2-B0F2-B81583B0CF5C}" name="10/08/26" dataDxfId="1097" dataCellStyle="Porcentaje"/>
    <tableColumn id="74" xr3:uid="{FE193CBD-C7C8-419B-B6CE-ABCB21FD7E84}" name="17/08/26" dataDxfId="1096" dataCellStyle="Porcentaje"/>
    <tableColumn id="75" xr3:uid="{9CBF22C7-BC43-4556-B139-6D7780F8D66D}" name="24/08/26" dataDxfId="1095" dataCellStyle="Porcentaje"/>
    <tableColumn id="76" xr3:uid="{0861B57E-F623-4927-B729-FD17C5A4FB98}" name="31/08/26" dataDxfId="1094" dataCellStyle="Porcentaje"/>
    <tableColumn id="77" xr3:uid="{1782413A-C58A-484E-A94A-BC97AAC6D54E}" name="07/09/26" dataDxfId="1093" dataCellStyle="Porcentaje"/>
    <tableColumn id="78" xr3:uid="{4F70A84F-D45A-40A8-BAB7-6E54F49ED687}" name="14/09/26" dataDxfId="1092" dataCellStyle="Porcentaje"/>
    <tableColumn id="79" xr3:uid="{3ECF7FAB-95DC-4193-9F4E-3050F49C5522}" name="21/09/26" dataDxfId="1091" dataCellStyle="Porcentaje"/>
    <tableColumn id="80" xr3:uid="{5B6F4D08-6E94-4ED0-870D-87D099942A61}" name="28/09/26" dataDxfId="1090" dataCellStyle="Porcentaje"/>
    <tableColumn id="81" xr3:uid="{0CB76307-18DC-477C-B9C7-7C80FF1F33E1}" name="05/10/26" dataDxfId="1089" dataCellStyle="Porcentaje"/>
    <tableColumn id="82" xr3:uid="{EA071F56-839E-4D3D-A094-F717E5C16531}" name="12/10/26" dataDxfId="1088" dataCellStyle="Porcentaje"/>
    <tableColumn id="83" xr3:uid="{F51BECD0-1708-4B5D-8510-BC2FAD97A478}" name="19/10/26" dataDxfId="1087" dataCellStyle="Porcentaje"/>
    <tableColumn id="84" xr3:uid="{492F33AD-BE77-435F-8D81-C802A30DD84E}" name="26/10/26" dataDxfId="1086" dataCellStyle="Porcentaje"/>
    <tableColumn id="85" xr3:uid="{00472104-DFDE-44CC-81E1-C6D9E0D31457}" name="02/11/26" dataDxfId="1085" dataCellStyle="Porcentaje"/>
    <tableColumn id="86" xr3:uid="{5D8E1E19-53BC-4A40-8F43-094BCE4144AA}" name="09/11/26" dataDxfId="1084" dataCellStyle="Porcentaje"/>
    <tableColumn id="87" xr3:uid="{9084BC65-5AA5-49AC-BD56-CCDBEAFAE6D6}" name="16/11/26" dataDxfId="1083" dataCellStyle="Porcentaje"/>
    <tableColumn id="88" xr3:uid="{CECDA08B-4562-49C9-927B-8E8D2FA3EB4F}" name="23/11/26" dataDxfId="1082" dataCellStyle="Porcentaje"/>
    <tableColumn id="89" xr3:uid="{42809AED-A918-4E66-BE57-01DED3A1AC96}" name="30/11/26" dataDxfId="1081" dataCellStyle="Porcentaje"/>
    <tableColumn id="90" xr3:uid="{933AE15B-327E-4A0F-B459-8E7422F61CF3}" name="07/12/26" dataDxfId="1080" dataCellStyle="Porcentaje"/>
    <tableColumn id="91" xr3:uid="{EE624114-CF00-4CF7-BFCF-76F92CC50DC8}" name="14/12/26" dataDxfId="1079" dataCellStyle="Porcentaje"/>
    <tableColumn id="92" xr3:uid="{F6E2762A-306C-4587-9E98-79C8E3C7182A}" name="21/12/26" dataDxfId="1078" dataCellStyle="Porcentaje"/>
    <tableColumn id="93" xr3:uid="{17CC5EFB-BC08-4D1A-848C-96AA454F4497}" name="28/12/26" dataDxfId="1077" dataCellStyle="Porcentaj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73B31C-9B5B-4A5F-8ABE-63D4D8AFC77D}" name="PlanBase39" displayName="PlanBase39" ref="B4:CP92" totalsRowShown="0" headerRowDxfId="1076" dataDxfId="1075">
  <autoFilter ref="B4:CP92" xr:uid="{A473B31C-9B5B-4A5F-8ABE-63D4D8AFC77D}"/>
  <tableColumns count="93">
    <tableColumn id="1" xr3:uid="{A80917B8-1187-45A5-936A-77CB554B73E7}" name="N1" dataDxfId="1074"/>
    <tableColumn id="2" xr3:uid="{69DBC495-2BF5-447F-95F9-F7165841913D}" name="N2" dataDxfId="1073"/>
    <tableColumn id="3" xr3:uid="{6C203994-A6A8-406F-9FB4-C083F5CA2B36}" name="N3" dataDxfId="1072"/>
    <tableColumn id="4" xr3:uid="{E06A93DD-DF58-4BC5-A454-F3183A21DACC}" name="N4" dataDxfId="1071"/>
    <tableColumn id="5" xr3:uid="{F2A63B64-2742-45B5-89B3-B7C12B1C204B}" name="Nuevos Pesos" dataDxfId="1070">
      <calculatedColumnFormula>EDTN[[#This Row],[Nuevos Pesos]]</calculatedColumnFormula>
    </tableColumn>
    <tableColumn id="6" xr3:uid="{652E97BB-A7D5-4FAF-9610-D389B6650ED0}" name="Columna3" dataDxfId="1069"/>
    <tableColumn id="7" xr3:uid="{69835ABF-C56A-4668-9736-91E92D4140A2}" name="05/05/25" dataDxfId="1068"/>
    <tableColumn id="8" xr3:uid="{97B7B985-7C2A-4A0E-A561-D20FBC5B60F6}" name="12/05/25" dataDxfId="1067"/>
    <tableColumn id="9" xr3:uid="{1619BFCB-AA9B-4A68-8ED2-7E6780975300}" name="19/05/25" dataDxfId="1066"/>
    <tableColumn id="10" xr3:uid="{C8B381F5-0203-43EE-9564-F2865DD1D942}" name="26/05/25" dataDxfId="1065"/>
    <tableColumn id="11" xr3:uid="{62A2448C-6DFC-4C57-AFB4-BB41D9048177}" name="02/06/25" dataDxfId="1064"/>
    <tableColumn id="12" xr3:uid="{F401A5FF-DE74-4BF4-A1F8-43C1EB8111FA}" name="09/06/25" dataDxfId="1063"/>
    <tableColumn id="13" xr3:uid="{03B21337-1CD0-4F5A-BD65-24FE1D814E9B}" name="16/06/25" dataDxfId="1062"/>
    <tableColumn id="14" xr3:uid="{14A62942-49CF-417C-99A2-699C4A195123}" name="23/06/25" dataDxfId="1061"/>
    <tableColumn id="15" xr3:uid="{5171D3B5-5F7F-42E8-A36C-944F941AA63E}" name="30/06/25" dataDxfId="1060"/>
    <tableColumn id="16" xr3:uid="{263C76F3-E419-42FD-8050-4DE6154512DD}" name="07/07/25" dataDxfId="1059"/>
    <tableColumn id="17" xr3:uid="{B7712684-5B9A-4BD2-AFAF-39401B917C6C}" name="14/07/25" dataDxfId="1058"/>
    <tableColumn id="18" xr3:uid="{E1F5CAD9-26AC-4510-8037-B02749F6C560}" name="21/07/25" dataDxfId="1057"/>
    <tableColumn id="19" xr3:uid="{D3480BB2-C532-49B6-B632-209099CE1B32}" name="28/07/25" dataDxfId="1056"/>
    <tableColumn id="20" xr3:uid="{1910BF4F-A2E6-4FFF-8938-E4286781F904}" name="04/08/25" dataDxfId="1055"/>
    <tableColumn id="21" xr3:uid="{757B91CE-1103-4A4A-AC09-87D112C1DE68}" name="11/08/25" dataDxfId="1054"/>
    <tableColumn id="22" xr3:uid="{3BEFF12A-4C3F-4091-AC7E-025969A62122}" name="18/08/25" dataDxfId="1053"/>
    <tableColumn id="23" xr3:uid="{F5693628-EA0E-416D-800C-FB3482BD3038}" name="25/08/25" dataDxfId="1052"/>
    <tableColumn id="24" xr3:uid="{E845F2E5-19D9-46E9-AC4C-AEA51A31B470}" name="01/09/25" dataDxfId="1051"/>
    <tableColumn id="25" xr3:uid="{6636B668-CDA0-428C-8C33-7007D5AD5E98}" name="08/09/25" dataDxfId="1050"/>
    <tableColumn id="26" xr3:uid="{779511FB-BE55-4330-91B1-5571A792369D}" name="15/09/25" dataDxfId="1049"/>
    <tableColumn id="27" xr3:uid="{C5DFA81F-38E9-4AE4-B501-88FD0EE85B2D}" name="22/09/25" dataDxfId="1048"/>
    <tableColumn id="28" xr3:uid="{A341FC38-0640-4316-9A75-976D58B913A7}" name="29/09/25" dataDxfId="1047"/>
    <tableColumn id="29" xr3:uid="{1F4002A5-9AF4-4FAB-8D02-194EB942AF6A}" name="06/10/25" dataDxfId="1046"/>
    <tableColumn id="30" xr3:uid="{CE26EA0B-D85C-4E10-9738-FE2A1BFD7801}" name="13/10/25" dataDxfId="1045"/>
    <tableColumn id="31" xr3:uid="{084D277F-A56F-4E97-AD3A-5D749BAD4D79}" name="20/10/25" dataDxfId="1044"/>
    <tableColumn id="32" xr3:uid="{D3AC6362-1705-4E30-9BD1-AD9501E94AAC}" name="27/10/25" dataDxfId="1043"/>
    <tableColumn id="33" xr3:uid="{F8C37581-EC01-4EE1-A8B4-C7EE3C8D8C49}" name="03/11/25" dataDxfId="1042"/>
    <tableColumn id="34" xr3:uid="{978C48DB-4712-422C-A26E-509B2C2CB7E2}" name="10/11/25" dataDxfId="1041"/>
    <tableColumn id="35" xr3:uid="{3A8F3D5F-E27B-4C76-9992-5430C1D4DFB4}" name="17/11/25" dataDxfId="1040"/>
    <tableColumn id="36" xr3:uid="{D9C78700-6557-4994-9239-A8AFEC79E0AD}" name="24/11/25" dataDxfId="1039"/>
    <tableColumn id="37" xr3:uid="{32DA015B-E594-4CB7-AF1B-F55CD60E1A36}" name="01/12/25" dataDxfId="1038"/>
    <tableColumn id="38" xr3:uid="{00415DF4-397F-4EBC-AA7D-6E113AB2646F}" name="08/12/25" dataDxfId="1037"/>
    <tableColumn id="39" xr3:uid="{03E66679-763E-4333-A741-DDE5994A7EC9}" name="15/12/25" dataDxfId="1036" dataCellStyle="Porcentaje"/>
    <tableColumn id="40" xr3:uid="{AD003EB3-4032-4077-9E5E-B6DBF7F9B1BB}" name="22/12/25" dataDxfId="1035" dataCellStyle="Porcentaje"/>
    <tableColumn id="41" xr3:uid="{438903E2-0B1B-449B-90EE-73A5540A6770}" name="29/12/25" dataDxfId="1034" dataCellStyle="Porcentaje"/>
    <tableColumn id="42" xr3:uid="{E65B73A5-14E9-441E-9E3D-56716132F49C}" name="05/01/26" dataDxfId="1033" dataCellStyle="Porcentaje"/>
    <tableColumn id="43" xr3:uid="{1B4A2D53-6EC6-4497-94B8-4F16BA3AFAC5}" name="12/01/26" dataDxfId="1032" dataCellStyle="Porcentaje"/>
    <tableColumn id="44" xr3:uid="{6FC2BCA3-B4E0-4062-89EC-7EB6FAB4B3FE}" name="19/01/26" dataDxfId="1031" dataCellStyle="Porcentaje"/>
    <tableColumn id="45" xr3:uid="{D7B17D52-0276-42E7-949F-67D0EA5F6696}" name="26/01/26" dataDxfId="1030" dataCellStyle="Porcentaje"/>
    <tableColumn id="46" xr3:uid="{E28853C4-0486-4CD8-B110-13668AD4EBFB}" name="02/02/26" dataDxfId="1029" dataCellStyle="Porcentaje"/>
    <tableColumn id="47" xr3:uid="{6407FD60-00D1-45CE-8754-3E0C4F32AD90}" name="09/02/26" dataDxfId="1028" dataCellStyle="Porcentaje"/>
    <tableColumn id="48" xr3:uid="{D6DAA4EE-277D-40D6-9DFC-540EA50B0589}" name="16/02/26" dataDxfId="1027" dataCellStyle="Porcentaje"/>
    <tableColumn id="49" xr3:uid="{3154E951-69BD-459B-B775-C3480B7E900E}" name="23/02/26" dataDxfId="1026" dataCellStyle="Porcentaje"/>
    <tableColumn id="50" xr3:uid="{120A5633-42C1-411F-BFAA-4D140359E2BF}" name="02/03/26" dataDxfId="1025" dataCellStyle="Porcentaje"/>
    <tableColumn id="51" xr3:uid="{8ED49917-7F60-4471-94C4-7774FF519DC8}" name="09/03/26" dataDxfId="1024" dataCellStyle="Porcentaje"/>
    <tableColumn id="52" xr3:uid="{82C00A3E-EE61-4430-9F59-803207EC18D8}" name="16/03/26" dataDxfId="1023" dataCellStyle="Porcentaje"/>
    <tableColumn id="53" xr3:uid="{A134EB30-C559-4BA6-8A8D-47E3FD864BB9}" name="23/03/26" dataDxfId="1022" dataCellStyle="Porcentaje"/>
    <tableColumn id="54" xr3:uid="{3499AA29-37A7-4C3F-9772-094F55310B80}" name="30/03/26" dataDxfId="1021" dataCellStyle="Porcentaje"/>
    <tableColumn id="55" xr3:uid="{2307EBC6-DF70-4159-A446-07BD76A57426}" name="06/04/26" dataDxfId="1020" dataCellStyle="Porcentaje"/>
    <tableColumn id="56" xr3:uid="{19783B4A-6774-4EA2-B8D6-896241E12464}" name="13/04/26" dataDxfId="1019" dataCellStyle="Porcentaje"/>
    <tableColumn id="57" xr3:uid="{E578F56E-A2FE-4A0C-A9EE-8B8D8E2A50AD}" name="20/04/26" dataDxfId="1018" dataCellStyle="Porcentaje"/>
    <tableColumn id="58" xr3:uid="{618D801D-417F-42AF-85FB-DBF708FA47DE}" name="27/04/26" dataDxfId="1017" dataCellStyle="Porcentaje"/>
    <tableColumn id="59" xr3:uid="{5FE6584F-06FE-4A54-836A-E2A5DF72ECA2}" name="04/05/26" dataDxfId="1016" dataCellStyle="Porcentaje"/>
    <tableColumn id="60" xr3:uid="{B8373E4A-0621-4945-AF4D-7B6E3A317D91}" name="11/05/26" dataDxfId="1015" dataCellStyle="Porcentaje"/>
    <tableColumn id="61" xr3:uid="{ACAC92C6-4188-46D0-BACA-39EB065456C6}" name="18/05/26" dataDxfId="1014" dataCellStyle="Porcentaje"/>
    <tableColumn id="62" xr3:uid="{6A0B3F6C-A241-4A63-8063-E436D85F01DB}" name="25/05/26" dataDxfId="1013" dataCellStyle="Porcentaje"/>
    <tableColumn id="63" xr3:uid="{7D76AA20-1824-4FEB-A817-4CE81B1E1230}" name="01/06/26" dataDxfId="1012" dataCellStyle="Porcentaje"/>
    <tableColumn id="64" xr3:uid="{94DCA8AC-EC3C-4B47-A06A-E8EF711F5751}" name="08/06/26" dataDxfId="1011" dataCellStyle="Porcentaje"/>
    <tableColumn id="65" xr3:uid="{EB66353A-227D-48C7-9EA0-BC6A527A055B}" name="15/06/26" dataDxfId="1010" dataCellStyle="Porcentaje"/>
    <tableColumn id="66" xr3:uid="{02163458-529C-4AFC-AEE8-24FBA79CF561}" name="22/06/26" dataDxfId="1009" dataCellStyle="Porcentaje"/>
    <tableColumn id="67" xr3:uid="{37D9AC53-6D95-40E6-8BAA-33CA3F904EDC}" name="29/06/26" dataDxfId="1008" dataCellStyle="Porcentaje"/>
    <tableColumn id="68" xr3:uid="{8897603D-6DCF-4D2F-84D2-CD12CDDECD4D}" name="06/07/26" dataDxfId="1007" dataCellStyle="Porcentaje"/>
    <tableColumn id="69" xr3:uid="{CD8C850A-4E1E-4EBF-A8B6-2FFA5B68C75D}" name="13/07/26" dataDxfId="1006" dataCellStyle="Porcentaje"/>
    <tableColumn id="70" xr3:uid="{67B54097-1D2F-4EB6-A32B-C2620136A90F}" name="20/07/26" dataDxfId="1005" dataCellStyle="Porcentaje"/>
    <tableColumn id="71" xr3:uid="{B3956A98-4583-4807-AB99-50410E7E58A9}" name="27/07/26" dataDxfId="1004" dataCellStyle="Porcentaje"/>
    <tableColumn id="72" xr3:uid="{67D139DE-19B1-4983-9688-B5B06F31F832}" name="03/08/26" dataDxfId="1003" dataCellStyle="Porcentaje"/>
    <tableColumn id="73" xr3:uid="{6233EAD0-5281-48E7-96A2-6E20F764052D}" name="10/08/26" dataDxfId="1002" dataCellStyle="Porcentaje"/>
    <tableColumn id="74" xr3:uid="{1DC21B29-1397-4B12-93A9-DB52943AA288}" name="17/08/26" dataDxfId="1001" dataCellStyle="Porcentaje"/>
    <tableColumn id="75" xr3:uid="{7E10C7A1-AB3A-431C-8AFF-44C61DE63443}" name="24/08/26" dataDxfId="1000" dataCellStyle="Porcentaje"/>
    <tableColumn id="76" xr3:uid="{08E74CCB-24D3-4D6E-BE49-30FC22030AD6}" name="31/08/26" dataDxfId="999" dataCellStyle="Porcentaje"/>
    <tableColumn id="77" xr3:uid="{F20FA18F-B80F-4D29-A810-9DDFFC46CAFD}" name="07/09/26" dataDxfId="998" dataCellStyle="Porcentaje"/>
    <tableColumn id="78" xr3:uid="{674E6812-8E37-4A2B-89C6-FE4229D08E82}" name="14/09/26" dataDxfId="997" dataCellStyle="Porcentaje"/>
    <tableColumn id="79" xr3:uid="{CE5F8602-7A9F-4440-AE00-D54FBA33D410}" name="21/09/26" dataDxfId="996" dataCellStyle="Porcentaje"/>
    <tableColumn id="80" xr3:uid="{328FFBB8-8D59-4B4C-9131-CFE4D97B368D}" name="28/09/26" dataDxfId="995" dataCellStyle="Porcentaje"/>
    <tableColumn id="81" xr3:uid="{F992DEAA-9D1A-499A-97FB-E4485830D06E}" name="05/10/26" dataDxfId="994" dataCellStyle="Porcentaje"/>
    <tableColumn id="82" xr3:uid="{02C74D21-281F-46C2-A924-429660122DED}" name="12/10/26" dataDxfId="993" dataCellStyle="Porcentaje"/>
    <tableColumn id="83" xr3:uid="{BC07D89E-F1BC-427B-A467-F6D6333D78C9}" name="19/10/26" dataDxfId="992" dataCellStyle="Porcentaje"/>
    <tableColumn id="84" xr3:uid="{09705BA9-788B-419A-BC5F-0520A7B3FA97}" name="26/10/26" dataDxfId="991" dataCellStyle="Porcentaje"/>
    <tableColumn id="85" xr3:uid="{6FE02590-EC05-4EB6-BF25-38DAC79165DC}" name="02/11/26" dataDxfId="990" dataCellStyle="Porcentaje"/>
    <tableColumn id="86" xr3:uid="{427E4C38-F30F-45EF-B0C4-B0042A3972F6}" name="09/11/26" dataDxfId="989" dataCellStyle="Porcentaje"/>
    <tableColumn id="87" xr3:uid="{EEC1751D-706A-490F-B0ED-7E18D5009142}" name="16/11/26" dataDxfId="988" dataCellStyle="Porcentaje"/>
    <tableColumn id="88" xr3:uid="{4D077CE2-F1BC-4843-BC5F-4084523FE0F2}" name="23/11/26" dataDxfId="987" dataCellStyle="Porcentaje"/>
    <tableColumn id="89" xr3:uid="{AB56BA38-5132-499F-83F4-D3DFEA01F811}" name="30/11/26" dataDxfId="986" dataCellStyle="Porcentaje"/>
    <tableColumn id="90" xr3:uid="{4CAE8C7A-88C9-4CEC-B4C2-3E1E299EFC20}" name="07/12/26" dataDxfId="985" dataCellStyle="Porcentaje"/>
    <tableColumn id="91" xr3:uid="{D17FF4DC-4ADA-4BC4-8FCF-2C87D3816679}" name="14/12/26" dataDxfId="984" dataCellStyle="Porcentaje"/>
    <tableColumn id="92" xr3:uid="{A58BF5CF-D188-41C8-B3FB-0DA2BAA5F04E}" name="21/12/26" dataDxfId="983" dataCellStyle="Porcentaje"/>
    <tableColumn id="93" xr3:uid="{26692EAA-0AAA-4D15-9A17-8E363E88FDC6}" name="28/12/26" dataDxfId="982" dataCellStyle="Porcentaj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DA48BE-979A-4FAD-A094-F84D1D23AB6E}" name="EDTN10" displayName="EDTN10" ref="B6:G94" totalsRowShown="0" headerRowDxfId="182" dataDxfId="181">
  <autoFilter ref="B6:G94" xr:uid="{FFDA48BE-979A-4FAD-A094-F84D1D23AB6E}"/>
  <tableColumns count="6">
    <tableColumn id="1" xr3:uid="{69BE43B1-18B8-4E40-B978-DE45678863BD}" name="N1" dataDxfId="180"/>
    <tableColumn id="2" xr3:uid="{D5177BBF-FF1A-4CCA-8C38-B7FAD9D061B7}" name="N2" dataDxfId="179"/>
    <tableColumn id="3" xr3:uid="{4B5B247A-A551-4AA0-B27F-6D46AEE5BD1D}" name="N3" dataDxfId="178"/>
    <tableColumn id="4" xr3:uid="{F3216C38-BDB2-4143-BBFC-DE1DD7BBDAB6}" name="N4" dataDxfId="177"/>
    <tableColumn id="5" xr3:uid="{4133C7CA-F914-4578-846C-DC3B1C05B1E6}" name="Nuevos Pesos" dataDxfId="176">
      <calculatedColumnFormula>'EDT Nueva'!F5</calculatedColumnFormula>
    </tableColumn>
    <tableColumn id="6" xr3:uid="{8AD8ED10-D360-4A3A-AEEC-D429C4A2FD8D}" name="Aporte Nuevo" dataDxfId="175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58B214-954D-4A39-A807-FF27000180C9}" name="EDTN1011" displayName="EDTN1011" ref="B100:G188" totalsRowShown="0" headerRowDxfId="174" dataDxfId="173">
  <autoFilter ref="B100:G188" xr:uid="{D058B214-954D-4A39-A807-FF27000180C9}"/>
  <tableColumns count="6">
    <tableColumn id="1" xr3:uid="{CFBD40D6-79B2-427A-986C-DC6301A3D5A7}" name="N1" dataDxfId="172"/>
    <tableColumn id="2" xr3:uid="{8EF27227-F301-4587-BCC7-4E74F6F0C075}" name="N2" dataDxfId="171"/>
    <tableColumn id="3" xr3:uid="{47A12BF3-734C-439B-8775-E1C0A67775CB}" name="N3" dataDxfId="170"/>
    <tableColumn id="4" xr3:uid="{AA667155-D73B-4708-84CA-20DC66A079AE}" name="N4" dataDxfId="169"/>
    <tableColumn id="5" xr3:uid="{AF8355B5-90DB-4D40-8F4A-23F49E3669E2}" name="Nuevos Pesos" dataDxfId="168">
      <calculatedColumnFormula>'EDT Nueva'!F5</calculatedColumnFormula>
    </tableColumn>
    <tableColumn id="6" xr3:uid="{CB940695-108A-4DD6-95BD-F01719B16AA1}" name="Aporte Nuevo" dataDxfId="167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24908B4-E0D4-4116-AAFE-9FD9AAFD568A}" name="EDTN1013" displayName="EDTN1013" ref="B5:F31" totalsRowShown="0" headerRowDxfId="6" dataDxfId="5">
  <autoFilter ref="B5:F31" xr:uid="{FFDA48BE-979A-4FAD-A094-F84D1D23AB6E}"/>
  <tableColumns count="5">
    <tableColumn id="1" xr3:uid="{B422C251-B5A3-47E4-84BD-117072D53E1A}" name="N1" dataDxfId="4"/>
    <tableColumn id="2" xr3:uid="{9DCB8881-AA9D-4C15-9876-AA59B32E515F}" name="N2" dataDxfId="3"/>
    <tableColumn id="3" xr3:uid="{A3E40CC6-33A5-41A9-BADB-1672916ECA18}" name="N3" dataDxfId="2"/>
    <tableColumn id="5" xr3:uid="{503C378B-60F9-4B92-97C3-0EA17F3441B1}" name="Nuevos Pesos" dataDxfId="1">
      <calculatedColumnFormula>'EDT Nueva'!F5</calculatedColumnFormula>
    </tableColumn>
    <tableColumn id="6" xr3:uid="{D4B79D5F-4ABB-4EBF-A0C5-F08FBFF146AD}" name="Aporte Nuev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3.xml"/><Relationship Id="rId5" Type="http://schemas.microsoft.com/office/2007/relationships/slicer" Target="../slicers/slicer2.xml"/><Relationship Id="rId4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7BB1-1EBE-450E-ABAC-95EE14DB1A44}">
  <sheetPr>
    <tabColor theme="2" tint="-9.9978637043366805E-2"/>
    <outlinePr summaryBelow="0"/>
  </sheetPr>
  <dimension ref="B1:M137"/>
  <sheetViews>
    <sheetView topLeftCell="B1" zoomScale="90" zoomScaleNormal="90" workbookViewId="0">
      <selection activeCell="E17" sqref="E17"/>
    </sheetView>
  </sheetViews>
  <sheetFormatPr baseColWidth="10" defaultColWidth="9.109375" defaultRowHeight="14.4" outlineLevelRow="2" x14ac:dyDescent="0.3"/>
  <cols>
    <col min="2" max="4" width="5.6640625" customWidth="1"/>
    <col min="5" max="5" width="121.33203125" bestFit="1" customWidth="1"/>
    <col min="6" max="6" width="10.6640625" hidden="1" customWidth="1"/>
    <col min="7" max="7" width="16" hidden="1" customWidth="1"/>
    <col min="8" max="8" width="13.6640625" hidden="1" customWidth="1"/>
    <col min="9" max="9" width="11.88671875" hidden="1" customWidth="1"/>
    <col min="10" max="11" width="12.5546875" bestFit="1" customWidth="1"/>
    <col min="13" max="13" width="11.5546875" customWidth="1"/>
  </cols>
  <sheetData>
    <row r="1" spans="2:13" x14ac:dyDescent="0.3"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4" t="s">
        <v>6</v>
      </c>
      <c r="I1" s="5" t="s">
        <v>7</v>
      </c>
      <c r="J1" s="6" t="s">
        <v>8</v>
      </c>
      <c r="K1" s="7" t="s">
        <v>9</v>
      </c>
      <c r="M1" t="s">
        <v>10</v>
      </c>
    </row>
    <row r="2" spans="2:13" ht="19.2" x14ac:dyDescent="0.3">
      <c r="B2" s="8" t="s">
        <v>11</v>
      </c>
      <c r="C2" s="9"/>
      <c r="D2" s="9"/>
      <c r="E2" s="9"/>
      <c r="F2" s="10">
        <v>231</v>
      </c>
      <c r="G2" s="11">
        <v>45474</v>
      </c>
      <c r="H2" s="11">
        <v>45835</v>
      </c>
      <c r="I2" s="12">
        <v>2680</v>
      </c>
      <c r="J2" s="13">
        <v>1</v>
      </c>
      <c r="K2" s="14">
        <v>1</v>
      </c>
      <c r="M2" s="96">
        <v>45474</v>
      </c>
    </row>
    <row r="3" spans="2:13" ht="16.8" x14ac:dyDescent="0.3">
      <c r="B3" s="15"/>
      <c r="C3" s="16" t="s">
        <v>12</v>
      </c>
      <c r="D3" s="16"/>
      <c r="E3" s="16"/>
      <c r="F3" s="17">
        <v>231</v>
      </c>
      <c r="G3" s="18">
        <v>45474</v>
      </c>
      <c r="H3" s="18">
        <v>45835</v>
      </c>
      <c r="I3" s="19">
        <v>87</v>
      </c>
      <c r="J3" s="20">
        <v>9.9999999999999991E-146</v>
      </c>
      <c r="K3" s="21">
        <f>J3*J2</f>
        <v>9.9999999999999991E-146</v>
      </c>
      <c r="M3" s="96">
        <f t="shared" ref="M3:M35" si="0">M2+7</f>
        <v>45481</v>
      </c>
    </row>
    <row r="4" spans="2:13" ht="15" outlineLevel="1" x14ac:dyDescent="0.3">
      <c r="B4" s="22"/>
      <c r="C4" s="23"/>
      <c r="D4" s="23" t="s">
        <v>13</v>
      </c>
      <c r="E4" s="23"/>
      <c r="F4" s="24">
        <v>231</v>
      </c>
      <c r="G4" s="25">
        <v>45474</v>
      </c>
      <c r="H4" s="25">
        <v>45835</v>
      </c>
      <c r="I4" s="26">
        <v>87</v>
      </c>
      <c r="J4" s="27">
        <v>1</v>
      </c>
      <c r="K4" s="28">
        <f>J4*J3</f>
        <v>9.9999999999999991E-146</v>
      </c>
      <c r="M4" s="96">
        <f t="shared" si="0"/>
        <v>45488</v>
      </c>
    </row>
    <row r="5" spans="2:13" outlineLevel="2" x14ac:dyDescent="0.3">
      <c r="B5" s="29"/>
      <c r="C5" s="30"/>
      <c r="D5" s="30"/>
      <c r="E5" s="30" t="s">
        <v>14</v>
      </c>
      <c r="F5" s="31">
        <v>0</v>
      </c>
      <c r="G5" s="32">
        <v>45474</v>
      </c>
      <c r="H5" s="32">
        <v>45474</v>
      </c>
      <c r="I5" s="33">
        <v>0</v>
      </c>
      <c r="J5" s="34">
        <v>1E-119</v>
      </c>
      <c r="K5" s="35">
        <f>$K$4*J5</f>
        <v>1E-264</v>
      </c>
      <c r="M5" s="96">
        <f t="shared" si="0"/>
        <v>45495</v>
      </c>
    </row>
    <row r="6" spans="2:13" outlineLevel="2" x14ac:dyDescent="0.3">
      <c r="B6" s="29"/>
      <c r="C6" s="30"/>
      <c r="D6" s="30"/>
      <c r="E6" s="30" t="s">
        <v>15</v>
      </c>
      <c r="F6" s="31">
        <v>0</v>
      </c>
      <c r="G6" s="32">
        <v>45835</v>
      </c>
      <c r="H6" s="32">
        <v>45835</v>
      </c>
      <c r="I6" s="33">
        <v>0</v>
      </c>
      <c r="J6" s="34">
        <v>1E-119</v>
      </c>
      <c r="K6" s="35">
        <f>$K$4*J6</f>
        <v>1E-264</v>
      </c>
      <c r="M6" s="96">
        <f t="shared" si="0"/>
        <v>45502</v>
      </c>
    </row>
    <row r="7" spans="2:13" outlineLevel="2" x14ac:dyDescent="0.3">
      <c r="B7" s="29"/>
      <c r="C7" s="30"/>
      <c r="D7" s="30"/>
      <c r="E7" s="30" t="s">
        <v>16</v>
      </c>
      <c r="F7" s="31">
        <v>25</v>
      </c>
      <c r="G7" s="32">
        <v>45474</v>
      </c>
      <c r="H7" s="32">
        <v>45510</v>
      </c>
      <c r="I7" s="33">
        <v>25</v>
      </c>
      <c r="J7" s="34">
        <v>0.28735632183908044</v>
      </c>
      <c r="K7" s="35">
        <f>$K$4*J7</f>
        <v>2.8735632183908041E-146</v>
      </c>
      <c r="M7" s="96">
        <f t="shared" si="0"/>
        <v>45509</v>
      </c>
    </row>
    <row r="8" spans="2:13" outlineLevel="2" x14ac:dyDescent="0.3">
      <c r="B8" s="29"/>
      <c r="C8" s="30"/>
      <c r="D8" s="30"/>
      <c r="E8" s="30" t="s">
        <v>17</v>
      </c>
      <c r="F8" s="31">
        <v>22</v>
      </c>
      <c r="G8" s="32">
        <v>45474</v>
      </c>
      <c r="H8" s="32">
        <v>45505</v>
      </c>
      <c r="I8" s="33">
        <v>22</v>
      </c>
      <c r="J8" s="34">
        <v>0.25287356321839083</v>
      </c>
      <c r="K8" s="35">
        <f>$K$4*J8</f>
        <v>2.528735632183908E-146</v>
      </c>
      <c r="M8" s="96">
        <f t="shared" si="0"/>
        <v>45516</v>
      </c>
    </row>
    <row r="9" spans="2:13" outlineLevel="2" x14ac:dyDescent="0.3">
      <c r="B9" s="29"/>
      <c r="C9" s="30"/>
      <c r="D9" s="30"/>
      <c r="E9" s="30" t="s">
        <v>18</v>
      </c>
      <c r="F9" s="31">
        <v>40</v>
      </c>
      <c r="G9" s="32">
        <v>45482</v>
      </c>
      <c r="H9" s="32">
        <v>45538</v>
      </c>
      <c r="I9" s="33">
        <v>40</v>
      </c>
      <c r="J9" s="34">
        <v>0.45977011494252873</v>
      </c>
      <c r="K9" s="35">
        <f>$K$4*J9</f>
        <v>4.5977011494252867E-146</v>
      </c>
      <c r="M9" s="96">
        <f t="shared" si="0"/>
        <v>45523</v>
      </c>
    </row>
    <row r="10" spans="2:13" ht="16.8" x14ac:dyDescent="0.3">
      <c r="B10" s="15"/>
      <c r="C10" s="16" t="s">
        <v>19</v>
      </c>
      <c r="D10" s="16"/>
      <c r="E10" s="16"/>
      <c r="F10" s="17">
        <v>217</v>
      </c>
      <c r="G10" s="18">
        <v>45489</v>
      </c>
      <c r="H10" s="18">
        <v>45828</v>
      </c>
      <c r="I10" s="19">
        <v>1775</v>
      </c>
      <c r="J10" s="20">
        <v>0.77282549416377599</v>
      </c>
      <c r="K10" s="21">
        <f>J10*J2</f>
        <v>0.77282549416377599</v>
      </c>
      <c r="M10" s="96">
        <f t="shared" si="0"/>
        <v>45530</v>
      </c>
    </row>
    <row r="11" spans="2:13" ht="15" outlineLevel="1" x14ac:dyDescent="0.3">
      <c r="B11" s="22"/>
      <c r="C11" s="23"/>
      <c r="D11" s="23" t="s">
        <v>13</v>
      </c>
      <c r="E11" s="23"/>
      <c r="F11" s="24">
        <v>55</v>
      </c>
      <c r="G11" s="25">
        <v>45489</v>
      </c>
      <c r="H11" s="25">
        <v>45566</v>
      </c>
      <c r="I11" s="26">
        <v>75</v>
      </c>
      <c r="J11" s="27">
        <v>0.02</v>
      </c>
      <c r="K11" s="28">
        <f>J11*$J$10</f>
        <v>1.5456509883275521E-2</v>
      </c>
      <c r="M11" s="96">
        <f t="shared" si="0"/>
        <v>45537</v>
      </c>
    </row>
    <row r="12" spans="2:13" outlineLevel="2" x14ac:dyDescent="0.3">
      <c r="B12" s="29"/>
      <c r="C12" s="30"/>
      <c r="D12" s="30"/>
      <c r="E12" s="30" t="s">
        <v>20</v>
      </c>
      <c r="F12" s="31">
        <v>20</v>
      </c>
      <c r="G12" s="32">
        <v>45489</v>
      </c>
      <c r="H12" s="32">
        <v>45517</v>
      </c>
      <c r="I12" s="33">
        <v>20</v>
      </c>
      <c r="J12" s="34">
        <v>0.26666666666666666</v>
      </c>
      <c r="K12" s="35">
        <f>J12*$K$11</f>
        <v>4.1217359688734724E-3</v>
      </c>
      <c r="M12" s="96">
        <f t="shared" si="0"/>
        <v>45544</v>
      </c>
    </row>
    <row r="13" spans="2:13" outlineLevel="2" x14ac:dyDescent="0.3">
      <c r="B13" s="29"/>
      <c r="C13" s="30"/>
      <c r="D13" s="30"/>
      <c r="E13" s="30" t="s">
        <v>21</v>
      </c>
      <c r="F13" s="31">
        <v>55</v>
      </c>
      <c r="G13" s="32">
        <v>45489</v>
      </c>
      <c r="H13" s="32">
        <v>45566</v>
      </c>
      <c r="I13" s="33">
        <v>55</v>
      </c>
      <c r="J13" s="34">
        <v>0.73333333333333328</v>
      </c>
      <c r="K13" s="35">
        <f>J13*$K$11</f>
        <v>1.1334773914402048E-2</v>
      </c>
      <c r="M13" s="96">
        <f t="shared" si="0"/>
        <v>45551</v>
      </c>
    </row>
    <row r="14" spans="2:13" ht="15" outlineLevel="1" x14ac:dyDescent="0.3">
      <c r="B14" s="22"/>
      <c r="C14" s="23"/>
      <c r="D14" s="23" t="s">
        <v>22</v>
      </c>
      <c r="E14" s="23"/>
      <c r="F14" s="24">
        <v>105</v>
      </c>
      <c r="G14" s="25">
        <v>45489</v>
      </c>
      <c r="H14" s="25">
        <v>45636</v>
      </c>
      <c r="I14" s="26">
        <v>195</v>
      </c>
      <c r="J14" s="27">
        <v>0.20327658227712506</v>
      </c>
      <c r="K14" s="28">
        <f>J14*$J$10</f>
        <v>0.15709732515024263</v>
      </c>
      <c r="M14" s="96">
        <f t="shared" si="0"/>
        <v>45558</v>
      </c>
    </row>
    <row r="15" spans="2:13" outlineLevel="2" x14ac:dyDescent="0.3">
      <c r="B15" s="29"/>
      <c r="C15" s="30"/>
      <c r="D15" s="30"/>
      <c r="E15" s="30" t="s">
        <v>23</v>
      </c>
      <c r="F15" s="31">
        <v>10</v>
      </c>
      <c r="G15" s="32">
        <v>45518</v>
      </c>
      <c r="H15" s="32">
        <v>45531</v>
      </c>
      <c r="I15" s="33">
        <v>10</v>
      </c>
      <c r="J15" s="34">
        <v>0.05</v>
      </c>
      <c r="K15" s="35">
        <f t="shared" ref="K15:K20" si="1">J15*$K$14</f>
        <v>7.8548662575121317E-3</v>
      </c>
      <c r="M15" s="96">
        <f t="shared" si="0"/>
        <v>45565</v>
      </c>
    </row>
    <row r="16" spans="2:13" outlineLevel="2" x14ac:dyDescent="0.3">
      <c r="B16" s="29"/>
      <c r="C16" s="30"/>
      <c r="D16" s="30"/>
      <c r="E16" s="30" t="s">
        <v>24</v>
      </c>
      <c r="F16" s="31">
        <v>40</v>
      </c>
      <c r="G16" s="32">
        <v>45532</v>
      </c>
      <c r="H16" s="32">
        <v>45587</v>
      </c>
      <c r="I16" s="33">
        <v>40</v>
      </c>
      <c r="J16" s="34">
        <v>0.08</v>
      </c>
      <c r="K16" s="35">
        <f t="shared" si="1"/>
        <v>1.2567786012019411E-2</v>
      </c>
      <c r="M16" s="96">
        <f t="shared" si="0"/>
        <v>45572</v>
      </c>
    </row>
    <row r="17" spans="2:13" outlineLevel="2" x14ac:dyDescent="0.3">
      <c r="B17" s="29"/>
      <c r="C17" s="30"/>
      <c r="D17" s="30"/>
      <c r="E17" s="30" t="s">
        <v>25</v>
      </c>
      <c r="F17" s="31">
        <v>40</v>
      </c>
      <c r="G17" s="32">
        <v>45489</v>
      </c>
      <c r="H17" s="32">
        <v>45545</v>
      </c>
      <c r="I17" s="33">
        <v>40</v>
      </c>
      <c r="J17" s="34">
        <v>0.2</v>
      </c>
      <c r="K17" s="35">
        <f t="shared" si="1"/>
        <v>3.1419465030048527E-2</v>
      </c>
      <c r="M17" s="96">
        <f t="shared" si="0"/>
        <v>45579</v>
      </c>
    </row>
    <row r="18" spans="2:13" outlineLevel="2" x14ac:dyDescent="0.3">
      <c r="B18" s="29"/>
      <c r="C18" s="30"/>
      <c r="D18" s="30"/>
      <c r="E18" s="30" t="s">
        <v>26</v>
      </c>
      <c r="F18" s="31">
        <v>35</v>
      </c>
      <c r="G18" s="32">
        <v>45560</v>
      </c>
      <c r="H18" s="32">
        <v>45608</v>
      </c>
      <c r="I18" s="33">
        <v>35</v>
      </c>
      <c r="J18" s="34">
        <v>0.4</v>
      </c>
      <c r="K18" s="35">
        <f t="shared" si="1"/>
        <v>6.2838930060097054E-2</v>
      </c>
      <c r="M18" s="96">
        <f t="shared" si="0"/>
        <v>45586</v>
      </c>
    </row>
    <row r="19" spans="2:13" outlineLevel="2" x14ac:dyDescent="0.3">
      <c r="B19" s="29"/>
      <c r="C19" s="30"/>
      <c r="D19" s="30"/>
      <c r="E19" s="30" t="s">
        <v>27</v>
      </c>
      <c r="F19" s="31">
        <v>35</v>
      </c>
      <c r="G19" s="32">
        <v>45574</v>
      </c>
      <c r="H19" s="32">
        <v>45622</v>
      </c>
      <c r="I19" s="33">
        <v>35</v>
      </c>
      <c r="J19" s="34">
        <v>0.12</v>
      </c>
      <c r="K19" s="35">
        <f t="shared" si="1"/>
        <v>1.8851679018029116E-2</v>
      </c>
      <c r="M19" s="96">
        <f t="shared" si="0"/>
        <v>45593</v>
      </c>
    </row>
    <row r="20" spans="2:13" outlineLevel="2" x14ac:dyDescent="0.3">
      <c r="B20" s="29"/>
      <c r="C20" s="30"/>
      <c r="D20" s="30"/>
      <c r="E20" s="30" t="s">
        <v>28</v>
      </c>
      <c r="F20" s="31">
        <v>35</v>
      </c>
      <c r="G20" s="32">
        <v>45588</v>
      </c>
      <c r="H20" s="32">
        <v>45636</v>
      </c>
      <c r="I20" s="33">
        <v>35</v>
      </c>
      <c r="J20" s="34">
        <v>0.15</v>
      </c>
      <c r="K20" s="35">
        <f t="shared" si="1"/>
        <v>2.3564598772536395E-2</v>
      </c>
      <c r="M20" s="96">
        <f t="shared" si="0"/>
        <v>45600</v>
      </c>
    </row>
    <row r="21" spans="2:13" ht="15" outlineLevel="1" x14ac:dyDescent="0.3">
      <c r="B21" s="22"/>
      <c r="C21" s="23"/>
      <c r="D21" s="23" t="s">
        <v>29</v>
      </c>
      <c r="E21" s="23"/>
      <c r="F21" s="24">
        <v>60</v>
      </c>
      <c r="G21" s="25">
        <v>45539</v>
      </c>
      <c r="H21" s="25">
        <v>45622</v>
      </c>
      <c r="I21" s="26">
        <v>60</v>
      </c>
      <c r="J21" s="27">
        <v>6.2393862231159891E-2</v>
      </c>
      <c r="K21" s="28">
        <f>J21*$J$10</f>
        <v>4.8219567411582703E-2</v>
      </c>
      <c r="M21" s="96">
        <f t="shared" si="0"/>
        <v>45607</v>
      </c>
    </row>
    <row r="22" spans="2:13" outlineLevel="2" x14ac:dyDescent="0.3">
      <c r="B22" s="36"/>
      <c r="C22" s="37"/>
      <c r="D22" s="37"/>
      <c r="E22" s="37" t="s">
        <v>30</v>
      </c>
      <c r="F22" s="31">
        <v>60</v>
      </c>
      <c r="G22" s="32">
        <v>45539</v>
      </c>
      <c r="H22" s="32">
        <v>45622</v>
      </c>
      <c r="I22" s="33">
        <v>60</v>
      </c>
      <c r="J22" s="34">
        <v>1</v>
      </c>
      <c r="K22" s="35">
        <f>J22*$K$21</f>
        <v>4.8219567411582703E-2</v>
      </c>
      <c r="M22" s="96">
        <f t="shared" si="0"/>
        <v>45614</v>
      </c>
    </row>
    <row r="23" spans="2:13" ht="15" outlineLevel="1" x14ac:dyDescent="0.3">
      <c r="B23" s="22"/>
      <c r="C23" s="23"/>
      <c r="D23" s="23" t="s">
        <v>31</v>
      </c>
      <c r="E23" s="23"/>
      <c r="F23" s="24">
        <v>183</v>
      </c>
      <c r="G23" s="25">
        <v>45489</v>
      </c>
      <c r="H23" s="25">
        <v>45782</v>
      </c>
      <c r="I23" s="26">
        <v>320</v>
      </c>
      <c r="J23" s="27">
        <v>0.12500840447381109</v>
      </c>
      <c r="K23" s="28">
        <f>J23*$J$10</f>
        <v>9.6609681962098237E-2</v>
      </c>
      <c r="M23" s="96">
        <f t="shared" si="0"/>
        <v>45621</v>
      </c>
    </row>
    <row r="24" spans="2:13" outlineLevel="2" x14ac:dyDescent="0.3">
      <c r="B24" s="29"/>
      <c r="C24" s="30"/>
      <c r="D24" s="30"/>
      <c r="E24" s="30" t="s">
        <v>32</v>
      </c>
      <c r="F24" s="31">
        <v>30</v>
      </c>
      <c r="G24" s="32">
        <v>45518</v>
      </c>
      <c r="H24" s="32">
        <v>45559</v>
      </c>
      <c r="I24" s="33">
        <v>30</v>
      </c>
      <c r="J24" s="34">
        <v>0.05</v>
      </c>
      <c r="K24" s="35">
        <f>J24*$K$23</f>
        <v>4.8304840981049126E-3</v>
      </c>
      <c r="M24" s="96">
        <f t="shared" si="0"/>
        <v>45628</v>
      </c>
    </row>
    <row r="25" spans="2:13" outlineLevel="2" x14ac:dyDescent="0.3">
      <c r="B25" s="36"/>
      <c r="C25" s="37"/>
      <c r="D25" s="37"/>
      <c r="E25" s="37" t="s">
        <v>33</v>
      </c>
      <c r="F25" s="31">
        <v>55</v>
      </c>
      <c r="G25" s="32">
        <v>45489</v>
      </c>
      <c r="H25" s="32">
        <v>45566</v>
      </c>
      <c r="I25" s="33">
        <v>55</v>
      </c>
      <c r="J25" s="34">
        <v>0.21</v>
      </c>
      <c r="K25" s="35">
        <f t="shared" ref="K25:K30" si="2">J25*$K$23</f>
        <v>2.0288033212040629E-2</v>
      </c>
      <c r="M25" s="96">
        <f t="shared" si="0"/>
        <v>45635</v>
      </c>
    </row>
    <row r="26" spans="2:13" outlineLevel="2" x14ac:dyDescent="0.3">
      <c r="B26" s="36"/>
      <c r="C26" s="37"/>
      <c r="D26" s="37"/>
      <c r="E26" s="37" t="s">
        <v>34</v>
      </c>
      <c r="F26" s="31">
        <v>55</v>
      </c>
      <c r="G26" s="32">
        <v>45504</v>
      </c>
      <c r="H26" s="32">
        <v>45580</v>
      </c>
      <c r="I26" s="33">
        <v>55</v>
      </c>
      <c r="J26" s="34">
        <v>0.14000000000000001</v>
      </c>
      <c r="K26" s="35">
        <f t="shared" si="2"/>
        <v>1.3525355474693754E-2</v>
      </c>
      <c r="M26" s="96">
        <f t="shared" si="0"/>
        <v>45642</v>
      </c>
    </row>
    <row r="27" spans="2:13" outlineLevel="2" x14ac:dyDescent="0.3">
      <c r="B27" s="29"/>
      <c r="C27" s="30"/>
      <c r="D27" s="30"/>
      <c r="E27" s="30" t="s">
        <v>35</v>
      </c>
      <c r="F27" s="31">
        <v>40</v>
      </c>
      <c r="G27" s="32">
        <v>45670</v>
      </c>
      <c r="H27" s="32">
        <v>45727</v>
      </c>
      <c r="I27" s="33">
        <v>40</v>
      </c>
      <c r="J27" s="34">
        <v>0.3</v>
      </c>
      <c r="K27" s="35">
        <f t="shared" si="2"/>
        <v>2.8982904588629468E-2</v>
      </c>
      <c r="M27" s="96">
        <f t="shared" si="0"/>
        <v>45649</v>
      </c>
    </row>
    <row r="28" spans="2:13" outlineLevel="2" x14ac:dyDescent="0.3">
      <c r="B28" s="29"/>
      <c r="C28" s="30"/>
      <c r="D28" s="30"/>
      <c r="E28" s="30" t="s">
        <v>36</v>
      </c>
      <c r="F28" s="31">
        <v>55</v>
      </c>
      <c r="G28" s="32">
        <v>45698</v>
      </c>
      <c r="H28" s="32">
        <v>45782</v>
      </c>
      <c r="I28" s="33">
        <v>55</v>
      </c>
      <c r="J28" s="34">
        <v>0.1</v>
      </c>
      <c r="K28" s="35">
        <f t="shared" si="2"/>
        <v>9.6609681962098251E-3</v>
      </c>
      <c r="M28" s="96">
        <f t="shared" si="0"/>
        <v>45656</v>
      </c>
    </row>
    <row r="29" spans="2:13" outlineLevel="2" x14ac:dyDescent="0.3">
      <c r="B29" s="29"/>
      <c r="C29" s="30"/>
      <c r="D29" s="30"/>
      <c r="E29" s="30" t="s">
        <v>37</v>
      </c>
      <c r="F29" s="31">
        <v>55</v>
      </c>
      <c r="G29" s="32">
        <v>45602</v>
      </c>
      <c r="H29" s="32">
        <v>45706</v>
      </c>
      <c r="I29" s="33">
        <v>55</v>
      </c>
      <c r="J29" s="34">
        <v>0.1</v>
      </c>
      <c r="K29" s="35">
        <f t="shared" si="2"/>
        <v>9.6609681962098251E-3</v>
      </c>
      <c r="M29" s="96">
        <f t="shared" si="0"/>
        <v>45663</v>
      </c>
    </row>
    <row r="30" spans="2:13" outlineLevel="2" x14ac:dyDescent="0.3">
      <c r="B30" s="29"/>
      <c r="C30" s="30"/>
      <c r="D30" s="30"/>
      <c r="E30" s="30" t="s">
        <v>38</v>
      </c>
      <c r="F30" s="31">
        <v>30</v>
      </c>
      <c r="G30" s="32">
        <v>45581</v>
      </c>
      <c r="H30" s="32">
        <v>45622</v>
      </c>
      <c r="I30" s="33">
        <v>30</v>
      </c>
      <c r="J30" s="34">
        <v>0.1</v>
      </c>
      <c r="K30" s="35">
        <f t="shared" si="2"/>
        <v>9.6609681962098251E-3</v>
      </c>
      <c r="M30" s="96">
        <f t="shared" si="0"/>
        <v>45670</v>
      </c>
    </row>
    <row r="31" spans="2:13" ht="15" outlineLevel="1" x14ac:dyDescent="0.3">
      <c r="B31" s="22"/>
      <c r="C31" s="23"/>
      <c r="D31" s="23" t="s">
        <v>39</v>
      </c>
      <c r="E31" s="23"/>
      <c r="F31" s="24">
        <v>75</v>
      </c>
      <c r="G31" s="25">
        <v>45607</v>
      </c>
      <c r="H31" s="25">
        <v>45741</v>
      </c>
      <c r="I31" s="26">
        <v>75</v>
      </c>
      <c r="J31" s="27">
        <v>7.0220680011491288E-2</v>
      </c>
      <c r="K31" s="28">
        <f>J31*$J$10</f>
        <v>5.4268331730397142E-2</v>
      </c>
      <c r="M31" s="96">
        <f t="shared" si="0"/>
        <v>45677</v>
      </c>
    </row>
    <row r="32" spans="2:13" outlineLevel="2" x14ac:dyDescent="0.3">
      <c r="B32" s="29"/>
      <c r="C32" s="30"/>
      <c r="D32" s="30"/>
      <c r="E32" s="30" t="s">
        <v>40</v>
      </c>
      <c r="F32" s="31">
        <v>25</v>
      </c>
      <c r="G32" s="32">
        <v>45607</v>
      </c>
      <c r="H32" s="32">
        <v>45639</v>
      </c>
      <c r="I32" s="33">
        <v>25</v>
      </c>
      <c r="J32" s="34">
        <v>0.4</v>
      </c>
      <c r="K32" s="35">
        <f>J32*$K$31</f>
        <v>2.1707332692158857E-2</v>
      </c>
      <c r="M32" s="96">
        <f t="shared" si="0"/>
        <v>45684</v>
      </c>
    </row>
    <row r="33" spans="2:13" outlineLevel="2" x14ac:dyDescent="0.3">
      <c r="B33" s="29"/>
      <c r="C33" s="30"/>
      <c r="D33" s="30"/>
      <c r="E33" s="30" t="s">
        <v>41</v>
      </c>
      <c r="F33" s="31">
        <v>25</v>
      </c>
      <c r="G33" s="32">
        <v>45670</v>
      </c>
      <c r="H33" s="32">
        <v>45702</v>
      </c>
      <c r="I33" s="33">
        <v>25</v>
      </c>
      <c r="J33" s="34">
        <v>0.4</v>
      </c>
      <c r="K33" s="35">
        <f>J33*$K$31</f>
        <v>2.1707332692158857E-2</v>
      </c>
      <c r="M33" s="96">
        <f t="shared" si="0"/>
        <v>45691</v>
      </c>
    </row>
    <row r="34" spans="2:13" outlineLevel="2" x14ac:dyDescent="0.3">
      <c r="B34" s="29"/>
      <c r="C34" s="30"/>
      <c r="D34" s="30"/>
      <c r="E34" s="30" t="s">
        <v>42</v>
      </c>
      <c r="F34" s="31">
        <v>25</v>
      </c>
      <c r="G34" s="32">
        <v>45705</v>
      </c>
      <c r="H34" s="32">
        <v>45741</v>
      </c>
      <c r="I34" s="33">
        <v>25</v>
      </c>
      <c r="J34" s="34">
        <v>0.2</v>
      </c>
      <c r="K34" s="35">
        <f>J34*$K$31</f>
        <v>1.0853666346079429E-2</v>
      </c>
      <c r="M34" s="96">
        <f t="shared" si="0"/>
        <v>45698</v>
      </c>
    </row>
    <row r="35" spans="2:13" ht="15" outlineLevel="1" x14ac:dyDescent="0.3">
      <c r="B35" s="22"/>
      <c r="C35" s="23"/>
      <c r="D35" s="23" t="s">
        <v>43</v>
      </c>
      <c r="E35" s="23"/>
      <c r="F35" s="24">
        <v>90</v>
      </c>
      <c r="G35" s="25">
        <v>45574</v>
      </c>
      <c r="H35" s="25">
        <v>45729</v>
      </c>
      <c r="I35" s="26">
        <v>80</v>
      </c>
      <c r="J35" s="27">
        <v>0.202410671178782</v>
      </c>
      <c r="K35" s="28">
        <f>J35*$J$10</f>
        <v>0.15642812697776376</v>
      </c>
      <c r="M35" s="96">
        <f t="shared" si="0"/>
        <v>45705</v>
      </c>
    </row>
    <row r="36" spans="2:13" outlineLevel="2" x14ac:dyDescent="0.3">
      <c r="B36" s="29"/>
      <c r="C36" s="30"/>
      <c r="D36" s="30"/>
      <c r="E36" s="30" t="s">
        <v>44</v>
      </c>
      <c r="F36" s="31">
        <v>40</v>
      </c>
      <c r="G36" s="32">
        <v>45672</v>
      </c>
      <c r="H36" s="32">
        <v>45729</v>
      </c>
      <c r="I36" s="33">
        <v>40</v>
      </c>
      <c r="J36" s="34">
        <v>0.66666666666666663</v>
      </c>
      <c r="K36" s="35">
        <f>J36*$K$35</f>
        <v>0.10428541798517584</v>
      </c>
      <c r="M36" s="96">
        <f>M35+7</f>
        <v>45712</v>
      </c>
    </row>
    <row r="37" spans="2:13" outlineLevel="2" x14ac:dyDescent="0.3">
      <c r="B37" s="29"/>
      <c r="C37" s="30"/>
      <c r="D37" s="30"/>
      <c r="E37" s="30" t="s">
        <v>45</v>
      </c>
      <c r="F37" s="31">
        <v>40</v>
      </c>
      <c r="G37" s="32">
        <v>45574</v>
      </c>
      <c r="H37" s="32">
        <v>45629</v>
      </c>
      <c r="I37" s="33">
        <v>40</v>
      </c>
      <c r="J37" s="34">
        <v>0.33333333333333337</v>
      </c>
      <c r="K37" s="35">
        <f>J37*$K$35</f>
        <v>5.2142708992587924E-2</v>
      </c>
      <c r="M37" s="96">
        <f t="shared" ref="M37:M100" si="3">M36+7</f>
        <v>45719</v>
      </c>
    </row>
    <row r="38" spans="2:13" ht="15" outlineLevel="1" x14ac:dyDescent="0.3">
      <c r="B38" s="22"/>
      <c r="C38" s="23"/>
      <c r="D38" s="23" t="s">
        <v>46</v>
      </c>
      <c r="E38" s="23"/>
      <c r="F38" s="24">
        <v>40</v>
      </c>
      <c r="G38" s="25">
        <v>45702</v>
      </c>
      <c r="H38" s="25">
        <v>45762</v>
      </c>
      <c r="I38" s="26">
        <v>40</v>
      </c>
      <c r="J38" s="27">
        <v>3.8913408890165695E-2</v>
      </c>
      <c r="K38" s="28">
        <f>J38*$J$10</f>
        <v>3.0073274455139378E-2</v>
      </c>
      <c r="M38" s="96">
        <f t="shared" si="3"/>
        <v>45726</v>
      </c>
    </row>
    <row r="39" spans="2:13" outlineLevel="2" x14ac:dyDescent="0.3">
      <c r="B39" s="29"/>
      <c r="C39" s="30"/>
      <c r="D39" s="30"/>
      <c r="E39" s="30" t="s">
        <v>47</v>
      </c>
      <c r="F39" s="31"/>
      <c r="G39" s="38"/>
      <c r="H39" s="38"/>
      <c r="I39" s="33"/>
      <c r="J39" s="34">
        <v>1</v>
      </c>
      <c r="K39" s="35">
        <f>EDT[[#This Row],[Pesos]]*$K$38</f>
        <v>3.0073274455139378E-2</v>
      </c>
      <c r="M39" s="96">
        <f t="shared" si="3"/>
        <v>45733</v>
      </c>
    </row>
    <row r="40" spans="2:13" ht="15" outlineLevel="1" x14ac:dyDescent="0.3">
      <c r="B40" s="22"/>
      <c r="C40" s="23"/>
      <c r="D40" s="23" t="s">
        <v>48</v>
      </c>
      <c r="E40" s="23"/>
      <c r="F40" s="24">
        <v>120</v>
      </c>
      <c r="G40" s="25">
        <v>45611</v>
      </c>
      <c r="H40" s="25">
        <v>45814</v>
      </c>
      <c r="I40" s="26">
        <v>190</v>
      </c>
      <c r="J40" s="27">
        <v>5.1069782162212127E-2</v>
      </c>
      <c r="K40" s="28">
        <f>J40*$J$10</f>
        <v>3.9468029636347976E-2</v>
      </c>
      <c r="M40" s="96">
        <f t="shared" si="3"/>
        <v>45740</v>
      </c>
    </row>
    <row r="41" spans="2:13" outlineLevel="2" x14ac:dyDescent="0.3">
      <c r="B41" s="29"/>
      <c r="C41" s="30"/>
      <c r="D41" s="30"/>
      <c r="E41" s="30" t="s">
        <v>49</v>
      </c>
      <c r="F41" s="31">
        <v>50</v>
      </c>
      <c r="G41" s="32">
        <v>45611</v>
      </c>
      <c r="H41" s="32">
        <v>45708</v>
      </c>
      <c r="I41" s="33">
        <v>50</v>
      </c>
      <c r="J41" s="34">
        <v>0.25</v>
      </c>
      <c r="K41" s="35">
        <f>J41*$K$40</f>
        <v>9.867007409086994E-3</v>
      </c>
      <c r="M41" s="96">
        <f t="shared" si="3"/>
        <v>45747</v>
      </c>
    </row>
    <row r="42" spans="2:13" outlineLevel="2" x14ac:dyDescent="0.3">
      <c r="B42" s="29"/>
      <c r="C42" s="30"/>
      <c r="D42" s="30"/>
      <c r="E42" s="30" t="s">
        <v>50</v>
      </c>
      <c r="F42" s="31">
        <v>50</v>
      </c>
      <c r="G42" s="32">
        <v>45674</v>
      </c>
      <c r="H42" s="32">
        <v>45748</v>
      </c>
      <c r="I42" s="33">
        <v>50</v>
      </c>
      <c r="J42" s="34">
        <v>0.25</v>
      </c>
      <c r="K42" s="35">
        <f>J42*$K$40</f>
        <v>9.867007409086994E-3</v>
      </c>
      <c r="M42" s="96">
        <f t="shared" si="3"/>
        <v>45754</v>
      </c>
    </row>
    <row r="43" spans="2:13" outlineLevel="2" x14ac:dyDescent="0.3">
      <c r="B43" s="29"/>
      <c r="C43" s="30"/>
      <c r="D43" s="30"/>
      <c r="E43" s="30" t="s">
        <v>51</v>
      </c>
      <c r="F43" s="31">
        <v>40</v>
      </c>
      <c r="G43" s="32">
        <v>45709</v>
      </c>
      <c r="H43" s="32">
        <v>45771</v>
      </c>
      <c r="I43" s="33">
        <v>40</v>
      </c>
      <c r="J43" s="34">
        <v>0.2</v>
      </c>
      <c r="K43" s="35">
        <f>J43*$K$40</f>
        <v>7.8936059272695959E-3</v>
      </c>
      <c r="M43" s="96">
        <f t="shared" si="3"/>
        <v>45761</v>
      </c>
    </row>
    <row r="44" spans="2:13" outlineLevel="2" x14ac:dyDescent="0.3">
      <c r="B44" s="29"/>
      <c r="C44" s="30"/>
      <c r="D44" s="30"/>
      <c r="E44" s="30" t="s">
        <v>52</v>
      </c>
      <c r="F44" s="31">
        <v>50</v>
      </c>
      <c r="G44" s="32">
        <v>45741</v>
      </c>
      <c r="H44" s="32">
        <v>45814</v>
      </c>
      <c r="I44" s="33">
        <v>50</v>
      </c>
      <c r="J44" s="34">
        <v>0.3</v>
      </c>
      <c r="K44" s="35">
        <f>J44*$K$40</f>
        <v>1.1840408890904392E-2</v>
      </c>
      <c r="M44" s="96">
        <f t="shared" si="3"/>
        <v>45768</v>
      </c>
    </row>
    <row r="45" spans="2:13" ht="15" outlineLevel="1" x14ac:dyDescent="0.3">
      <c r="B45" s="22"/>
      <c r="C45" s="23"/>
      <c r="D45" s="23" t="s">
        <v>53</v>
      </c>
      <c r="E45" s="23"/>
      <c r="F45" s="24">
        <v>133</v>
      </c>
      <c r="G45" s="25">
        <v>45532</v>
      </c>
      <c r="H45" s="25">
        <v>45749</v>
      </c>
      <c r="I45" s="26">
        <v>140</v>
      </c>
      <c r="J45" s="27">
        <v>7.2801604358898139E-2</v>
      </c>
      <c r="K45" s="28">
        <f>J45*$J$10</f>
        <v>5.6262935864581164E-2</v>
      </c>
      <c r="M45" s="96">
        <f t="shared" si="3"/>
        <v>45775</v>
      </c>
    </row>
    <row r="46" spans="2:13" outlineLevel="2" x14ac:dyDescent="0.3">
      <c r="B46" s="29"/>
      <c r="C46" s="30"/>
      <c r="D46" s="30"/>
      <c r="E46" s="30" t="s">
        <v>54</v>
      </c>
      <c r="F46" s="31">
        <v>10</v>
      </c>
      <c r="G46" s="32">
        <v>45677</v>
      </c>
      <c r="H46" s="32">
        <v>45688</v>
      </c>
      <c r="I46" s="33">
        <v>10</v>
      </c>
      <c r="J46" s="34">
        <v>0.13300000000000001</v>
      </c>
      <c r="K46" s="35">
        <f>J46*$K$45</f>
        <v>7.4829704699892951E-3</v>
      </c>
      <c r="M46" s="96">
        <f t="shared" si="3"/>
        <v>45782</v>
      </c>
    </row>
    <row r="47" spans="2:13" outlineLevel="2" x14ac:dyDescent="0.3">
      <c r="B47" s="29"/>
      <c r="C47" s="30"/>
      <c r="D47" s="30"/>
      <c r="E47" s="30" t="s">
        <v>55</v>
      </c>
      <c r="F47" s="31">
        <v>20</v>
      </c>
      <c r="G47" s="32">
        <v>45532</v>
      </c>
      <c r="H47" s="32">
        <v>45559</v>
      </c>
      <c r="I47" s="33">
        <v>20</v>
      </c>
      <c r="J47" s="34">
        <v>6.7000000000000004E-2</v>
      </c>
      <c r="K47" s="35">
        <f t="shared" ref="K47:K54" si="4">J47*$K$45</f>
        <v>3.7696167029269384E-3</v>
      </c>
      <c r="M47" s="96">
        <f t="shared" si="3"/>
        <v>45789</v>
      </c>
    </row>
    <row r="48" spans="2:13" outlineLevel="2" x14ac:dyDescent="0.3">
      <c r="B48" s="29"/>
      <c r="C48" s="30"/>
      <c r="D48" s="30"/>
      <c r="E48" s="30" t="s">
        <v>56</v>
      </c>
      <c r="F48" s="31">
        <v>10</v>
      </c>
      <c r="G48" s="32">
        <v>45677</v>
      </c>
      <c r="H48" s="32">
        <v>45688</v>
      </c>
      <c r="I48" s="33">
        <v>10</v>
      </c>
      <c r="J48" s="34">
        <v>6.7000000000000004E-2</v>
      </c>
      <c r="K48" s="35">
        <f t="shared" si="4"/>
        <v>3.7696167029269384E-3</v>
      </c>
      <c r="M48" s="96">
        <f t="shared" si="3"/>
        <v>45796</v>
      </c>
    </row>
    <row r="49" spans="2:13" outlineLevel="2" x14ac:dyDescent="0.3">
      <c r="B49" s="29"/>
      <c r="C49" s="30"/>
      <c r="D49" s="30"/>
      <c r="E49" s="30" t="s">
        <v>57</v>
      </c>
      <c r="F49" s="31">
        <v>15</v>
      </c>
      <c r="G49" s="32">
        <v>45691</v>
      </c>
      <c r="H49" s="32">
        <v>45709</v>
      </c>
      <c r="I49" s="33">
        <v>15</v>
      </c>
      <c r="J49" s="34">
        <v>0.13300000000000001</v>
      </c>
      <c r="K49" s="35">
        <f t="shared" si="4"/>
        <v>7.4829704699892951E-3</v>
      </c>
      <c r="M49" s="96">
        <f t="shared" si="3"/>
        <v>45803</v>
      </c>
    </row>
    <row r="50" spans="2:13" outlineLevel="2" x14ac:dyDescent="0.3">
      <c r="B50" s="29"/>
      <c r="C50" s="30"/>
      <c r="D50" s="30"/>
      <c r="E50" s="30" t="s">
        <v>58</v>
      </c>
      <c r="F50" s="31">
        <v>30</v>
      </c>
      <c r="G50" s="32">
        <v>45560</v>
      </c>
      <c r="H50" s="32">
        <v>45601</v>
      </c>
      <c r="I50" s="33">
        <v>30</v>
      </c>
      <c r="J50" s="34">
        <v>0.13</v>
      </c>
      <c r="K50" s="35">
        <f t="shared" si="4"/>
        <v>7.3141816623955519E-3</v>
      </c>
      <c r="M50" s="96">
        <f t="shared" si="3"/>
        <v>45810</v>
      </c>
    </row>
    <row r="51" spans="2:13" outlineLevel="2" x14ac:dyDescent="0.3">
      <c r="B51" s="29"/>
      <c r="C51" s="30"/>
      <c r="D51" s="30"/>
      <c r="E51" s="30" t="s">
        <v>59</v>
      </c>
      <c r="F51" s="31">
        <v>5</v>
      </c>
      <c r="G51" s="32">
        <v>45698</v>
      </c>
      <c r="H51" s="32">
        <v>45702</v>
      </c>
      <c r="I51" s="33">
        <v>5</v>
      </c>
      <c r="J51" s="34">
        <v>0.13300000000000001</v>
      </c>
      <c r="K51" s="35">
        <f t="shared" si="4"/>
        <v>7.4829704699892951E-3</v>
      </c>
      <c r="M51" s="96">
        <f t="shared" si="3"/>
        <v>45817</v>
      </c>
    </row>
    <row r="52" spans="2:13" outlineLevel="2" x14ac:dyDescent="0.3">
      <c r="B52" s="29"/>
      <c r="C52" s="30"/>
      <c r="D52" s="30"/>
      <c r="E52" s="30" t="s">
        <v>60</v>
      </c>
      <c r="F52" s="31">
        <v>20</v>
      </c>
      <c r="G52" s="32">
        <v>45721</v>
      </c>
      <c r="H52" s="32">
        <v>45749</v>
      </c>
      <c r="I52" s="33">
        <v>20</v>
      </c>
      <c r="J52" s="34">
        <v>0.20300000000000001</v>
      </c>
      <c r="K52" s="35">
        <f t="shared" si="4"/>
        <v>1.1421375980509976E-2</v>
      </c>
      <c r="M52" s="96">
        <f t="shared" si="3"/>
        <v>45824</v>
      </c>
    </row>
    <row r="53" spans="2:13" outlineLevel="2" x14ac:dyDescent="0.3">
      <c r="B53" s="29"/>
      <c r="C53" s="30"/>
      <c r="D53" s="30"/>
      <c r="E53" s="30" t="s">
        <v>61</v>
      </c>
      <c r="F53" s="31">
        <v>30</v>
      </c>
      <c r="G53" s="32">
        <v>45581</v>
      </c>
      <c r="H53" s="32">
        <v>45622</v>
      </c>
      <c r="I53" s="33">
        <v>30</v>
      </c>
      <c r="J53" s="34">
        <v>6.7000000000000004E-2</v>
      </c>
      <c r="K53" s="35">
        <f t="shared" si="4"/>
        <v>3.7696167029269384E-3</v>
      </c>
      <c r="M53" s="96">
        <f t="shared" si="3"/>
        <v>45831</v>
      </c>
    </row>
    <row r="54" spans="2:13" outlineLevel="2" x14ac:dyDescent="0.3">
      <c r="B54" s="29"/>
      <c r="C54" s="30"/>
      <c r="D54" s="30"/>
      <c r="E54" s="30" t="s">
        <v>62</v>
      </c>
      <c r="F54" s="31"/>
      <c r="G54" s="38"/>
      <c r="H54" s="38"/>
      <c r="I54" s="33"/>
      <c r="J54" s="34">
        <v>6.7000000000000004E-2</v>
      </c>
      <c r="K54" s="35">
        <f t="shared" si="4"/>
        <v>3.7696167029269384E-3</v>
      </c>
      <c r="M54" s="96">
        <f t="shared" si="3"/>
        <v>45838</v>
      </c>
    </row>
    <row r="55" spans="2:13" ht="15" outlineLevel="1" x14ac:dyDescent="0.3">
      <c r="B55" s="22"/>
      <c r="C55" s="23"/>
      <c r="D55" s="23" t="s">
        <v>63</v>
      </c>
      <c r="E55" s="23"/>
      <c r="F55" s="24">
        <v>106</v>
      </c>
      <c r="G55" s="25">
        <v>45576</v>
      </c>
      <c r="H55" s="25">
        <v>45756</v>
      </c>
      <c r="I55" s="26">
        <v>500</v>
      </c>
      <c r="J55" s="27">
        <v>9.3701133352485519E-2</v>
      </c>
      <c r="K55" s="28">
        <f>J55*$J$10</f>
        <v>7.2414624686840498E-2</v>
      </c>
      <c r="M55" s="96">
        <f t="shared" si="3"/>
        <v>45845</v>
      </c>
    </row>
    <row r="56" spans="2:13" outlineLevel="2" x14ac:dyDescent="0.3">
      <c r="B56" s="29"/>
      <c r="C56" s="30"/>
      <c r="D56" s="30"/>
      <c r="E56" s="30" t="s">
        <v>64</v>
      </c>
      <c r="F56" s="31">
        <v>30</v>
      </c>
      <c r="G56" s="32">
        <v>45576</v>
      </c>
      <c r="H56" s="32">
        <v>45617</v>
      </c>
      <c r="I56" s="33">
        <v>30</v>
      </c>
      <c r="J56" s="34">
        <v>0.06</v>
      </c>
      <c r="K56" s="35">
        <f>J56*$K$55</f>
        <v>4.3448774812104296E-3</v>
      </c>
      <c r="M56" s="96">
        <f t="shared" si="3"/>
        <v>45852</v>
      </c>
    </row>
    <row r="57" spans="2:13" outlineLevel="2" x14ac:dyDescent="0.3">
      <c r="B57" s="29"/>
      <c r="C57" s="30"/>
      <c r="D57" s="30"/>
      <c r="E57" s="30" t="s">
        <v>65</v>
      </c>
      <c r="F57" s="31">
        <v>10</v>
      </c>
      <c r="G57" s="32">
        <v>45743</v>
      </c>
      <c r="H57" s="32">
        <v>45756</v>
      </c>
      <c r="I57" s="33">
        <v>10</v>
      </c>
      <c r="J57" s="34">
        <v>0.02</v>
      </c>
      <c r="K57" s="35">
        <f t="shared" ref="K57:K68" si="5">J57*$K$55</f>
        <v>1.44829249373681E-3</v>
      </c>
      <c r="M57" s="96">
        <f t="shared" si="3"/>
        <v>45859</v>
      </c>
    </row>
    <row r="58" spans="2:13" outlineLevel="2" x14ac:dyDescent="0.3">
      <c r="B58" s="29"/>
      <c r="C58" s="30"/>
      <c r="D58" s="30"/>
      <c r="E58" s="30" t="s">
        <v>66</v>
      </c>
      <c r="F58" s="31">
        <v>40</v>
      </c>
      <c r="G58" s="32">
        <v>45590</v>
      </c>
      <c r="H58" s="32">
        <v>45673</v>
      </c>
      <c r="I58" s="33">
        <v>40</v>
      </c>
      <c r="J58" s="34">
        <v>0.08</v>
      </c>
      <c r="K58" s="35">
        <f t="shared" si="5"/>
        <v>5.7931699749472401E-3</v>
      </c>
      <c r="M58" s="96">
        <f t="shared" si="3"/>
        <v>45866</v>
      </c>
    </row>
    <row r="59" spans="2:13" outlineLevel="2" x14ac:dyDescent="0.3">
      <c r="B59" s="29"/>
      <c r="C59" s="30"/>
      <c r="D59" s="30"/>
      <c r="E59" s="30" t="s">
        <v>67</v>
      </c>
      <c r="F59" s="31">
        <v>30</v>
      </c>
      <c r="G59" s="32">
        <v>45583</v>
      </c>
      <c r="H59" s="32">
        <v>45624</v>
      </c>
      <c r="I59" s="33">
        <v>30</v>
      </c>
      <c r="J59" s="34">
        <v>0.06</v>
      </c>
      <c r="K59" s="35">
        <f t="shared" si="5"/>
        <v>4.3448774812104296E-3</v>
      </c>
      <c r="M59" s="96">
        <f t="shared" si="3"/>
        <v>45873</v>
      </c>
    </row>
    <row r="60" spans="2:13" outlineLevel="2" x14ac:dyDescent="0.3">
      <c r="B60" s="29"/>
      <c r="C60" s="30"/>
      <c r="D60" s="30"/>
      <c r="E60" s="30" t="s">
        <v>68</v>
      </c>
      <c r="F60" s="31">
        <v>30</v>
      </c>
      <c r="G60" s="32">
        <v>45625</v>
      </c>
      <c r="H60" s="32">
        <v>45694</v>
      </c>
      <c r="I60" s="33">
        <v>30</v>
      </c>
      <c r="J60" s="34">
        <v>0.06</v>
      </c>
      <c r="K60" s="35">
        <f t="shared" si="5"/>
        <v>4.3448774812104296E-3</v>
      </c>
      <c r="M60" s="96">
        <f t="shared" si="3"/>
        <v>45880</v>
      </c>
    </row>
    <row r="61" spans="2:13" outlineLevel="2" x14ac:dyDescent="0.3">
      <c r="B61" s="29"/>
      <c r="C61" s="30"/>
      <c r="D61" s="30"/>
      <c r="E61" s="30" t="s">
        <v>69</v>
      </c>
      <c r="F61" s="31">
        <v>60</v>
      </c>
      <c r="G61" s="32">
        <v>45590</v>
      </c>
      <c r="H61" s="32">
        <v>45701</v>
      </c>
      <c r="I61" s="33">
        <v>60</v>
      </c>
      <c r="J61" s="34">
        <v>0.12</v>
      </c>
      <c r="K61" s="35">
        <f t="shared" si="5"/>
        <v>8.6897549624208592E-3</v>
      </c>
      <c r="M61" s="96">
        <f t="shared" si="3"/>
        <v>45887</v>
      </c>
    </row>
    <row r="62" spans="2:13" outlineLevel="2" x14ac:dyDescent="0.3">
      <c r="B62" s="29"/>
      <c r="C62" s="30"/>
      <c r="D62" s="30"/>
      <c r="E62" s="30" t="s">
        <v>70</v>
      </c>
      <c r="F62" s="31">
        <v>20</v>
      </c>
      <c r="G62" s="32">
        <v>45618</v>
      </c>
      <c r="H62" s="32">
        <v>45673</v>
      </c>
      <c r="I62" s="33">
        <v>20</v>
      </c>
      <c r="J62" s="34">
        <v>0.04</v>
      </c>
      <c r="K62" s="35">
        <f t="shared" si="5"/>
        <v>2.89658498747362E-3</v>
      </c>
      <c r="M62" s="96">
        <f t="shared" si="3"/>
        <v>45894</v>
      </c>
    </row>
    <row r="63" spans="2:13" outlineLevel="2" x14ac:dyDescent="0.3">
      <c r="B63" s="29"/>
      <c r="C63" s="30"/>
      <c r="D63" s="30"/>
      <c r="E63" s="30" t="s">
        <v>71</v>
      </c>
      <c r="F63" s="31">
        <v>60</v>
      </c>
      <c r="G63" s="32">
        <v>45590</v>
      </c>
      <c r="H63" s="32">
        <v>45701</v>
      </c>
      <c r="I63" s="33">
        <v>60</v>
      </c>
      <c r="J63" s="34">
        <v>0.12</v>
      </c>
      <c r="K63" s="35">
        <f t="shared" si="5"/>
        <v>8.6897549624208592E-3</v>
      </c>
      <c r="M63" s="96">
        <f t="shared" si="3"/>
        <v>45901</v>
      </c>
    </row>
    <row r="64" spans="2:13" outlineLevel="2" x14ac:dyDescent="0.3">
      <c r="B64" s="29"/>
      <c r="C64" s="30"/>
      <c r="D64" s="30"/>
      <c r="E64" s="30" t="s">
        <v>72</v>
      </c>
      <c r="F64" s="31">
        <v>60</v>
      </c>
      <c r="G64" s="32">
        <v>45590</v>
      </c>
      <c r="H64" s="32">
        <v>45701</v>
      </c>
      <c r="I64" s="33">
        <v>60</v>
      </c>
      <c r="J64" s="34">
        <v>0.12</v>
      </c>
      <c r="K64" s="35">
        <f t="shared" si="5"/>
        <v>8.6897549624208592E-3</v>
      </c>
      <c r="M64" s="96">
        <f t="shared" si="3"/>
        <v>45908</v>
      </c>
    </row>
    <row r="65" spans="2:13" outlineLevel="2" x14ac:dyDescent="0.3">
      <c r="B65" s="29"/>
      <c r="C65" s="30"/>
      <c r="D65" s="30"/>
      <c r="E65" s="30" t="s">
        <v>73</v>
      </c>
      <c r="F65" s="31">
        <v>30</v>
      </c>
      <c r="G65" s="32">
        <v>45618</v>
      </c>
      <c r="H65" s="32">
        <v>45687</v>
      </c>
      <c r="I65" s="33">
        <v>30</v>
      </c>
      <c r="J65" s="34">
        <v>0.06</v>
      </c>
      <c r="K65" s="35">
        <f t="shared" si="5"/>
        <v>4.3448774812104296E-3</v>
      </c>
      <c r="M65" s="96">
        <f t="shared" si="3"/>
        <v>45915</v>
      </c>
    </row>
    <row r="66" spans="2:13" outlineLevel="2" x14ac:dyDescent="0.3">
      <c r="B66" s="29"/>
      <c r="C66" s="30"/>
      <c r="D66" s="30"/>
      <c r="E66" s="30" t="s">
        <v>74</v>
      </c>
      <c r="F66" s="31">
        <v>60</v>
      </c>
      <c r="G66" s="32">
        <v>45590</v>
      </c>
      <c r="H66" s="32">
        <v>45701</v>
      </c>
      <c r="I66" s="33">
        <v>60</v>
      </c>
      <c r="J66" s="34">
        <v>0.12</v>
      </c>
      <c r="K66" s="35">
        <f t="shared" si="5"/>
        <v>8.6897549624208592E-3</v>
      </c>
      <c r="M66" s="96">
        <f t="shared" si="3"/>
        <v>45922</v>
      </c>
    </row>
    <row r="67" spans="2:13" outlineLevel="2" x14ac:dyDescent="0.3">
      <c r="B67" s="29"/>
      <c r="C67" s="30"/>
      <c r="D67" s="30"/>
      <c r="E67" s="30" t="s">
        <v>75</v>
      </c>
      <c r="F67" s="31">
        <v>60</v>
      </c>
      <c r="G67" s="32">
        <v>45590</v>
      </c>
      <c r="H67" s="32">
        <v>45701</v>
      </c>
      <c r="I67" s="33">
        <v>60</v>
      </c>
      <c r="J67" s="34">
        <v>0.12</v>
      </c>
      <c r="K67" s="35">
        <f t="shared" si="5"/>
        <v>8.6897549624208592E-3</v>
      </c>
      <c r="M67" s="96">
        <f t="shared" si="3"/>
        <v>45929</v>
      </c>
    </row>
    <row r="68" spans="2:13" outlineLevel="2" x14ac:dyDescent="0.3">
      <c r="B68" s="29"/>
      <c r="C68" s="30"/>
      <c r="D68" s="30"/>
      <c r="E68" s="30" t="s">
        <v>76</v>
      </c>
      <c r="F68" s="31">
        <v>10</v>
      </c>
      <c r="G68" s="32">
        <v>45674</v>
      </c>
      <c r="H68" s="32">
        <v>45687</v>
      </c>
      <c r="I68" s="33">
        <v>10</v>
      </c>
      <c r="J68" s="34">
        <v>0.02</v>
      </c>
      <c r="K68" s="35">
        <f t="shared" si="5"/>
        <v>1.44829249373681E-3</v>
      </c>
      <c r="M68" s="96">
        <f t="shared" si="3"/>
        <v>45936</v>
      </c>
    </row>
    <row r="69" spans="2:13" ht="15" outlineLevel="1" x14ac:dyDescent="0.3">
      <c r="B69" s="22"/>
      <c r="C69" s="23"/>
      <c r="D69" s="23" t="s">
        <v>77</v>
      </c>
      <c r="E69" s="23"/>
      <c r="F69" s="24">
        <v>40</v>
      </c>
      <c r="G69" s="25">
        <v>45534</v>
      </c>
      <c r="H69" s="25">
        <v>45589</v>
      </c>
      <c r="I69" s="26">
        <v>40</v>
      </c>
      <c r="J69" s="27">
        <v>4.0203871063869114E-2</v>
      </c>
      <c r="K69" s="28">
        <f>J69*$J$10</f>
        <v>3.1070576522231382E-2</v>
      </c>
      <c r="M69" s="96">
        <f t="shared" si="3"/>
        <v>45943</v>
      </c>
    </row>
    <row r="70" spans="2:13" outlineLevel="2" x14ac:dyDescent="0.3">
      <c r="B70" s="29"/>
      <c r="C70" s="30"/>
      <c r="D70" s="30"/>
      <c r="E70" s="30" t="s">
        <v>78</v>
      </c>
      <c r="F70" s="31">
        <v>40</v>
      </c>
      <c r="G70" s="32">
        <v>45534</v>
      </c>
      <c r="H70" s="32">
        <v>45589</v>
      </c>
      <c r="I70" s="33">
        <v>40</v>
      </c>
      <c r="J70" s="34">
        <v>1</v>
      </c>
      <c r="K70" s="35">
        <f>J70*$K$69</f>
        <v>3.1070576522231382E-2</v>
      </c>
      <c r="M70" s="96">
        <f t="shared" si="3"/>
        <v>45950</v>
      </c>
    </row>
    <row r="71" spans="2:13" ht="15" outlineLevel="1" x14ac:dyDescent="0.3">
      <c r="B71" s="22"/>
      <c r="C71" s="23"/>
      <c r="D71" s="23" t="s">
        <v>79</v>
      </c>
      <c r="E71" s="23"/>
      <c r="F71" s="24">
        <v>60</v>
      </c>
      <c r="G71" s="25">
        <v>45741</v>
      </c>
      <c r="H71" s="25">
        <v>45828</v>
      </c>
      <c r="I71" s="26">
        <v>60</v>
      </c>
      <c r="J71" s="27">
        <v>0.02</v>
      </c>
      <c r="K71" s="28">
        <f>J71*$J$10</f>
        <v>1.5456509883275521E-2</v>
      </c>
      <c r="M71" s="96">
        <f t="shared" si="3"/>
        <v>45957</v>
      </c>
    </row>
    <row r="72" spans="2:13" outlineLevel="2" x14ac:dyDescent="0.3">
      <c r="B72" s="29"/>
      <c r="C72" s="30"/>
      <c r="D72" s="30"/>
      <c r="E72" s="30" t="s">
        <v>80</v>
      </c>
      <c r="F72" s="31">
        <v>45</v>
      </c>
      <c r="G72" s="32">
        <v>45741</v>
      </c>
      <c r="H72" s="32">
        <v>45807</v>
      </c>
      <c r="I72" s="33">
        <v>45</v>
      </c>
      <c r="J72" s="34">
        <v>0.75</v>
      </c>
      <c r="K72" s="35">
        <f>J72*$K$71</f>
        <v>1.159238241245664E-2</v>
      </c>
      <c r="M72" s="96">
        <f t="shared" si="3"/>
        <v>45964</v>
      </c>
    </row>
    <row r="73" spans="2:13" outlineLevel="2" x14ac:dyDescent="0.3">
      <c r="B73" s="29"/>
      <c r="C73" s="30"/>
      <c r="D73" s="30"/>
      <c r="E73" s="30" t="s">
        <v>81</v>
      </c>
      <c r="F73" s="31">
        <v>15</v>
      </c>
      <c r="G73" s="32">
        <v>45810</v>
      </c>
      <c r="H73" s="32">
        <v>45828</v>
      </c>
      <c r="I73" s="33">
        <v>15</v>
      </c>
      <c r="J73" s="34">
        <v>0.25</v>
      </c>
      <c r="K73" s="35">
        <f>J73*$K$71</f>
        <v>3.8641274708188802E-3</v>
      </c>
      <c r="M73" s="96">
        <f t="shared" si="3"/>
        <v>45971</v>
      </c>
    </row>
    <row r="74" spans="2:13" outlineLevel="2" x14ac:dyDescent="0.3">
      <c r="B74" s="29"/>
      <c r="C74" s="30"/>
      <c r="D74" s="30"/>
      <c r="E74" s="30" t="s">
        <v>82</v>
      </c>
      <c r="F74" s="31">
        <v>0</v>
      </c>
      <c r="G74" s="32">
        <v>45828</v>
      </c>
      <c r="H74" s="32">
        <v>45828</v>
      </c>
      <c r="I74" s="33">
        <v>0</v>
      </c>
      <c r="J74" s="34">
        <v>1E-119</v>
      </c>
      <c r="K74" s="35">
        <f>J74*$K$71</f>
        <v>1.545650988327552E-121</v>
      </c>
      <c r="M74" s="96">
        <f t="shared" si="3"/>
        <v>45978</v>
      </c>
    </row>
    <row r="75" spans="2:13" ht="16.8" x14ac:dyDescent="0.3">
      <c r="B75" s="15"/>
      <c r="C75" s="16" t="s">
        <v>83</v>
      </c>
      <c r="D75" s="16"/>
      <c r="E75" s="16"/>
      <c r="F75" s="17">
        <v>226</v>
      </c>
      <c r="G75" s="18">
        <v>45482</v>
      </c>
      <c r="H75" s="18">
        <v>45835</v>
      </c>
      <c r="I75" s="19">
        <v>818</v>
      </c>
      <c r="J75" s="20">
        <v>0.22717450583622398</v>
      </c>
      <c r="K75" s="21">
        <f>J75*J2</f>
        <v>0.22717450583622398</v>
      </c>
      <c r="M75" s="96">
        <f t="shared" si="3"/>
        <v>45985</v>
      </c>
    </row>
    <row r="76" spans="2:13" ht="15" outlineLevel="1" x14ac:dyDescent="0.3">
      <c r="B76" s="22"/>
      <c r="C76" s="23"/>
      <c r="D76" s="23" t="s">
        <v>13</v>
      </c>
      <c r="E76" s="23"/>
      <c r="F76" s="24">
        <v>101</v>
      </c>
      <c r="G76" s="25">
        <v>45506</v>
      </c>
      <c r="H76" s="25">
        <v>45674</v>
      </c>
      <c r="I76" s="26">
        <v>77</v>
      </c>
      <c r="J76" s="27">
        <v>0.02</v>
      </c>
      <c r="K76" s="28">
        <f>J76*$J$75</f>
        <v>4.5434901167244798E-3</v>
      </c>
      <c r="M76" s="96">
        <f t="shared" si="3"/>
        <v>45992</v>
      </c>
    </row>
    <row r="77" spans="2:13" outlineLevel="2" x14ac:dyDescent="0.3">
      <c r="B77" s="29"/>
      <c r="C77" s="30"/>
      <c r="D77" s="30"/>
      <c r="E77" s="30" t="s">
        <v>84</v>
      </c>
      <c r="F77" s="31">
        <v>7</v>
      </c>
      <c r="G77" s="32">
        <v>45534</v>
      </c>
      <c r="H77" s="32">
        <v>45544</v>
      </c>
      <c r="I77" s="33">
        <v>7</v>
      </c>
      <c r="J77" s="34">
        <v>9.0909090909090912E-2</v>
      </c>
      <c r="K77" s="35">
        <f t="shared" ref="K77:K82" si="6">J77*$K$76</f>
        <v>4.1304455606586181E-4</v>
      </c>
      <c r="M77" s="96">
        <f t="shared" si="3"/>
        <v>45999</v>
      </c>
    </row>
    <row r="78" spans="2:13" outlineLevel="2" x14ac:dyDescent="0.3">
      <c r="B78" s="29"/>
      <c r="C78" s="30"/>
      <c r="D78" s="30"/>
      <c r="E78" s="30" t="s">
        <v>85</v>
      </c>
      <c r="F78" s="31">
        <v>5</v>
      </c>
      <c r="G78" s="32">
        <v>45545</v>
      </c>
      <c r="H78" s="32">
        <v>45551</v>
      </c>
      <c r="I78" s="33">
        <v>5</v>
      </c>
      <c r="J78" s="34">
        <v>6.4935064935064929E-2</v>
      </c>
      <c r="K78" s="35">
        <f t="shared" si="6"/>
        <v>2.9503182576132983E-4</v>
      </c>
      <c r="M78" s="96">
        <f t="shared" si="3"/>
        <v>46006</v>
      </c>
    </row>
    <row r="79" spans="2:13" outlineLevel="2" x14ac:dyDescent="0.3">
      <c r="B79" s="29"/>
      <c r="C79" s="30"/>
      <c r="D79" s="30"/>
      <c r="E79" s="30" t="s">
        <v>86</v>
      </c>
      <c r="F79" s="31">
        <v>5</v>
      </c>
      <c r="G79" s="32">
        <v>45670</v>
      </c>
      <c r="H79" s="32">
        <v>45674</v>
      </c>
      <c r="I79" s="33">
        <v>5</v>
      </c>
      <c r="J79" s="34">
        <v>6.4935064935064929E-2</v>
      </c>
      <c r="K79" s="35">
        <f t="shared" si="6"/>
        <v>2.9503182576132983E-4</v>
      </c>
      <c r="M79" s="96">
        <f t="shared" si="3"/>
        <v>46013</v>
      </c>
    </row>
    <row r="80" spans="2:13" outlineLevel="2" x14ac:dyDescent="0.3">
      <c r="B80" s="29"/>
      <c r="C80" s="30"/>
      <c r="D80" s="30"/>
      <c r="E80" s="30" t="s">
        <v>87</v>
      </c>
      <c r="F80" s="31">
        <v>20</v>
      </c>
      <c r="G80" s="32">
        <v>45506</v>
      </c>
      <c r="H80" s="32">
        <v>45533</v>
      </c>
      <c r="I80" s="33">
        <v>20</v>
      </c>
      <c r="J80" s="34">
        <v>0.25974025974025972</v>
      </c>
      <c r="K80" s="35">
        <f t="shared" si="6"/>
        <v>1.1801273030453193E-3</v>
      </c>
      <c r="M80" s="96">
        <f t="shared" si="3"/>
        <v>46020</v>
      </c>
    </row>
    <row r="81" spans="2:13" outlineLevel="2" x14ac:dyDescent="0.3">
      <c r="B81" s="29"/>
      <c r="C81" s="30"/>
      <c r="D81" s="30"/>
      <c r="E81" s="30" t="s">
        <v>88</v>
      </c>
      <c r="F81" s="31">
        <v>20</v>
      </c>
      <c r="G81" s="32">
        <v>45614</v>
      </c>
      <c r="H81" s="32">
        <v>45639</v>
      </c>
      <c r="I81" s="33">
        <v>20</v>
      </c>
      <c r="J81" s="34">
        <v>0.25974025974025972</v>
      </c>
      <c r="K81" s="35">
        <f t="shared" si="6"/>
        <v>1.1801273030453193E-3</v>
      </c>
      <c r="M81" s="96">
        <f t="shared" si="3"/>
        <v>46027</v>
      </c>
    </row>
    <row r="82" spans="2:13" outlineLevel="2" x14ac:dyDescent="0.3">
      <c r="B82" s="29"/>
      <c r="C82" s="30"/>
      <c r="D82" s="30"/>
      <c r="E82" s="30" t="s">
        <v>89</v>
      </c>
      <c r="F82" s="31">
        <v>20</v>
      </c>
      <c r="G82" s="32">
        <v>45552</v>
      </c>
      <c r="H82" s="32">
        <v>45579</v>
      </c>
      <c r="I82" s="33">
        <v>20</v>
      </c>
      <c r="J82" s="34">
        <v>0.25974025974025972</v>
      </c>
      <c r="K82" s="35">
        <f t="shared" si="6"/>
        <v>1.1801273030453193E-3</v>
      </c>
      <c r="M82" s="96">
        <f t="shared" si="3"/>
        <v>46034</v>
      </c>
    </row>
    <row r="83" spans="2:13" ht="15" outlineLevel="1" x14ac:dyDescent="0.3">
      <c r="B83" s="22"/>
      <c r="C83" s="23"/>
      <c r="D83" s="23" t="s">
        <v>90</v>
      </c>
      <c r="E83" s="23"/>
      <c r="F83" s="24">
        <v>40</v>
      </c>
      <c r="G83" s="25">
        <v>45677</v>
      </c>
      <c r="H83" s="25">
        <v>45734</v>
      </c>
      <c r="I83" s="26">
        <v>40</v>
      </c>
      <c r="J83" s="27">
        <v>0.12778934594263763</v>
      </c>
      <c r="K83" s="28">
        <f>J83*$J$75</f>
        <v>2.9030481515652979E-2</v>
      </c>
      <c r="M83" s="96">
        <f t="shared" si="3"/>
        <v>46041</v>
      </c>
    </row>
    <row r="84" spans="2:13" outlineLevel="2" x14ac:dyDescent="0.3">
      <c r="B84" s="29"/>
      <c r="C84" s="30"/>
      <c r="D84" s="30"/>
      <c r="E84" s="30" t="s">
        <v>91</v>
      </c>
      <c r="F84" s="31">
        <v>40</v>
      </c>
      <c r="G84" s="32">
        <v>45677</v>
      </c>
      <c r="H84" s="32">
        <v>45734</v>
      </c>
      <c r="I84" s="33">
        <v>40</v>
      </c>
      <c r="J84" s="34">
        <v>1</v>
      </c>
      <c r="K84" s="35">
        <f>J84*$K$83</f>
        <v>2.9030481515652979E-2</v>
      </c>
      <c r="M84" s="96">
        <f t="shared" si="3"/>
        <v>46048</v>
      </c>
    </row>
    <row r="85" spans="2:13" ht="15" outlineLevel="1" x14ac:dyDescent="0.3">
      <c r="B85" s="22"/>
      <c r="C85" s="23"/>
      <c r="D85" s="23" t="s">
        <v>92</v>
      </c>
      <c r="E85" s="23"/>
      <c r="F85" s="24">
        <v>91</v>
      </c>
      <c r="G85" s="25">
        <v>45533</v>
      </c>
      <c r="H85" s="25">
        <v>45688</v>
      </c>
      <c r="I85" s="26">
        <v>160</v>
      </c>
      <c r="J85" s="27">
        <v>0.155778577090152</v>
      </c>
      <c r="K85" s="28">
        <f>J85*$J$75</f>
        <v>3.5388921270325405E-2</v>
      </c>
      <c r="M85" s="96">
        <f t="shared" si="3"/>
        <v>46055</v>
      </c>
    </row>
    <row r="86" spans="2:13" outlineLevel="2" x14ac:dyDescent="0.3">
      <c r="B86" s="29"/>
      <c r="C86" s="30"/>
      <c r="D86" s="30"/>
      <c r="E86" s="30" t="s">
        <v>93</v>
      </c>
      <c r="F86" s="31">
        <v>30</v>
      </c>
      <c r="G86" s="32">
        <v>45566</v>
      </c>
      <c r="H86" s="32">
        <v>45607</v>
      </c>
      <c r="I86" s="33">
        <v>30</v>
      </c>
      <c r="J86" s="34">
        <v>0.1875</v>
      </c>
      <c r="K86" s="35">
        <f>J86*$K$85</f>
        <v>6.6354227381860134E-3</v>
      </c>
      <c r="M86" s="96">
        <f t="shared" si="3"/>
        <v>46062</v>
      </c>
    </row>
    <row r="87" spans="2:13" outlineLevel="2" x14ac:dyDescent="0.3">
      <c r="B87" s="29"/>
      <c r="C87" s="30"/>
      <c r="D87" s="30"/>
      <c r="E87" s="30" t="s">
        <v>94</v>
      </c>
      <c r="F87" s="31">
        <v>10</v>
      </c>
      <c r="G87" s="32">
        <v>45608</v>
      </c>
      <c r="H87" s="32">
        <v>45621</v>
      </c>
      <c r="I87" s="33">
        <v>10</v>
      </c>
      <c r="J87" s="34">
        <v>6.25E-2</v>
      </c>
      <c r="K87" s="35">
        <f t="shared" ref="K87:K94" si="7">J87*$K$85</f>
        <v>2.2118075793953378E-3</v>
      </c>
      <c r="M87" s="96">
        <f t="shared" si="3"/>
        <v>46069</v>
      </c>
    </row>
    <row r="88" spans="2:13" outlineLevel="2" x14ac:dyDescent="0.3">
      <c r="B88" s="29"/>
      <c r="C88" s="30"/>
      <c r="D88" s="30"/>
      <c r="E88" s="30" t="s">
        <v>95</v>
      </c>
      <c r="F88" s="31">
        <v>10</v>
      </c>
      <c r="G88" s="32">
        <v>45552</v>
      </c>
      <c r="H88" s="32">
        <v>45565</v>
      </c>
      <c r="I88" s="33">
        <v>10</v>
      </c>
      <c r="J88" s="34">
        <v>6.25E-2</v>
      </c>
      <c r="K88" s="35">
        <f t="shared" si="7"/>
        <v>2.2118075793953378E-3</v>
      </c>
      <c r="M88" s="96">
        <f t="shared" si="3"/>
        <v>46076</v>
      </c>
    </row>
    <row r="89" spans="2:13" outlineLevel="2" x14ac:dyDescent="0.3">
      <c r="B89" s="29"/>
      <c r="C89" s="30"/>
      <c r="D89" s="30"/>
      <c r="E89" s="30" t="s">
        <v>96</v>
      </c>
      <c r="F89" s="31">
        <v>50</v>
      </c>
      <c r="G89" s="32">
        <v>45566</v>
      </c>
      <c r="H89" s="32">
        <v>45635</v>
      </c>
      <c r="I89" s="33">
        <v>50</v>
      </c>
      <c r="J89" s="34">
        <v>0.3125</v>
      </c>
      <c r="K89" s="35">
        <f t="shared" si="7"/>
        <v>1.1059037896976688E-2</v>
      </c>
      <c r="M89" s="96">
        <f t="shared" si="3"/>
        <v>46083</v>
      </c>
    </row>
    <row r="90" spans="2:13" outlineLevel="2" x14ac:dyDescent="0.3">
      <c r="B90" s="29"/>
      <c r="C90" s="30"/>
      <c r="D90" s="30"/>
      <c r="E90" s="30" t="s">
        <v>97</v>
      </c>
      <c r="F90" s="31">
        <v>10</v>
      </c>
      <c r="G90" s="32">
        <v>45636</v>
      </c>
      <c r="H90" s="32">
        <v>45677</v>
      </c>
      <c r="I90" s="33">
        <v>10</v>
      </c>
      <c r="J90" s="34">
        <v>6.25E-2</v>
      </c>
      <c r="K90" s="35">
        <f t="shared" si="7"/>
        <v>2.2118075793953378E-3</v>
      </c>
      <c r="M90" s="96">
        <f t="shared" si="3"/>
        <v>46090</v>
      </c>
    </row>
    <row r="91" spans="2:13" outlineLevel="2" x14ac:dyDescent="0.3">
      <c r="B91" s="29"/>
      <c r="C91" s="30"/>
      <c r="D91" s="30"/>
      <c r="E91" s="30" t="s">
        <v>98</v>
      </c>
      <c r="F91" s="31">
        <v>10</v>
      </c>
      <c r="G91" s="32">
        <v>45677</v>
      </c>
      <c r="H91" s="32">
        <v>45688</v>
      </c>
      <c r="I91" s="33">
        <v>10</v>
      </c>
      <c r="J91" s="34">
        <v>6.25E-2</v>
      </c>
      <c r="K91" s="35">
        <f t="shared" si="7"/>
        <v>2.2118075793953378E-3</v>
      </c>
      <c r="M91" s="96">
        <f t="shared" si="3"/>
        <v>46097</v>
      </c>
    </row>
    <row r="92" spans="2:13" outlineLevel="2" x14ac:dyDescent="0.3">
      <c r="B92" s="29"/>
      <c r="C92" s="30"/>
      <c r="D92" s="30"/>
      <c r="E92" s="30" t="s">
        <v>99</v>
      </c>
      <c r="F92" s="31">
        <v>30</v>
      </c>
      <c r="G92" s="32">
        <v>45566</v>
      </c>
      <c r="H92" s="32">
        <v>45607</v>
      </c>
      <c r="I92" s="33">
        <v>30</v>
      </c>
      <c r="J92" s="34">
        <v>0.1875</v>
      </c>
      <c r="K92" s="35">
        <f t="shared" si="7"/>
        <v>6.6354227381860134E-3</v>
      </c>
      <c r="M92" s="96">
        <f t="shared" si="3"/>
        <v>46104</v>
      </c>
    </row>
    <row r="93" spans="2:13" outlineLevel="2" x14ac:dyDescent="0.3">
      <c r="B93" s="29"/>
      <c r="C93" s="30"/>
      <c r="D93" s="30"/>
      <c r="E93" s="30" t="s">
        <v>100</v>
      </c>
      <c r="F93" s="31">
        <v>10</v>
      </c>
      <c r="G93" s="32">
        <v>45608</v>
      </c>
      <c r="H93" s="32">
        <v>45621</v>
      </c>
      <c r="I93" s="33">
        <v>10</v>
      </c>
      <c r="J93" s="34">
        <v>6.25E-2</v>
      </c>
      <c r="K93" s="35">
        <f t="shared" si="7"/>
        <v>2.2118075793953378E-3</v>
      </c>
      <c r="M93" s="96">
        <f t="shared" si="3"/>
        <v>46111</v>
      </c>
    </row>
    <row r="94" spans="2:13" outlineLevel="2" x14ac:dyDescent="0.3">
      <c r="B94" s="29"/>
      <c r="C94" s="30"/>
      <c r="D94" s="30"/>
      <c r="E94" s="30" t="s">
        <v>101</v>
      </c>
      <c r="F94" s="31">
        <v>0</v>
      </c>
      <c r="G94" s="32">
        <v>45533</v>
      </c>
      <c r="H94" s="32">
        <v>45533</v>
      </c>
      <c r="I94" s="33">
        <v>0</v>
      </c>
      <c r="J94" s="34">
        <v>1E-119</v>
      </c>
      <c r="K94" s="35">
        <f t="shared" si="7"/>
        <v>3.5388921270325404E-121</v>
      </c>
      <c r="M94" s="96">
        <f t="shared" si="3"/>
        <v>46118</v>
      </c>
    </row>
    <row r="95" spans="2:13" ht="15" outlineLevel="1" x14ac:dyDescent="0.3">
      <c r="B95" s="22"/>
      <c r="C95" s="23"/>
      <c r="D95" s="23" t="s">
        <v>102</v>
      </c>
      <c r="E95" s="23"/>
      <c r="F95" s="24">
        <v>84</v>
      </c>
      <c r="G95" s="25">
        <v>45573</v>
      </c>
      <c r="H95" s="25">
        <v>45716</v>
      </c>
      <c r="I95" s="26">
        <v>69</v>
      </c>
      <c r="J95" s="27">
        <v>2.9849192336063604E-2</v>
      </c>
      <c r="K95" s="28">
        <f>J95*$J$75</f>
        <v>6.7809755185556531E-3</v>
      </c>
      <c r="M95" s="96">
        <f t="shared" si="3"/>
        <v>46125</v>
      </c>
    </row>
    <row r="96" spans="2:13" outlineLevel="2" x14ac:dyDescent="0.3">
      <c r="B96" s="29"/>
      <c r="C96" s="30"/>
      <c r="D96" s="30"/>
      <c r="E96" s="30" t="s">
        <v>103</v>
      </c>
      <c r="F96" s="31">
        <v>9</v>
      </c>
      <c r="G96" s="32">
        <v>45573</v>
      </c>
      <c r="H96" s="32">
        <v>45583</v>
      </c>
      <c r="I96" s="33">
        <v>9</v>
      </c>
      <c r="J96" s="34">
        <v>0.13043478260869565</v>
      </c>
      <c r="K96" s="35">
        <f>J96*$K$95</f>
        <v>8.8447506763769386E-4</v>
      </c>
      <c r="M96" s="96">
        <f t="shared" si="3"/>
        <v>46132</v>
      </c>
    </row>
    <row r="97" spans="2:13" outlineLevel="2" x14ac:dyDescent="0.3">
      <c r="B97" s="29"/>
      <c r="C97" s="30"/>
      <c r="D97" s="30"/>
      <c r="E97" s="30" t="s">
        <v>104</v>
      </c>
      <c r="F97" s="31">
        <v>40</v>
      </c>
      <c r="G97" s="32">
        <v>45580</v>
      </c>
      <c r="H97" s="32">
        <v>45635</v>
      </c>
      <c r="I97" s="33">
        <v>40</v>
      </c>
      <c r="J97" s="34">
        <v>0.57971014492753625</v>
      </c>
      <c r="K97" s="35">
        <f>J97*$K$95</f>
        <v>3.9310003006119733E-3</v>
      </c>
      <c r="M97" s="96">
        <f t="shared" si="3"/>
        <v>46139</v>
      </c>
    </row>
    <row r="98" spans="2:13" outlineLevel="2" x14ac:dyDescent="0.3">
      <c r="B98" s="29"/>
      <c r="C98" s="30"/>
      <c r="D98" s="30"/>
      <c r="E98" s="30" t="s">
        <v>105</v>
      </c>
      <c r="F98" s="31">
        <v>5</v>
      </c>
      <c r="G98" s="32">
        <v>45691</v>
      </c>
      <c r="H98" s="32">
        <v>45695</v>
      </c>
      <c r="I98" s="33">
        <v>5</v>
      </c>
      <c r="J98" s="34">
        <v>7.2463768115942032E-2</v>
      </c>
      <c r="K98" s="35">
        <f>J98*$K$95</f>
        <v>4.9137503757649666E-4</v>
      </c>
      <c r="M98" s="96">
        <f t="shared" si="3"/>
        <v>46146</v>
      </c>
    </row>
    <row r="99" spans="2:13" outlineLevel="2" x14ac:dyDescent="0.3">
      <c r="B99" s="29"/>
      <c r="C99" s="30"/>
      <c r="D99" s="30"/>
      <c r="E99" s="30" t="s">
        <v>106</v>
      </c>
      <c r="F99" s="31">
        <v>15</v>
      </c>
      <c r="G99" s="32">
        <v>45698</v>
      </c>
      <c r="H99" s="32">
        <v>45716</v>
      </c>
      <c r="I99" s="33">
        <v>15</v>
      </c>
      <c r="J99" s="34">
        <v>0.21739130434782608</v>
      </c>
      <c r="K99" s="35">
        <f>J99*$K$95</f>
        <v>1.4741251127294898E-3</v>
      </c>
      <c r="M99" s="96">
        <f t="shared" si="3"/>
        <v>46153</v>
      </c>
    </row>
    <row r="100" spans="2:13" ht="15" outlineLevel="1" x14ac:dyDescent="0.3">
      <c r="B100" s="22"/>
      <c r="C100" s="23"/>
      <c r="D100" s="23" t="s">
        <v>107</v>
      </c>
      <c r="E100" s="23"/>
      <c r="F100" s="24">
        <v>30</v>
      </c>
      <c r="G100" s="25">
        <v>45693</v>
      </c>
      <c r="H100" s="25">
        <v>45736</v>
      </c>
      <c r="I100" s="26">
        <v>30</v>
      </c>
      <c r="J100" s="27">
        <v>4.3115500040980761E-2</v>
      </c>
      <c r="K100" s="28">
        <f>J100*$J$75</f>
        <v>9.794742415691499E-3</v>
      </c>
      <c r="M100" s="96">
        <f t="shared" si="3"/>
        <v>46160</v>
      </c>
    </row>
    <row r="101" spans="2:13" outlineLevel="2" x14ac:dyDescent="0.3">
      <c r="B101" s="29"/>
      <c r="C101" s="30"/>
      <c r="D101" s="30"/>
      <c r="E101" s="30" t="s">
        <v>108</v>
      </c>
      <c r="F101" s="31">
        <v>30</v>
      </c>
      <c r="G101" s="32">
        <v>45693</v>
      </c>
      <c r="H101" s="32">
        <v>45736</v>
      </c>
      <c r="I101" s="33">
        <v>30</v>
      </c>
      <c r="J101" s="34">
        <v>1</v>
      </c>
      <c r="K101" s="35">
        <f>J101*$K$100</f>
        <v>9.794742415691499E-3</v>
      </c>
      <c r="M101" s="96">
        <f t="shared" ref="M101:M132" si="8">M100+7</f>
        <v>46167</v>
      </c>
    </row>
    <row r="102" spans="2:13" ht="15" outlineLevel="1" x14ac:dyDescent="0.3">
      <c r="B102" s="22"/>
      <c r="C102" s="23"/>
      <c r="D102" s="23" t="s">
        <v>109</v>
      </c>
      <c r="E102" s="23"/>
      <c r="F102" s="24">
        <v>26</v>
      </c>
      <c r="G102" s="25">
        <v>45622</v>
      </c>
      <c r="H102" s="25">
        <v>45685</v>
      </c>
      <c r="I102" s="26">
        <v>27</v>
      </c>
      <c r="J102" s="27">
        <v>3.6482346188522183E-2</v>
      </c>
      <c r="K102" s="28">
        <f>J102*$J$75</f>
        <v>8.287858967123576E-3</v>
      </c>
      <c r="M102" s="96">
        <f t="shared" si="8"/>
        <v>46174</v>
      </c>
    </row>
    <row r="103" spans="2:13" outlineLevel="2" x14ac:dyDescent="0.3">
      <c r="B103" s="29"/>
      <c r="C103" s="30"/>
      <c r="D103" s="30"/>
      <c r="E103" s="30" t="s">
        <v>110</v>
      </c>
      <c r="F103" s="31">
        <v>9</v>
      </c>
      <c r="G103" s="32">
        <v>45673</v>
      </c>
      <c r="H103" s="32">
        <v>45685</v>
      </c>
      <c r="I103" s="33">
        <v>9</v>
      </c>
      <c r="J103" s="34">
        <v>0.25</v>
      </c>
      <c r="K103" s="35">
        <f>J103*$K$102</f>
        <v>2.071964741780894E-3</v>
      </c>
      <c r="M103" s="96">
        <f t="shared" si="8"/>
        <v>46181</v>
      </c>
    </row>
    <row r="104" spans="2:13" outlineLevel="2" x14ac:dyDescent="0.3">
      <c r="B104" s="29"/>
      <c r="C104" s="30"/>
      <c r="D104" s="30"/>
      <c r="E104" s="30" t="s">
        <v>111</v>
      </c>
      <c r="F104" s="31">
        <v>18</v>
      </c>
      <c r="G104" s="32">
        <v>45622</v>
      </c>
      <c r="H104" s="32">
        <v>45673</v>
      </c>
      <c r="I104" s="33">
        <v>18</v>
      </c>
      <c r="J104" s="34">
        <v>0.75</v>
      </c>
      <c r="K104" s="35">
        <f>J104*$K$102</f>
        <v>6.2158942253426816E-3</v>
      </c>
      <c r="M104" s="96">
        <f t="shared" si="8"/>
        <v>46188</v>
      </c>
    </row>
    <row r="105" spans="2:13" ht="15" outlineLevel="1" x14ac:dyDescent="0.3">
      <c r="B105" s="22"/>
      <c r="C105" s="23"/>
      <c r="D105" s="23" t="s">
        <v>112</v>
      </c>
      <c r="E105" s="23"/>
      <c r="F105" s="24">
        <v>183</v>
      </c>
      <c r="G105" s="25">
        <v>45482</v>
      </c>
      <c r="H105" s="25">
        <v>45772</v>
      </c>
      <c r="I105" s="26">
        <v>50</v>
      </c>
      <c r="J105" s="27">
        <v>6.9648115450815076E-2</v>
      </c>
      <c r="K105" s="28">
        <f>J105*$J$75</f>
        <v>1.5822276209963192E-2</v>
      </c>
      <c r="M105" s="96">
        <f t="shared" si="8"/>
        <v>46195</v>
      </c>
    </row>
    <row r="106" spans="2:13" outlineLevel="2" x14ac:dyDescent="0.3">
      <c r="B106" s="29"/>
      <c r="C106" s="30"/>
      <c r="D106" s="30"/>
      <c r="E106" s="30" t="s">
        <v>113</v>
      </c>
      <c r="F106" s="31">
        <v>10</v>
      </c>
      <c r="G106" s="32">
        <v>45482</v>
      </c>
      <c r="H106" s="32">
        <v>45495</v>
      </c>
      <c r="I106" s="33">
        <v>10</v>
      </c>
      <c r="J106" s="34">
        <v>0.222</v>
      </c>
      <c r="K106" s="35">
        <f>J106*$K$105</f>
        <v>3.5125453186118289E-3</v>
      </c>
      <c r="M106" s="96">
        <f t="shared" si="8"/>
        <v>46202</v>
      </c>
    </row>
    <row r="107" spans="2:13" outlineLevel="2" x14ac:dyDescent="0.3">
      <c r="B107" s="29"/>
      <c r="C107" s="30"/>
      <c r="D107" s="30"/>
      <c r="E107" s="30" t="s">
        <v>114</v>
      </c>
      <c r="F107" s="31">
        <v>40</v>
      </c>
      <c r="G107" s="32">
        <v>45712</v>
      </c>
      <c r="H107" s="32">
        <v>45772</v>
      </c>
      <c r="I107" s="33">
        <v>40</v>
      </c>
      <c r="J107" s="34">
        <v>0.77800000000000002</v>
      </c>
      <c r="K107" s="35">
        <f>J107*$K$105</f>
        <v>1.2309730891351364E-2</v>
      </c>
      <c r="M107" s="96">
        <f t="shared" si="8"/>
        <v>46209</v>
      </c>
    </row>
    <row r="108" spans="2:13" ht="15" outlineLevel="1" x14ac:dyDescent="0.3">
      <c r="B108" s="22"/>
      <c r="C108" s="23"/>
      <c r="D108" s="23" t="s">
        <v>115</v>
      </c>
      <c r="E108" s="23"/>
      <c r="F108" s="24">
        <v>35</v>
      </c>
      <c r="G108" s="25">
        <v>45677</v>
      </c>
      <c r="H108" s="25">
        <v>45727</v>
      </c>
      <c r="I108" s="26">
        <v>40</v>
      </c>
      <c r="J108" s="27">
        <v>0.20879473036887999</v>
      </c>
      <c r="K108" s="28">
        <f>J108*$J$75</f>
        <v>4.7432839692757939E-2</v>
      </c>
      <c r="M108" s="96">
        <f t="shared" si="8"/>
        <v>46216</v>
      </c>
    </row>
    <row r="109" spans="2:13" outlineLevel="2" x14ac:dyDescent="0.3">
      <c r="B109" s="29"/>
      <c r="C109" s="30"/>
      <c r="D109" s="30"/>
      <c r="E109" s="30" t="s">
        <v>116</v>
      </c>
      <c r="F109" s="31">
        <v>20</v>
      </c>
      <c r="G109" s="32">
        <v>45677</v>
      </c>
      <c r="H109" s="32">
        <v>45702</v>
      </c>
      <c r="I109" s="33">
        <v>20</v>
      </c>
      <c r="J109" s="34">
        <v>0.66377015291541941</v>
      </c>
      <c r="K109" s="35">
        <f>J109*$K$108</f>
        <v>3.1484503256074513E-2</v>
      </c>
      <c r="M109" s="96">
        <f t="shared" si="8"/>
        <v>46223</v>
      </c>
    </row>
    <row r="110" spans="2:13" outlineLevel="2" x14ac:dyDescent="0.3">
      <c r="B110" s="29"/>
      <c r="C110" s="30"/>
      <c r="D110" s="30"/>
      <c r="E110" s="30" t="s">
        <v>117</v>
      </c>
      <c r="F110" s="31">
        <v>20</v>
      </c>
      <c r="G110" s="32">
        <v>45698</v>
      </c>
      <c r="H110" s="32">
        <v>45727</v>
      </c>
      <c r="I110" s="33">
        <v>20</v>
      </c>
      <c r="J110" s="34">
        <v>0.33622984708458059</v>
      </c>
      <c r="K110" s="35">
        <f>J110*$K$108</f>
        <v>1.5948336436683426E-2</v>
      </c>
      <c r="M110" s="96">
        <f t="shared" si="8"/>
        <v>46230</v>
      </c>
    </row>
    <row r="111" spans="2:13" ht="15" outlineLevel="1" x14ac:dyDescent="0.3">
      <c r="B111" s="22"/>
      <c r="C111" s="23"/>
      <c r="D111" s="23" t="s">
        <v>118</v>
      </c>
      <c r="E111" s="23"/>
      <c r="F111" s="24">
        <v>95</v>
      </c>
      <c r="G111" s="25">
        <v>45560</v>
      </c>
      <c r="H111" s="25">
        <v>45722</v>
      </c>
      <c r="I111" s="26">
        <v>65</v>
      </c>
      <c r="J111" s="27">
        <v>4.974865389343934E-2</v>
      </c>
      <c r="K111" s="28">
        <f>J111*$J$75</f>
        <v>1.1301625864259422E-2</v>
      </c>
      <c r="M111" s="96">
        <f t="shared" si="8"/>
        <v>46237</v>
      </c>
    </row>
    <row r="112" spans="2:13" outlineLevel="2" x14ac:dyDescent="0.3">
      <c r="B112" s="29"/>
      <c r="C112" s="30"/>
      <c r="D112" s="30"/>
      <c r="E112" s="30" t="s">
        <v>119</v>
      </c>
      <c r="F112" s="31"/>
      <c r="G112" s="38"/>
      <c r="H112" s="38"/>
      <c r="I112" s="33"/>
      <c r="J112" s="34">
        <f>1/3</f>
        <v>0.33333333333333331</v>
      </c>
      <c r="K112" s="35">
        <f>J112*$K$111</f>
        <v>3.7672086214198073E-3</v>
      </c>
      <c r="M112" s="96">
        <f t="shared" si="8"/>
        <v>46244</v>
      </c>
    </row>
    <row r="113" spans="2:13" outlineLevel="2" x14ac:dyDescent="0.3">
      <c r="B113" s="29"/>
      <c r="C113" s="30"/>
      <c r="D113" s="30"/>
      <c r="E113" s="40" t="s">
        <v>120</v>
      </c>
      <c r="F113" s="31"/>
      <c r="G113" s="38"/>
      <c r="H113" s="38"/>
      <c r="I113" s="33"/>
      <c r="J113" s="34">
        <f>1/3</f>
        <v>0.33333333333333331</v>
      </c>
      <c r="K113" s="35">
        <f>J113*$K$111</f>
        <v>3.7672086214198073E-3</v>
      </c>
      <c r="M113" s="96">
        <f t="shared" si="8"/>
        <v>46251</v>
      </c>
    </row>
    <row r="114" spans="2:13" outlineLevel="2" x14ac:dyDescent="0.3">
      <c r="B114" s="29"/>
      <c r="C114" s="30"/>
      <c r="D114" s="30"/>
      <c r="E114" s="40" t="s">
        <v>121</v>
      </c>
      <c r="F114" s="31">
        <v>35</v>
      </c>
      <c r="G114" s="32">
        <v>45560</v>
      </c>
      <c r="H114" s="32">
        <v>45608</v>
      </c>
      <c r="I114" s="33">
        <v>35</v>
      </c>
      <c r="J114" s="34">
        <f>1/3</f>
        <v>0.33333333333333331</v>
      </c>
      <c r="K114" s="35">
        <f>J114*$K$111</f>
        <v>3.7672086214198073E-3</v>
      </c>
      <c r="M114" s="96">
        <f t="shared" si="8"/>
        <v>46258</v>
      </c>
    </row>
    <row r="115" spans="2:13" ht="15" outlineLevel="1" x14ac:dyDescent="0.3">
      <c r="B115" s="22"/>
      <c r="C115" s="23"/>
      <c r="D115" s="23" t="s">
        <v>122</v>
      </c>
      <c r="E115" s="23"/>
      <c r="F115" s="24">
        <v>45</v>
      </c>
      <c r="G115" s="25">
        <v>45677</v>
      </c>
      <c r="H115" s="25">
        <v>45741</v>
      </c>
      <c r="I115" s="26">
        <v>45</v>
      </c>
      <c r="J115" s="27">
        <v>2.9849192336063604E-2</v>
      </c>
      <c r="K115" s="28">
        <f>J115*$J$75</f>
        <v>6.7809755185556531E-3</v>
      </c>
      <c r="M115" s="96">
        <f t="shared" si="8"/>
        <v>46265</v>
      </c>
    </row>
    <row r="116" spans="2:13" outlineLevel="2" x14ac:dyDescent="0.3">
      <c r="B116" s="29"/>
      <c r="C116" s="30"/>
      <c r="D116" s="30"/>
      <c r="E116" s="30" t="s">
        <v>123</v>
      </c>
      <c r="F116" s="31">
        <v>15</v>
      </c>
      <c r="G116" s="32">
        <v>45677</v>
      </c>
      <c r="H116" s="32">
        <v>45695</v>
      </c>
      <c r="I116" s="33">
        <v>15</v>
      </c>
      <c r="J116" s="34">
        <v>0.33333333333333331</v>
      </c>
      <c r="K116" s="35">
        <f>J116*$K$115</f>
        <v>2.2603251728518844E-3</v>
      </c>
      <c r="M116" s="96">
        <f t="shared" si="8"/>
        <v>46272</v>
      </c>
    </row>
    <row r="117" spans="2:13" outlineLevel="2" x14ac:dyDescent="0.3">
      <c r="B117" s="29"/>
      <c r="C117" s="30"/>
      <c r="D117" s="30"/>
      <c r="E117" s="30" t="s">
        <v>124</v>
      </c>
      <c r="F117" s="31">
        <v>15</v>
      </c>
      <c r="G117" s="32">
        <v>45698</v>
      </c>
      <c r="H117" s="32">
        <v>45716</v>
      </c>
      <c r="I117" s="33">
        <v>15</v>
      </c>
      <c r="J117" s="34">
        <v>0.33333333333333331</v>
      </c>
      <c r="K117" s="35">
        <f>J117*$K$115</f>
        <v>2.2603251728518844E-3</v>
      </c>
      <c r="M117" s="96">
        <f t="shared" si="8"/>
        <v>46279</v>
      </c>
    </row>
    <row r="118" spans="2:13" outlineLevel="2" x14ac:dyDescent="0.3">
      <c r="B118" s="29"/>
      <c r="C118" s="30"/>
      <c r="D118" s="30"/>
      <c r="E118" s="30" t="s">
        <v>125</v>
      </c>
      <c r="F118" s="31">
        <v>15</v>
      </c>
      <c r="G118" s="32">
        <v>45721</v>
      </c>
      <c r="H118" s="32">
        <v>45741</v>
      </c>
      <c r="I118" s="33">
        <v>15</v>
      </c>
      <c r="J118" s="34">
        <v>0.33333333333333331</v>
      </c>
      <c r="K118" s="35">
        <f>J118*$K$115</f>
        <v>2.2603251728518844E-3</v>
      </c>
      <c r="M118" s="96">
        <f t="shared" si="8"/>
        <v>46286</v>
      </c>
    </row>
    <row r="119" spans="2:13" ht="15" outlineLevel="1" x14ac:dyDescent="0.3">
      <c r="B119" s="22"/>
      <c r="C119" s="23"/>
      <c r="D119" s="23" t="s">
        <v>126</v>
      </c>
      <c r="E119" s="23"/>
      <c r="F119" s="24">
        <v>30</v>
      </c>
      <c r="G119" s="25">
        <v>45580</v>
      </c>
      <c r="H119" s="25">
        <v>45621</v>
      </c>
      <c r="I119" s="26">
        <v>30</v>
      </c>
      <c r="J119" s="27">
        <v>6.9648115450815076E-2</v>
      </c>
      <c r="K119" s="28">
        <f>J119*$J$75</f>
        <v>1.5822276209963192E-2</v>
      </c>
      <c r="M119" s="96">
        <f t="shared" si="8"/>
        <v>46293</v>
      </c>
    </row>
    <row r="120" spans="2:13" outlineLevel="2" x14ac:dyDescent="0.3">
      <c r="B120" s="29"/>
      <c r="C120" s="30"/>
      <c r="D120" s="30"/>
      <c r="E120" s="30" t="s">
        <v>127</v>
      </c>
      <c r="F120" s="31">
        <v>5</v>
      </c>
      <c r="G120" s="32">
        <v>45580</v>
      </c>
      <c r="H120" s="32">
        <v>45586</v>
      </c>
      <c r="I120" s="33">
        <v>5</v>
      </c>
      <c r="J120" s="34">
        <v>0.22222222222222227</v>
      </c>
      <c r="K120" s="35">
        <f t="shared" ref="K120:K125" si="9">J120*$K$119</f>
        <v>3.516061379991821E-3</v>
      </c>
      <c r="M120" s="96">
        <f t="shared" si="8"/>
        <v>46300</v>
      </c>
    </row>
    <row r="121" spans="2:13" outlineLevel="2" x14ac:dyDescent="0.3">
      <c r="B121" s="29"/>
      <c r="C121" s="30"/>
      <c r="D121" s="30"/>
      <c r="E121" s="30" t="s">
        <v>128</v>
      </c>
      <c r="F121" s="31">
        <v>5</v>
      </c>
      <c r="G121" s="32">
        <v>45587</v>
      </c>
      <c r="H121" s="32">
        <v>45593</v>
      </c>
      <c r="I121" s="33">
        <v>5</v>
      </c>
      <c r="J121" s="34">
        <v>0.11111111111111113</v>
      </c>
      <c r="K121" s="35">
        <f t="shared" si="9"/>
        <v>1.7580306899959105E-3</v>
      </c>
      <c r="M121" s="96">
        <f t="shared" si="8"/>
        <v>46307</v>
      </c>
    </row>
    <row r="122" spans="2:13" outlineLevel="2" x14ac:dyDescent="0.3">
      <c r="B122" s="29"/>
      <c r="C122" s="30"/>
      <c r="D122" s="30"/>
      <c r="E122" s="30" t="s">
        <v>129</v>
      </c>
      <c r="F122" s="31">
        <v>5</v>
      </c>
      <c r="G122" s="32">
        <v>45594</v>
      </c>
      <c r="H122" s="32">
        <v>45600</v>
      </c>
      <c r="I122" s="33">
        <v>5</v>
      </c>
      <c r="J122" s="34">
        <v>0.11111111111111113</v>
      </c>
      <c r="K122" s="35">
        <f t="shared" si="9"/>
        <v>1.7580306899959105E-3</v>
      </c>
      <c r="M122" s="96">
        <f t="shared" si="8"/>
        <v>46314</v>
      </c>
    </row>
    <row r="123" spans="2:13" outlineLevel="2" x14ac:dyDescent="0.3">
      <c r="B123" s="29"/>
      <c r="C123" s="30"/>
      <c r="D123" s="30"/>
      <c r="E123" s="30" t="s">
        <v>130</v>
      </c>
      <c r="F123" s="31">
        <v>5</v>
      </c>
      <c r="G123" s="32">
        <v>45601</v>
      </c>
      <c r="H123" s="32">
        <v>45607</v>
      </c>
      <c r="I123" s="33">
        <v>5</v>
      </c>
      <c r="J123" s="34">
        <v>0.22222222222222227</v>
      </c>
      <c r="K123" s="35">
        <f t="shared" si="9"/>
        <v>3.516061379991821E-3</v>
      </c>
      <c r="M123" s="96">
        <f t="shared" si="8"/>
        <v>46321</v>
      </c>
    </row>
    <row r="124" spans="2:13" outlineLevel="2" x14ac:dyDescent="0.3">
      <c r="B124" s="29"/>
      <c r="C124" s="30"/>
      <c r="D124" s="30"/>
      <c r="E124" s="30" t="s">
        <v>131</v>
      </c>
      <c r="F124" s="31">
        <v>5</v>
      </c>
      <c r="G124" s="32">
        <v>45608</v>
      </c>
      <c r="H124" s="32">
        <v>45614</v>
      </c>
      <c r="I124" s="33">
        <v>5</v>
      </c>
      <c r="J124" s="34">
        <v>0.11111111111111113</v>
      </c>
      <c r="K124" s="35">
        <f t="shared" si="9"/>
        <v>1.7580306899959105E-3</v>
      </c>
      <c r="M124" s="96">
        <f t="shared" si="8"/>
        <v>46328</v>
      </c>
    </row>
    <row r="125" spans="2:13" outlineLevel="2" x14ac:dyDescent="0.3">
      <c r="B125" s="29"/>
      <c r="C125" s="30"/>
      <c r="D125" s="30"/>
      <c r="E125" s="30" t="s">
        <v>132</v>
      </c>
      <c r="F125" s="31">
        <v>5</v>
      </c>
      <c r="G125" s="32">
        <v>45615</v>
      </c>
      <c r="H125" s="32">
        <v>45621</v>
      </c>
      <c r="I125" s="33">
        <v>5</v>
      </c>
      <c r="J125" s="34">
        <v>0.22222222222222227</v>
      </c>
      <c r="K125" s="35">
        <f t="shared" si="9"/>
        <v>3.516061379991821E-3</v>
      </c>
      <c r="M125" s="96">
        <f t="shared" si="8"/>
        <v>46335</v>
      </c>
    </row>
    <row r="126" spans="2:13" ht="15" outlineLevel="1" x14ac:dyDescent="0.3">
      <c r="B126" s="22"/>
      <c r="C126" s="23"/>
      <c r="D126" s="23" t="s">
        <v>133</v>
      </c>
      <c r="E126" s="23"/>
      <c r="F126" s="24">
        <v>146</v>
      </c>
      <c r="G126" s="25">
        <v>45506</v>
      </c>
      <c r="H126" s="25">
        <v>45741</v>
      </c>
      <c r="I126" s="26">
        <v>60</v>
      </c>
      <c r="J126" s="27">
        <v>6.964811545081509E-2</v>
      </c>
      <c r="K126" s="28">
        <f>J126*$J$75</f>
        <v>1.5822276209963192E-2</v>
      </c>
      <c r="M126" s="96">
        <f t="shared" si="8"/>
        <v>46342</v>
      </c>
    </row>
    <row r="127" spans="2:13" outlineLevel="2" x14ac:dyDescent="0.3">
      <c r="B127" s="29"/>
      <c r="C127" s="30"/>
      <c r="D127" s="30"/>
      <c r="E127" s="30" t="s">
        <v>134</v>
      </c>
      <c r="F127" s="31">
        <v>15</v>
      </c>
      <c r="G127" s="32">
        <v>45506</v>
      </c>
      <c r="H127" s="32">
        <v>45526</v>
      </c>
      <c r="I127" s="33">
        <v>15</v>
      </c>
      <c r="J127" s="34">
        <v>0.222</v>
      </c>
      <c r="K127" s="35">
        <f>J127*$K$126</f>
        <v>3.5125453186118289E-3</v>
      </c>
      <c r="M127" s="96">
        <f t="shared" si="8"/>
        <v>46349</v>
      </c>
    </row>
    <row r="128" spans="2:13" outlineLevel="2" x14ac:dyDescent="0.3">
      <c r="B128" s="29"/>
      <c r="C128" s="30"/>
      <c r="D128" s="30"/>
      <c r="E128" s="30" t="s">
        <v>135</v>
      </c>
      <c r="F128" s="31">
        <v>30</v>
      </c>
      <c r="G128" s="32">
        <v>45677</v>
      </c>
      <c r="H128" s="32">
        <v>45716</v>
      </c>
      <c r="I128" s="33">
        <v>30</v>
      </c>
      <c r="J128" s="34">
        <v>0.222</v>
      </c>
      <c r="K128" s="35">
        <f>J128*$K$126</f>
        <v>3.5125453186118289E-3</v>
      </c>
      <c r="M128" s="96">
        <f t="shared" si="8"/>
        <v>46356</v>
      </c>
    </row>
    <row r="129" spans="2:13" outlineLevel="2" x14ac:dyDescent="0.3">
      <c r="B129" s="29"/>
      <c r="C129" s="30"/>
      <c r="D129" s="30"/>
      <c r="E129" s="30" t="s">
        <v>136</v>
      </c>
      <c r="F129" s="31">
        <v>15</v>
      </c>
      <c r="G129" s="32">
        <v>45721</v>
      </c>
      <c r="H129" s="32">
        <v>45741</v>
      </c>
      <c r="I129" s="33">
        <v>15</v>
      </c>
      <c r="J129" s="34">
        <v>0.55600000000000005</v>
      </c>
      <c r="K129" s="35">
        <f>J129*$K$126</f>
        <v>8.7971855727395354E-3</v>
      </c>
      <c r="M129" s="96">
        <f t="shared" si="8"/>
        <v>46363</v>
      </c>
    </row>
    <row r="130" spans="2:13" ht="15" outlineLevel="1" x14ac:dyDescent="0.3">
      <c r="B130" s="22"/>
      <c r="C130" s="23"/>
      <c r="D130" s="23" t="s">
        <v>137</v>
      </c>
      <c r="E130" s="23"/>
      <c r="F130" s="24">
        <v>40</v>
      </c>
      <c r="G130" s="25">
        <v>45707</v>
      </c>
      <c r="H130" s="25">
        <v>45769</v>
      </c>
      <c r="I130" s="26">
        <v>70</v>
      </c>
      <c r="J130" s="27">
        <v>6.9648115450815076E-2</v>
      </c>
      <c r="K130" s="28">
        <f>J130*$J$75</f>
        <v>1.5822276209963192E-2</v>
      </c>
      <c r="M130" s="96">
        <f t="shared" si="8"/>
        <v>46370</v>
      </c>
    </row>
    <row r="131" spans="2:13" outlineLevel="1" x14ac:dyDescent="0.3">
      <c r="B131" s="29"/>
      <c r="C131" s="30"/>
      <c r="D131" s="30"/>
      <c r="E131" s="30" t="s">
        <v>138</v>
      </c>
      <c r="F131" s="31"/>
      <c r="G131" s="38"/>
      <c r="H131" s="38"/>
      <c r="I131" s="33"/>
      <c r="J131" s="34">
        <v>0.2</v>
      </c>
      <c r="K131" s="35">
        <f>J131*$K$130</f>
        <v>3.1644552419926386E-3</v>
      </c>
      <c r="M131" s="96">
        <f t="shared" si="8"/>
        <v>46377</v>
      </c>
    </row>
    <row r="132" spans="2:13" outlineLevel="2" x14ac:dyDescent="0.3">
      <c r="B132" s="29"/>
      <c r="C132" s="30"/>
      <c r="D132" s="30"/>
      <c r="E132" s="30" t="s">
        <v>139</v>
      </c>
      <c r="F132" s="31">
        <v>30</v>
      </c>
      <c r="G132" s="32">
        <v>45721</v>
      </c>
      <c r="H132" s="32">
        <v>45763</v>
      </c>
      <c r="I132" s="33">
        <v>30</v>
      </c>
      <c r="J132" s="34">
        <v>0.15</v>
      </c>
      <c r="K132" s="35">
        <f>J132*$K$130</f>
        <v>2.3733414314944788E-3</v>
      </c>
      <c r="M132" s="96">
        <f t="shared" si="8"/>
        <v>46384</v>
      </c>
    </row>
    <row r="133" spans="2:13" outlineLevel="2" x14ac:dyDescent="0.3">
      <c r="B133" s="29"/>
      <c r="C133" s="30"/>
      <c r="D133" s="30"/>
      <c r="E133" s="30" t="s">
        <v>140</v>
      </c>
      <c r="F133" s="31">
        <v>40</v>
      </c>
      <c r="G133" s="32">
        <v>45707</v>
      </c>
      <c r="H133" s="32">
        <v>45769</v>
      </c>
      <c r="I133" s="33">
        <v>40</v>
      </c>
      <c r="J133" s="34">
        <v>0.65</v>
      </c>
      <c r="K133" s="35">
        <f>J133*$K$130</f>
        <v>1.0284479536476076E-2</v>
      </c>
      <c r="M133" s="96"/>
    </row>
    <row r="134" spans="2:13" ht="15" outlineLevel="1" x14ac:dyDescent="0.3">
      <c r="B134" s="22"/>
      <c r="C134" s="23"/>
      <c r="D134" s="23" t="s">
        <v>79</v>
      </c>
      <c r="E134" s="23"/>
      <c r="F134" s="24">
        <v>56</v>
      </c>
      <c r="G134" s="25">
        <v>45754</v>
      </c>
      <c r="H134" s="25">
        <v>45835</v>
      </c>
      <c r="I134" s="26">
        <v>55</v>
      </c>
      <c r="J134" s="27">
        <v>0.02</v>
      </c>
      <c r="K134" s="28">
        <f>J134*$J$75</f>
        <v>4.5434901167244798E-3</v>
      </c>
      <c r="M134" s="96"/>
    </row>
    <row r="135" spans="2:13" outlineLevel="2" x14ac:dyDescent="0.3">
      <c r="B135" s="29"/>
      <c r="C135" s="30"/>
      <c r="D135" s="30"/>
      <c r="E135" s="30" t="s">
        <v>141</v>
      </c>
      <c r="F135" s="31">
        <v>40</v>
      </c>
      <c r="G135" s="32">
        <v>45754</v>
      </c>
      <c r="H135" s="32">
        <v>45812</v>
      </c>
      <c r="I135" s="33">
        <v>40</v>
      </c>
      <c r="J135" s="34">
        <v>0.72727272727272729</v>
      </c>
      <c r="K135" s="35">
        <f>J135*$K$134</f>
        <v>3.3043564485268945E-3</v>
      </c>
      <c r="M135" s="96"/>
    </row>
    <row r="136" spans="2:13" outlineLevel="2" x14ac:dyDescent="0.3">
      <c r="B136" s="29"/>
      <c r="C136" s="30"/>
      <c r="D136" s="30"/>
      <c r="E136" s="30" t="s">
        <v>81</v>
      </c>
      <c r="F136" s="31">
        <v>15</v>
      </c>
      <c r="G136" s="32">
        <v>45814</v>
      </c>
      <c r="H136" s="32">
        <v>45835</v>
      </c>
      <c r="I136" s="33">
        <v>15</v>
      </c>
      <c r="J136" s="34">
        <v>0.27272727272727271</v>
      </c>
      <c r="K136" s="35">
        <f>J136*$K$134</f>
        <v>1.2391336681975853E-3</v>
      </c>
      <c r="M136" s="96"/>
    </row>
    <row r="137" spans="2:13" outlineLevel="2" x14ac:dyDescent="0.3">
      <c r="B137" s="29"/>
      <c r="C137" s="30"/>
      <c r="D137" s="30"/>
      <c r="E137" s="30" t="s">
        <v>82</v>
      </c>
      <c r="F137" s="31">
        <v>0</v>
      </c>
      <c r="G137" s="32">
        <v>45835</v>
      </c>
      <c r="H137" s="32">
        <v>45835</v>
      </c>
      <c r="I137" s="41">
        <v>0</v>
      </c>
      <c r="J137" s="34">
        <v>1E-119</v>
      </c>
      <c r="K137" s="42">
        <f>J137*$K$134</f>
        <v>4.5434901167244801E-122</v>
      </c>
      <c r="M137" s="96"/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37CB-60BC-4E69-B958-14DD9C006B6B}">
  <sheetPr>
    <tabColor theme="2" tint="-9.9978637043366805E-2"/>
    <outlinePr summaryBelow="0"/>
  </sheetPr>
  <dimension ref="B4:G92"/>
  <sheetViews>
    <sheetView topLeftCell="A17" workbookViewId="0">
      <selection activeCell="E96" sqref="E96"/>
    </sheetView>
  </sheetViews>
  <sheetFormatPr baseColWidth="10" defaultColWidth="11.5546875" defaultRowHeight="16.8" outlineLevelRow="2" x14ac:dyDescent="0.4"/>
  <cols>
    <col min="1" max="1" width="2.6640625" style="67" customWidth="1"/>
    <col min="2" max="4" width="5.44140625" style="67" customWidth="1"/>
    <col min="5" max="5" width="56.5546875" style="67" customWidth="1"/>
    <col min="6" max="7" width="15.33203125" style="68" customWidth="1"/>
    <col min="8" max="16384" width="11.5546875" style="67"/>
  </cols>
  <sheetData>
    <row r="4" spans="2:7" x14ac:dyDescent="0.4">
      <c r="B4" s="79" t="s">
        <v>0</v>
      </c>
      <c r="C4" s="80" t="s">
        <v>1</v>
      </c>
      <c r="D4" s="80" t="s">
        <v>2</v>
      </c>
      <c r="E4" s="80" t="s">
        <v>3</v>
      </c>
      <c r="F4" s="81" t="s">
        <v>191</v>
      </c>
      <c r="G4" s="81" t="s">
        <v>192</v>
      </c>
    </row>
    <row r="5" spans="2:7" x14ac:dyDescent="0.4">
      <c r="B5" s="82" t="s">
        <v>11</v>
      </c>
      <c r="C5" s="83"/>
      <c r="D5" s="83"/>
      <c r="E5" s="83"/>
      <c r="F5" s="84">
        <v>1</v>
      </c>
      <c r="G5" s="84">
        <v>1</v>
      </c>
    </row>
    <row r="6" spans="2:7" x14ac:dyDescent="0.4">
      <c r="B6" s="15"/>
      <c r="C6" s="16" t="s">
        <v>19</v>
      </c>
      <c r="D6" s="16"/>
      <c r="E6" s="16"/>
      <c r="F6" s="66">
        <v>0.77282549416377599</v>
      </c>
      <c r="G6" s="66">
        <f>EDTN[[#This Row],[Nuevos Pesos]]*$G$5</f>
        <v>0.77282549416377599</v>
      </c>
    </row>
    <row r="7" spans="2:7" outlineLevel="1" collapsed="1" x14ac:dyDescent="0.4">
      <c r="B7" s="85"/>
      <c r="C7" s="86"/>
      <c r="D7" s="86" t="s">
        <v>22</v>
      </c>
      <c r="E7" s="86"/>
      <c r="F7" s="87">
        <v>0.22602491175176692</v>
      </c>
      <c r="G7" s="87">
        <f>EDTN[[#This Row],[Nuevos Pesos]]*$G$6</f>
        <v>0.17467781411788313</v>
      </c>
    </row>
    <row r="8" spans="2:7" hidden="1" outlineLevel="2" x14ac:dyDescent="0.4">
      <c r="B8" s="69"/>
      <c r="C8" s="70"/>
      <c r="D8" s="70"/>
      <c r="E8" s="70" t="s">
        <v>25</v>
      </c>
      <c r="F8" s="71">
        <v>0.22988505747126436</v>
      </c>
      <c r="G8" s="71">
        <f>EDTN[[#This Row],[Nuevos Pesos]]*$G$7</f>
        <v>4.0155819337444401E-2</v>
      </c>
    </row>
    <row r="9" spans="2:7" hidden="1" outlineLevel="2" x14ac:dyDescent="0.4">
      <c r="B9" s="69"/>
      <c r="C9" s="70"/>
      <c r="D9" s="70"/>
      <c r="E9" s="70" t="s">
        <v>26</v>
      </c>
      <c r="F9" s="71">
        <v>0.45977011494252873</v>
      </c>
      <c r="G9" s="71">
        <f>EDTN[[#This Row],[Nuevos Pesos]]*$G$7</f>
        <v>8.0311638674888802E-2</v>
      </c>
    </row>
    <row r="10" spans="2:7" hidden="1" outlineLevel="2" x14ac:dyDescent="0.4">
      <c r="B10" s="69"/>
      <c r="C10" s="70"/>
      <c r="D10" s="70"/>
      <c r="E10" s="70" t="s">
        <v>27</v>
      </c>
      <c r="F10" s="71">
        <v>0.13793103448275859</v>
      </c>
      <c r="G10" s="71">
        <f>EDTN[[#This Row],[Nuevos Pesos]]*$G$7</f>
        <v>2.4093491602466634E-2</v>
      </c>
    </row>
    <row r="11" spans="2:7" hidden="1" outlineLevel="2" x14ac:dyDescent="0.4">
      <c r="B11" s="69"/>
      <c r="C11" s="70"/>
      <c r="D11" s="70"/>
      <c r="E11" s="70" t="s">
        <v>28</v>
      </c>
      <c r="F11" s="71">
        <v>0.17241379310344826</v>
      </c>
      <c r="G11" s="71">
        <f>EDTN[[#This Row],[Nuevos Pesos]]*$G$7</f>
        <v>3.0116864503083297E-2</v>
      </c>
    </row>
    <row r="12" spans="2:7" outlineLevel="1" collapsed="1" x14ac:dyDescent="0.4">
      <c r="B12" s="85"/>
      <c r="C12" s="86"/>
      <c r="D12" s="86" t="s">
        <v>29</v>
      </c>
      <c r="E12" s="86"/>
      <c r="F12" s="87">
        <v>6.9376251050029564E-2</v>
      </c>
      <c r="G12" s="87">
        <f>EDTN[[#This Row],[Nuevos Pesos]]*$G$6</f>
        <v>5.3615735500969278E-2</v>
      </c>
    </row>
    <row r="13" spans="2:7" hidden="1" outlineLevel="2" x14ac:dyDescent="0.4">
      <c r="B13" s="72"/>
      <c r="C13" s="73"/>
      <c r="D13" s="73"/>
      <c r="E13" s="73" t="s">
        <v>30</v>
      </c>
      <c r="F13" s="74">
        <v>1</v>
      </c>
      <c r="G13" s="74">
        <f>EDTN[[#This Row],[Nuevos Pesos]]*G12</f>
        <v>5.3615735500969278E-2</v>
      </c>
    </row>
    <row r="14" spans="2:7" outlineLevel="1" collapsed="1" x14ac:dyDescent="0.4">
      <c r="B14" s="85"/>
      <c r="C14" s="86"/>
      <c r="D14" s="86" t="s">
        <v>31</v>
      </c>
      <c r="E14" s="86"/>
      <c r="F14" s="87">
        <v>0.13899787802857952</v>
      </c>
      <c r="G14" s="87">
        <f>EDTN[[#This Row],[Nuevos Pesos]]*$G$6</f>
        <v>0.10742110377515322</v>
      </c>
    </row>
    <row r="15" spans="2:7" hidden="1" outlineLevel="2" x14ac:dyDescent="0.4">
      <c r="B15" s="69"/>
      <c r="C15" s="70"/>
      <c r="D15" s="70"/>
      <c r="E15" s="70" t="s">
        <v>35</v>
      </c>
      <c r="F15" s="71">
        <v>0.74999999999999989</v>
      </c>
      <c r="G15" s="71">
        <f>EDTN[[#This Row],[Nuevos Pesos]]*$G$14</f>
        <v>8.05658278313649E-2</v>
      </c>
    </row>
    <row r="16" spans="2:7" hidden="1" outlineLevel="2" x14ac:dyDescent="0.4">
      <c r="B16" s="69"/>
      <c r="C16" s="70"/>
      <c r="D16" s="70"/>
      <c r="E16" s="70" t="s">
        <v>357</v>
      </c>
      <c r="F16" s="71">
        <v>0.25</v>
      </c>
      <c r="G16" s="71">
        <f>EDTN[[#This Row],[Nuevos Pesos]]*$G$14</f>
        <v>2.6855275943788306E-2</v>
      </c>
    </row>
    <row r="17" spans="2:7" outlineLevel="1" collapsed="1" x14ac:dyDescent="0.4">
      <c r="B17" s="85"/>
      <c r="C17" s="86"/>
      <c r="D17" s="86" t="s">
        <v>39</v>
      </c>
      <c r="E17" s="86"/>
      <c r="F17" s="87">
        <v>7.8078954422348301E-2</v>
      </c>
      <c r="G17" s="87">
        <f>EDTN[[#This Row],[Nuevos Pesos]]*$G$6</f>
        <v>6.0341406535242267E-2</v>
      </c>
    </row>
    <row r="18" spans="2:7" hidden="1" outlineLevel="2" x14ac:dyDescent="0.4">
      <c r="B18" s="69"/>
      <c r="C18" s="70"/>
      <c r="D18" s="70"/>
      <c r="E18" s="70" t="s">
        <v>40</v>
      </c>
      <c r="F18" s="71">
        <v>0.4</v>
      </c>
      <c r="G18" s="71">
        <f>EDTN[[#This Row],[Nuevos Pesos]]*$G$17</f>
        <v>2.4136562614096909E-2</v>
      </c>
    </row>
    <row r="19" spans="2:7" hidden="1" outlineLevel="2" x14ac:dyDescent="0.4">
      <c r="B19" s="69"/>
      <c r="C19" s="70"/>
      <c r="D19" s="70"/>
      <c r="E19" s="70" t="s">
        <v>41</v>
      </c>
      <c r="F19" s="71">
        <v>0.4</v>
      </c>
      <c r="G19" s="71">
        <f>EDTN[[#This Row],[Nuevos Pesos]]*$G$17</f>
        <v>2.4136562614096909E-2</v>
      </c>
    </row>
    <row r="20" spans="2:7" hidden="1" outlineLevel="2" x14ac:dyDescent="0.4">
      <c r="B20" s="69"/>
      <c r="C20" s="70"/>
      <c r="D20" s="70"/>
      <c r="E20" s="70" t="s">
        <v>42</v>
      </c>
      <c r="F20" s="71">
        <v>0.2</v>
      </c>
      <c r="G20" s="71">
        <f>EDTN[[#This Row],[Nuevos Pesos]]*$G$17</f>
        <v>1.2068281307048455E-2</v>
      </c>
    </row>
    <row r="21" spans="2:7" outlineLevel="1" collapsed="1" x14ac:dyDescent="0.4">
      <c r="B21" s="85"/>
      <c r="C21" s="86"/>
      <c r="D21" s="86" t="s">
        <v>43</v>
      </c>
      <c r="E21" s="86"/>
      <c r="F21" s="87">
        <v>0.2250620980454589</v>
      </c>
      <c r="G21" s="87">
        <f>EDTN[[#This Row],[Nuevos Pesos]]*$G$6</f>
        <v>0.17393372713951799</v>
      </c>
    </row>
    <row r="22" spans="2:7" hidden="1" outlineLevel="2" x14ac:dyDescent="0.4">
      <c r="B22" s="69"/>
      <c r="C22" s="70"/>
      <c r="D22" s="70"/>
      <c r="E22" s="70" t="s">
        <v>44</v>
      </c>
      <c r="F22" s="71">
        <v>0.66666666666666663</v>
      </c>
      <c r="G22" s="71">
        <f>EDTN[[#This Row],[Nuevos Pesos]]*$G$21</f>
        <v>0.11595581809301199</v>
      </c>
    </row>
    <row r="23" spans="2:7" hidden="1" outlineLevel="2" x14ac:dyDescent="0.4">
      <c r="B23" s="69"/>
      <c r="C23" s="70"/>
      <c r="D23" s="70"/>
      <c r="E23" s="70" t="s">
        <v>45</v>
      </c>
      <c r="F23" s="71">
        <v>0.33333333333333337</v>
      </c>
      <c r="G23" s="71">
        <f>EDTN[[#This Row],[Nuevos Pesos]]*$G$21</f>
        <v>5.7977909046506002E-2</v>
      </c>
    </row>
    <row r="24" spans="2:7" outlineLevel="1" collapsed="1" x14ac:dyDescent="0.4">
      <c r="B24" s="85"/>
      <c r="C24" s="86"/>
      <c r="D24" s="86" t="s">
        <v>249</v>
      </c>
      <c r="E24" s="86"/>
      <c r="F24" s="87">
        <v>5.6784912836931871E-2</v>
      </c>
      <c r="G24" s="87">
        <f>EDTN[[#This Row],[Nuevos Pesos]]*$G$6</f>
        <v>4.3884828324248823E-2</v>
      </c>
    </row>
    <row r="25" spans="2:7" hidden="1" outlineLevel="2" x14ac:dyDescent="0.4">
      <c r="B25" s="69"/>
      <c r="C25" s="70"/>
      <c r="D25" s="70"/>
      <c r="E25" s="70" t="s">
        <v>47</v>
      </c>
      <c r="F25" s="71">
        <v>1</v>
      </c>
      <c r="G25" s="71">
        <f>EDTN[[#This Row],[Nuevos Pesos]]*G24</f>
        <v>4.3884828324248823E-2</v>
      </c>
    </row>
    <row r="26" spans="2:7" outlineLevel="1" collapsed="1" x14ac:dyDescent="0.4">
      <c r="B26" s="85"/>
      <c r="C26" s="86"/>
      <c r="D26" s="86" t="s">
        <v>48</v>
      </c>
      <c r="E26" s="86"/>
      <c r="F26" s="87">
        <v>5.6784912836931871E-2</v>
      </c>
      <c r="G26" s="87">
        <f>EDTN[[#This Row],[Nuevos Pesos]]*$G$6</f>
        <v>4.3884828324248823E-2</v>
      </c>
    </row>
    <row r="27" spans="2:7" hidden="1" outlineLevel="2" x14ac:dyDescent="0.4">
      <c r="B27" s="69"/>
      <c r="C27" s="70"/>
      <c r="D27" s="70"/>
      <c r="E27" s="70" t="s">
        <v>50</v>
      </c>
      <c r="F27" s="71">
        <v>0.33333333333333331</v>
      </c>
      <c r="G27" s="71">
        <f>EDTN[[#This Row],[Nuevos Pesos]]*$G$26</f>
        <v>1.4628276108082941E-2</v>
      </c>
    </row>
    <row r="28" spans="2:7" hidden="1" outlineLevel="2" x14ac:dyDescent="0.4">
      <c r="B28" s="69"/>
      <c r="C28" s="70"/>
      <c r="D28" s="70"/>
      <c r="E28" s="70" t="s">
        <v>51</v>
      </c>
      <c r="F28" s="71">
        <v>0.26666666666666666</v>
      </c>
      <c r="G28" s="71">
        <f>EDTN[[#This Row],[Nuevos Pesos]]*$G$26</f>
        <v>1.1702620886466352E-2</v>
      </c>
    </row>
    <row r="29" spans="2:7" hidden="1" outlineLevel="2" x14ac:dyDescent="0.4">
      <c r="B29" s="69"/>
      <c r="C29" s="70"/>
      <c r="D29" s="70"/>
      <c r="E29" s="70" t="s">
        <v>52</v>
      </c>
      <c r="F29" s="71">
        <v>0.39999999999999997</v>
      </c>
      <c r="G29" s="71">
        <f>EDTN[[#This Row],[Nuevos Pesos]]*$G$26</f>
        <v>1.7553931329699526E-2</v>
      </c>
    </row>
    <row r="30" spans="2:7" outlineLevel="1" collapsed="1" x14ac:dyDescent="0.4">
      <c r="B30" s="85"/>
      <c r="C30" s="86"/>
      <c r="D30" s="86" t="s">
        <v>63</v>
      </c>
      <c r="E30" s="86"/>
      <c r="F30" s="87">
        <v>0.10418706453930457</v>
      </c>
      <c r="G30" s="87">
        <f>EDTN[[#This Row],[Nuevos Pesos]]*$G$6</f>
        <v>8.0518419638061278E-2</v>
      </c>
    </row>
    <row r="31" spans="2:7" hidden="1" outlineLevel="2" x14ac:dyDescent="0.4">
      <c r="B31" s="69"/>
      <c r="C31" s="70"/>
      <c r="D31" s="75"/>
      <c r="E31" s="70" t="s">
        <v>64</v>
      </c>
      <c r="F31" s="76">
        <v>7.3170731707317069E-2</v>
      </c>
      <c r="G31" s="76">
        <f>EDTN[[#This Row],[Nuevos Pesos]]*$G$30</f>
        <v>5.8915916808337521E-3</v>
      </c>
    </row>
    <row r="32" spans="2:7" hidden="1" outlineLevel="2" x14ac:dyDescent="0.4">
      <c r="B32" s="69"/>
      <c r="C32" s="70"/>
      <c r="D32" s="75"/>
      <c r="E32" s="70" t="s">
        <v>65</v>
      </c>
      <c r="F32" s="76">
        <v>2.4390243902439022E-2</v>
      </c>
      <c r="G32" s="76">
        <f>EDTN[[#This Row],[Nuevos Pesos]]*$G$30</f>
        <v>1.9638638936112507E-3</v>
      </c>
    </row>
    <row r="33" spans="2:7" hidden="1" outlineLevel="2" x14ac:dyDescent="0.4">
      <c r="B33" s="69"/>
      <c r="C33" s="70"/>
      <c r="D33" s="75"/>
      <c r="E33" s="70" t="s">
        <v>66</v>
      </c>
      <c r="F33" s="76">
        <v>9.7560975609756087E-2</v>
      </c>
      <c r="G33" s="76">
        <f>EDTN[[#This Row],[Nuevos Pesos]]*$G$30</f>
        <v>7.8554555744450028E-3</v>
      </c>
    </row>
    <row r="34" spans="2:7" hidden="1" outlineLevel="2" x14ac:dyDescent="0.4">
      <c r="B34" s="69"/>
      <c r="C34" s="70"/>
      <c r="D34" s="75"/>
      <c r="E34" s="70" t="s">
        <v>67</v>
      </c>
      <c r="F34" s="76">
        <v>7.3170731707317069E-2</v>
      </c>
      <c r="G34" s="76">
        <f>EDTN[[#This Row],[Nuevos Pesos]]*$G$30</f>
        <v>5.8915916808337521E-3</v>
      </c>
    </row>
    <row r="35" spans="2:7" hidden="1" outlineLevel="2" x14ac:dyDescent="0.4">
      <c r="B35" s="69"/>
      <c r="C35" s="70"/>
      <c r="D35" s="75"/>
      <c r="E35" s="70" t="s">
        <v>68</v>
      </c>
      <c r="F35" s="76">
        <v>7.3170731707317069E-2</v>
      </c>
      <c r="G35" s="76">
        <f>EDTN[[#This Row],[Nuevos Pesos]]*$G$30</f>
        <v>5.8915916808337521E-3</v>
      </c>
    </row>
    <row r="36" spans="2:7" hidden="1" outlineLevel="2" x14ac:dyDescent="0.4">
      <c r="B36" s="69"/>
      <c r="C36" s="70"/>
      <c r="D36" s="75"/>
      <c r="E36" s="70" t="s">
        <v>71</v>
      </c>
      <c r="F36" s="76">
        <v>0.14634146341463414</v>
      </c>
      <c r="G36" s="76">
        <f>EDTN[[#This Row],[Nuevos Pesos]]*$G$30</f>
        <v>1.1783183361667504E-2</v>
      </c>
    </row>
    <row r="37" spans="2:7" hidden="1" outlineLevel="2" x14ac:dyDescent="0.4">
      <c r="B37" s="69"/>
      <c r="C37" s="70"/>
      <c r="D37" s="75"/>
      <c r="E37" s="70" t="s">
        <v>72</v>
      </c>
      <c r="F37" s="76">
        <v>0.14634146341463414</v>
      </c>
      <c r="G37" s="76">
        <f>EDTN[[#This Row],[Nuevos Pesos]]*$G$30</f>
        <v>1.1783183361667504E-2</v>
      </c>
    </row>
    <row r="38" spans="2:7" hidden="1" outlineLevel="2" x14ac:dyDescent="0.4">
      <c r="B38" s="69"/>
      <c r="C38" s="70"/>
      <c r="D38" s="75"/>
      <c r="E38" s="70" t="s">
        <v>73</v>
      </c>
      <c r="F38" s="76">
        <v>7.3170731707317069E-2</v>
      </c>
      <c r="G38" s="76">
        <f>EDTN[[#This Row],[Nuevos Pesos]]*$G$30</f>
        <v>5.8915916808337521E-3</v>
      </c>
    </row>
    <row r="39" spans="2:7" hidden="1" outlineLevel="2" x14ac:dyDescent="0.4">
      <c r="B39" s="69"/>
      <c r="C39" s="70"/>
      <c r="D39" s="75"/>
      <c r="E39" s="70" t="s">
        <v>74</v>
      </c>
      <c r="F39" s="76">
        <v>0.14634146341463414</v>
      </c>
      <c r="G39" s="76">
        <f>EDTN[[#This Row],[Nuevos Pesos]]*$G$30</f>
        <v>1.1783183361667504E-2</v>
      </c>
    </row>
    <row r="40" spans="2:7" hidden="1" outlineLevel="2" x14ac:dyDescent="0.4">
      <c r="B40" s="69"/>
      <c r="C40" s="70"/>
      <c r="D40" s="75"/>
      <c r="E40" s="70" t="s">
        <v>75</v>
      </c>
      <c r="F40" s="76">
        <v>0.14634146341463414</v>
      </c>
      <c r="G40" s="76">
        <f>EDTN[[#This Row],[Nuevos Pesos]]*$G$30</f>
        <v>1.1783183361667504E-2</v>
      </c>
    </row>
    <row r="41" spans="2:7" outlineLevel="1" collapsed="1" x14ac:dyDescent="0.4">
      <c r="B41" s="85"/>
      <c r="C41" s="86"/>
      <c r="D41" s="86" t="s">
        <v>77</v>
      </c>
      <c r="E41" s="86"/>
      <c r="F41" s="87">
        <v>4.4703016488648502E-2</v>
      </c>
      <c r="G41" s="87">
        <f>EDTN[[#This Row],[Nuevos Pesos]]*$G$6</f>
        <v>3.4547630808451205E-2</v>
      </c>
    </row>
    <row r="42" spans="2:7" hidden="1" outlineLevel="2" x14ac:dyDescent="0.4">
      <c r="B42" s="69"/>
      <c r="C42" s="70"/>
      <c r="D42" s="70"/>
      <c r="E42" s="70" t="s">
        <v>78</v>
      </c>
      <c r="F42" s="71">
        <v>1</v>
      </c>
      <c r="G42" s="71">
        <f>EDTN[[#This Row],[Nuevos Pesos]]*G41</f>
        <v>3.4547630808451205E-2</v>
      </c>
    </row>
    <row r="43" spans="2:7" outlineLevel="1" collapsed="1" x14ac:dyDescent="0.4">
      <c r="B43" s="85"/>
      <c r="C43" s="86"/>
      <c r="D43" s="86" t="s">
        <v>251</v>
      </c>
      <c r="E43" s="86"/>
      <c r="F43" s="87">
        <v>0</v>
      </c>
      <c r="G43" s="87">
        <f>EDTN[[#This Row],[Nuevos Pesos]]*$G$6</f>
        <v>0</v>
      </c>
    </row>
    <row r="44" spans="2:7" hidden="1" outlineLevel="2" x14ac:dyDescent="0.4">
      <c r="B44" s="69"/>
      <c r="C44" s="70"/>
      <c r="D44" s="70"/>
      <c r="E44" s="70" t="s">
        <v>15</v>
      </c>
      <c r="F44" s="71">
        <v>1</v>
      </c>
      <c r="G44" s="71">
        <f>EDTN[[#This Row],[Nuevos Pesos]]*$G$43</f>
        <v>0</v>
      </c>
    </row>
    <row r="45" spans="2:7" x14ac:dyDescent="0.4">
      <c r="B45" s="15"/>
      <c r="C45" s="16" t="s">
        <v>83</v>
      </c>
      <c r="D45" s="16"/>
      <c r="E45" s="16"/>
      <c r="F45" s="66">
        <v>0.22717450583622398</v>
      </c>
      <c r="G45" s="66">
        <f>EDTN[[#This Row],[Nuevos Pesos]]*$G$5</f>
        <v>0.22717450583622398</v>
      </c>
    </row>
    <row r="46" spans="2:7" outlineLevel="1" collapsed="1" x14ac:dyDescent="0.4">
      <c r="B46" s="85"/>
      <c r="C46" s="86"/>
      <c r="D46" s="86" t="s">
        <v>13</v>
      </c>
      <c r="E46" s="86"/>
      <c r="F46" s="87">
        <v>2.3468375928862552E-2</v>
      </c>
      <c r="G46" s="87">
        <f>EDTN[[#This Row],[Nuevos Pesos]]*$G$45</f>
        <v>5.331416704418084E-3</v>
      </c>
    </row>
    <row r="47" spans="2:7" hidden="1" outlineLevel="2" x14ac:dyDescent="0.4">
      <c r="B47" s="69"/>
      <c r="C47" s="70"/>
      <c r="D47" s="70"/>
      <c r="E47" s="70" t="s">
        <v>86</v>
      </c>
      <c r="F47" s="71">
        <v>1</v>
      </c>
      <c r="G47" s="71">
        <f>EDTN[[#This Row],[Nuevos Pesos]]*$G$46</f>
        <v>5.331416704418084E-3</v>
      </c>
    </row>
    <row r="48" spans="2:7" outlineLevel="1" collapsed="1" x14ac:dyDescent="0.4">
      <c r="B48" s="85"/>
      <c r="C48" s="86"/>
      <c r="D48" s="86" t="s">
        <v>92</v>
      </c>
      <c r="E48" s="86"/>
      <c r="F48" s="87">
        <v>0.18279351044074912</v>
      </c>
      <c r="G48" s="87">
        <f>EDTN[[#This Row],[Nuevos Pesos]]*$G$45</f>
        <v>4.1526025404445832E-2</v>
      </c>
    </row>
    <row r="49" spans="2:7" hidden="1" outlineLevel="2" x14ac:dyDescent="0.4">
      <c r="B49" s="69"/>
      <c r="C49" s="70"/>
      <c r="D49" s="70"/>
      <c r="E49" s="70" t="s">
        <v>93</v>
      </c>
      <c r="F49" s="71">
        <v>0.23076923076923078</v>
      </c>
      <c r="G49" s="71">
        <f>EDTN[[#This Row],[Nuevos Pesos]]*$G$48</f>
        <v>9.5829289394875009E-3</v>
      </c>
    </row>
    <row r="50" spans="2:7" hidden="1" outlineLevel="2" x14ac:dyDescent="0.4">
      <c r="B50" s="69"/>
      <c r="C50" s="70"/>
      <c r="D50" s="70"/>
      <c r="E50" s="70" t="s">
        <v>96</v>
      </c>
      <c r="F50" s="71">
        <v>0.38461538461538464</v>
      </c>
      <c r="G50" s="71">
        <f>EDTN[[#This Row],[Nuevos Pesos]]*$G$48</f>
        <v>1.5971548232479166E-2</v>
      </c>
    </row>
    <row r="51" spans="2:7" hidden="1" outlineLevel="2" x14ac:dyDescent="0.4">
      <c r="B51" s="69"/>
      <c r="C51" s="70"/>
      <c r="D51" s="70"/>
      <c r="E51" s="70" t="s">
        <v>97</v>
      </c>
      <c r="F51" s="71">
        <v>7.6923076923076927E-2</v>
      </c>
      <c r="G51" s="71">
        <f>EDTN[[#This Row],[Nuevos Pesos]]*$G$48</f>
        <v>3.1943096464958332E-3</v>
      </c>
    </row>
    <row r="52" spans="2:7" hidden="1" outlineLevel="2" x14ac:dyDescent="0.4">
      <c r="B52" s="69"/>
      <c r="C52" s="70"/>
      <c r="D52" s="70"/>
      <c r="E52" s="70" t="s">
        <v>99</v>
      </c>
      <c r="F52" s="71">
        <v>0.23076923076923078</v>
      </c>
      <c r="G52" s="71">
        <f>EDTN[[#This Row],[Nuevos Pesos]]*$G$48</f>
        <v>9.5829289394875009E-3</v>
      </c>
    </row>
    <row r="53" spans="2:7" hidden="1" outlineLevel="2" x14ac:dyDescent="0.4">
      <c r="B53" s="69"/>
      <c r="C53" s="70"/>
      <c r="D53" s="70"/>
      <c r="E53" s="70" t="s">
        <v>100</v>
      </c>
      <c r="F53" s="71">
        <v>7.6923076923076927E-2</v>
      </c>
      <c r="G53" s="71">
        <f>EDTN[[#This Row],[Nuevos Pesos]]*$G$48</f>
        <v>3.1943096464958332E-3</v>
      </c>
    </row>
    <row r="54" spans="2:7" outlineLevel="1" collapsed="1" x14ac:dyDescent="0.4">
      <c r="B54" s="85"/>
      <c r="C54" s="86"/>
      <c r="D54" s="86" t="s">
        <v>102</v>
      </c>
      <c r="E54" s="86"/>
      <c r="F54" s="87">
        <v>3.5025603345783182E-2</v>
      </c>
      <c r="G54" s="87">
        <f>EDTN[[#This Row],[Nuevos Pesos]]*$G$45</f>
        <v>7.9569241316938873E-3</v>
      </c>
    </row>
    <row r="55" spans="2:7" hidden="1" outlineLevel="2" x14ac:dyDescent="0.4">
      <c r="B55" s="69"/>
      <c r="C55" s="70"/>
      <c r="D55" s="70"/>
      <c r="E55" s="70" t="s">
        <v>105</v>
      </c>
      <c r="F55" s="71">
        <v>0.25</v>
      </c>
      <c r="G55" s="71">
        <f>EDTN[[#This Row],[Nuevos Pesos]]*$G$54</f>
        <v>1.9892310329234718E-3</v>
      </c>
    </row>
    <row r="56" spans="2:7" hidden="1" outlineLevel="2" x14ac:dyDescent="0.4">
      <c r="B56" s="69"/>
      <c r="C56" s="70"/>
      <c r="D56" s="70"/>
      <c r="E56" s="70" t="s">
        <v>106</v>
      </c>
      <c r="F56" s="71">
        <v>0.75</v>
      </c>
      <c r="G56" s="71">
        <f>EDTN[[#This Row],[Nuevos Pesos]]*$G$54</f>
        <v>5.9676930987704151E-3</v>
      </c>
    </row>
    <row r="57" spans="2:7" outlineLevel="1" collapsed="1" x14ac:dyDescent="0.4">
      <c r="B57" s="85"/>
      <c r="C57" s="86"/>
      <c r="D57" s="86" t="s">
        <v>107</v>
      </c>
      <c r="E57" s="86"/>
      <c r="F57" s="87">
        <v>5.0592538166131268E-2</v>
      </c>
      <c r="G57" s="87">
        <f>EDTN[[#This Row],[Nuevos Pesos]]*$G$45</f>
        <v>1.1493334856891172E-2</v>
      </c>
    </row>
    <row r="58" spans="2:7" hidden="1" outlineLevel="2" x14ac:dyDescent="0.4">
      <c r="B58" s="69"/>
      <c r="C58" s="70"/>
      <c r="D58" s="70"/>
      <c r="E58" s="70" t="s">
        <v>108</v>
      </c>
      <c r="F58" s="71">
        <v>1</v>
      </c>
      <c r="G58" s="71">
        <f>EDTN[[#This Row],[Nuevos Pesos]]*$G$57</f>
        <v>1.1493334856891172E-2</v>
      </c>
    </row>
    <row r="59" spans="2:7" outlineLevel="1" collapsed="1" x14ac:dyDescent="0.4">
      <c r="B59" s="85"/>
      <c r="C59" s="86"/>
      <c r="D59" s="86" t="s">
        <v>109</v>
      </c>
      <c r="E59" s="86"/>
      <c r="F59" s="87">
        <v>4.2809070755957225E-2</v>
      </c>
      <c r="G59" s="87">
        <f>EDTN[[#This Row],[Nuevos Pesos]]*$G$45</f>
        <v>9.7251294942925295E-3</v>
      </c>
    </row>
    <row r="60" spans="2:7" hidden="1" outlineLevel="2" x14ac:dyDescent="0.4">
      <c r="B60" s="69"/>
      <c r="C60" s="70"/>
      <c r="D60" s="70"/>
      <c r="E60" s="70" t="s">
        <v>110</v>
      </c>
      <c r="F60" s="71">
        <v>0.25</v>
      </c>
      <c r="G60" s="71">
        <f>EDTN[[#This Row],[Nuevos Pesos]]*$G$59</f>
        <v>2.4312823735731324E-3</v>
      </c>
    </row>
    <row r="61" spans="2:7" hidden="1" outlineLevel="2" x14ac:dyDescent="0.4">
      <c r="B61" s="69"/>
      <c r="C61" s="70"/>
      <c r="D61" s="70"/>
      <c r="E61" s="70" t="s">
        <v>111</v>
      </c>
      <c r="F61" s="71">
        <v>0.75</v>
      </c>
      <c r="G61" s="71">
        <f>EDTN[[#This Row],[Nuevos Pesos]]*$G$59</f>
        <v>7.2938471207193972E-3</v>
      </c>
    </row>
    <row r="62" spans="2:7" outlineLevel="1" collapsed="1" x14ac:dyDescent="0.4">
      <c r="B62" s="85"/>
      <c r="C62" s="86"/>
      <c r="D62" s="86" t="s">
        <v>112</v>
      </c>
      <c r="E62" s="86"/>
      <c r="F62" s="87">
        <v>8.1726407806827425E-2</v>
      </c>
      <c r="G62" s="87">
        <f>EDTN[[#This Row],[Nuevos Pesos]]*$G$45</f>
        <v>1.8566156307285739E-2</v>
      </c>
    </row>
    <row r="63" spans="2:7" hidden="1" outlineLevel="2" x14ac:dyDescent="0.4">
      <c r="B63" s="69"/>
      <c r="C63" s="70"/>
      <c r="D63" s="70"/>
      <c r="E63" s="70" t="s">
        <v>113</v>
      </c>
      <c r="F63" s="71">
        <v>0.222</v>
      </c>
      <c r="G63" s="71">
        <f>EDTN[[#This Row],[Nuevos Pesos]]*$G$62</f>
        <v>4.1216867002174338E-3</v>
      </c>
    </row>
    <row r="64" spans="2:7" hidden="1" outlineLevel="2" x14ac:dyDescent="0.4">
      <c r="B64" s="69"/>
      <c r="C64" s="70"/>
      <c r="D64" s="70"/>
      <c r="E64" s="70" t="s">
        <v>114</v>
      </c>
      <c r="F64" s="71">
        <v>0.77800000000000002</v>
      </c>
      <c r="G64" s="71">
        <f>EDTN[[#This Row],[Nuevos Pesos]]*$G$62</f>
        <v>1.4444469607068305E-2</v>
      </c>
    </row>
    <row r="65" spans="2:7" outlineLevel="1" collapsed="1" x14ac:dyDescent="0.4">
      <c r="B65" s="85"/>
      <c r="C65" s="86"/>
      <c r="D65" s="86" t="s">
        <v>115</v>
      </c>
      <c r="E65" s="86"/>
      <c r="F65" s="87">
        <v>0.24500366121311851</v>
      </c>
      <c r="G65" s="87">
        <f>EDTN[[#This Row],[Nuevos Pesos]]*$G$45</f>
        <v>5.5658585664155831E-2</v>
      </c>
    </row>
    <row r="66" spans="2:7" hidden="1" outlineLevel="2" x14ac:dyDescent="0.4">
      <c r="B66" s="69"/>
      <c r="C66" s="70"/>
      <c r="D66" s="70"/>
      <c r="E66" s="70" t="s">
        <v>116</v>
      </c>
      <c r="F66" s="71">
        <v>0.66377015291541941</v>
      </c>
      <c r="G66" s="71">
        <f>EDTN[[#This Row],[Nuevos Pesos]]*$G$65</f>
        <v>3.6944507917352688E-2</v>
      </c>
    </row>
    <row r="67" spans="2:7" hidden="1" outlineLevel="2" x14ac:dyDescent="0.4">
      <c r="B67" s="69"/>
      <c r="C67" s="70"/>
      <c r="D67" s="70"/>
      <c r="E67" s="70" t="s">
        <v>117</v>
      </c>
      <c r="F67" s="71">
        <v>0.33622984708458059</v>
      </c>
      <c r="G67" s="71">
        <f>EDTN[[#This Row],[Nuevos Pesos]]*$G$65</f>
        <v>1.8714077746803146E-2</v>
      </c>
    </row>
    <row r="68" spans="2:7" outlineLevel="1" collapsed="1" x14ac:dyDescent="0.4">
      <c r="B68" s="85"/>
      <c r="C68" s="86"/>
      <c r="D68" s="86" t="s">
        <v>118</v>
      </c>
      <c r="E68" s="86"/>
      <c r="F68" s="87">
        <v>5.8376005576305304E-2</v>
      </c>
      <c r="G68" s="87">
        <f>EDTN[[#This Row],[Nuevos Pesos]]*$G$45</f>
        <v>1.3261540219489812E-2</v>
      </c>
    </row>
    <row r="69" spans="2:7" hidden="1" outlineLevel="2" x14ac:dyDescent="0.4">
      <c r="B69" s="69"/>
      <c r="C69" s="70"/>
      <c r="D69" s="70"/>
      <c r="E69" s="70" t="s">
        <v>119</v>
      </c>
      <c r="F69" s="71">
        <v>0.33333333333333331</v>
      </c>
      <c r="G69" s="71">
        <f>EDTN[[#This Row],[Nuevos Pesos]]*$G$68</f>
        <v>4.4205134064966038E-3</v>
      </c>
    </row>
    <row r="70" spans="2:7" hidden="1" outlineLevel="2" x14ac:dyDescent="0.4">
      <c r="B70" s="69"/>
      <c r="C70" s="70"/>
      <c r="D70" s="70"/>
      <c r="E70" s="77" t="s">
        <v>120</v>
      </c>
      <c r="F70" s="71">
        <v>0.33333333333333331</v>
      </c>
      <c r="G70" s="71">
        <f>EDTN[[#This Row],[Nuevos Pesos]]*$G$68</f>
        <v>4.4205134064966038E-3</v>
      </c>
    </row>
    <row r="71" spans="2:7" hidden="1" outlineLevel="2" x14ac:dyDescent="0.4">
      <c r="B71" s="69"/>
      <c r="C71" s="70"/>
      <c r="D71" s="70"/>
      <c r="E71" s="77" t="s">
        <v>121</v>
      </c>
      <c r="F71" s="71">
        <v>0.33333333333333331</v>
      </c>
      <c r="G71" s="71">
        <f>EDTN[[#This Row],[Nuevos Pesos]]*$G$68</f>
        <v>4.4205134064966038E-3</v>
      </c>
    </row>
    <row r="72" spans="2:7" outlineLevel="1" collapsed="1" x14ac:dyDescent="0.4">
      <c r="B72" s="85"/>
      <c r="C72" s="86"/>
      <c r="D72" s="86" t="s">
        <v>122</v>
      </c>
      <c r="E72" s="86"/>
      <c r="F72" s="87">
        <v>3.5025603345783182E-2</v>
      </c>
      <c r="G72" s="87">
        <f>EDTN[[#This Row],[Nuevos Pesos]]*$G$45</f>
        <v>7.9569241316938873E-3</v>
      </c>
    </row>
    <row r="73" spans="2:7" hidden="1" outlineLevel="2" x14ac:dyDescent="0.4">
      <c r="B73" s="69"/>
      <c r="C73" s="70"/>
      <c r="D73" s="70"/>
      <c r="E73" s="70" t="s">
        <v>123</v>
      </c>
      <c r="F73" s="71">
        <v>0.33333333333333331</v>
      </c>
      <c r="G73" s="71">
        <f>EDTN[[#This Row],[Nuevos Pesos]]*$G$72</f>
        <v>2.6523080438979624E-3</v>
      </c>
    </row>
    <row r="74" spans="2:7" hidden="1" outlineLevel="2" x14ac:dyDescent="0.4">
      <c r="B74" s="69"/>
      <c r="C74" s="70"/>
      <c r="D74" s="70"/>
      <c r="E74" s="70" t="s">
        <v>124</v>
      </c>
      <c r="F74" s="71">
        <v>0.33333333333333331</v>
      </c>
      <c r="G74" s="71">
        <f>EDTN[[#This Row],[Nuevos Pesos]]*$G$72</f>
        <v>2.6523080438979624E-3</v>
      </c>
    </row>
    <row r="75" spans="2:7" hidden="1" outlineLevel="2" x14ac:dyDescent="0.4">
      <c r="B75" s="69"/>
      <c r="C75" s="70"/>
      <c r="D75" s="70"/>
      <c r="E75" s="70" t="s">
        <v>125</v>
      </c>
      <c r="F75" s="71">
        <v>0.33333333333333331</v>
      </c>
      <c r="G75" s="71">
        <f>EDTN[[#This Row],[Nuevos Pesos]]*$G$72</f>
        <v>2.6523080438979624E-3</v>
      </c>
    </row>
    <row r="76" spans="2:7" outlineLevel="1" collapsed="1" x14ac:dyDescent="0.4">
      <c r="B76" s="85"/>
      <c r="C76" s="86"/>
      <c r="D76" s="86" t="s">
        <v>126</v>
      </c>
      <c r="E76" s="86"/>
      <c r="F76" s="87">
        <v>8.1726407806827425E-2</v>
      </c>
      <c r="G76" s="87">
        <f>EDTN[[#This Row],[Nuevos Pesos]]*$G$45</f>
        <v>1.8566156307285739E-2</v>
      </c>
    </row>
    <row r="77" spans="2:7" hidden="1" outlineLevel="2" x14ac:dyDescent="0.4">
      <c r="B77" s="69"/>
      <c r="C77" s="70"/>
      <c r="D77" s="70"/>
      <c r="E77" s="70" t="s">
        <v>127</v>
      </c>
      <c r="F77" s="71">
        <v>0.22222222222222221</v>
      </c>
      <c r="G77" s="71">
        <f>EDTN[[#This Row],[Nuevos Pesos]]*$G$76</f>
        <v>4.1258125127301643E-3</v>
      </c>
    </row>
    <row r="78" spans="2:7" hidden="1" outlineLevel="2" x14ac:dyDescent="0.4">
      <c r="B78" s="69"/>
      <c r="C78" s="70"/>
      <c r="D78" s="70"/>
      <c r="E78" s="70" t="s">
        <v>128</v>
      </c>
      <c r="F78" s="71">
        <v>0.1111111111111111</v>
      </c>
      <c r="G78" s="71">
        <f>EDTN[[#This Row],[Nuevos Pesos]]*$G$76</f>
        <v>2.0629062563650821E-3</v>
      </c>
    </row>
    <row r="79" spans="2:7" hidden="1" outlineLevel="2" x14ac:dyDescent="0.4">
      <c r="B79" s="69"/>
      <c r="C79" s="70"/>
      <c r="D79" s="70"/>
      <c r="E79" s="70" t="s">
        <v>129</v>
      </c>
      <c r="F79" s="71">
        <v>0.1111111111111111</v>
      </c>
      <c r="G79" s="71">
        <f>EDTN[[#This Row],[Nuevos Pesos]]*$G$76</f>
        <v>2.0629062563650821E-3</v>
      </c>
    </row>
    <row r="80" spans="2:7" hidden="1" outlineLevel="2" x14ac:dyDescent="0.4">
      <c r="B80" s="69"/>
      <c r="C80" s="70"/>
      <c r="D80" s="70"/>
      <c r="E80" s="70" t="s">
        <v>130</v>
      </c>
      <c r="F80" s="71">
        <v>0.22222222222222221</v>
      </c>
      <c r="G80" s="71">
        <f>EDTN[[#This Row],[Nuevos Pesos]]*$G$76</f>
        <v>4.1258125127301643E-3</v>
      </c>
    </row>
    <row r="81" spans="2:7" hidden="1" outlineLevel="2" x14ac:dyDescent="0.4">
      <c r="B81" s="69"/>
      <c r="C81" s="70"/>
      <c r="D81" s="70"/>
      <c r="E81" s="70" t="s">
        <v>131</v>
      </c>
      <c r="F81" s="71">
        <v>0.1111111111111111</v>
      </c>
      <c r="G81" s="71">
        <f>EDTN[[#This Row],[Nuevos Pesos]]*$G$76</f>
        <v>2.0629062563650821E-3</v>
      </c>
    </row>
    <row r="82" spans="2:7" hidden="1" outlineLevel="2" x14ac:dyDescent="0.4">
      <c r="B82" s="69"/>
      <c r="C82" s="70"/>
      <c r="D82" s="70"/>
      <c r="E82" s="70" t="s">
        <v>132</v>
      </c>
      <c r="F82" s="71">
        <v>0.22222222222222221</v>
      </c>
      <c r="G82" s="71">
        <f>EDTN[[#This Row],[Nuevos Pesos]]*$G$76</f>
        <v>4.1258125127301643E-3</v>
      </c>
    </row>
    <row r="83" spans="2:7" outlineLevel="1" collapsed="1" x14ac:dyDescent="0.4">
      <c r="B83" s="85"/>
      <c r="C83" s="86"/>
      <c r="D83" s="86" t="s">
        <v>133</v>
      </c>
      <c r="E83" s="86"/>
      <c r="F83" s="87">
        <v>8.1726407806827439E-2</v>
      </c>
      <c r="G83" s="87">
        <f>EDTN[[#This Row],[Nuevos Pesos]]*$G$45</f>
        <v>1.8566156307285742E-2</v>
      </c>
    </row>
    <row r="84" spans="2:7" hidden="1" outlineLevel="2" x14ac:dyDescent="0.4">
      <c r="B84" s="69"/>
      <c r="C84" s="70"/>
      <c r="D84" s="70"/>
      <c r="E84" s="70" t="s">
        <v>134</v>
      </c>
      <c r="F84" s="71">
        <v>0.222</v>
      </c>
      <c r="G84" s="71">
        <f>EDTN[[#This Row],[Nuevos Pesos]]*$G$83</f>
        <v>4.1216867002174347E-3</v>
      </c>
    </row>
    <row r="85" spans="2:7" hidden="1" outlineLevel="2" x14ac:dyDescent="0.4">
      <c r="B85" s="69"/>
      <c r="C85" s="70"/>
      <c r="D85" s="70"/>
      <c r="E85" s="70" t="s">
        <v>135</v>
      </c>
      <c r="F85" s="71">
        <v>0.222</v>
      </c>
      <c r="G85" s="71">
        <f>EDTN[[#This Row],[Nuevos Pesos]]*$G$83</f>
        <v>4.1216867002174347E-3</v>
      </c>
    </row>
    <row r="86" spans="2:7" hidden="1" outlineLevel="2" x14ac:dyDescent="0.4">
      <c r="B86" s="69"/>
      <c r="C86" s="70"/>
      <c r="D86" s="70"/>
      <c r="E86" s="70" t="s">
        <v>136</v>
      </c>
      <c r="F86" s="71">
        <v>0.55600000000000005</v>
      </c>
      <c r="G86" s="71">
        <f>EDTN[[#This Row],[Nuevos Pesos]]*$G$83</f>
        <v>1.0322782906850873E-2</v>
      </c>
    </row>
    <row r="87" spans="2:7" outlineLevel="1" collapsed="1" x14ac:dyDescent="0.4">
      <c r="B87" s="85"/>
      <c r="C87" s="86"/>
      <c r="D87" s="86" t="s">
        <v>137</v>
      </c>
      <c r="E87" s="86"/>
      <c r="F87" s="87">
        <v>8.1726407806827425E-2</v>
      </c>
      <c r="G87" s="87">
        <f>EDTN[[#This Row],[Nuevos Pesos]]*$G$45</f>
        <v>1.8566156307285739E-2</v>
      </c>
    </row>
    <row r="88" spans="2:7" hidden="1" outlineLevel="2" x14ac:dyDescent="0.4">
      <c r="B88" s="69"/>
      <c r="C88" s="70"/>
      <c r="D88" s="70"/>
      <c r="E88" s="70" t="s">
        <v>138</v>
      </c>
      <c r="F88" s="71">
        <v>0.2</v>
      </c>
      <c r="G88" s="71">
        <f>EDTN[[#This Row],[Nuevos Pesos]]*$G$87</f>
        <v>3.713231261457148E-3</v>
      </c>
    </row>
    <row r="89" spans="2:7" hidden="1" outlineLevel="2" x14ac:dyDescent="0.4">
      <c r="B89" s="69"/>
      <c r="C89" s="70"/>
      <c r="D89" s="70"/>
      <c r="E89" s="70" t="s">
        <v>139</v>
      </c>
      <c r="F89" s="71">
        <v>0.15</v>
      </c>
      <c r="G89" s="71">
        <f>EDTN[[#This Row],[Nuevos Pesos]]*$G$87</f>
        <v>2.7849234460928609E-3</v>
      </c>
    </row>
    <row r="90" spans="2:7" hidden="1" outlineLevel="2" x14ac:dyDescent="0.4">
      <c r="B90" s="69"/>
      <c r="C90" s="70"/>
      <c r="D90" s="70"/>
      <c r="E90" s="70" t="s">
        <v>140</v>
      </c>
      <c r="F90" s="71">
        <v>0.65</v>
      </c>
      <c r="G90" s="71">
        <f>EDTN[[#This Row],[Nuevos Pesos]]*$G$87</f>
        <v>1.206800159973573E-2</v>
      </c>
    </row>
    <row r="91" spans="2:7" outlineLevel="1" collapsed="1" x14ac:dyDescent="0.4">
      <c r="B91" s="85"/>
      <c r="C91" s="86"/>
      <c r="D91" s="86" t="s">
        <v>251</v>
      </c>
      <c r="E91" s="86"/>
      <c r="F91" s="87">
        <v>0</v>
      </c>
      <c r="G91" s="87">
        <f>EDTN[[#This Row],[Nuevos Pesos]]*$G$45</f>
        <v>0</v>
      </c>
    </row>
    <row r="92" spans="2:7" hidden="1" outlineLevel="2" x14ac:dyDescent="0.4">
      <c r="B92" s="69"/>
      <c r="C92" s="70"/>
      <c r="D92" s="70"/>
      <c r="E92" s="78" t="s">
        <v>15</v>
      </c>
      <c r="F92" s="71">
        <v>1E-117</v>
      </c>
      <c r="G92" s="71">
        <f>EDTN[[#This Row],[Nuevos Pesos]]*$G$91</f>
        <v>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4D91-BC7C-4010-9116-B39326F3C973}">
  <sheetPr>
    <tabColor theme="5" tint="0.79998168889431442"/>
    <outlinePr summaryBelow="0"/>
  </sheetPr>
  <dimension ref="B2:EL144"/>
  <sheetViews>
    <sheetView showGridLines="0" zoomScale="90" zoomScaleNormal="90" workbookViewId="0">
      <pane xSplit="5" topLeftCell="L1" activePane="topRight" state="frozen"/>
      <selection activeCell="H19" sqref="H19:M20"/>
      <selection pane="topRight" activeCell="EL5" sqref="L5:EL5"/>
    </sheetView>
  </sheetViews>
  <sheetFormatPr baseColWidth="10" defaultColWidth="11.44140625" defaultRowHeight="14.4" outlineLevelRow="2" x14ac:dyDescent="0.3"/>
  <cols>
    <col min="1" max="1" width="4.109375" customWidth="1"/>
    <col min="2" max="4" width="5.6640625" customWidth="1"/>
    <col min="5" max="5" width="70.6640625" style="43" customWidth="1"/>
    <col min="7" max="8" width="13.5546875" style="96" customWidth="1"/>
    <col min="9" max="10" width="9" customWidth="1"/>
    <col min="11" max="11" width="10.5546875" customWidth="1"/>
    <col min="12" max="12" width="10.44140625" customWidth="1"/>
    <col min="13" max="13" width="10.6640625" customWidth="1"/>
    <col min="15" max="16" width="11.88671875" customWidth="1"/>
    <col min="17" max="17" width="10.6640625" customWidth="1"/>
    <col min="20" max="20" width="11.88671875" customWidth="1"/>
    <col min="21" max="22" width="10.6640625" customWidth="1"/>
    <col min="24" max="25" width="11.88671875" customWidth="1"/>
    <col min="27" max="28" width="12.109375" customWidth="1"/>
    <col min="29" max="29" width="12.5546875" customWidth="1"/>
    <col min="30" max="30" width="11.109375" customWidth="1"/>
    <col min="32" max="32" width="11.88671875" customWidth="1"/>
    <col min="33" max="33" width="12.109375" customWidth="1"/>
    <col min="36" max="36" width="12.109375" customWidth="1"/>
    <col min="37" max="38" width="12.5546875" customWidth="1"/>
    <col min="39" max="39" width="10.44140625" customWidth="1"/>
    <col min="40" max="40" width="11.109375" customWidth="1"/>
    <col min="43" max="43" width="10.6640625" customWidth="1"/>
    <col min="46" max="46" width="11.88671875" customWidth="1"/>
    <col min="47" max="47" width="10.6640625" customWidth="1"/>
    <col min="50" max="50" width="11.88671875" customWidth="1"/>
    <col min="52" max="52" width="10.6640625" customWidth="1"/>
    <col min="55" max="55" width="11.88671875" customWidth="1"/>
    <col min="56" max="56" width="10.6640625" customWidth="1"/>
    <col min="59" max="59" width="11.88671875" customWidth="1"/>
    <col min="60" max="61" width="10.6640625" customWidth="1"/>
    <col min="63" max="64" width="11.88671875" customWidth="1"/>
    <col min="65" max="65" width="10.6640625" customWidth="1"/>
    <col min="68" max="68" width="11.88671875" customWidth="1"/>
    <col min="69" max="69" width="10.6640625" customWidth="1"/>
    <col min="112" max="112" width="11.44140625" style="350"/>
  </cols>
  <sheetData>
    <row r="2" spans="2:142" x14ac:dyDescent="0.3">
      <c r="I2" s="436"/>
      <c r="J2" s="436"/>
      <c r="M2" s="39">
        <f>M5-K5</f>
        <v>6.6812110374114548E-4</v>
      </c>
      <c r="N2" s="39">
        <f t="shared" ref="N2:BR2" si="0">N5-L5</f>
        <v>1.257491996092005E-3</v>
      </c>
      <c r="O2" s="39">
        <f t="shared" si="0"/>
        <v>2.0755526710447393E-3</v>
      </c>
      <c r="P2" s="39">
        <f t="shared" si="0"/>
        <v>2.8132278657614744E-3</v>
      </c>
      <c r="Q2" s="39">
        <f t="shared" si="0"/>
        <v>2.6694198643489259E-3</v>
      </c>
      <c r="R2" s="39">
        <f t="shared" si="0"/>
        <v>1.4075632805039272E-2</v>
      </c>
      <c r="S2" s="39">
        <f t="shared" si="0"/>
        <v>3.2596521517465754E-2</v>
      </c>
      <c r="T2" s="39">
        <f t="shared" si="0"/>
        <v>4.6257591840213164E-2</v>
      </c>
      <c r="U2" s="39">
        <f t="shared" si="0"/>
        <v>4.0321570467792889E-2</v>
      </c>
      <c r="V2" s="39">
        <f t="shared" si="0"/>
        <v>5.0131688625868684E-2</v>
      </c>
      <c r="W2" s="39">
        <f t="shared" si="0"/>
        <v>4.0877020472340111E-2</v>
      </c>
      <c r="X2" s="39">
        <f t="shared" si="0"/>
        <v>2.4564943753718357E-2</v>
      </c>
      <c r="Y2" s="39">
        <f t="shared" si="0"/>
        <v>3.3775095214647624E-2</v>
      </c>
      <c r="Z2" s="39">
        <f t="shared" si="0"/>
        <v>2.3946878842442537E-2</v>
      </c>
      <c r="AA2" s="39">
        <f t="shared" si="0"/>
        <v>2.4301124778015021E-2</v>
      </c>
      <c r="AB2" s="39">
        <f t="shared" si="0"/>
        <v>3.9310316544222457E-2</v>
      </c>
      <c r="AC2" s="39">
        <f t="shared" si="0"/>
        <v>5.7455383519470965E-2</v>
      </c>
      <c r="AD2" s="39">
        <f t="shared" si="0"/>
        <v>6.3987089705913908E-2</v>
      </c>
      <c r="AE2" s="39">
        <f t="shared" si="0"/>
        <v>4.8545017235537807E-2</v>
      </c>
      <c r="AF2" s="39">
        <f t="shared" si="0"/>
        <v>4.6480215195021046E-2</v>
      </c>
      <c r="AG2" s="39">
        <f t="shared" si="0"/>
        <v>4.8561314010751422E-2</v>
      </c>
      <c r="AH2" s="39">
        <f t="shared" si="0"/>
        <v>4.230682904517391E-2</v>
      </c>
      <c r="AI2" s="39">
        <f t="shared" si="0"/>
        <v>3.7523810849728778E-2</v>
      </c>
      <c r="AJ2" s="39">
        <f t="shared" si="0"/>
        <v>3.5330745095275673E-2</v>
      </c>
      <c r="AK2" s="39">
        <f t="shared" si="0"/>
        <v>3.0852381106082183E-2</v>
      </c>
      <c r="AL2" s="39">
        <f t="shared" si="0"/>
        <v>9.6718678632595756E-3</v>
      </c>
      <c r="AM2" s="39">
        <f t="shared" si="0"/>
        <v>0</v>
      </c>
      <c r="AN2" s="39">
        <f t="shared" si="0"/>
        <v>4.9504048061131956E-3</v>
      </c>
      <c r="AO2" s="39">
        <f t="shared" si="0"/>
        <v>1.4545549247759137E-2</v>
      </c>
      <c r="AP2" s="39">
        <f t="shared" si="0"/>
        <v>1.7096728948199913E-2</v>
      </c>
      <c r="AQ2" s="39">
        <f t="shared" si="0"/>
        <v>1.5255568640782036E-2</v>
      </c>
      <c r="AR2" s="39">
        <f t="shared" si="0"/>
        <v>1.5600640249575526E-2</v>
      </c>
      <c r="AS2" s="39">
        <f t="shared" si="0"/>
        <v>1.5623979854148207E-2</v>
      </c>
      <c r="AT2" s="39">
        <f t="shared" si="0"/>
        <v>1.9328182418015982E-2</v>
      </c>
      <c r="AU2" s="39">
        <f t="shared" si="0"/>
        <v>2.5997143711908921E-2</v>
      </c>
      <c r="AV2" s="39">
        <f t="shared" si="0"/>
        <v>3.1499853032107783E-2</v>
      </c>
      <c r="AW2" s="39">
        <f t="shared" si="0"/>
        <v>3.5908423537519274E-2</v>
      </c>
      <c r="AX2" s="39">
        <f t="shared" si="0"/>
        <v>3.9174892950578077E-2</v>
      </c>
      <c r="AY2" s="39">
        <f t="shared" si="0"/>
        <v>4.0398002647451414E-2</v>
      </c>
      <c r="AZ2" s="39">
        <f t="shared" si="0"/>
        <v>5.243463374486923E-2</v>
      </c>
      <c r="BA2" s="39">
        <f t="shared" si="0"/>
        <v>7.0374575630637204E-2</v>
      </c>
      <c r="BB2" s="39">
        <f t="shared" si="0"/>
        <v>9.0935785771380728E-2</v>
      </c>
      <c r="BC2" s="39">
        <f t="shared" si="0"/>
        <v>9.9674108543323814E-2</v>
      </c>
      <c r="BD2" s="39">
        <f t="shared" si="0"/>
        <v>9.1790189810844636E-2</v>
      </c>
      <c r="BE2" s="39">
        <f t="shared" si="0"/>
        <v>8.8857645073202929E-2</v>
      </c>
      <c r="BF2" s="39">
        <f t="shared" si="0"/>
        <v>8.8324686610815273E-2</v>
      </c>
      <c r="BG2" s="39">
        <f t="shared" si="0"/>
        <v>7.3638374158487507E-2</v>
      </c>
      <c r="BH2" s="39">
        <f t="shared" si="0"/>
        <v>5.7003280612794804E-2</v>
      </c>
      <c r="BI2" s="39">
        <f t="shared" si="0"/>
        <v>5.5326625637687199E-2</v>
      </c>
      <c r="BJ2" s="39">
        <f t="shared" si="0"/>
        <v>4.3859921328323836E-2</v>
      </c>
      <c r="BK2" s="39">
        <f t="shared" si="0"/>
        <v>2.5301534706583695E-2</v>
      </c>
      <c r="BL2" s="39">
        <f t="shared" si="0"/>
        <v>1.6829421892516794E-2</v>
      </c>
      <c r="BM2" s="39">
        <f t="shared" si="0"/>
        <v>1.3014319989677725E-2</v>
      </c>
      <c r="BN2" s="39">
        <f t="shared" si="0"/>
        <v>9.5350398086180288E-3</v>
      </c>
      <c r="BO2" s="39">
        <f t="shared" si="0"/>
        <v>7.4930140972422343E-3</v>
      </c>
      <c r="BP2" s="39">
        <f t="shared" si="0"/>
        <v>1.2212191256081639E-2</v>
      </c>
      <c r="BQ2" s="39">
        <f t="shared" si="0"/>
        <v>1.1893247860487177E-2</v>
      </c>
      <c r="BR2" s="39">
        <f t="shared" si="0"/>
        <v>5.3444701880313028E-3</v>
      </c>
      <c r="BS2" s="39">
        <f t="shared" ref="BS2:CO2" si="1">BS5-BQ5</f>
        <v>6.4755538521339417E-3</v>
      </c>
      <c r="BT2" s="39">
        <f t="shared" si="1"/>
        <v>3.8573437601656657E-3</v>
      </c>
      <c r="BU2" s="39">
        <f t="shared" si="1"/>
        <v>0</v>
      </c>
      <c r="BV2" s="39">
        <f t="shared" si="1"/>
        <v>0</v>
      </c>
      <c r="BW2" s="39">
        <f t="shared" si="1"/>
        <v>0</v>
      </c>
      <c r="BX2" s="39">
        <f t="shared" si="1"/>
        <v>0</v>
      </c>
      <c r="BY2" s="39">
        <f t="shared" si="1"/>
        <v>0</v>
      </c>
      <c r="BZ2" s="39">
        <f t="shared" si="1"/>
        <v>0</v>
      </c>
      <c r="CA2" s="39">
        <f t="shared" si="1"/>
        <v>0</v>
      </c>
      <c r="CB2" s="39">
        <f t="shared" si="1"/>
        <v>0</v>
      </c>
      <c r="CC2" s="39">
        <f t="shared" si="1"/>
        <v>0</v>
      </c>
      <c r="CD2" s="39">
        <f t="shared" si="1"/>
        <v>0</v>
      </c>
      <c r="CE2" s="39">
        <f t="shared" si="1"/>
        <v>0</v>
      </c>
      <c r="CF2" s="39">
        <f t="shared" si="1"/>
        <v>0</v>
      </c>
      <c r="CG2" s="39">
        <f t="shared" si="1"/>
        <v>0</v>
      </c>
      <c r="CH2" s="39">
        <f t="shared" si="1"/>
        <v>0</v>
      </c>
      <c r="CI2" s="39">
        <f t="shared" si="1"/>
        <v>0</v>
      </c>
      <c r="CJ2" s="39">
        <f t="shared" si="1"/>
        <v>0</v>
      </c>
      <c r="CK2" s="39">
        <f t="shared" si="1"/>
        <v>0</v>
      </c>
      <c r="CL2" s="39">
        <f t="shared" si="1"/>
        <v>0</v>
      </c>
      <c r="CM2" s="39">
        <f t="shared" si="1"/>
        <v>0</v>
      </c>
      <c r="CN2" s="39">
        <f t="shared" si="1"/>
        <v>0</v>
      </c>
      <c r="CO2" s="39">
        <f t="shared" si="1"/>
        <v>0</v>
      </c>
      <c r="CP2" s="39">
        <f t="shared" ref="CP2" si="2">CP5-CN5</f>
        <v>0</v>
      </c>
      <c r="CQ2" s="39">
        <f t="shared" ref="CQ2" si="3">CQ5-CO5</f>
        <v>0</v>
      </c>
      <c r="CR2" s="39">
        <f t="shared" ref="CR2" si="4">CR5-CP5</f>
        <v>0</v>
      </c>
      <c r="CS2" s="39">
        <f t="shared" ref="CS2" si="5">CS5-CQ5</f>
        <v>0</v>
      </c>
      <c r="CT2" s="39">
        <f t="shared" ref="CT2" si="6">CT5-CR5</f>
        <v>0</v>
      </c>
      <c r="CU2" s="39">
        <f t="shared" ref="CU2" si="7">CU5-CS5</f>
        <v>0</v>
      </c>
      <c r="CV2" s="39">
        <f t="shared" ref="CV2" si="8">CV5-CT5</f>
        <v>0</v>
      </c>
      <c r="CW2" s="39">
        <f t="shared" ref="CW2" si="9">CW5-CU5</f>
        <v>0</v>
      </c>
      <c r="CX2" s="39">
        <f t="shared" ref="CX2" si="10">CX5-CV5</f>
        <v>0</v>
      </c>
      <c r="CY2" s="39">
        <f t="shared" ref="CY2:DH2" si="11">CY5-CW5</f>
        <v>0</v>
      </c>
      <c r="CZ2" s="39">
        <f t="shared" si="11"/>
        <v>0</v>
      </c>
      <c r="DA2" s="39">
        <f t="shared" si="11"/>
        <v>0</v>
      </c>
      <c r="DB2" s="39">
        <f t="shared" si="11"/>
        <v>0</v>
      </c>
      <c r="DC2" s="39">
        <f t="shared" si="11"/>
        <v>0</v>
      </c>
      <c r="DD2" s="39">
        <f t="shared" si="11"/>
        <v>0</v>
      </c>
      <c r="DE2" s="39">
        <f t="shared" si="11"/>
        <v>0</v>
      </c>
      <c r="DF2" s="39">
        <f t="shared" si="11"/>
        <v>0</v>
      </c>
      <c r="DG2" s="39">
        <f t="shared" si="11"/>
        <v>0</v>
      </c>
      <c r="DH2" s="341">
        <f t="shared" si="11"/>
        <v>0</v>
      </c>
    </row>
    <row r="3" spans="2:142" x14ac:dyDescent="0.3">
      <c r="I3" s="437"/>
      <c r="J3" s="437"/>
      <c r="L3" s="338">
        <v>45474</v>
      </c>
      <c r="M3" s="338">
        <f>+L3+7</f>
        <v>45481</v>
      </c>
      <c r="N3" s="338">
        <f>+M3+7</f>
        <v>45488</v>
      </c>
      <c r="O3" s="338">
        <f>+N3+7</f>
        <v>45495</v>
      </c>
      <c r="P3" s="338">
        <f t="shared" ref="P3:BR3" si="12">+O3+7</f>
        <v>45502</v>
      </c>
      <c r="Q3" s="338">
        <f t="shared" si="12"/>
        <v>45509</v>
      </c>
      <c r="R3" s="338">
        <f t="shared" si="12"/>
        <v>45516</v>
      </c>
      <c r="S3" s="338">
        <f t="shared" si="12"/>
        <v>45523</v>
      </c>
      <c r="T3" s="338">
        <f t="shared" si="12"/>
        <v>45530</v>
      </c>
      <c r="U3" s="338">
        <f t="shared" si="12"/>
        <v>45537</v>
      </c>
      <c r="V3" s="338">
        <f t="shared" si="12"/>
        <v>45544</v>
      </c>
      <c r="W3" s="338">
        <f t="shared" si="12"/>
        <v>45551</v>
      </c>
      <c r="X3" s="338">
        <f t="shared" si="12"/>
        <v>45558</v>
      </c>
      <c r="Y3" s="338">
        <f t="shared" si="12"/>
        <v>45565</v>
      </c>
      <c r="Z3" s="338">
        <f t="shared" si="12"/>
        <v>45572</v>
      </c>
      <c r="AA3" s="338">
        <f t="shared" si="12"/>
        <v>45579</v>
      </c>
      <c r="AB3" s="338">
        <f t="shared" si="12"/>
        <v>45586</v>
      </c>
      <c r="AC3" s="338">
        <f t="shared" si="12"/>
        <v>45593</v>
      </c>
      <c r="AD3" s="338">
        <f t="shared" si="12"/>
        <v>45600</v>
      </c>
      <c r="AE3" s="338">
        <f t="shared" si="12"/>
        <v>45607</v>
      </c>
      <c r="AF3" s="338">
        <f t="shared" si="12"/>
        <v>45614</v>
      </c>
      <c r="AG3" s="338">
        <f t="shared" si="12"/>
        <v>45621</v>
      </c>
      <c r="AH3" s="338">
        <f t="shared" si="12"/>
        <v>45628</v>
      </c>
      <c r="AI3" s="338">
        <f t="shared" si="12"/>
        <v>45635</v>
      </c>
      <c r="AJ3" s="338">
        <f t="shared" si="12"/>
        <v>45642</v>
      </c>
      <c r="AK3" s="338">
        <f t="shared" si="12"/>
        <v>45649</v>
      </c>
      <c r="AL3" s="338">
        <f t="shared" si="12"/>
        <v>45656</v>
      </c>
      <c r="AM3" s="338">
        <f t="shared" si="12"/>
        <v>45663</v>
      </c>
      <c r="AN3" s="338">
        <f t="shared" si="12"/>
        <v>45670</v>
      </c>
      <c r="AO3" s="338">
        <f t="shared" si="12"/>
        <v>45677</v>
      </c>
      <c r="AP3" s="338">
        <f>+AO3+7</f>
        <v>45684</v>
      </c>
      <c r="AQ3" s="338">
        <f t="shared" si="12"/>
        <v>45691</v>
      </c>
      <c r="AR3" s="338">
        <f t="shared" si="12"/>
        <v>45698</v>
      </c>
      <c r="AS3" s="338">
        <f t="shared" si="12"/>
        <v>45705</v>
      </c>
      <c r="AT3" s="338">
        <f>+AS3+7</f>
        <v>45712</v>
      </c>
      <c r="AU3" s="338">
        <f t="shared" si="12"/>
        <v>45719</v>
      </c>
      <c r="AV3" s="338">
        <f t="shared" si="12"/>
        <v>45726</v>
      </c>
      <c r="AW3" s="338">
        <f t="shared" si="12"/>
        <v>45733</v>
      </c>
      <c r="AX3" s="338">
        <f t="shared" si="12"/>
        <v>45740</v>
      </c>
      <c r="AY3" s="338">
        <f t="shared" si="12"/>
        <v>45747</v>
      </c>
      <c r="AZ3" s="338">
        <f t="shared" si="12"/>
        <v>45754</v>
      </c>
      <c r="BA3" s="338">
        <f t="shared" si="12"/>
        <v>45761</v>
      </c>
      <c r="BB3" s="338">
        <f t="shared" si="12"/>
        <v>45768</v>
      </c>
      <c r="BC3" s="338">
        <f t="shared" si="12"/>
        <v>45775</v>
      </c>
      <c r="BD3" s="338">
        <f t="shared" si="12"/>
        <v>45782</v>
      </c>
      <c r="BE3" s="338">
        <f t="shared" si="12"/>
        <v>45789</v>
      </c>
      <c r="BF3" s="338">
        <f t="shared" si="12"/>
        <v>45796</v>
      </c>
      <c r="BG3" s="338">
        <f t="shared" si="12"/>
        <v>45803</v>
      </c>
      <c r="BH3" s="338">
        <f t="shared" si="12"/>
        <v>45810</v>
      </c>
      <c r="BI3" s="338">
        <f t="shared" si="12"/>
        <v>45817</v>
      </c>
      <c r="BJ3" s="338">
        <f t="shared" si="12"/>
        <v>45824</v>
      </c>
      <c r="BK3" s="338">
        <f t="shared" si="12"/>
        <v>45831</v>
      </c>
      <c r="BL3" s="338">
        <f t="shared" si="12"/>
        <v>45838</v>
      </c>
      <c r="BM3" s="338">
        <f t="shared" si="12"/>
        <v>45845</v>
      </c>
      <c r="BN3" s="338">
        <f t="shared" si="12"/>
        <v>45852</v>
      </c>
      <c r="BO3" s="338">
        <f t="shared" si="12"/>
        <v>45859</v>
      </c>
      <c r="BP3" s="338">
        <f t="shared" si="12"/>
        <v>45866</v>
      </c>
      <c r="BQ3" s="338">
        <f t="shared" si="12"/>
        <v>45873</v>
      </c>
      <c r="BR3" s="338">
        <f t="shared" si="12"/>
        <v>45880</v>
      </c>
      <c r="BS3" s="338">
        <f t="shared" ref="BS3:CO3" si="13">+BR3+7</f>
        <v>45887</v>
      </c>
      <c r="BT3" s="338">
        <f t="shared" si="13"/>
        <v>45894</v>
      </c>
      <c r="BU3" s="338">
        <f t="shared" si="13"/>
        <v>45901</v>
      </c>
      <c r="BV3" s="338">
        <f t="shared" si="13"/>
        <v>45908</v>
      </c>
      <c r="BW3" s="338">
        <f t="shared" si="13"/>
        <v>45915</v>
      </c>
      <c r="BX3" s="338">
        <f t="shared" si="13"/>
        <v>45922</v>
      </c>
      <c r="BY3" s="338">
        <f t="shared" si="13"/>
        <v>45929</v>
      </c>
      <c r="BZ3" s="338">
        <f t="shared" si="13"/>
        <v>45936</v>
      </c>
      <c r="CA3" s="338">
        <f t="shared" si="13"/>
        <v>45943</v>
      </c>
      <c r="CB3" s="338">
        <f t="shared" si="13"/>
        <v>45950</v>
      </c>
      <c r="CC3" s="338">
        <f t="shared" si="13"/>
        <v>45957</v>
      </c>
      <c r="CD3" s="338">
        <f t="shared" si="13"/>
        <v>45964</v>
      </c>
      <c r="CE3" s="338">
        <f t="shared" si="13"/>
        <v>45971</v>
      </c>
      <c r="CF3" s="338">
        <f t="shared" si="13"/>
        <v>45978</v>
      </c>
      <c r="CG3" s="338">
        <f t="shared" si="13"/>
        <v>45985</v>
      </c>
      <c r="CH3" s="338">
        <f t="shared" si="13"/>
        <v>45992</v>
      </c>
      <c r="CI3" s="338">
        <f t="shared" si="13"/>
        <v>45999</v>
      </c>
      <c r="CJ3" s="338">
        <f t="shared" si="13"/>
        <v>46006</v>
      </c>
      <c r="CK3" s="338">
        <f t="shared" si="13"/>
        <v>46013</v>
      </c>
      <c r="CL3" s="338">
        <f t="shared" si="13"/>
        <v>46020</v>
      </c>
      <c r="CM3" s="338">
        <f t="shared" si="13"/>
        <v>46027</v>
      </c>
      <c r="CN3" s="338">
        <f t="shared" si="13"/>
        <v>46034</v>
      </c>
      <c r="CO3" s="338">
        <f t="shared" si="13"/>
        <v>46041</v>
      </c>
      <c r="CP3" s="338">
        <f t="shared" ref="CP3" si="14">+CO3+7</f>
        <v>46048</v>
      </c>
      <c r="CQ3" s="338">
        <f t="shared" ref="CQ3" si="15">+CP3+7</f>
        <v>46055</v>
      </c>
      <c r="CR3" s="338">
        <f t="shared" ref="CR3" si="16">+CQ3+7</f>
        <v>46062</v>
      </c>
      <c r="CS3" s="338">
        <f t="shared" ref="CS3" si="17">+CR3+7</f>
        <v>46069</v>
      </c>
      <c r="CT3" s="338">
        <f t="shared" ref="CT3" si="18">+CS3+7</f>
        <v>46076</v>
      </c>
      <c r="CU3" s="338">
        <f t="shared" ref="CU3" si="19">+CT3+7</f>
        <v>46083</v>
      </c>
      <c r="CV3" s="338">
        <f t="shared" ref="CV3" si="20">+CU3+7</f>
        <v>46090</v>
      </c>
      <c r="CW3" s="338">
        <f t="shared" ref="CW3" si="21">+CV3+7</f>
        <v>46097</v>
      </c>
      <c r="CX3" s="338">
        <f t="shared" ref="CX3" si="22">+CW3+7</f>
        <v>46104</v>
      </c>
      <c r="CY3" s="338">
        <f t="shared" ref="CY3:DH3" si="23">+CX3+7</f>
        <v>46111</v>
      </c>
      <c r="CZ3" s="338">
        <f t="shared" si="23"/>
        <v>46118</v>
      </c>
      <c r="DA3" s="338">
        <f t="shared" si="23"/>
        <v>46125</v>
      </c>
      <c r="DB3" s="338">
        <f t="shared" si="23"/>
        <v>46132</v>
      </c>
      <c r="DC3" s="338">
        <f t="shared" si="23"/>
        <v>46139</v>
      </c>
      <c r="DD3" s="338">
        <f t="shared" si="23"/>
        <v>46146</v>
      </c>
      <c r="DE3" s="338">
        <f t="shared" si="23"/>
        <v>46153</v>
      </c>
      <c r="DF3" s="338">
        <f t="shared" si="23"/>
        <v>46160</v>
      </c>
      <c r="DG3" s="338">
        <f t="shared" si="23"/>
        <v>46167</v>
      </c>
      <c r="DH3" s="342">
        <f t="shared" si="23"/>
        <v>46174</v>
      </c>
      <c r="DI3" s="338">
        <f t="shared" ref="DI3" si="24">+DH3+7</f>
        <v>46181</v>
      </c>
      <c r="DJ3" s="338">
        <f t="shared" ref="DJ3" si="25">+DI3+7</f>
        <v>46188</v>
      </c>
      <c r="DK3" s="338">
        <f t="shared" ref="DK3" si="26">+DJ3+7</f>
        <v>46195</v>
      </c>
      <c r="DL3" s="338">
        <f t="shared" ref="DL3" si="27">+DK3+7</f>
        <v>46202</v>
      </c>
      <c r="DM3" s="338">
        <f t="shared" ref="DM3" si="28">+DL3+7</f>
        <v>46209</v>
      </c>
      <c r="DN3" s="338">
        <f t="shared" ref="DN3" si="29">+DM3+7</f>
        <v>46216</v>
      </c>
      <c r="DO3" s="338">
        <f t="shared" ref="DO3" si="30">+DN3+7</f>
        <v>46223</v>
      </c>
      <c r="DP3" s="338">
        <f t="shared" ref="DP3" si="31">+DO3+7</f>
        <v>46230</v>
      </c>
      <c r="DQ3" s="338">
        <f t="shared" ref="DQ3" si="32">+DP3+7</f>
        <v>46237</v>
      </c>
      <c r="DR3" s="338">
        <f t="shared" ref="DR3" si="33">+DQ3+7</f>
        <v>46244</v>
      </c>
      <c r="DS3" s="338">
        <f t="shared" ref="DS3" si="34">+DR3+7</f>
        <v>46251</v>
      </c>
      <c r="DT3" s="338">
        <f t="shared" ref="DT3" si="35">+DS3+7</f>
        <v>46258</v>
      </c>
      <c r="DU3" s="338">
        <f t="shared" ref="DU3" si="36">+DT3+7</f>
        <v>46265</v>
      </c>
      <c r="DV3" s="338">
        <f t="shared" ref="DV3" si="37">+DU3+7</f>
        <v>46272</v>
      </c>
      <c r="DW3" s="338">
        <f t="shared" ref="DW3" si="38">+DV3+7</f>
        <v>46279</v>
      </c>
      <c r="DX3" s="338">
        <f t="shared" ref="DX3" si="39">+DW3+7</f>
        <v>46286</v>
      </c>
      <c r="DY3" s="338">
        <f t="shared" ref="DY3" si="40">+DX3+7</f>
        <v>46293</v>
      </c>
      <c r="DZ3" s="338">
        <f t="shared" ref="DZ3" si="41">+DY3+7</f>
        <v>46300</v>
      </c>
      <c r="EA3" s="338">
        <f t="shared" ref="EA3" si="42">+DZ3+7</f>
        <v>46307</v>
      </c>
      <c r="EB3" s="338">
        <f t="shared" ref="EB3" si="43">+EA3+7</f>
        <v>46314</v>
      </c>
      <c r="EC3" s="338">
        <f t="shared" ref="EC3" si="44">+EB3+7</f>
        <v>46321</v>
      </c>
      <c r="ED3" s="338">
        <f t="shared" ref="ED3" si="45">+EC3+7</f>
        <v>46328</v>
      </c>
      <c r="EE3" s="338">
        <f t="shared" ref="EE3" si="46">+ED3+7</f>
        <v>46335</v>
      </c>
      <c r="EF3" s="338">
        <f t="shared" ref="EF3" si="47">+EE3+7</f>
        <v>46342</v>
      </c>
      <c r="EG3" s="338">
        <f t="shared" ref="EG3" si="48">+EF3+7</f>
        <v>46349</v>
      </c>
      <c r="EH3" s="338">
        <f t="shared" ref="EH3" si="49">+EG3+7</f>
        <v>46356</v>
      </c>
      <c r="EI3" s="338">
        <f t="shared" ref="EI3" si="50">+EH3+7</f>
        <v>46363</v>
      </c>
      <c r="EJ3" s="338">
        <f t="shared" ref="EJ3" si="51">+EI3+7</f>
        <v>46370</v>
      </c>
      <c r="EK3" s="338">
        <f t="shared" ref="EK3:EL3" si="52">+EJ3+7</f>
        <v>46377</v>
      </c>
      <c r="EL3" s="338">
        <f t="shared" si="52"/>
        <v>46384</v>
      </c>
    </row>
    <row r="4" spans="2:142" ht="15" customHeight="1" x14ac:dyDescent="0.3">
      <c r="B4" s="44" t="s">
        <v>0</v>
      </c>
      <c r="C4" s="2" t="s">
        <v>1</v>
      </c>
      <c r="D4" s="2" t="s">
        <v>2</v>
      </c>
      <c r="E4" s="45" t="s">
        <v>3</v>
      </c>
      <c r="F4" s="151" t="s">
        <v>4</v>
      </c>
      <c r="G4" s="152" t="s">
        <v>5</v>
      </c>
      <c r="H4" s="152" t="s">
        <v>6</v>
      </c>
      <c r="I4" s="153" t="s">
        <v>7</v>
      </c>
      <c r="J4" s="7" t="s">
        <v>8</v>
      </c>
      <c r="K4" s="153" t="s">
        <v>142</v>
      </c>
      <c r="L4" s="154" t="s">
        <v>143</v>
      </c>
      <c r="M4" s="154" t="s">
        <v>144</v>
      </c>
      <c r="N4" s="154" t="s">
        <v>145</v>
      </c>
      <c r="O4" s="154" t="s">
        <v>146</v>
      </c>
      <c r="P4" s="154" t="s">
        <v>147</v>
      </c>
      <c r="Q4" s="154" t="s">
        <v>148</v>
      </c>
      <c r="R4" s="154" t="s">
        <v>149</v>
      </c>
      <c r="S4" s="154" t="s">
        <v>150</v>
      </c>
      <c r="T4" s="154" t="s">
        <v>151</v>
      </c>
      <c r="U4" s="154" t="s">
        <v>152</v>
      </c>
      <c r="V4" s="154" t="s">
        <v>153</v>
      </c>
      <c r="W4" s="154" t="s">
        <v>154</v>
      </c>
      <c r="X4" s="154" t="s">
        <v>155</v>
      </c>
      <c r="Y4" s="154" t="s">
        <v>156</v>
      </c>
      <c r="Z4" s="154" t="s">
        <v>157</v>
      </c>
      <c r="AA4" s="154" t="s">
        <v>158</v>
      </c>
      <c r="AB4" s="154" t="s">
        <v>159</v>
      </c>
      <c r="AC4" s="154" t="s">
        <v>160</v>
      </c>
      <c r="AD4" s="154" t="s">
        <v>161</v>
      </c>
      <c r="AE4" s="154" t="s">
        <v>162</v>
      </c>
      <c r="AF4" s="154" t="s">
        <v>163</v>
      </c>
      <c r="AG4" s="154" t="s">
        <v>164</v>
      </c>
      <c r="AH4" s="154" t="s">
        <v>165</v>
      </c>
      <c r="AI4" s="154" t="s">
        <v>166</v>
      </c>
      <c r="AJ4" s="154" t="s">
        <v>167</v>
      </c>
      <c r="AK4" s="154" t="s">
        <v>168</v>
      </c>
      <c r="AL4" s="154" t="s">
        <v>169</v>
      </c>
      <c r="AM4" s="154" t="s">
        <v>170</v>
      </c>
      <c r="AN4" s="154" t="s">
        <v>171</v>
      </c>
      <c r="AO4" s="154" t="s">
        <v>172</v>
      </c>
      <c r="AP4" s="154" t="s">
        <v>173</v>
      </c>
      <c r="AQ4" s="154" t="s">
        <v>174</v>
      </c>
      <c r="AR4" s="154" t="s">
        <v>175</v>
      </c>
      <c r="AS4" s="154" t="s">
        <v>176</v>
      </c>
      <c r="AT4" s="154" t="s">
        <v>177</v>
      </c>
      <c r="AU4" s="154" t="s">
        <v>178</v>
      </c>
      <c r="AV4" s="154" t="s">
        <v>179</v>
      </c>
      <c r="AW4" s="154" t="s">
        <v>180</v>
      </c>
      <c r="AX4" s="154" t="s">
        <v>181</v>
      </c>
      <c r="AY4" s="154" t="s">
        <v>182</v>
      </c>
      <c r="AZ4" s="154" t="s">
        <v>183</v>
      </c>
      <c r="BA4" s="154" t="s">
        <v>184</v>
      </c>
      <c r="BB4" s="154" t="s">
        <v>185</v>
      </c>
      <c r="BC4" s="154" t="s">
        <v>186</v>
      </c>
      <c r="BD4" s="154" t="s">
        <v>187</v>
      </c>
      <c r="BE4" s="154" t="s">
        <v>188</v>
      </c>
      <c r="BF4" s="154" t="s">
        <v>189</v>
      </c>
      <c r="BG4" s="154" t="s">
        <v>190</v>
      </c>
      <c r="BH4" s="154" t="s">
        <v>194</v>
      </c>
      <c r="BI4" s="154" t="s">
        <v>195</v>
      </c>
      <c r="BJ4" s="154" t="s">
        <v>196</v>
      </c>
      <c r="BK4" s="154" t="s">
        <v>197</v>
      </c>
      <c r="BL4" s="154" t="s">
        <v>198</v>
      </c>
      <c r="BM4" s="154" t="s">
        <v>199</v>
      </c>
      <c r="BN4" s="154" t="s">
        <v>200</v>
      </c>
      <c r="BO4" s="154" t="s">
        <v>201</v>
      </c>
      <c r="BP4" s="154" t="s">
        <v>202</v>
      </c>
      <c r="BQ4" s="154" t="s">
        <v>203</v>
      </c>
      <c r="BR4" s="155" t="s">
        <v>204</v>
      </c>
      <c r="BS4" s="155" t="s">
        <v>205</v>
      </c>
      <c r="BT4" s="155" t="s">
        <v>206</v>
      </c>
      <c r="BU4" s="155" t="s">
        <v>207</v>
      </c>
      <c r="BV4" s="155" t="s">
        <v>336</v>
      </c>
      <c r="BW4" s="155" t="s">
        <v>337</v>
      </c>
      <c r="BX4" s="155" t="s">
        <v>338</v>
      </c>
      <c r="BY4" s="155" t="s">
        <v>339</v>
      </c>
      <c r="BZ4" s="155" t="s">
        <v>340</v>
      </c>
      <c r="CA4" s="155" t="s">
        <v>341</v>
      </c>
      <c r="CB4" s="155" t="s">
        <v>342</v>
      </c>
      <c r="CC4" s="155" t="s">
        <v>343</v>
      </c>
      <c r="CD4" s="155" t="s">
        <v>344</v>
      </c>
      <c r="CE4" s="155" t="s">
        <v>345</v>
      </c>
      <c r="CF4" s="155" t="s">
        <v>346</v>
      </c>
      <c r="CG4" s="155" t="s">
        <v>347</v>
      </c>
      <c r="CH4" s="155" t="s">
        <v>348</v>
      </c>
      <c r="CI4" s="155" t="s">
        <v>349</v>
      </c>
      <c r="CJ4" s="155" t="s">
        <v>350</v>
      </c>
      <c r="CK4" s="155" t="s">
        <v>351</v>
      </c>
      <c r="CL4" s="155" t="s">
        <v>352</v>
      </c>
      <c r="CM4" s="155" t="s">
        <v>362</v>
      </c>
      <c r="CN4" s="155" t="s">
        <v>363</v>
      </c>
      <c r="CO4" s="155" t="s">
        <v>360</v>
      </c>
      <c r="CP4" s="155" t="s">
        <v>364</v>
      </c>
      <c r="CQ4" s="155" t="s">
        <v>365</v>
      </c>
      <c r="CR4" s="155" t="s">
        <v>366</v>
      </c>
      <c r="CS4" s="155" t="s">
        <v>367</v>
      </c>
      <c r="CT4" s="155" t="s">
        <v>368</v>
      </c>
      <c r="CU4" s="155" t="s">
        <v>369</v>
      </c>
      <c r="CV4" s="155" t="s">
        <v>370</v>
      </c>
      <c r="CW4" s="155" t="s">
        <v>371</v>
      </c>
      <c r="CX4" s="155" t="s">
        <v>372</v>
      </c>
      <c r="CY4" s="155" t="s">
        <v>373</v>
      </c>
      <c r="CZ4" s="155" t="s">
        <v>384</v>
      </c>
      <c r="DA4" s="278" t="s">
        <v>395</v>
      </c>
      <c r="DB4" s="278" t="s">
        <v>396</v>
      </c>
      <c r="DC4" s="278" t="s">
        <v>397</v>
      </c>
      <c r="DD4" s="278" t="s">
        <v>398</v>
      </c>
      <c r="DE4" s="278" t="s">
        <v>399</v>
      </c>
      <c r="DF4" s="278" t="s">
        <v>400</v>
      </c>
      <c r="DG4" s="278" t="s">
        <v>401</v>
      </c>
      <c r="DH4" s="343" t="s">
        <v>402</v>
      </c>
      <c r="DI4" s="278" t="s">
        <v>473</v>
      </c>
      <c r="DJ4" s="278" t="s">
        <v>474</v>
      </c>
      <c r="DK4" s="278" t="s">
        <v>475</v>
      </c>
      <c r="DL4" s="278" t="s">
        <v>476</v>
      </c>
      <c r="DM4" s="278" t="s">
        <v>477</v>
      </c>
      <c r="DN4" s="278" t="s">
        <v>478</v>
      </c>
      <c r="DO4" s="278" t="s">
        <v>479</v>
      </c>
      <c r="DP4" s="278" t="s">
        <v>480</v>
      </c>
      <c r="DQ4" s="278" t="s">
        <v>481</v>
      </c>
      <c r="DR4" s="278" t="s">
        <v>482</v>
      </c>
      <c r="DS4" s="278" t="s">
        <v>483</v>
      </c>
      <c r="DT4" s="278" t="s">
        <v>484</v>
      </c>
      <c r="DU4" s="278" t="s">
        <v>485</v>
      </c>
      <c r="DV4" s="278" t="s">
        <v>486</v>
      </c>
      <c r="DW4" s="278" t="s">
        <v>487</v>
      </c>
      <c r="DX4" s="278" t="s">
        <v>488</v>
      </c>
      <c r="DY4" s="278" t="s">
        <v>489</v>
      </c>
      <c r="DZ4" s="278" t="s">
        <v>490</v>
      </c>
      <c r="EA4" s="278" t="s">
        <v>491</v>
      </c>
      <c r="EB4" s="278" t="s">
        <v>492</v>
      </c>
      <c r="EC4" s="278" t="s">
        <v>493</v>
      </c>
      <c r="ED4" s="278" t="s">
        <v>494</v>
      </c>
      <c r="EE4" s="278" t="s">
        <v>495</v>
      </c>
      <c r="EF4" s="278" t="s">
        <v>496</v>
      </c>
      <c r="EG4" s="278" t="s">
        <v>497</v>
      </c>
      <c r="EH4" s="278" t="s">
        <v>498</v>
      </c>
      <c r="EI4" s="278" t="s">
        <v>499</v>
      </c>
      <c r="EJ4" s="278" t="s">
        <v>500</v>
      </c>
      <c r="EK4" s="278" t="s">
        <v>501</v>
      </c>
      <c r="EL4" s="278" t="s">
        <v>502</v>
      </c>
    </row>
    <row r="5" spans="2:142" ht="19.2" x14ac:dyDescent="0.3">
      <c r="B5" s="8" t="s">
        <v>11</v>
      </c>
      <c r="C5" s="9"/>
      <c r="D5" s="9"/>
      <c r="E5" s="46"/>
      <c r="F5" s="12">
        <v>231</v>
      </c>
      <c r="G5" s="156">
        <v>45474</v>
      </c>
      <c r="H5" s="156">
        <v>45835</v>
      </c>
      <c r="I5" s="12">
        <f>+I6+I13+I78</f>
        <v>2650</v>
      </c>
      <c r="J5" s="14">
        <v>1</v>
      </c>
      <c r="K5" s="47"/>
      <c r="L5" s="14">
        <f t="shared" ref="L5:BQ5" si="53">+L6*$J$6+L13*$J$13+L78*$J$78</f>
        <v>8.7813632965295718E-5</v>
      </c>
      <c r="M5" s="14">
        <f t="shared" si="53"/>
        <v>6.6812110374114548E-4</v>
      </c>
      <c r="N5" s="14">
        <f t="shared" si="53"/>
        <v>1.3453056290573008E-3</v>
      </c>
      <c r="O5" s="14">
        <f t="shared" si="53"/>
        <v>2.743673774785885E-3</v>
      </c>
      <c r="P5" s="14">
        <f t="shared" si="53"/>
        <v>4.1585334948187752E-3</v>
      </c>
      <c r="Q5" s="14">
        <f t="shared" si="53"/>
        <v>5.4130936391348109E-3</v>
      </c>
      <c r="R5" s="14">
        <f t="shared" si="53"/>
        <v>1.8234166299858048E-2</v>
      </c>
      <c r="S5" s="14">
        <f t="shared" si="53"/>
        <v>3.8009615156600562E-2</v>
      </c>
      <c r="T5" s="14">
        <f t="shared" si="53"/>
        <v>6.4491758140071215E-2</v>
      </c>
      <c r="U5" s="14">
        <f t="shared" si="53"/>
        <v>7.8331185624393451E-2</v>
      </c>
      <c r="V5" s="14">
        <f t="shared" si="53"/>
        <v>0.1146234467659399</v>
      </c>
      <c r="W5" s="14">
        <f t="shared" si="53"/>
        <v>0.11920820609673356</v>
      </c>
      <c r="X5" s="14">
        <f t="shared" si="53"/>
        <v>0.13918839051965826</v>
      </c>
      <c r="Y5" s="14">
        <f t="shared" si="53"/>
        <v>0.15298330131138119</v>
      </c>
      <c r="Z5" s="14">
        <f t="shared" si="53"/>
        <v>0.16313526936210079</v>
      </c>
      <c r="AA5" s="14">
        <f t="shared" si="53"/>
        <v>0.17728442608939621</v>
      </c>
      <c r="AB5" s="14">
        <f t="shared" si="53"/>
        <v>0.20244558590632325</v>
      </c>
      <c r="AC5" s="14">
        <f t="shared" si="53"/>
        <v>0.23473980960886717</v>
      </c>
      <c r="AD5" s="14">
        <f t="shared" si="53"/>
        <v>0.26643267561223716</v>
      </c>
      <c r="AE5" s="14">
        <f t="shared" si="53"/>
        <v>0.28328482684440498</v>
      </c>
      <c r="AF5" s="14">
        <f t="shared" si="53"/>
        <v>0.3129128908072582</v>
      </c>
      <c r="AG5" s="14">
        <f t="shared" si="53"/>
        <v>0.3318461408551564</v>
      </c>
      <c r="AH5" s="14">
        <f t="shared" si="53"/>
        <v>0.35521971985243211</v>
      </c>
      <c r="AI5" s="14">
        <f t="shared" si="53"/>
        <v>0.36936995170488518</v>
      </c>
      <c r="AJ5" s="14">
        <f t="shared" si="53"/>
        <v>0.39055046494770779</v>
      </c>
      <c r="AK5" s="14">
        <f t="shared" si="53"/>
        <v>0.40022233281096736</v>
      </c>
      <c r="AL5" s="14">
        <f t="shared" si="53"/>
        <v>0.40022233281096736</v>
      </c>
      <c r="AM5" s="14">
        <f t="shared" si="53"/>
        <v>0.40022233281096736</v>
      </c>
      <c r="AN5" s="14">
        <f t="shared" si="53"/>
        <v>0.40517273761708056</v>
      </c>
      <c r="AO5" s="14">
        <f t="shared" si="53"/>
        <v>0.4147678820587265</v>
      </c>
      <c r="AP5" s="14">
        <f t="shared" si="53"/>
        <v>0.42226946656528047</v>
      </c>
      <c r="AQ5" s="14">
        <f t="shared" si="53"/>
        <v>0.43002345069950854</v>
      </c>
      <c r="AR5" s="14">
        <f t="shared" si="53"/>
        <v>0.437870106814856</v>
      </c>
      <c r="AS5" s="14">
        <f t="shared" si="53"/>
        <v>0.44564743055365674</v>
      </c>
      <c r="AT5" s="14">
        <f t="shared" si="53"/>
        <v>0.45719828923287198</v>
      </c>
      <c r="AU5" s="14">
        <f t="shared" si="53"/>
        <v>0.47164457426556566</v>
      </c>
      <c r="AV5" s="14">
        <f t="shared" si="53"/>
        <v>0.48869814226497976</v>
      </c>
      <c r="AW5" s="14">
        <f t="shared" si="53"/>
        <v>0.50755299780308494</v>
      </c>
      <c r="AX5" s="14">
        <f t="shared" si="53"/>
        <v>0.52787303521555784</v>
      </c>
      <c r="AY5" s="14">
        <f t="shared" si="53"/>
        <v>0.54795100045053635</v>
      </c>
      <c r="AZ5" s="14">
        <f t="shared" si="53"/>
        <v>0.58030766896042707</v>
      </c>
      <c r="BA5" s="14">
        <f t="shared" si="53"/>
        <v>0.61832557608117356</v>
      </c>
      <c r="BB5" s="14">
        <f t="shared" si="53"/>
        <v>0.6712434547318078</v>
      </c>
      <c r="BC5" s="14">
        <f t="shared" si="53"/>
        <v>0.71799968462449737</v>
      </c>
      <c r="BD5" s="14">
        <f t="shared" si="53"/>
        <v>0.76303364454265243</v>
      </c>
      <c r="BE5" s="14">
        <f t="shared" si="53"/>
        <v>0.8068573296977003</v>
      </c>
      <c r="BF5" s="14">
        <f t="shared" si="53"/>
        <v>0.85135833115346771</v>
      </c>
      <c r="BG5" s="14">
        <f t="shared" si="53"/>
        <v>0.88049570385618781</v>
      </c>
      <c r="BH5" s="14">
        <f t="shared" si="53"/>
        <v>0.90836161176626251</v>
      </c>
      <c r="BI5" s="14">
        <f t="shared" si="53"/>
        <v>0.935822329493875</v>
      </c>
      <c r="BJ5" s="14">
        <f t="shared" si="53"/>
        <v>0.95222153309458635</v>
      </c>
      <c r="BK5" s="14">
        <f t="shared" si="53"/>
        <v>0.9611238642004587</v>
      </c>
      <c r="BL5" s="14">
        <f t="shared" si="53"/>
        <v>0.96905095498710314</v>
      </c>
      <c r="BM5" s="14">
        <f t="shared" si="53"/>
        <v>0.97413818419013642</v>
      </c>
      <c r="BN5" s="14">
        <f t="shared" si="53"/>
        <v>0.97858599479572117</v>
      </c>
      <c r="BO5" s="14">
        <f t="shared" si="53"/>
        <v>0.98163119828737866</v>
      </c>
      <c r="BP5" s="14">
        <f t="shared" si="53"/>
        <v>0.99079818605180281</v>
      </c>
      <c r="BQ5" s="14">
        <f t="shared" si="53"/>
        <v>0.99352444614786584</v>
      </c>
      <c r="BR5" s="157">
        <f t="shared" ref="BR5:CL5" si="54">+BR6*$J$6+BR13*$J$13+BR78*$J$78</f>
        <v>0.99614265623983411</v>
      </c>
      <c r="BS5" s="157">
        <f t="shared" si="54"/>
        <v>0.99999999999999978</v>
      </c>
      <c r="BT5" s="157">
        <f t="shared" si="54"/>
        <v>0.99999999999999978</v>
      </c>
      <c r="BU5" s="157">
        <f t="shared" si="54"/>
        <v>0.99999999999999978</v>
      </c>
      <c r="BV5" s="260">
        <f t="shared" si="54"/>
        <v>0.99999999999999978</v>
      </c>
      <c r="BW5" s="260">
        <f t="shared" si="54"/>
        <v>0.99999999999999978</v>
      </c>
      <c r="BX5" s="260">
        <f t="shared" si="54"/>
        <v>0.99999999999999978</v>
      </c>
      <c r="BY5" s="260">
        <f t="shared" si="54"/>
        <v>0.99999999999999978</v>
      </c>
      <c r="BZ5" s="260">
        <f t="shared" si="54"/>
        <v>0.99999999999999978</v>
      </c>
      <c r="CA5" s="260">
        <f t="shared" si="54"/>
        <v>0.99999999999999978</v>
      </c>
      <c r="CB5" s="260">
        <f t="shared" si="54"/>
        <v>0.99999999999999978</v>
      </c>
      <c r="CC5" s="260">
        <f t="shared" si="54"/>
        <v>0.99999999999999978</v>
      </c>
      <c r="CD5" s="260">
        <f t="shared" si="54"/>
        <v>0.99999999999999978</v>
      </c>
      <c r="CE5" s="260">
        <f t="shared" si="54"/>
        <v>0.99999999999999978</v>
      </c>
      <c r="CF5" s="260">
        <f t="shared" si="54"/>
        <v>0.99999999999999978</v>
      </c>
      <c r="CG5" s="260">
        <f t="shared" si="54"/>
        <v>0.99999999999999978</v>
      </c>
      <c r="CH5" s="260">
        <f t="shared" si="54"/>
        <v>0.99999999999999978</v>
      </c>
      <c r="CI5" s="260">
        <f t="shared" si="54"/>
        <v>0.99999999999999978</v>
      </c>
      <c r="CJ5" s="260">
        <f t="shared" si="54"/>
        <v>0.99999999999999978</v>
      </c>
      <c r="CK5" s="260">
        <f t="shared" si="54"/>
        <v>0.99999999999999978</v>
      </c>
      <c r="CL5" s="260">
        <f t="shared" si="54"/>
        <v>0.99999999999999978</v>
      </c>
      <c r="CM5" s="260">
        <f t="shared" ref="CM5:CN5" si="55">+CM6*$J$6+CM13*$J$13+CM78*$J$78</f>
        <v>0.99999999999999978</v>
      </c>
      <c r="CN5" s="260">
        <f t="shared" si="55"/>
        <v>0.99999999999999978</v>
      </c>
      <c r="CO5" s="260">
        <f t="shared" ref="CO5" si="56">+CO6*$J$6+CO13*$J$13+CO78*$J$78</f>
        <v>0.99999999999999978</v>
      </c>
      <c r="CP5" s="260">
        <f t="shared" ref="CP5:CV5" si="57">+CP6*$J$6+CP13*$J$13+CP78*$J$78</f>
        <v>0.99999999999999978</v>
      </c>
      <c r="CQ5" s="260">
        <f t="shared" si="57"/>
        <v>0.99999999999999978</v>
      </c>
      <c r="CR5" s="260">
        <f t="shared" si="57"/>
        <v>0.99999999999999978</v>
      </c>
      <c r="CS5" s="260">
        <f t="shared" si="57"/>
        <v>0.99999999999999978</v>
      </c>
      <c r="CT5" s="260">
        <f t="shared" si="57"/>
        <v>0.99999999999999978</v>
      </c>
      <c r="CU5" s="260">
        <f t="shared" si="57"/>
        <v>0.99999999999999978</v>
      </c>
      <c r="CV5" s="260">
        <f t="shared" si="57"/>
        <v>0.99999999999999978</v>
      </c>
      <c r="CW5" s="260">
        <f t="shared" ref="CW5:CY5" si="58">+CW6*$J$6+CW13*$J$13+CW78*$J$78</f>
        <v>0.99999999999999978</v>
      </c>
      <c r="CX5" s="260">
        <f t="shared" si="58"/>
        <v>0.99999999999999978</v>
      </c>
      <c r="CY5" s="260">
        <f t="shared" si="58"/>
        <v>0.99999999999999978</v>
      </c>
      <c r="CZ5" s="260">
        <f t="shared" ref="CZ5:DA5" si="59">+CZ6*$J$6+CZ13*$J$13+CZ78*$J$78</f>
        <v>0.99999999999999978</v>
      </c>
      <c r="DA5" s="260">
        <f t="shared" si="59"/>
        <v>0.99999999999999978</v>
      </c>
      <c r="DB5" s="260">
        <f t="shared" ref="DB5:DC5" si="60">+DB6*$J$6+DB13*$J$13+DB78*$J$78</f>
        <v>0.99999999999999978</v>
      </c>
      <c r="DC5" s="260">
        <f t="shared" si="60"/>
        <v>0.99999999999999978</v>
      </c>
      <c r="DD5" s="260">
        <f t="shared" ref="DD5:DE5" si="61">+DD6*$J$6+DD13*$J$13+DD78*$J$78</f>
        <v>0.99999999999999978</v>
      </c>
      <c r="DE5" s="260">
        <f t="shared" si="61"/>
        <v>0.99999999999999978</v>
      </c>
      <c r="DF5" s="260">
        <f t="shared" ref="DF5:DG5" si="62">+DF6*$J$6+DF13*$J$13+DF78*$J$78</f>
        <v>0.99999999999999978</v>
      </c>
      <c r="DG5" s="260">
        <f t="shared" si="62"/>
        <v>0.99999999999999978</v>
      </c>
      <c r="DH5" s="344">
        <f t="shared" ref="DH5:EL5" si="63">+DH6*$J$6+DH13*$J$13+DH78*$J$78</f>
        <v>0.99999999999999978</v>
      </c>
      <c r="DI5" s="260">
        <f t="shared" si="63"/>
        <v>0.99999999999999978</v>
      </c>
      <c r="DJ5" s="260">
        <f t="shared" si="63"/>
        <v>0.99999999999999978</v>
      </c>
      <c r="DK5" s="260">
        <f t="shared" si="63"/>
        <v>0.99999999999999978</v>
      </c>
      <c r="DL5" s="260">
        <f t="shared" si="63"/>
        <v>0.99999999999999978</v>
      </c>
      <c r="DM5" s="260">
        <f t="shared" si="63"/>
        <v>0.99999999999999978</v>
      </c>
      <c r="DN5" s="260">
        <f t="shared" si="63"/>
        <v>0.99999999999999978</v>
      </c>
      <c r="DO5" s="260">
        <f t="shared" si="63"/>
        <v>0.99999999999999978</v>
      </c>
      <c r="DP5" s="260">
        <f t="shared" si="63"/>
        <v>0.99999999999999978</v>
      </c>
      <c r="DQ5" s="260">
        <f t="shared" si="63"/>
        <v>0.99999999999999978</v>
      </c>
      <c r="DR5" s="260">
        <f t="shared" si="63"/>
        <v>0.99999999999999978</v>
      </c>
      <c r="DS5" s="260">
        <f t="shared" si="63"/>
        <v>0.99999999999999978</v>
      </c>
      <c r="DT5" s="260">
        <f t="shared" si="63"/>
        <v>0.99999999999999978</v>
      </c>
      <c r="DU5" s="260">
        <f t="shared" si="63"/>
        <v>0.99999999999999978</v>
      </c>
      <c r="DV5" s="260">
        <f t="shared" si="63"/>
        <v>0.99999999999999978</v>
      </c>
      <c r="DW5" s="260">
        <f t="shared" si="63"/>
        <v>0.99999999999999978</v>
      </c>
      <c r="DX5" s="260">
        <f t="shared" si="63"/>
        <v>0.99999999999999978</v>
      </c>
      <c r="DY5" s="260">
        <f t="shared" si="63"/>
        <v>0.99999999999999978</v>
      </c>
      <c r="DZ5" s="260">
        <f t="shared" si="63"/>
        <v>0.99999999999999978</v>
      </c>
      <c r="EA5" s="260">
        <f t="shared" si="63"/>
        <v>0.99999999999999978</v>
      </c>
      <c r="EB5" s="260">
        <f t="shared" si="63"/>
        <v>0.99999999999999978</v>
      </c>
      <c r="EC5" s="260">
        <f t="shared" si="63"/>
        <v>0.99999999999999978</v>
      </c>
      <c r="ED5" s="260">
        <f t="shared" si="63"/>
        <v>0.99999999999999978</v>
      </c>
      <c r="EE5" s="260">
        <f t="shared" si="63"/>
        <v>0.99999999999999978</v>
      </c>
      <c r="EF5" s="260">
        <f t="shared" si="63"/>
        <v>0.99999999999999978</v>
      </c>
      <c r="EG5" s="260">
        <f t="shared" si="63"/>
        <v>0.99999999999999978</v>
      </c>
      <c r="EH5" s="260">
        <f t="shared" si="63"/>
        <v>0.99999999999999978</v>
      </c>
      <c r="EI5" s="260">
        <f t="shared" si="63"/>
        <v>0.99999999999999978</v>
      </c>
      <c r="EJ5" s="260">
        <f t="shared" si="63"/>
        <v>0.99999999999999978</v>
      </c>
      <c r="EK5" s="260">
        <f t="shared" si="63"/>
        <v>0.99999999999999978</v>
      </c>
      <c r="EL5" s="260">
        <f t="shared" si="63"/>
        <v>0.99999999999999978</v>
      </c>
    </row>
    <row r="6" spans="2:142" ht="16.8" collapsed="1" x14ac:dyDescent="0.3">
      <c r="B6" s="15"/>
      <c r="C6" s="16" t="s">
        <v>12</v>
      </c>
      <c r="D6" s="16"/>
      <c r="E6" s="48"/>
      <c r="F6" s="19">
        <v>231</v>
      </c>
      <c r="G6" s="158">
        <v>45474</v>
      </c>
      <c r="H6" s="158">
        <v>45835</v>
      </c>
      <c r="I6" s="19">
        <f>+I7</f>
        <v>87</v>
      </c>
      <c r="J6" s="21">
        <v>9.9999999999999991E-146</v>
      </c>
      <c r="K6" s="49"/>
      <c r="L6" s="21">
        <f>+L7*$J$7</f>
        <v>0</v>
      </c>
      <c r="M6" s="21">
        <f t="shared" ref="M6:CP6" si="64">+M7*$J$7</f>
        <v>0.1310344827586207</v>
      </c>
      <c r="N6" s="21">
        <f t="shared" si="64"/>
        <v>0.30804597701149428</v>
      </c>
      <c r="O6" s="21">
        <f t="shared" si="64"/>
        <v>0.46206896551724136</v>
      </c>
      <c r="P6" s="21">
        <f t="shared" si="64"/>
        <v>0.66206896551724137</v>
      </c>
      <c r="Q6" s="21">
        <f t="shared" si="64"/>
        <v>0.78735632183908055</v>
      </c>
      <c r="R6" s="21">
        <f t="shared" si="64"/>
        <v>1</v>
      </c>
      <c r="S6" s="21">
        <f t="shared" si="64"/>
        <v>1</v>
      </c>
      <c r="T6" s="21">
        <f t="shared" si="64"/>
        <v>1</v>
      </c>
      <c r="U6" s="21">
        <f t="shared" si="64"/>
        <v>1</v>
      </c>
      <c r="V6" s="21">
        <f t="shared" si="64"/>
        <v>1</v>
      </c>
      <c r="W6" s="21">
        <f t="shared" si="64"/>
        <v>1</v>
      </c>
      <c r="X6" s="21">
        <f t="shared" si="64"/>
        <v>1</v>
      </c>
      <c r="Y6" s="21">
        <f t="shared" si="64"/>
        <v>1</v>
      </c>
      <c r="Z6" s="21">
        <f t="shared" si="64"/>
        <v>1</v>
      </c>
      <c r="AA6" s="21">
        <f t="shared" si="64"/>
        <v>1</v>
      </c>
      <c r="AB6" s="21">
        <f t="shared" si="64"/>
        <v>1</v>
      </c>
      <c r="AC6" s="21">
        <f t="shared" si="64"/>
        <v>1</v>
      </c>
      <c r="AD6" s="21">
        <f t="shared" si="64"/>
        <v>1</v>
      </c>
      <c r="AE6" s="21">
        <f t="shared" si="64"/>
        <v>1</v>
      </c>
      <c r="AF6" s="21">
        <f t="shared" si="64"/>
        <v>1</v>
      </c>
      <c r="AG6" s="21">
        <f t="shared" si="64"/>
        <v>1</v>
      </c>
      <c r="AH6" s="21">
        <f t="shared" si="64"/>
        <v>1</v>
      </c>
      <c r="AI6" s="21">
        <f t="shared" si="64"/>
        <v>1</v>
      </c>
      <c r="AJ6" s="21">
        <f t="shared" si="64"/>
        <v>1</v>
      </c>
      <c r="AK6" s="21">
        <f t="shared" si="64"/>
        <v>1</v>
      </c>
      <c r="AL6" s="21">
        <f t="shared" si="64"/>
        <v>1</v>
      </c>
      <c r="AM6" s="21">
        <f t="shared" si="64"/>
        <v>1</v>
      </c>
      <c r="AN6" s="21">
        <f t="shared" si="64"/>
        <v>1</v>
      </c>
      <c r="AO6" s="21">
        <f t="shared" si="64"/>
        <v>1</v>
      </c>
      <c r="AP6" s="21">
        <f t="shared" si="64"/>
        <v>1</v>
      </c>
      <c r="AQ6" s="21">
        <f t="shared" si="64"/>
        <v>1</v>
      </c>
      <c r="AR6" s="21">
        <f t="shared" si="64"/>
        <v>1</v>
      </c>
      <c r="AS6" s="21">
        <f t="shared" si="64"/>
        <v>1</v>
      </c>
      <c r="AT6" s="21">
        <f t="shared" si="64"/>
        <v>1</v>
      </c>
      <c r="AU6" s="21">
        <f t="shared" si="64"/>
        <v>1</v>
      </c>
      <c r="AV6" s="21">
        <f t="shared" si="64"/>
        <v>1</v>
      </c>
      <c r="AW6" s="21">
        <f t="shared" si="64"/>
        <v>1</v>
      </c>
      <c r="AX6" s="21">
        <f t="shared" si="64"/>
        <v>1</v>
      </c>
      <c r="AY6" s="21">
        <f t="shared" si="64"/>
        <v>1</v>
      </c>
      <c r="AZ6" s="21">
        <f t="shared" si="64"/>
        <v>1</v>
      </c>
      <c r="BA6" s="21">
        <f t="shared" si="64"/>
        <v>1</v>
      </c>
      <c r="BB6" s="21">
        <f t="shared" si="64"/>
        <v>1</v>
      </c>
      <c r="BC6" s="21">
        <f t="shared" si="64"/>
        <v>1</v>
      </c>
      <c r="BD6" s="21">
        <f t="shared" si="64"/>
        <v>1</v>
      </c>
      <c r="BE6" s="21">
        <f t="shared" si="64"/>
        <v>1</v>
      </c>
      <c r="BF6" s="21">
        <f t="shared" si="64"/>
        <v>1</v>
      </c>
      <c r="BG6" s="21">
        <f t="shared" si="64"/>
        <v>1</v>
      </c>
      <c r="BH6" s="21">
        <f t="shared" si="64"/>
        <v>1</v>
      </c>
      <c r="BI6" s="21">
        <f t="shared" si="64"/>
        <v>1</v>
      </c>
      <c r="BJ6" s="21">
        <f t="shared" si="64"/>
        <v>1</v>
      </c>
      <c r="BK6" s="21">
        <f t="shared" si="64"/>
        <v>1</v>
      </c>
      <c r="BL6" s="21">
        <f t="shared" si="64"/>
        <v>1</v>
      </c>
      <c r="BM6" s="21">
        <f t="shared" si="64"/>
        <v>1</v>
      </c>
      <c r="BN6" s="21">
        <f t="shared" si="64"/>
        <v>1</v>
      </c>
      <c r="BO6" s="21">
        <f t="shared" si="64"/>
        <v>1</v>
      </c>
      <c r="BP6" s="21">
        <f t="shared" si="64"/>
        <v>1</v>
      </c>
      <c r="BQ6" s="21">
        <f t="shared" si="64"/>
        <v>1</v>
      </c>
      <c r="BR6" s="159">
        <f t="shared" si="64"/>
        <v>1</v>
      </c>
      <c r="BS6" s="159">
        <f t="shared" si="64"/>
        <v>1</v>
      </c>
      <c r="BT6" s="159">
        <f t="shared" si="64"/>
        <v>1</v>
      </c>
      <c r="BU6" s="159">
        <f t="shared" si="64"/>
        <v>1</v>
      </c>
      <c r="BV6" s="159">
        <f t="shared" si="64"/>
        <v>1</v>
      </c>
      <c r="BW6" s="159">
        <f t="shared" si="64"/>
        <v>1</v>
      </c>
      <c r="BX6" s="159">
        <f t="shared" si="64"/>
        <v>1</v>
      </c>
      <c r="BY6" s="159">
        <f t="shared" si="64"/>
        <v>1</v>
      </c>
      <c r="BZ6" s="159">
        <f t="shared" si="64"/>
        <v>1</v>
      </c>
      <c r="CA6" s="159">
        <f t="shared" si="64"/>
        <v>1</v>
      </c>
      <c r="CB6" s="159">
        <f t="shared" si="64"/>
        <v>1</v>
      </c>
      <c r="CC6" s="159">
        <f t="shared" si="64"/>
        <v>1</v>
      </c>
      <c r="CD6" s="159">
        <f t="shared" si="64"/>
        <v>1</v>
      </c>
      <c r="CE6" s="159">
        <f t="shared" si="64"/>
        <v>1</v>
      </c>
      <c r="CF6" s="159">
        <f t="shared" si="64"/>
        <v>1</v>
      </c>
      <c r="CG6" s="159">
        <f t="shared" si="64"/>
        <v>1</v>
      </c>
      <c r="CH6" s="159">
        <f t="shared" si="64"/>
        <v>1</v>
      </c>
      <c r="CI6" s="159">
        <f t="shared" si="64"/>
        <v>1</v>
      </c>
      <c r="CJ6" s="159">
        <f t="shared" si="64"/>
        <v>1</v>
      </c>
      <c r="CK6" s="159">
        <f t="shared" si="64"/>
        <v>1</v>
      </c>
      <c r="CL6" s="159">
        <f t="shared" si="64"/>
        <v>1</v>
      </c>
      <c r="CM6" s="159">
        <f t="shared" si="64"/>
        <v>1</v>
      </c>
      <c r="CN6" s="159">
        <f t="shared" si="64"/>
        <v>1</v>
      </c>
      <c r="CO6" s="159">
        <f t="shared" si="64"/>
        <v>1</v>
      </c>
      <c r="CP6" s="159">
        <f t="shared" si="64"/>
        <v>1</v>
      </c>
      <c r="CQ6" s="159">
        <f t="shared" ref="CQ6:EL6" si="65">+CQ7*$J$7</f>
        <v>1</v>
      </c>
      <c r="CR6" s="159">
        <f t="shared" si="65"/>
        <v>1</v>
      </c>
      <c r="CS6" s="159">
        <f t="shared" si="65"/>
        <v>1</v>
      </c>
      <c r="CT6" s="159">
        <f t="shared" si="65"/>
        <v>1</v>
      </c>
      <c r="CU6" s="159">
        <f t="shared" si="65"/>
        <v>1</v>
      </c>
      <c r="CV6" s="159">
        <f t="shared" si="65"/>
        <v>1</v>
      </c>
      <c r="CW6" s="159">
        <f t="shared" si="65"/>
        <v>1</v>
      </c>
      <c r="CX6" s="159">
        <f t="shared" si="65"/>
        <v>1</v>
      </c>
      <c r="CY6" s="159">
        <f t="shared" si="65"/>
        <v>1</v>
      </c>
      <c r="CZ6" s="159">
        <f t="shared" si="65"/>
        <v>1</v>
      </c>
      <c r="DA6" s="159">
        <f t="shared" si="65"/>
        <v>1</v>
      </c>
      <c r="DB6" s="159">
        <f t="shared" si="65"/>
        <v>1</v>
      </c>
      <c r="DC6" s="159">
        <f t="shared" si="65"/>
        <v>1</v>
      </c>
      <c r="DD6" s="159">
        <f t="shared" si="65"/>
        <v>1</v>
      </c>
      <c r="DE6" s="159">
        <f t="shared" si="65"/>
        <v>1</v>
      </c>
      <c r="DF6" s="159">
        <f t="shared" si="65"/>
        <v>1</v>
      </c>
      <c r="DG6" s="159">
        <f t="shared" si="65"/>
        <v>1</v>
      </c>
      <c r="DH6" s="345">
        <f t="shared" si="65"/>
        <v>1</v>
      </c>
      <c r="DI6" s="159">
        <f t="shared" si="65"/>
        <v>1</v>
      </c>
      <c r="DJ6" s="159">
        <f t="shared" si="65"/>
        <v>1</v>
      </c>
      <c r="DK6" s="159">
        <f t="shared" si="65"/>
        <v>1</v>
      </c>
      <c r="DL6" s="159">
        <f t="shared" si="65"/>
        <v>1</v>
      </c>
      <c r="DM6" s="159">
        <f t="shared" si="65"/>
        <v>1</v>
      </c>
      <c r="DN6" s="159">
        <f t="shared" si="65"/>
        <v>1</v>
      </c>
      <c r="DO6" s="159">
        <f t="shared" si="65"/>
        <v>1</v>
      </c>
      <c r="DP6" s="159">
        <f t="shared" si="65"/>
        <v>1</v>
      </c>
      <c r="DQ6" s="159">
        <f t="shared" si="65"/>
        <v>1</v>
      </c>
      <c r="DR6" s="159">
        <f t="shared" si="65"/>
        <v>1</v>
      </c>
      <c r="DS6" s="159">
        <f t="shared" si="65"/>
        <v>1</v>
      </c>
      <c r="DT6" s="159">
        <f t="shared" si="65"/>
        <v>1</v>
      </c>
      <c r="DU6" s="159">
        <f t="shared" si="65"/>
        <v>1</v>
      </c>
      <c r="DV6" s="159">
        <f t="shared" si="65"/>
        <v>1</v>
      </c>
      <c r="DW6" s="159">
        <f t="shared" si="65"/>
        <v>1</v>
      </c>
      <c r="DX6" s="159">
        <f t="shared" si="65"/>
        <v>1</v>
      </c>
      <c r="DY6" s="159">
        <f t="shared" si="65"/>
        <v>1</v>
      </c>
      <c r="DZ6" s="159">
        <f t="shared" si="65"/>
        <v>1</v>
      </c>
      <c r="EA6" s="159">
        <f t="shared" si="65"/>
        <v>1</v>
      </c>
      <c r="EB6" s="159">
        <f t="shared" si="65"/>
        <v>1</v>
      </c>
      <c r="EC6" s="159">
        <f t="shared" si="65"/>
        <v>1</v>
      </c>
      <c r="ED6" s="159">
        <f t="shared" si="65"/>
        <v>1</v>
      </c>
      <c r="EE6" s="159">
        <f t="shared" si="65"/>
        <v>1</v>
      </c>
      <c r="EF6" s="159">
        <f t="shared" si="65"/>
        <v>1</v>
      </c>
      <c r="EG6" s="159">
        <f t="shared" si="65"/>
        <v>1</v>
      </c>
      <c r="EH6" s="159">
        <f t="shared" si="65"/>
        <v>1</v>
      </c>
      <c r="EI6" s="159">
        <f t="shared" si="65"/>
        <v>1</v>
      </c>
      <c r="EJ6" s="159">
        <f t="shared" si="65"/>
        <v>1</v>
      </c>
      <c r="EK6" s="159">
        <f t="shared" si="65"/>
        <v>1</v>
      </c>
      <c r="EL6" s="159">
        <f t="shared" si="65"/>
        <v>1</v>
      </c>
    </row>
    <row r="7" spans="2:142" ht="15" hidden="1" outlineLevel="1" collapsed="1" x14ac:dyDescent="0.3">
      <c r="B7" s="22"/>
      <c r="C7" s="23"/>
      <c r="D7" s="23" t="s">
        <v>13</v>
      </c>
      <c r="E7" s="50"/>
      <c r="F7" s="26">
        <v>231</v>
      </c>
      <c r="G7" s="160">
        <v>45474</v>
      </c>
      <c r="H7" s="160">
        <v>45835</v>
      </c>
      <c r="I7" s="26">
        <f>+SUM(I8:I12)</f>
        <v>87</v>
      </c>
      <c r="J7" s="28">
        <v>1</v>
      </c>
      <c r="K7" s="51"/>
      <c r="L7" s="28">
        <f>+SUMPRODUCT($J$8:$J$12,L8:L12)</f>
        <v>0</v>
      </c>
      <c r="M7" s="28">
        <f>+SUMPRODUCT($J$8:$J$12,M8:M12)</f>
        <v>0.1310344827586207</v>
      </c>
      <c r="N7" s="28">
        <f t="shared" ref="N7:BR7" si="66">+SUMPRODUCT($J$8:$J$12,N8:N12)</f>
        <v>0.30804597701149428</v>
      </c>
      <c r="O7" s="28">
        <f t="shared" si="66"/>
        <v>0.46206896551724136</v>
      </c>
      <c r="P7" s="28">
        <f t="shared" si="66"/>
        <v>0.66206896551724137</v>
      </c>
      <c r="Q7" s="28">
        <f t="shared" si="66"/>
        <v>0.78735632183908055</v>
      </c>
      <c r="R7" s="28">
        <f t="shared" si="66"/>
        <v>1</v>
      </c>
      <c r="S7" s="28">
        <f t="shared" si="66"/>
        <v>1</v>
      </c>
      <c r="T7" s="28">
        <f t="shared" si="66"/>
        <v>1</v>
      </c>
      <c r="U7" s="28">
        <f t="shared" si="66"/>
        <v>1</v>
      </c>
      <c r="V7" s="28">
        <f t="shared" si="66"/>
        <v>1</v>
      </c>
      <c r="W7" s="28">
        <f t="shared" si="66"/>
        <v>1</v>
      </c>
      <c r="X7" s="28">
        <f t="shared" si="66"/>
        <v>1</v>
      </c>
      <c r="Y7" s="28">
        <f t="shared" si="66"/>
        <v>1</v>
      </c>
      <c r="Z7" s="28">
        <f t="shared" si="66"/>
        <v>1</v>
      </c>
      <c r="AA7" s="28">
        <f t="shared" si="66"/>
        <v>1</v>
      </c>
      <c r="AB7" s="28">
        <f t="shared" si="66"/>
        <v>1</v>
      </c>
      <c r="AC7" s="28">
        <f t="shared" si="66"/>
        <v>1</v>
      </c>
      <c r="AD7" s="28">
        <f t="shared" si="66"/>
        <v>1</v>
      </c>
      <c r="AE7" s="28">
        <f t="shared" si="66"/>
        <v>1</v>
      </c>
      <c r="AF7" s="28">
        <f t="shared" si="66"/>
        <v>1</v>
      </c>
      <c r="AG7" s="28">
        <f t="shared" si="66"/>
        <v>1</v>
      </c>
      <c r="AH7" s="28">
        <f t="shared" si="66"/>
        <v>1</v>
      </c>
      <c r="AI7" s="28">
        <f t="shared" si="66"/>
        <v>1</v>
      </c>
      <c r="AJ7" s="28">
        <f t="shared" si="66"/>
        <v>1</v>
      </c>
      <c r="AK7" s="28">
        <f t="shared" si="66"/>
        <v>1</v>
      </c>
      <c r="AL7" s="28">
        <f t="shared" si="66"/>
        <v>1</v>
      </c>
      <c r="AM7" s="28">
        <f t="shared" si="66"/>
        <v>1</v>
      </c>
      <c r="AN7" s="28">
        <f t="shared" si="66"/>
        <v>1</v>
      </c>
      <c r="AO7" s="28">
        <f t="shared" si="66"/>
        <v>1</v>
      </c>
      <c r="AP7" s="28">
        <f t="shared" si="66"/>
        <v>1</v>
      </c>
      <c r="AQ7" s="28">
        <f t="shared" si="66"/>
        <v>1</v>
      </c>
      <c r="AR7" s="28">
        <f t="shared" si="66"/>
        <v>1</v>
      </c>
      <c r="AS7" s="28">
        <f t="shared" si="66"/>
        <v>1</v>
      </c>
      <c r="AT7" s="28">
        <f t="shared" si="66"/>
        <v>1</v>
      </c>
      <c r="AU7" s="28">
        <f t="shared" si="66"/>
        <v>1</v>
      </c>
      <c r="AV7" s="28">
        <f t="shared" si="66"/>
        <v>1</v>
      </c>
      <c r="AW7" s="28">
        <f t="shared" si="66"/>
        <v>1</v>
      </c>
      <c r="AX7" s="28">
        <f t="shared" si="66"/>
        <v>1</v>
      </c>
      <c r="AY7" s="28">
        <f t="shared" si="66"/>
        <v>1</v>
      </c>
      <c r="AZ7" s="28">
        <f t="shared" si="66"/>
        <v>1</v>
      </c>
      <c r="BA7" s="28">
        <f t="shared" si="66"/>
        <v>1</v>
      </c>
      <c r="BB7" s="28">
        <f t="shared" si="66"/>
        <v>1</v>
      </c>
      <c r="BC7" s="28">
        <f t="shared" si="66"/>
        <v>1</v>
      </c>
      <c r="BD7" s="28">
        <f t="shared" si="66"/>
        <v>1</v>
      </c>
      <c r="BE7" s="28">
        <f t="shared" si="66"/>
        <v>1</v>
      </c>
      <c r="BF7" s="28">
        <f t="shared" si="66"/>
        <v>1</v>
      </c>
      <c r="BG7" s="28">
        <f t="shared" si="66"/>
        <v>1</v>
      </c>
      <c r="BH7" s="28">
        <f t="shared" si="66"/>
        <v>1</v>
      </c>
      <c r="BI7" s="28">
        <f t="shared" si="66"/>
        <v>1</v>
      </c>
      <c r="BJ7" s="28">
        <f t="shared" si="66"/>
        <v>1</v>
      </c>
      <c r="BK7" s="28">
        <f t="shared" si="66"/>
        <v>1</v>
      </c>
      <c r="BL7" s="28">
        <f t="shared" si="66"/>
        <v>1</v>
      </c>
      <c r="BM7" s="28">
        <f t="shared" si="66"/>
        <v>1</v>
      </c>
      <c r="BN7" s="28">
        <f t="shared" si="66"/>
        <v>1</v>
      </c>
      <c r="BO7" s="28">
        <f t="shared" si="66"/>
        <v>1</v>
      </c>
      <c r="BP7" s="28">
        <f t="shared" si="66"/>
        <v>1</v>
      </c>
      <c r="BQ7" s="28">
        <f t="shared" si="66"/>
        <v>1</v>
      </c>
      <c r="BR7" s="161">
        <f t="shared" si="66"/>
        <v>1</v>
      </c>
      <c r="BS7" s="161">
        <f t="shared" ref="BS7:CL7" si="67">+SUMPRODUCT($J$8:$J$12,BS8:BS12)</f>
        <v>1</v>
      </c>
      <c r="BT7" s="161">
        <f t="shared" si="67"/>
        <v>1</v>
      </c>
      <c r="BU7" s="161">
        <f t="shared" si="67"/>
        <v>1</v>
      </c>
      <c r="BV7" s="161">
        <f t="shared" si="67"/>
        <v>1</v>
      </c>
      <c r="BW7" s="161">
        <f t="shared" si="67"/>
        <v>1</v>
      </c>
      <c r="BX7" s="161">
        <f t="shared" si="67"/>
        <v>1</v>
      </c>
      <c r="BY7" s="161">
        <f t="shared" si="67"/>
        <v>1</v>
      </c>
      <c r="BZ7" s="161">
        <f t="shared" si="67"/>
        <v>1</v>
      </c>
      <c r="CA7" s="161">
        <f t="shared" si="67"/>
        <v>1</v>
      </c>
      <c r="CB7" s="161">
        <f t="shared" si="67"/>
        <v>1</v>
      </c>
      <c r="CC7" s="161">
        <f t="shared" si="67"/>
        <v>1</v>
      </c>
      <c r="CD7" s="161">
        <f t="shared" si="67"/>
        <v>1</v>
      </c>
      <c r="CE7" s="161">
        <f t="shared" si="67"/>
        <v>1</v>
      </c>
      <c r="CF7" s="161">
        <f t="shared" si="67"/>
        <v>1</v>
      </c>
      <c r="CG7" s="161">
        <f t="shared" si="67"/>
        <v>1</v>
      </c>
      <c r="CH7" s="161">
        <f t="shared" si="67"/>
        <v>1</v>
      </c>
      <c r="CI7" s="161">
        <f t="shared" si="67"/>
        <v>1</v>
      </c>
      <c r="CJ7" s="161">
        <f t="shared" si="67"/>
        <v>1</v>
      </c>
      <c r="CK7" s="161">
        <f t="shared" si="67"/>
        <v>1</v>
      </c>
      <c r="CL7" s="161">
        <f t="shared" si="67"/>
        <v>1</v>
      </c>
      <c r="CM7" s="161">
        <f t="shared" ref="CM7:CN7" si="68">+SUMPRODUCT($J$8:$J$12,CM8:CM12)</f>
        <v>1</v>
      </c>
      <c r="CN7" s="161">
        <f t="shared" si="68"/>
        <v>1</v>
      </c>
      <c r="CO7" s="161">
        <f t="shared" ref="CO7" si="69">+SUMPRODUCT($J$8:$J$12,CO8:CO12)</f>
        <v>1</v>
      </c>
      <c r="CP7" s="161">
        <f t="shared" ref="CP7:CV7" si="70">+SUMPRODUCT($J$8:$J$12,CP8:CP12)</f>
        <v>1</v>
      </c>
      <c r="CQ7" s="161">
        <f t="shared" si="70"/>
        <v>1</v>
      </c>
      <c r="CR7" s="161">
        <f t="shared" si="70"/>
        <v>1</v>
      </c>
      <c r="CS7" s="161">
        <f t="shared" si="70"/>
        <v>1</v>
      </c>
      <c r="CT7" s="161">
        <f t="shared" si="70"/>
        <v>1</v>
      </c>
      <c r="CU7" s="161">
        <f t="shared" si="70"/>
        <v>1</v>
      </c>
      <c r="CV7" s="161">
        <f t="shared" si="70"/>
        <v>1</v>
      </c>
      <c r="CW7" s="161">
        <f t="shared" ref="CW7:CY7" si="71">+SUMPRODUCT($J$8:$J$12,CW8:CW12)</f>
        <v>1</v>
      </c>
      <c r="CX7" s="161">
        <f t="shared" si="71"/>
        <v>1</v>
      </c>
      <c r="CY7" s="161">
        <f t="shared" si="71"/>
        <v>1</v>
      </c>
      <c r="CZ7" s="161">
        <f t="shared" ref="CZ7:DA7" si="72">+SUMPRODUCT($J$8:$J$12,CZ8:CZ12)</f>
        <v>1</v>
      </c>
      <c r="DA7" s="161">
        <f t="shared" si="72"/>
        <v>1</v>
      </c>
      <c r="DB7" s="161">
        <f t="shared" ref="DB7:DC7" si="73">+SUMPRODUCT($J$8:$J$12,DB8:DB12)</f>
        <v>1</v>
      </c>
      <c r="DC7" s="161">
        <f t="shared" si="73"/>
        <v>1</v>
      </c>
      <c r="DD7" s="161">
        <f t="shared" ref="DD7:DE7" si="74">+SUMPRODUCT($J$8:$J$12,DD8:DD12)</f>
        <v>1</v>
      </c>
      <c r="DE7" s="161">
        <f t="shared" si="74"/>
        <v>1</v>
      </c>
      <c r="DF7" s="161">
        <f t="shared" ref="DF7:DG7" si="75">+SUMPRODUCT($J$8:$J$12,DF8:DF12)</f>
        <v>1</v>
      </c>
      <c r="DG7" s="161">
        <f t="shared" si="75"/>
        <v>1</v>
      </c>
      <c r="DH7" s="346">
        <f t="shared" ref="DH7:EL7" si="76">+SUMPRODUCT($J$8:$J$12,DH8:DH12)</f>
        <v>1</v>
      </c>
      <c r="DI7" s="161">
        <f t="shared" si="76"/>
        <v>1</v>
      </c>
      <c r="DJ7" s="161">
        <f t="shared" si="76"/>
        <v>1</v>
      </c>
      <c r="DK7" s="161">
        <f t="shared" si="76"/>
        <v>1</v>
      </c>
      <c r="DL7" s="161">
        <f t="shared" si="76"/>
        <v>1</v>
      </c>
      <c r="DM7" s="161">
        <f t="shared" si="76"/>
        <v>1</v>
      </c>
      <c r="DN7" s="161">
        <f t="shared" si="76"/>
        <v>1</v>
      </c>
      <c r="DO7" s="161">
        <f t="shared" si="76"/>
        <v>1</v>
      </c>
      <c r="DP7" s="161">
        <f t="shared" si="76"/>
        <v>1</v>
      </c>
      <c r="DQ7" s="161">
        <f t="shared" si="76"/>
        <v>1</v>
      </c>
      <c r="DR7" s="161">
        <f t="shared" si="76"/>
        <v>1</v>
      </c>
      <c r="DS7" s="161">
        <f t="shared" si="76"/>
        <v>1</v>
      </c>
      <c r="DT7" s="161">
        <f t="shared" si="76"/>
        <v>1</v>
      </c>
      <c r="DU7" s="161">
        <f t="shared" si="76"/>
        <v>1</v>
      </c>
      <c r="DV7" s="161">
        <f t="shared" si="76"/>
        <v>1</v>
      </c>
      <c r="DW7" s="161">
        <f t="shared" si="76"/>
        <v>1</v>
      </c>
      <c r="DX7" s="161">
        <f t="shared" si="76"/>
        <v>1</v>
      </c>
      <c r="DY7" s="161">
        <f t="shared" si="76"/>
        <v>1</v>
      </c>
      <c r="DZ7" s="161">
        <f t="shared" si="76"/>
        <v>1</v>
      </c>
      <c r="EA7" s="161">
        <f t="shared" si="76"/>
        <v>1</v>
      </c>
      <c r="EB7" s="161">
        <f t="shared" si="76"/>
        <v>1</v>
      </c>
      <c r="EC7" s="161">
        <f t="shared" si="76"/>
        <v>1</v>
      </c>
      <c r="ED7" s="161">
        <f t="shared" si="76"/>
        <v>1</v>
      </c>
      <c r="EE7" s="161">
        <f t="shared" si="76"/>
        <v>1</v>
      </c>
      <c r="EF7" s="161">
        <f t="shared" si="76"/>
        <v>1</v>
      </c>
      <c r="EG7" s="161">
        <f t="shared" si="76"/>
        <v>1</v>
      </c>
      <c r="EH7" s="161">
        <f t="shared" si="76"/>
        <v>1</v>
      </c>
      <c r="EI7" s="161">
        <f t="shared" si="76"/>
        <v>1</v>
      </c>
      <c r="EJ7" s="161">
        <f t="shared" si="76"/>
        <v>1</v>
      </c>
      <c r="EK7" s="161">
        <f t="shared" si="76"/>
        <v>1</v>
      </c>
      <c r="EL7" s="161">
        <f t="shared" si="76"/>
        <v>1</v>
      </c>
    </row>
    <row r="8" spans="2:142" hidden="1" outlineLevel="2" x14ac:dyDescent="0.3">
      <c r="B8" s="29"/>
      <c r="C8" s="30"/>
      <c r="D8" s="30"/>
      <c r="E8" s="52" t="s">
        <v>14</v>
      </c>
      <c r="F8" s="33">
        <v>0</v>
      </c>
      <c r="G8" s="162">
        <v>45474</v>
      </c>
      <c r="H8" s="162">
        <v>45474</v>
      </c>
      <c r="I8" s="33">
        <f>+F8</f>
        <v>0</v>
      </c>
      <c r="J8" s="35">
        <v>1E-119</v>
      </c>
      <c r="K8" s="53"/>
      <c r="L8" s="127">
        <v>0</v>
      </c>
      <c r="M8" s="127">
        <v>1</v>
      </c>
      <c r="N8" s="127">
        <v>1</v>
      </c>
      <c r="O8" s="127">
        <v>1</v>
      </c>
      <c r="P8" s="127">
        <v>1</v>
      </c>
      <c r="Q8" s="127">
        <v>1</v>
      </c>
      <c r="R8" s="127">
        <v>1</v>
      </c>
      <c r="S8" s="127">
        <v>1</v>
      </c>
      <c r="T8" s="127">
        <v>1</v>
      </c>
      <c r="U8" s="127">
        <v>1</v>
      </c>
      <c r="V8" s="127">
        <v>1</v>
      </c>
      <c r="W8" s="127">
        <v>1</v>
      </c>
      <c r="X8" s="127">
        <v>1</v>
      </c>
      <c r="Y8" s="127">
        <v>1</v>
      </c>
      <c r="Z8" s="127">
        <v>1</v>
      </c>
      <c r="AA8" s="127">
        <v>1</v>
      </c>
      <c r="AB8" s="127">
        <v>1</v>
      </c>
      <c r="AC8" s="127">
        <v>1</v>
      </c>
      <c r="AD8" s="127">
        <v>1</v>
      </c>
      <c r="AE8" s="127">
        <v>1</v>
      </c>
      <c r="AF8" s="127">
        <v>1</v>
      </c>
      <c r="AG8" s="127">
        <v>1</v>
      </c>
      <c r="AH8" s="127">
        <v>1</v>
      </c>
      <c r="AI8" s="127">
        <v>1</v>
      </c>
      <c r="AJ8" s="127">
        <v>1</v>
      </c>
      <c r="AK8" s="127">
        <v>1</v>
      </c>
      <c r="AL8" s="127">
        <v>1</v>
      </c>
      <c r="AM8" s="127">
        <v>1</v>
      </c>
      <c r="AN8" s="127">
        <v>1</v>
      </c>
      <c r="AO8" s="127">
        <v>1</v>
      </c>
      <c r="AP8" s="127">
        <v>1</v>
      </c>
      <c r="AQ8" s="127">
        <v>1</v>
      </c>
      <c r="AR8" s="127">
        <v>1</v>
      </c>
      <c r="AS8" s="127">
        <v>1</v>
      </c>
      <c r="AT8" s="127">
        <v>1</v>
      </c>
      <c r="AU8" s="127">
        <v>1</v>
      </c>
      <c r="AV8" s="127">
        <v>1</v>
      </c>
      <c r="AW8" s="127">
        <v>1</v>
      </c>
      <c r="AX8" s="127">
        <v>1</v>
      </c>
      <c r="AY8" s="127">
        <v>1</v>
      </c>
      <c r="AZ8" s="127">
        <v>1</v>
      </c>
      <c r="BA8" s="127">
        <v>1</v>
      </c>
      <c r="BB8" s="127">
        <v>1</v>
      </c>
      <c r="BC8" s="127">
        <v>1</v>
      </c>
      <c r="BD8" s="127">
        <v>1</v>
      </c>
      <c r="BE8" s="127">
        <v>1</v>
      </c>
      <c r="BF8" s="127">
        <v>1</v>
      </c>
      <c r="BG8" s="127">
        <v>1</v>
      </c>
      <c r="BH8" s="127">
        <v>1</v>
      </c>
      <c r="BI8" s="127">
        <v>1</v>
      </c>
      <c r="BJ8" s="127">
        <v>1</v>
      </c>
      <c r="BK8" s="127">
        <v>1</v>
      </c>
      <c r="BL8" s="127">
        <v>1</v>
      </c>
      <c r="BM8" s="127">
        <v>1</v>
      </c>
      <c r="BN8" s="127">
        <v>1</v>
      </c>
      <c r="BO8" s="127">
        <v>1</v>
      </c>
      <c r="BP8" s="127">
        <v>1</v>
      </c>
      <c r="BQ8" s="127">
        <v>1</v>
      </c>
      <c r="BR8" s="163">
        <v>1</v>
      </c>
      <c r="BS8" s="163">
        <v>1</v>
      </c>
      <c r="BT8" s="163">
        <v>1</v>
      </c>
      <c r="BU8" s="163">
        <v>1</v>
      </c>
      <c r="BV8" s="163">
        <v>1</v>
      </c>
      <c r="BW8" s="163">
        <v>1</v>
      </c>
      <c r="BX8" s="163">
        <v>1</v>
      </c>
      <c r="BY8" s="163">
        <v>1</v>
      </c>
      <c r="BZ8" s="163">
        <v>1</v>
      </c>
      <c r="CA8" s="163">
        <v>1</v>
      </c>
      <c r="CB8" s="163">
        <v>1</v>
      </c>
      <c r="CC8" s="163">
        <v>1</v>
      </c>
      <c r="CD8" s="163">
        <v>1</v>
      </c>
      <c r="CE8" s="163">
        <v>1</v>
      </c>
      <c r="CF8" s="163">
        <v>1</v>
      </c>
      <c r="CG8" s="163">
        <v>1</v>
      </c>
      <c r="CH8" s="163">
        <v>1</v>
      </c>
      <c r="CI8" s="163">
        <v>1</v>
      </c>
      <c r="CJ8" s="163">
        <v>1</v>
      </c>
      <c r="CK8" s="163">
        <v>1</v>
      </c>
      <c r="CL8" s="163">
        <v>1</v>
      </c>
      <c r="CM8" s="163">
        <v>1</v>
      </c>
      <c r="CN8" s="163">
        <v>1</v>
      </c>
      <c r="CO8" s="163">
        <v>1</v>
      </c>
      <c r="CP8" s="163">
        <v>1</v>
      </c>
      <c r="CQ8" s="163">
        <v>1</v>
      </c>
      <c r="CR8" s="163">
        <v>1</v>
      </c>
      <c r="CS8" s="163">
        <v>1</v>
      </c>
      <c r="CT8" s="163">
        <v>1</v>
      </c>
      <c r="CU8" s="163">
        <v>1</v>
      </c>
      <c r="CV8" s="163">
        <v>1</v>
      </c>
      <c r="CW8" s="163">
        <v>1</v>
      </c>
      <c r="CX8" s="163">
        <v>1</v>
      </c>
      <c r="CY8" s="163">
        <v>1</v>
      </c>
      <c r="CZ8" s="163">
        <v>1</v>
      </c>
      <c r="DA8" s="163">
        <v>1</v>
      </c>
      <c r="DB8" s="163">
        <v>1</v>
      </c>
      <c r="DC8" s="163">
        <v>1</v>
      </c>
      <c r="DD8" s="163">
        <v>1</v>
      </c>
      <c r="DE8" s="163">
        <v>1</v>
      </c>
      <c r="DF8" s="163">
        <v>1</v>
      </c>
      <c r="DG8" s="163">
        <v>1</v>
      </c>
      <c r="DH8" s="347">
        <v>1</v>
      </c>
      <c r="DI8" s="163">
        <v>1</v>
      </c>
      <c r="DJ8" s="163">
        <v>1</v>
      </c>
      <c r="DK8" s="163">
        <v>1</v>
      </c>
      <c r="DL8" s="163">
        <v>1</v>
      </c>
      <c r="DM8" s="163">
        <v>1</v>
      </c>
      <c r="DN8" s="163">
        <v>1</v>
      </c>
      <c r="DO8" s="163">
        <v>1</v>
      </c>
      <c r="DP8" s="163">
        <v>1</v>
      </c>
      <c r="DQ8" s="163">
        <v>1</v>
      </c>
      <c r="DR8" s="163">
        <v>1</v>
      </c>
      <c r="DS8" s="163">
        <v>1</v>
      </c>
      <c r="DT8" s="163">
        <v>1</v>
      </c>
      <c r="DU8" s="163">
        <v>1</v>
      </c>
      <c r="DV8" s="163">
        <v>1</v>
      </c>
      <c r="DW8" s="163">
        <v>1</v>
      </c>
      <c r="DX8" s="163">
        <v>1</v>
      </c>
      <c r="DY8" s="163">
        <v>1</v>
      </c>
      <c r="DZ8" s="163">
        <v>1</v>
      </c>
      <c r="EA8" s="163">
        <v>1</v>
      </c>
      <c r="EB8" s="163">
        <v>1</v>
      </c>
      <c r="EC8" s="163">
        <v>1</v>
      </c>
      <c r="ED8" s="163">
        <v>1</v>
      </c>
      <c r="EE8" s="163">
        <v>1</v>
      </c>
      <c r="EF8" s="163">
        <v>1</v>
      </c>
      <c r="EG8" s="163">
        <v>1</v>
      </c>
      <c r="EH8" s="163">
        <v>1</v>
      </c>
      <c r="EI8" s="163">
        <v>1</v>
      </c>
      <c r="EJ8" s="163">
        <v>1</v>
      </c>
      <c r="EK8" s="163">
        <v>1</v>
      </c>
      <c r="EL8" s="163">
        <v>1</v>
      </c>
    </row>
    <row r="9" spans="2:142" hidden="1" outlineLevel="2" x14ac:dyDescent="0.3">
      <c r="B9" s="29"/>
      <c r="C9" s="30"/>
      <c r="D9" s="30"/>
      <c r="E9" s="52" t="s">
        <v>15</v>
      </c>
      <c r="F9" s="33">
        <v>0</v>
      </c>
      <c r="G9" s="162">
        <v>45835</v>
      </c>
      <c r="H9" s="162">
        <v>45835</v>
      </c>
      <c r="I9" s="33">
        <f>+F9</f>
        <v>0</v>
      </c>
      <c r="J9" s="35">
        <v>1E-119</v>
      </c>
      <c r="K9" s="53"/>
      <c r="L9" s="127">
        <v>0</v>
      </c>
      <c r="M9" s="164">
        <v>0</v>
      </c>
      <c r="N9" s="164">
        <v>0</v>
      </c>
      <c r="O9" s="164">
        <v>0</v>
      </c>
      <c r="P9" s="164">
        <v>0</v>
      </c>
      <c r="Q9" s="164">
        <v>0</v>
      </c>
      <c r="R9" s="164">
        <v>0</v>
      </c>
      <c r="S9" s="164">
        <v>0</v>
      </c>
      <c r="T9" s="164">
        <v>0</v>
      </c>
      <c r="U9" s="164">
        <v>0</v>
      </c>
      <c r="V9" s="164">
        <v>0</v>
      </c>
      <c r="W9" s="164">
        <v>0</v>
      </c>
      <c r="X9" s="164">
        <v>0</v>
      </c>
      <c r="Y9" s="164">
        <v>0</v>
      </c>
      <c r="Z9" s="164">
        <v>0</v>
      </c>
      <c r="AA9" s="164">
        <v>0</v>
      </c>
      <c r="AB9" s="164">
        <v>0</v>
      </c>
      <c r="AC9" s="164">
        <v>0</v>
      </c>
      <c r="AD9" s="164">
        <v>0</v>
      </c>
      <c r="AE9" s="164">
        <v>0</v>
      </c>
      <c r="AF9" s="164">
        <v>0</v>
      </c>
      <c r="AG9" s="164">
        <v>0</v>
      </c>
      <c r="AH9" s="164">
        <v>0</v>
      </c>
      <c r="AI9" s="164">
        <v>0</v>
      </c>
      <c r="AJ9" s="164">
        <v>0</v>
      </c>
      <c r="AK9" s="164">
        <v>0</v>
      </c>
      <c r="AL9" s="164">
        <v>0</v>
      </c>
      <c r="AM9" s="164">
        <v>0</v>
      </c>
      <c r="AN9" s="164">
        <v>0</v>
      </c>
      <c r="AO9" s="164">
        <v>0</v>
      </c>
      <c r="AP9" s="164">
        <v>0</v>
      </c>
      <c r="AQ9" s="164">
        <v>0</v>
      </c>
      <c r="AR9" s="164">
        <v>0</v>
      </c>
      <c r="AS9" s="164">
        <v>0</v>
      </c>
      <c r="AT9" s="164">
        <v>0</v>
      </c>
      <c r="AU9" s="164">
        <v>0</v>
      </c>
      <c r="AV9" s="164">
        <v>0</v>
      </c>
      <c r="AW9" s="164">
        <v>0</v>
      </c>
      <c r="AX9" s="164">
        <v>0</v>
      </c>
      <c r="AY9" s="164">
        <v>0</v>
      </c>
      <c r="AZ9" s="164">
        <v>0</v>
      </c>
      <c r="BA9" s="164">
        <v>0</v>
      </c>
      <c r="BB9" s="164">
        <v>0</v>
      </c>
      <c r="BC9" s="164">
        <v>0</v>
      </c>
      <c r="BD9" s="164">
        <v>0</v>
      </c>
      <c r="BE9" s="164">
        <v>0</v>
      </c>
      <c r="BF9" s="164">
        <v>0</v>
      </c>
      <c r="BG9" s="164">
        <v>0</v>
      </c>
      <c r="BH9" s="164">
        <v>0</v>
      </c>
      <c r="BI9" s="164">
        <v>0</v>
      </c>
      <c r="BJ9" s="164">
        <v>0</v>
      </c>
      <c r="BK9" s="164">
        <v>0</v>
      </c>
      <c r="BL9" s="164">
        <v>0</v>
      </c>
      <c r="BM9" s="164">
        <v>0</v>
      </c>
      <c r="BN9" s="164">
        <v>0</v>
      </c>
      <c r="BO9" s="164">
        <v>0</v>
      </c>
      <c r="BP9" s="164">
        <v>0</v>
      </c>
      <c r="BQ9" s="164">
        <v>0</v>
      </c>
      <c r="BR9" s="163">
        <v>0</v>
      </c>
      <c r="BS9" s="163">
        <v>0</v>
      </c>
      <c r="BT9" s="163">
        <v>0</v>
      </c>
      <c r="BU9" s="163">
        <v>0</v>
      </c>
      <c r="BV9" s="163">
        <v>0</v>
      </c>
      <c r="BW9" s="163">
        <v>0</v>
      </c>
      <c r="BX9" s="163">
        <v>0</v>
      </c>
      <c r="BY9" s="163">
        <v>0</v>
      </c>
      <c r="BZ9" s="163">
        <v>0</v>
      </c>
      <c r="CA9" s="163">
        <v>0</v>
      </c>
      <c r="CB9" s="163">
        <v>0</v>
      </c>
      <c r="CC9" s="163">
        <v>0</v>
      </c>
      <c r="CD9" s="163">
        <v>0</v>
      </c>
      <c r="CE9" s="163">
        <v>0</v>
      </c>
      <c r="CF9" s="163">
        <v>0</v>
      </c>
      <c r="CG9" s="163">
        <v>0</v>
      </c>
      <c r="CH9" s="163">
        <v>0</v>
      </c>
      <c r="CI9" s="163">
        <v>0</v>
      </c>
      <c r="CJ9" s="163">
        <v>0</v>
      </c>
      <c r="CK9" s="163">
        <v>0</v>
      </c>
      <c r="CL9" s="163">
        <v>0</v>
      </c>
      <c r="CM9" s="163">
        <v>0</v>
      </c>
      <c r="CN9" s="163">
        <v>0</v>
      </c>
      <c r="CO9" s="163">
        <v>0</v>
      </c>
      <c r="CP9" s="163">
        <v>0</v>
      </c>
      <c r="CQ9" s="163">
        <v>0</v>
      </c>
      <c r="CR9" s="163">
        <v>0</v>
      </c>
      <c r="CS9" s="163">
        <v>0</v>
      </c>
      <c r="CT9" s="163">
        <v>0</v>
      </c>
      <c r="CU9" s="163">
        <v>0</v>
      </c>
      <c r="CV9" s="163">
        <v>0</v>
      </c>
      <c r="CW9" s="163">
        <v>0</v>
      </c>
      <c r="CX9" s="163">
        <v>0</v>
      </c>
      <c r="CY9" s="163">
        <v>0</v>
      </c>
      <c r="CZ9" s="163">
        <v>0</v>
      </c>
      <c r="DA9" s="163">
        <v>0</v>
      </c>
      <c r="DB9" s="163">
        <v>0</v>
      </c>
      <c r="DC9" s="163">
        <v>0</v>
      </c>
      <c r="DD9" s="163">
        <v>0</v>
      </c>
      <c r="DE9" s="163">
        <v>0</v>
      </c>
      <c r="DF9" s="163">
        <v>0</v>
      </c>
      <c r="DG9" s="163">
        <v>0</v>
      </c>
      <c r="DH9" s="347">
        <v>0</v>
      </c>
      <c r="DI9" s="163">
        <v>0</v>
      </c>
      <c r="DJ9" s="163">
        <v>0</v>
      </c>
      <c r="DK9" s="163">
        <v>0</v>
      </c>
      <c r="DL9" s="163">
        <v>0</v>
      </c>
      <c r="DM9" s="163">
        <v>0</v>
      </c>
      <c r="DN9" s="163">
        <v>0</v>
      </c>
      <c r="DO9" s="163">
        <v>0</v>
      </c>
      <c r="DP9" s="163">
        <v>0</v>
      </c>
      <c r="DQ9" s="163">
        <v>0</v>
      </c>
      <c r="DR9" s="163">
        <v>0</v>
      </c>
      <c r="DS9" s="163">
        <v>0</v>
      </c>
      <c r="DT9" s="163">
        <v>0</v>
      </c>
      <c r="DU9" s="163">
        <v>0</v>
      </c>
      <c r="DV9" s="163">
        <v>0</v>
      </c>
      <c r="DW9" s="163">
        <v>0</v>
      </c>
      <c r="DX9" s="163">
        <v>0</v>
      </c>
      <c r="DY9" s="163">
        <v>0</v>
      </c>
      <c r="DZ9" s="163">
        <v>0</v>
      </c>
      <c r="EA9" s="163">
        <v>0</v>
      </c>
      <c r="EB9" s="163">
        <v>0</v>
      </c>
      <c r="EC9" s="163">
        <v>0</v>
      </c>
      <c r="ED9" s="163">
        <v>0</v>
      </c>
      <c r="EE9" s="163">
        <v>0</v>
      </c>
      <c r="EF9" s="163">
        <v>0</v>
      </c>
      <c r="EG9" s="163">
        <v>0</v>
      </c>
      <c r="EH9" s="163">
        <v>0</v>
      </c>
      <c r="EI9" s="163">
        <v>0</v>
      </c>
      <c r="EJ9" s="163">
        <v>0</v>
      </c>
      <c r="EK9" s="163">
        <v>0</v>
      </c>
      <c r="EL9" s="163">
        <v>0</v>
      </c>
    </row>
    <row r="10" spans="2:142" hidden="1" outlineLevel="2" x14ac:dyDescent="0.3">
      <c r="B10" s="29"/>
      <c r="C10" s="30"/>
      <c r="D10" s="30"/>
      <c r="E10" s="52" t="s">
        <v>16</v>
      </c>
      <c r="F10" s="33">
        <v>25</v>
      </c>
      <c r="G10" s="162">
        <v>45474</v>
      </c>
      <c r="H10" s="162">
        <v>45510</v>
      </c>
      <c r="I10" s="33">
        <f>+F10</f>
        <v>25</v>
      </c>
      <c r="J10" s="35">
        <v>0.28735632183908044</v>
      </c>
      <c r="K10" s="53"/>
      <c r="L10" s="127">
        <v>0</v>
      </c>
      <c r="M10" s="127">
        <v>0.2</v>
      </c>
      <c r="N10" s="127">
        <v>0.4</v>
      </c>
      <c r="O10" s="127">
        <v>0.6</v>
      </c>
      <c r="P10" s="127">
        <v>0.8</v>
      </c>
      <c r="Q10" s="127">
        <v>0.9</v>
      </c>
      <c r="R10" s="127">
        <v>1</v>
      </c>
      <c r="S10" s="127">
        <v>1</v>
      </c>
      <c r="T10" s="127">
        <v>1</v>
      </c>
      <c r="U10" s="127">
        <v>1</v>
      </c>
      <c r="V10" s="127">
        <v>1</v>
      </c>
      <c r="W10" s="127">
        <v>1</v>
      </c>
      <c r="X10" s="127">
        <v>1</v>
      </c>
      <c r="Y10" s="127">
        <v>1</v>
      </c>
      <c r="Z10" s="127">
        <v>1</v>
      </c>
      <c r="AA10" s="127">
        <v>1</v>
      </c>
      <c r="AB10" s="127">
        <v>1</v>
      </c>
      <c r="AC10" s="127">
        <v>1</v>
      </c>
      <c r="AD10" s="127">
        <v>1</v>
      </c>
      <c r="AE10" s="127">
        <v>1</v>
      </c>
      <c r="AF10" s="127">
        <v>1</v>
      </c>
      <c r="AG10" s="127">
        <v>1</v>
      </c>
      <c r="AH10" s="127">
        <v>1</v>
      </c>
      <c r="AI10" s="127">
        <v>1</v>
      </c>
      <c r="AJ10" s="127">
        <v>1</v>
      </c>
      <c r="AK10" s="127">
        <v>1</v>
      </c>
      <c r="AL10" s="127">
        <v>1</v>
      </c>
      <c r="AM10" s="127">
        <v>1</v>
      </c>
      <c r="AN10" s="127">
        <v>1</v>
      </c>
      <c r="AO10" s="127">
        <v>1</v>
      </c>
      <c r="AP10" s="127">
        <v>1</v>
      </c>
      <c r="AQ10" s="127">
        <v>1</v>
      </c>
      <c r="AR10" s="127">
        <v>1</v>
      </c>
      <c r="AS10" s="127">
        <v>1</v>
      </c>
      <c r="AT10" s="127">
        <v>1</v>
      </c>
      <c r="AU10" s="127">
        <v>1</v>
      </c>
      <c r="AV10" s="127">
        <v>1</v>
      </c>
      <c r="AW10" s="127">
        <v>1</v>
      </c>
      <c r="AX10" s="127">
        <v>1</v>
      </c>
      <c r="AY10" s="127">
        <v>1</v>
      </c>
      <c r="AZ10" s="127">
        <v>1</v>
      </c>
      <c r="BA10" s="127">
        <v>1</v>
      </c>
      <c r="BB10" s="127">
        <v>1</v>
      </c>
      <c r="BC10" s="127">
        <v>1</v>
      </c>
      <c r="BD10" s="127">
        <v>1</v>
      </c>
      <c r="BE10" s="127">
        <v>1</v>
      </c>
      <c r="BF10" s="127">
        <v>1</v>
      </c>
      <c r="BG10" s="127">
        <v>1</v>
      </c>
      <c r="BH10" s="127">
        <v>1</v>
      </c>
      <c r="BI10" s="127">
        <v>1</v>
      </c>
      <c r="BJ10" s="127">
        <v>1</v>
      </c>
      <c r="BK10" s="127">
        <v>1</v>
      </c>
      <c r="BL10" s="127">
        <v>1</v>
      </c>
      <c r="BM10" s="127">
        <v>1</v>
      </c>
      <c r="BN10" s="127">
        <v>1</v>
      </c>
      <c r="BO10" s="127">
        <v>1</v>
      </c>
      <c r="BP10" s="127">
        <v>1</v>
      </c>
      <c r="BQ10" s="127">
        <v>1</v>
      </c>
      <c r="BR10" s="163">
        <v>1</v>
      </c>
      <c r="BS10" s="163">
        <v>1</v>
      </c>
      <c r="BT10" s="163">
        <v>1</v>
      </c>
      <c r="BU10" s="163">
        <v>1</v>
      </c>
      <c r="BV10" s="163">
        <v>1</v>
      </c>
      <c r="BW10" s="163">
        <v>1</v>
      </c>
      <c r="BX10" s="163">
        <v>1</v>
      </c>
      <c r="BY10" s="163">
        <v>1</v>
      </c>
      <c r="BZ10" s="163">
        <v>1</v>
      </c>
      <c r="CA10" s="163">
        <v>1</v>
      </c>
      <c r="CB10" s="163">
        <v>1</v>
      </c>
      <c r="CC10" s="163">
        <v>1</v>
      </c>
      <c r="CD10" s="163">
        <v>1</v>
      </c>
      <c r="CE10" s="163">
        <v>1</v>
      </c>
      <c r="CF10" s="163">
        <v>1</v>
      </c>
      <c r="CG10" s="163">
        <v>1</v>
      </c>
      <c r="CH10" s="163">
        <v>1</v>
      </c>
      <c r="CI10" s="163">
        <v>1</v>
      </c>
      <c r="CJ10" s="163">
        <v>1</v>
      </c>
      <c r="CK10" s="163">
        <v>1</v>
      </c>
      <c r="CL10" s="163">
        <v>1</v>
      </c>
      <c r="CM10" s="163">
        <v>1</v>
      </c>
      <c r="CN10" s="163">
        <v>1</v>
      </c>
      <c r="CO10" s="163">
        <v>1</v>
      </c>
      <c r="CP10" s="163">
        <v>1</v>
      </c>
      <c r="CQ10" s="163">
        <v>1</v>
      </c>
      <c r="CR10" s="163">
        <v>1</v>
      </c>
      <c r="CS10" s="163">
        <v>1</v>
      </c>
      <c r="CT10" s="163">
        <v>1</v>
      </c>
      <c r="CU10" s="163">
        <v>1</v>
      </c>
      <c r="CV10" s="163">
        <v>1</v>
      </c>
      <c r="CW10" s="163">
        <v>1</v>
      </c>
      <c r="CX10" s="163">
        <v>1</v>
      </c>
      <c r="CY10" s="163">
        <v>1</v>
      </c>
      <c r="CZ10" s="163">
        <v>1</v>
      </c>
      <c r="DA10" s="163">
        <v>1</v>
      </c>
      <c r="DB10" s="163">
        <v>1</v>
      </c>
      <c r="DC10" s="163">
        <v>1</v>
      </c>
      <c r="DD10" s="163">
        <v>1</v>
      </c>
      <c r="DE10" s="163">
        <v>1</v>
      </c>
      <c r="DF10" s="163">
        <v>1</v>
      </c>
      <c r="DG10" s="163">
        <v>1</v>
      </c>
      <c r="DH10" s="347">
        <v>1</v>
      </c>
      <c r="DI10" s="163">
        <v>1</v>
      </c>
      <c r="DJ10" s="163">
        <v>1</v>
      </c>
      <c r="DK10" s="163">
        <v>1</v>
      </c>
      <c r="DL10" s="163">
        <v>1</v>
      </c>
      <c r="DM10" s="163">
        <v>1</v>
      </c>
      <c r="DN10" s="163">
        <v>1</v>
      </c>
      <c r="DO10" s="163">
        <v>1</v>
      </c>
      <c r="DP10" s="163">
        <v>1</v>
      </c>
      <c r="DQ10" s="163">
        <v>1</v>
      </c>
      <c r="DR10" s="163">
        <v>1</v>
      </c>
      <c r="DS10" s="163">
        <v>1</v>
      </c>
      <c r="DT10" s="163">
        <v>1</v>
      </c>
      <c r="DU10" s="163">
        <v>1</v>
      </c>
      <c r="DV10" s="163">
        <v>1</v>
      </c>
      <c r="DW10" s="163">
        <v>1</v>
      </c>
      <c r="DX10" s="163">
        <v>1</v>
      </c>
      <c r="DY10" s="163">
        <v>1</v>
      </c>
      <c r="DZ10" s="163">
        <v>1</v>
      </c>
      <c r="EA10" s="163">
        <v>1</v>
      </c>
      <c r="EB10" s="163">
        <v>1</v>
      </c>
      <c r="EC10" s="163">
        <v>1</v>
      </c>
      <c r="ED10" s="163">
        <v>1</v>
      </c>
      <c r="EE10" s="163">
        <v>1</v>
      </c>
      <c r="EF10" s="163">
        <v>1</v>
      </c>
      <c r="EG10" s="163">
        <v>1</v>
      </c>
      <c r="EH10" s="163">
        <v>1</v>
      </c>
      <c r="EI10" s="163">
        <v>1</v>
      </c>
      <c r="EJ10" s="163">
        <v>1</v>
      </c>
      <c r="EK10" s="163">
        <v>1</v>
      </c>
      <c r="EL10" s="163">
        <v>1</v>
      </c>
    </row>
    <row r="11" spans="2:142" hidden="1" outlineLevel="2" x14ac:dyDescent="0.3">
      <c r="B11" s="29"/>
      <c r="C11" s="30"/>
      <c r="D11" s="30"/>
      <c r="E11" s="52" t="s">
        <v>17</v>
      </c>
      <c r="F11" s="33">
        <v>22</v>
      </c>
      <c r="G11" s="162">
        <v>45474</v>
      </c>
      <c r="H11" s="162">
        <v>45505</v>
      </c>
      <c r="I11" s="33">
        <f>+F11</f>
        <v>22</v>
      </c>
      <c r="J11" s="35">
        <v>0.25287356321839083</v>
      </c>
      <c r="K11" s="53"/>
      <c r="L11" s="127">
        <v>0</v>
      </c>
      <c r="M11" s="127">
        <v>0.2</v>
      </c>
      <c r="N11" s="127">
        <v>0.4</v>
      </c>
      <c r="O11" s="127">
        <v>0.6</v>
      </c>
      <c r="P11" s="127">
        <v>0.8</v>
      </c>
      <c r="Q11" s="127">
        <v>1</v>
      </c>
      <c r="R11" s="127">
        <v>1</v>
      </c>
      <c r="S11" s="127">
        <v>1</v>
      </c>
      <c r="T11" s="127">
        <v>1</v>
      </c>
      <c r="U11" s="127">
        <v>1</v>
      </c>
      <c r="V11" s="127">
        <v>1</v>
      </c>
      <c r="W11" s="127">
        <v>1</v>
      </c>
      <c r="X11" s="127">
        <v>1</v>
      </c>
      <c r="Y11" s="127">
        <v>1</v>
      </c>
      <c r="Z11" s="127">
        <v>1</v>
      </c>
      <c r="AA11" s="127">
        <v>1</v>
      </c>
      <c r="AB11" s="127">
        <v>1</v>
      </c>
      <c r="AC11" s="127">
        <v>1</v>
      </c>
      <c r="AD11" s="127">
        <v>1</v>
      </c>
      <c r="AE11" s="127">
        <v>1</v>
      </c>
      <c r="AF11" s="127">
        <v>1</v>
      </c>
      <c r="AG11" s="127">
        <v>1</v>
      </c>
      <c r="AH11" s="127">
        <v>1</v>
      </c>
      <c r="AI11" s="127">
        <v>1</v>
      </c>
      <c r="AJ11" s="127">
        <v>1</v>
      </c>
      <c r="AK11" s="127">
        <v>1</v>
      </c>
      <c r="AL11" s="127">
        <v>1</v>
      </c>
      <c r="AM11" s="127">
        <v>1</v>
      </c>
      <c r="AN11" s="127">
        <v>1</v>
      </c>
      <c r="AO11" s="127">
        <v>1</v>
      </c>
      <c r="AP11" s="127">
        <v>1</v>
      </c>
      <c r="AQ11" s="127">
        <v>1</v>
      </c>
      <c r="AR11" s="127">
        <v>1</v>
      </c>
      <c r="AS11" s="127">
        <v>1</v>
      </c>
      <c r="AT11" s="127">
        <v>1</v>
      </c>
      <c r="AU11" s="127">
        <v>1</v>
      </c>
      <c r="AV11" s="127">
        <v>1</v>
      </c>
      <c r="AW11" s="127">
        <v>1</v>
      </c>
      <c r="AX11" s="127">
        <v>1</v>
      </c>
      <c r="AY11" s="127">
        <v>1</v>
      </c>
      <c r="AZ11" s="127">
        <v>1</v>
      </c>
      <c r="BA11" s="127">
        <v>1</v>
      </c>
      <c r="BB11" s="127">
        <v>1</v>
      </c>
      <c r="BC11" s="127">
        <v>1</v>
      </c>
      <c r="BD11" s="127">
        <v>1</v>
      </c>
      <c r="BE11" s="127">
        <v>1</v>
      </c>
      <c r="BF11" s="127">
        <v>1</v>
      </c>
      <c r="BG11" s="127">
        <v>1</v>
      </c>
      <c r="BH11" s="127">
        <v>1</v>
      </c>
      <c r="BI11" s="127">
        <v>1</v>
      </c>
      <c r="BJ11" s="127">
        <v>1</v>
      </c>
      <c r="BK11" s="127">
        <v>1</v>
      </c>
      <c r="BL11" s="127">
        <v>1</v>
      </c>
      <c r="BM11" s="127">
        <v>1</v>
      </c>
      <c r="BN11" s="127">
        <v>1</v>
      </c>
      <c r="BO11" s="127">
        <v>1</v>
      </c>
      <c r="BP11" s="127">
        <v>1</v>
      </c>
      <c r="BQ11" s="127">
        <v>1</v>
      </c>
      <c r="BR11" s="163">
        <v>1</v>
      </c>
      <c r="BS11" s="163">
        <v>1</v>
      </c>
      <c r="BT11" s="163">
        <v>1</v>
      </c>
      <c r="BU11" s="163">
        <v>1</v>
      </c>
      <c r="BV11" s="163">
        <v>1</v>
      </c>
      <c r="BW11" s="163">
        <v>1</v>
      </c>
      <c r="BX11" s="163">
        <v>1</v>
      </c>
      <c r="BY11" s="163">
        <v>1</v>
      </c>
      <c r="BZ11" s="163">
        <v>1</v>
      </c>
      <c r="CA11" s="163">
        <v>1</v>
      </c>
      <c r="CB11" s="163">
        <v>1</v>
      </c>
      <c r="CC11" s="163">
        <v>1</v>
      </c>
      <c r="CD11" s="163">
        <v>1</v>
      </c>
      <c r="CE11" s="163">
        <v>1</v>
      </c>
      <c r="CF11" s="163">
        <v>1</v>
      </c>
      <c r="CG11" s="163">
        <v>1</v>
      </c>
      <c r="CH11" s="163">
        <v>1</v>
      </c>
      <c r="CI11" s="163">
        <v>1</v>
      </c>
      <c r="CJ11" s="163">
        <v>1</v>
      </c>
      <c r="CK11" s="163">
        <v>1</v>
      </c>
      <c r="CL11" s="163">
        <v>1</v>
      </c>
      <c r="CM11" s="163">
        <v>1</v>
      </c>
      <c r="CN11" s="163">
        <v>1</v>
      </c>
      <c r="CO11" s="163">
        <v>1</v>
      </c>
      <c r="CP11" s="163">
        <v>1</v>
      </c>
      <c r="CQ11" s="163">
        <v>1</v>
      </c>
      <c r="CR11" s="163">
        <v>1</v>
      </c>
      <c r="CS11" s="163">
        <v>1</v>
      </c>
      <c r="CT11" s="163">
        <v>1</v>
      </c>
      <c r="CU11" s="163">
        <v>1</v>
      </c>
      <c r="CV11" s="163">
        <v>1</v>
      </c>
      <c r="CW11" s="163">
        <v>1</v>
      </c>
      <c r="CX11" s="163">
        <v>1</v>
      </c>
      <c r="CY11" s="163">
        <v>1</v>
      </c>
      <c r="CZ11" s="163">
        <v>1</v>
      </c>
      <c r="DA11" s="163">
        <v>1</v>
      </c>
      <c r="DB11" s="163">
        <v>1</v>
      </c>
      <c r="DC11" s="163">
        <v>1</v>
      </c>
      <c r="DD11" s="163">
        <v>1</v>
      </c>
      <c r="DE11" s="163">
        <v>1</v>
      </c>
      <c r="DF11" s="163">
        <v>1</v>
      </c>
      <c r="DG11" s="163">
        <v>1</v>
      </c>
      <c r="DH11" s="347">
        <v>1</v>
      </c>
      <c r="DI11" s="163">
        <v>1</v>
      </c>
      <c r="DJ11" s="163">
        <v>1</v>
      </c>
      <c r="DK11" s="163">
        <v>1</v>
      </c>
      <c r="DL11" s="163">
        <v>1</v>
      </c>
      <c r="DM11" s="163">
        <v>1</v>
      </c>
      <c r="DN11" s="163">
        <v>1</v>
      </c>
      <c r="DO11" s="163">
        <v>1</v>
      </c>
      <c r="DP11" s="163">
        <v>1</v>
      </c>
      <c r="DQ11" s="163">
        <v>1</v>
      </c>
      <c r="DR11" s="163">
        <v>1</v>
      </c>
      <c r="DS11" s="163">
        <v>1</v>
      </c>
      <c r="DT11" s="163">
        <v>1</v>
      </c>
      <c r="DU11" s="163">
        <v>1</v>
      </c>
      <c r="DV11" s="163">
        <v>1</v>
      </c>
      <c r="DW11" s="163">
        <v>1</v>
      </c>
      <c r="DX11" s="163">
        <v>1</v>
      </c>
      <c r="DY11" s="163">
        <v>1</v>
      </c>
      <c r="DZ11" s="163">
        <v>1</v>
      </c>
      <c r="EA11" s="163">
        <v>1</v>
      </c>
      <c r="EB11" s="163">
        <v>1</v>
      </c>
      <c r="EC11" s="163">
        <v>1</v>
      </c>
      <c r="ED11" s="163">
        <v>1</v>
      </c>
      <c r="EE11" s="163">
        <v>1</v>
      </c>
      <c r="EF11" s="163">
        <v>1</v>
      </c>
      <c r="EG11" s="163">
        <v>1</v>
      </c>
      <c r="EH11" s="163">
        <v>1</v>
      </c>
      <c r="EI11" s="163">
        <v>1</v>
      </c>
      <c r="EJ11" s="163">
        <v>1</v>
      </c>
      <c r="EK11" s="163">
        <v>1</v>
      </c>
      <c r="EL11" s="163">
        <v>1</v>
      </c>
    </row>
    <row r="12" spans="2:142" hidden="1" outlineLevel="2" x14ac:dyDescent="0.3">
      <c r="B12" s="29"/>
      <c r="C12" s="30"/>
      <c r="D12" s="30"/>
      <c r="E12" s="52" t="s">
        <v>18</v>
      </c>
      <c r="F12" s="33">
        <v>40</v>
      </c>
      <c r="G12" s="162">
        <v>45482</v>
      </c>
      <c r="H12" s="162">
        <v>45538</v>
      </c>
      <c r="I12" s="33">
        <f>+F12</f>
        <v>40</v>
      </c>
      <c r="J12" s="35">
        <v>0.45977011494252873</v>
      </c>
      <c r="K12" s="53"/>
      <c r="L12" s="127">
        <v>0</v>
      </c>
      <c r="M12" s="127">
        <v>0.05</v>
      </c>
      <c r="N12" s="127">
        <v>0.2</v>
      </c>
      <c r="O12" s="127">
        <v>0.3</v>
      </c>
      <c r="P12" s="127">
        <v>0.5</v>
      </c>
      <c r="Q12" s="127">
        <v>0.6</v>
      </c>
      <c r="R12" s="127">
        <v>1</v>
      </c>
      <c r="S12" s="127">
        <v>1</v>
      </c>
      <c r="T12" s="127">
        <v>1</v>
      </c>
      <c r="U12" s="127">
        <v>1</v>
      </c>
      <c r="V12" s="127">
        <v>1</v>
      </c>
      <c r="W12" s="127">
        <v>1</v>
      </c>
      <c r="X12" s="127">
        <v>1</v>
      </c>
      <c r="Y12" s="127">
        <v>1</v>
      </c>
      <c r="Z12" s="127">
        <v>1</v>
      </c>
      <c r="AA12" s="127">
        <v>1</v>
      </c>
      <c r="AB12" s="127">
        <v>1</v>
      </c>
      <c r="AC12" s="127">
        <v>1</v>
      </c>
      <c r="AD12" s="127">
        <v>1</v>
      </c>
      <c r="AE12" s="127">
        <v>1</v>
      </c>
      <c r="AF12" s="127">
        <v>1</v>
      </c>
      <c r="AG12" s="127">
        <v>1</v>
      </c>
      <c r="AH12" s="127">
        <v>1</v>
      </c>
      <c r="AI12" s="127">
        <v>1</v>
      </c>
      <c r="AJ12" s="127">
        <v>1</v>
      </c>
      <c r="AK12" s="127">
        <v>1</v>
      </c>
      <c r="AL12" s="127">
        <v>1</v>
      </c>
      <c r="AM12" s="127">
        <v>1</v>
      </c>
      <c r="AN12" s="127">
        <v>1</v>
      </c>
      <c r="AO12" s="127">
        <v>1</v>
      </c>
      <c r="AP12" s="127">
        <v>1</v>
      </c>
      <c r="AQ12" s="127">
        <v>1</v>
      </c>
      <c r="AR12" s="127">
        <v>1</v>
      </c>
      <c r="AS12" s="127">
        <v>1</v>
      </c>
      <c r="AT12" s="127">
        <v>1</v>
      </c>
      <c r="AU12" s="127">
        <v>1</v>
      </c>
      <c r="AV12" s="127">
        <v>1</v>
      </c>
      <c r="AW12" s="127">
        <v>1</v>
      </c>
      <c r="AX12" s="127">
        <v>1</v>
      </c>
      <c r="AY12" s="127">
        <v>1</v>
      </c>
      <c r="AZ12" s="127">
        <v>1</v>
      </c>
      <c r="BA12" s="127">
        <v>1</v>
      </c>
      <c r="BB12" s="127">
        <v>1</v>
      </c>
      <c r="BC12" s="127">
        <v>1</v>
      </c>
      <c r="BD12" s="127">
        <v>1</v>
      </c>
      <c r="BE12" s="127">
        <v>1</v>
      </c>
      <c r="BF12" s="127">
        <v>1</v>
      </c>
      <c r="BG12" s="127">
        <v>1</v>
      </c>
      <c r="BH12" s="127">
        <v>1</v>
      </c>
      <c r="BI12" s="127">
        <v>1</v>
      </c>
      <c r="BJ12" s="127">
        <v>1</v>
      </c>
      <c r="BK12" s="127">
        <v>1</v>
      </c>
      <c r="BL12" s="127">
        <v>1</v>
      </c>
      <c r="BM12" s="127">
        <v>1</v>
      </c>
      <c r="BN12" s="127">
        <v>1</v>
      </c>
      <c r="BO12" s="127">
        <v>1</v>
      </c>
      <c r="BP12" s="127">
        <v>1</v>
      </c>
      <c r="BQ12" s="127">
        <v>1</v>
      </c>
      <c r="BR12" s="163">
        <v>1</v>
      </c>
      <c r="BS12" s="163">
        <v>1</v>
      </c>
      <c r="BT12" s="163">
        <v>1</v>
      </c>
      <c r="BU12" s="163">
        <v>1</v>
      </c>
      <c r="BV12" s="163">
        <v>1</v>
      </c>
      <c r="BW12" s="163">
        <v>1</v>
      </c>
      <c r="BX12" s="163">
        <v>1</v>
      </c>
      <c r="BY12" s="163">
        <v>1</v>
      </c>
      <c r="BZ12" s="163">
        <v>1</v>
      </c>
      <c r="CA12" s="163">
        <v>1</v>
      </c>
      <c r="CB12" s="163">
        <v>1</v>
      </c>
      <c r="CC12" s="163">
        <v>1</v>
      </c>
      <c r="CD12" s="163">
        <v>1</v>
      </c>
      <c r="CE12" s="163">
        <v>1</v>
      </c>
      <c r="CF12" s="163">
        <v>1</v>
      </c>
      <c r="CG12" s="163">
        <v>1</v>
      </c>
      <c r="CH12" s="163">
        <v>1</v>
      </c>
      <c r="CI12" s="163">
        <v>1</v>
      </c>
      <c r="CJ12" s="163">
        <v>1</v>
      </c>
      <c r="CK12" s="163">
        <v>1</v>
      </c>
      <c r="CL12" s="163">
        <v>1</v>
      </c>
      <c r="CM12" s="163">
        <v>1</v>
      </c>
      <c r="CN12" s="163">
        <v>1</v>
      </c>
      <c r="CO12" s="163">
        <v>1</v>
      </c>
      <c r="CP12" s="163">
        <v>1</v>
      </c>
      <c r="CQ12" s="163">
        <v>1</v>
      </c>
      <c r="CR12" s="163">
        <v>1</v>
      </c>
      <c r="CS12" s="163">
        <v>1</v>
      </c>
      <c r="CT12" s="163">
        <v>1</v>
      </c>
      <c r="CU12" s="163">
        <v>1</v>
      </c>
      <c r="CV12" s="163">
        <v>1</v>
      </c>
      <c r="CW12" s="163">
        <v>1</v>
      </c>
      <c r="CX12" s="163">
        <v>1</v>
      </c>
      <c r="CY12" s="163">
        <v>1</v>
      </c>
      <c r="CZ12" s="163">
        <v>1</v>
      </c>
      <c r="DA12" s="163">
        <v>1</v>
      </c>
      <c r="DB12" s="163">
        <v>1</v>
      </c>
      <c r="DC12" s="163">
        <v>1</v>
      </c>
      <c r="DD12" s="163">
        <v>1</v>
      </c>
      <c r="DE12" s="163">
        <v>1</v>
      </c>
      <c r="DF12" s="163">
        <v>1</v>
      </c>
      <c r="DG12" s="163">
        <v>1</v>
      </c>
      <c r="DH12" s="347">
        <v>1</v>
      </c>
      <c r="DI12" s="163">
        <v>1</v>
      </c>
      <c r="DJ12" s="163">
        <v>1</v>
      </c>
      <c r="DK12" s="163">
        <v>1</v>
      </c>
      <c r="DL12" s="163">
        <v>1</v>
      </c>
      <c r="DM12" s="163">
        <v>1</v>
      </c>
      <c r="DN12" s="163">
        <v>1</v>
      </c>
      <c r="DO12" s="163">
        <v>1</v>
      </c>
      <c r="DP12" s="163">
        <v>1</v>
      </c>
      <c r="DQ12" s="163">
        <v>1</v>
      </c>
      <c r="DR12" s="163">
        <v>1</v>
      </c>
      <c r="DS12" s="163">
        <v>1</v>
      </c>
      <c r="DT12" s="163">
        <v>1</v>
      </c>
      <c r="DU12" s="163">
        <v>1</v>
      </c>
      <c r="DV12" s="163">
        <v>1</v>
      </c>
      <c r="DW12" s="163">
        <v>1</v>
      </c>
      <c r="DX12" s="163">
        <v>1</v>
      </c>
      <c r="DY12" s="163">
        <v>1</v>
      </c>
      <c r="DZ12" s="163">
        <v>1</v>
      </c>
      <c r="EA12" s="163">
        <v>1</v>
      </c>
      <c r="EB12" s="163">
        <v>1</v>
      </c>
      <c r="EC12" s="163">
        <v>1</v>
      </c>
      <c r="ED12" s="163">
        <v>1</v>
      </c>
      <c r="EE12" s="163">
        <v>1</v>
      </c>
      <c r="EF12" s="163">
        <v>1</v>
      </c>
      <c r="EG12" s="163">
        <v>1</v>
      </c>
      <c r="EH12" s="163">
        <v>1</v>
      </c>
      <c r="EI12" s="163">
        <v>1</v>
      </c>
      <c r="EJ12" s="163">
        <v>1</v>
      </c>
      <c r="EK12" s="163">
        <v>1</v>
      </c>
      <c r="EL12" s="163">
        <v>1</v>
      </c>
    </row>
    <row r="13" spans="2:142" ht="16.8" collapsed="1" x14ac:dyDescent="0.3">
      <c r="B13" s="15"/>
      <c r="C13" s="16" t="s">
        <v>19</v>
      </c>
      <c r="D13" s="16"/>
      <c r="E13" s="48"/>
      <c r="F13" s="19">
        <v>217</v>
      </c>
      <c r="G13" s="158">
        <v>45489</v>
      </c>
      <c r="H13" s="158">
        <v>45828</v>
      </c>
      <c r="I13" s="19">
        <f>+I14+I17+I24+I26+I34+I38+I41+I43+I48+I58+I72+I74</f>
        <v>1775</v>
      </c>
      <c r="J13" s="21">
        <v>0.77282549416377599</v>
      </c>
      <c r="K13" s="49"/>
      <c r="L13" s="21">
        <f t="shared" ref="L13:BR13" si="77">+L14*$J$14+L17*$J$17+L24*$J$24+L26*$J$26+L34*$J$34+L38*$J$38+L41*$J$41+L43*$J$43+L48*$J$48+L58*$J$58+L72*$J$72+L74*$J$74</f>
        <v>0</v>
      </c>
      <c r="M13" s="21">
        <f t="shared" si="77"/>
        <v>5.3986962477996139E-4</v>
      </c>
      <c r="N13" s="21">
        <f t="shared" si="77"/>
        <v>1.0914668926610568E-3</v>
      </c>
      <c r="O13" s="21">
        <f t="shared" si="77"/>
        <v>2.5762419941652188E-3</v>
      </c>
      <c r="P13" s="21">
        <f t="shared" si="77"/>
        <v>4.0823564205607664E-3</v>
      </c>
      <c r="Q13" s="21">
        <f t="shared" si="77"/>
        <v>5.3810507023992239E-3</v>
      </c>
      <c r="R13" s="21">
        <f t="shared" si="77"/>
        <v>2.1646270550170994E-2</v>
      </c>
      <c r="S13" s="21">
        <f t="shared" si="77"/>
        <v>4.6910127539881469E-2</v>
      </c>
      <c r="T13" s="21">
        <f t="shared" si="77"/>
        <v>8.1176780469240692E-2</v>
      </c>
      <c r="U13" s="21">
        <f t="shared" si="77"/>
        <v>9.9084351568841877E-2</v>
      </c>
      <c r="V13" s="21">
        <f t="shared" si="77"/>
        <v>0.14595810273815393</v>
      </c>
      <c r="W13" s="21">
        <f t="shared" si="77"/>
        <v>0.15184483208704802</v>
      </c>
      <c r="X13" s="21">
        <f t="shared" si="77"/>
        <v>0.17747798110847807</v>
      </c>
      <c r="Y13" s="21">
        <f t="shared" si="77"/>
        <v>0.19525694282220687</v>
      </c>
      <c r="Z13" s="21">
        <f t="shared" si="77"/>
        <v>0.20552526791357717</v>
      </c>
      <c r="AA13" s="21">
        <f t="shared" si="77"/>
        <v>0.21810966328090151</v>
      </c>
      <c r="AB13" s="21">
        <f t="shared" si="77"/>
        <v>0.24881461678397965</v>
      </c>
      <c r="AC13" s="21">
        <f t="shared" si="77"/>
        <v>0.28748286374451876</v>
      </c>
      <c r="AD13" s="21">
        <f t="shared" si="77"/>
        <v>0.32452651571883234</v>
      </c>
      <c r="AE13" s="21">
        <f t="shared" si="77"/>
        <v>0.34628853894604605</v>
      </c>
      <c r="AF13" s="21">
        <f t="shared" si="77"/>
        <v>0.37695697719304799</v>
      </c>
      <c r="AG13" s="21">
        <f t="shared" si="77"/>
        <v>0.39633601580674849</v>
      </c>
      <c r="AH13" s="21">
        <f t="shared" si="77"/>
        <v>0.42373299725857255</v>
      </c>
      <c r="AI13" s="21">
        <f t="shared" si="77"/>
        <v>0.43918860721210362</v>
      </c>
      <c r="AJ13" s="21">
        <f t="shared" si="77"/>
        <v>0.46438523117898528</v>
      </c>
      <c r="AK13" s="21">
        <f t="shared" si="77"/>
        <v>0.47183938519262214</v>
      </c>
      <c r="AL13" s="21">
        <f t="shared" si="77"/>
        <v>0.47183938519262214</v>
      </c>
      <c r="AM13" s="21">
        <f t="shared" si="77"/>
        <v>0.47183938519262214</v>
      </c>
      <c r="AN13" s="21">
        <f t="shared" si="77"/>
        <v>0.47746679346783022</v>
      </c>
      <c r="AO13" s="21">
        <f t="shared" si="77"/>
        <v>0.48886881336448734</v>
      </c>
      <c r="AP13" s="21">
        <f t="shared" si="77"/>
        <v>0.49572789936005668</v>
      </c>
      <c r="AQ13" s="21">
        <f t="shared" si="77"/>
        <v>0.50288433110532116</v>
      </c>
      <c r="AR13" s="21">
        <f t="shared" si="77"/>
        <v>0.51016067605456139</v>
      </c>
      <c r="AS13" s="21">
        <f t="shared" si="77"/>
        <v>0.51734730815520857</v>
      </c>
      <c r="AT13" s="21">
        <f t="shared" si="77"/>
        <v>0.52941671776372978</v>
      </c>
      <c r="AU13" s="21">
        <f t="shared" si="77"/>
        <v>0.54523267348821669</v>
      </c>
      <c r="AV13" s="21">
        <f t="shared" si="77"/>
        <v>0.56442233127922437</v>
      </c>
      <c r="AW13" s="21">
        <f t="shared" si="77"/>
        <v>0.58361510283097118</v>
      </c>
      <c r="AX13" s="21">
        <f t="shared" si="77"/>
        <v>0.60470375111741737</v>
      </c>
      <c r="AY13" s="21">
        <f t="shared" si="77"/>
        <v>0.6254791693418088</v>
      </c>
      <c r="AZ13" s="21">
        <f t="shared" si="77"/>
        <v>0.66080171600111426</v>
      </c>
      <c r="BA13" s="21">
        <f t="shared" si="77"/>
        <v>0.6975186077577098</v>
      </c>
      <c r="BB13" s="21">
        <f t="shared" si="77"/>
        <v>0.73839496444588149</v>
      </c>
      <c r="BC13" s="21">
        <f t="shared" si="77"/>
        <v>0.77216734452591318</v>
      </c>
      <c r="BD13" s="21">
        <f t="shared" si="77"/>
        <v>0.80590340465537591</v>
      </c>
      <c r="BE13" s="21">
        <f t="shared" si="77"/>
        <v>0.83903895706728904</v>
      </c>
      <c r="BF13" s="21">
        <f t="shared" si="77"/>
        <v>0.8734642692598753</v>
      </c>
      <c r="BG13" s="21">
        <f t="shared" si="77"/>
        <v>0.903605809611425</v>
      </c>
      <c r="BH13" s="21">
        <f t="shared" si="77"/>
        <v>0.93200712827148924</v>
      </c>
      <c r="BI13" s="21">
        <f t="shared" si="77"/>
        <v>0.95907876979401896</v>
      </c>
      <c r="BJ13" s="21">
        <f t="shared" si="77"/>
        <v>0.97017387565331903</v>
      </c>
      <c r="BK13" s="21">
        <f t="shared" si="77"/>
        <v>0.97569565966955185</v>
      </c>
      <c r="BL13" s="21">
        <f t="shared" si="77"/>
        <v>0.9816580536571976</v>
      </c>
      <c r="BM13" s="21">
        <f t="shared" si="77"/>
        <v>0.98333300000000001</v>
      </c>
      <c r="BN13" s="21">
        <f t="shared" si="77"/>
        <v>0.98499950000000003</v>
      </c>
      <c r="BO13" s="21">
        <f t="shared" si="77"/>
        <v>0.98666599999999993</v>
      </c>
      <c r="BP13" s="21">
        <f t="shared" si="77"/>
        <v>0.99624999999999997</v>
      </c>
      <c r="BQ13" s="21">
        <f t="shared" si="77"/>
        <v>0.99749999999999994</v>
      </c>
      <c r="BR13" s="159">
        <f t="shared" si="77"/>
        <v>0.99875000000000003</v>
      </c>
      <c r="BS13" s="159">
        <f t="shared" ref="BS13:CL13" si="78">+BS14*$J$14+BS17*$J$17+BS24*$J$24+BS26*$J$26+BS34*$J$34+BS38*$J$38+BS41*$J$41+BS43*$J$43+BS48*$J$48+BS58*$J$58+BS72*$J$72+BS74*$J$74</f>
        <v>1</v>
      </c>
      <c r="BT13" s="159">
        <f t="shared" si="78"/>
        <v>1</v>
      </c>
      <c r="BU13" s="159">
        <f t="shared" si="78"/>
        <v>1</v>
      </c>
      <c r="BV13" s="159">
        <f t="shared" si="78"/>
        <v>1</v>
      </c>
      <c r="BW13" s="159">
        <f t="shared" si="78"/>
        <v>1</v>
      </c>
      <c r="BX13" s="159">
        <f t="shared" si="78"/>
        <v>1</v>
      </c>
      <c r="BY13" s="159">
        <f t="shared" si="78"/>
        <v>1</v>
      </c>
      <c r="BZ13" s="159">
        <f t="shared" si="78"/>
        <v>1</v>
      </c>
      <c r="CA13" s="159">
        <f t="shared" si="78"/>
        <v>1</v>
      </c>
      <c r="CB13" s="159">
        <f t="shared" si="78"/>
        <v>1</v>
      </c>
      <c r="CC13" s="159">
        <f t="shared" si="78"/>
        <v>1</v>
      </c>
      <c r="CD13" s="159">
        <f t="shared" si="78"/>
        <v>1</v>
      </c>
      <c r="CE13" s="159">
        <f t="shared" si="78"/>
        <v>1</v>
      </c>
      <c r="CF13" s="159">
        <f t="shared" si="78"/>
        <v>1</v>
      </c>
      <c r="CG13" s="159">
        <f t="shared" si="78"/>
        <v>1</v>
      </c>
      <c r="CH13" s="159">
        <f t="shared" si="78"/>
        <v>1</v>
      </c>
      <c r="CI13" s="159">
        <f t="shared" si="78"/>
        <v>1</v>
      </c>
      <c r="CJ13" s="159">
        <f t="shared" si="78"/>
        <v>1</v>
      </c>
      <c r="CK13" s="159">
        <f t="shared" si="78"/>
        <v>1</v>
      </c>
      <c r="CL13" s="159">
        <f t="shared" si="78"/>
        <v>1</v>
      </c>
      <c r="CM13" s="159">
        <f t="shared" ref="CM13:CN13" si="79">+CM14*$J$14+CM17*$J$17+CM24*$J$24+CM26*$J$26+CM34*$J$34+CM38*$J$38+CM41*$J$41+CM43*$J$43+CM48*$J$48+CM58*$J$58+CM72*$J$72+CM74*$J$74</f>
        <v>1</v>
      </c>
      <c r="CN13" s="159">
        <f t="shared" si="79"/>
        <v>1</v>
      </c>
      <c r="CO13" s="159">
        <f t="shared" ref="CO13" si="80">+CO14*$J$14+CO17*$J$17+CO24*$J$24+CO26*$J$26+CO34*$J$34+CO38*$J$38+CO41*$J$41+CO43*$J$43+CO48*$J$48+CO58*$J$58+CO72*$J$72+CO74*$J$74</f>
        <v>1</v>
      </c>
      <c r="CP13" s="159">
        <f t="shared" ref="CP13:CV13" si="81">+CP14*$J$14+CP17*$J$17+CP24*$J$24+CP26*$J$26+CP34*$J$34+CP38*$J$38+CP41*$J$41+CP43*$J$43+CP48*$J$48+CP58*$J$58+CP72*$J$72+CP74*$J$74</f>
        <v>1</v>
      </c>
      <c r="CQ13" s="159">
        <f t="shared" si="81"/>
        <v>1</v>
      </c>
      <c r="CR13" s="159">
        <f t="shared" si="81"/>
        <v>1</v>
      </c>
      <c r="CS13" s="159">
        <f t="shared" si="81"/>
        <v>1</v>
      </c>
      <c r="CT13" s="159">
        <f t="shared" si="81"/>
        <v>1</v>
      </c>
      <c r="CU13" s="159">
        <f t="shared" si="81"/>
        <v>1</v>
      </c>
      <c r="CV13" s="159">
        <f t="shared" si="81"/>
        <v>1</v>
      </c>
      <c r="CW13" s="159">
        <f t="shared" ref="CW13:CY13" si="82">+CW14*$J$14+CW17*$J$17+CW24*$J$24+CW26*$J$26+CW34*$J$34+CW38*$J$38+CW41*$J$41+CW43*$J$43+CW48*$J$48+CW58*$J$58+CW72*$J$72+CW74*$J$74</f>
        <v>1</v>
      </c>
      <c r="CX13" s="159">
        <f t="shared" si="82"/>
        <v>1</v>
      </c>
      <c r="CY13" s="159">
        <f t="shared" si="82"/>
        <v>1</v>
      </c>
      <c r="CZ13" s="159">
        <f t="shared" ref="CZ13:DA13" si="83">+CZ14*$J$14+CZ17*$J$17+CZ24*$J$24+CZ26*$J$26+CZ34*$J$34+CZ38*$J$38+CZ41*$J$41+CZ43*$J$43+CZ48*$J$48+CZ58*$J$58+CZ72*$J$72+CZ74*$J$74</f>
        <v>1</v>
      </c>
      <c r="DA13" s="159">
        <f t="shared" si="83"/>
        <v>1</v>
      </c>
      <c r="DB13" s="159">
        <f t="shared" ref="DB13:DC13" si="84">+DB14*$J$14+DB17*$J$17+DB24*$J$24+DB26*$J$26+DB34*$J$34+DB38*$J$38+DB41*$J$41+DB43*$J$43+DB48*$J$48+DB58*$J$58+DB72*$J$72+DB74*$J$74</f>
        <v>1</v>
      </c>
      <c r="DC13" s="159">
        <f t="shared" si="84"/>
        <v>1</v>
      </c>
      <c r="DD13" s="159">
        <f t="shared" ref="DD13:DE13" si="85">+DD14*$J$14+DD17*$J$17+DD24*$J$24+DD26*$J$26+DD34*$J$34+DD38*$J$38+DD41*$J$41+DD43*$J$43+DD48*$J$48+DD58*$J$58+DD72*$J$72+DD74*$J$74</f>
        <v>1</v>
      </c>
      <c r="DE13" s="159">
        <f t="shared" si="85"/>
        <v>1</v>
      </c>
      <c r="DF13" s="159">
        <f t="shared" ref="DF13:DG13" si="86">+DF14*$J$14+DF17*$J$17+DF24*$J$24+DF26*$J$26+DF34*$J$34+DF38*$J$38+DF41*$J$41+DF43*$J$43+DF48*$J$48+DF58*$J$58+DF72*$J$72+DF74*$J$74</f>
        <v>1</v>
      </c>
      <c r="DG13" s="159">
        <f t="shared" si="86"/>
        <v>1</v>
      </c>
      <c r="DH13" s="345">
        <f t="shared" ref="DH13:EL13" si="87">+DH14*$J$14+DH17*$J$17+DH24*$J$24+DH26*$J$26+DH34*$J$34+DH38*$J$38+DH41*$J$41+DH43*$J$43+DH48*$J$48+DH58*$J$58+DH72*$J$72+DH74*$J$74</f>
        <v>1</v>
      </c>
      <c r="DI13" s="159">
        <f t="shared" si="87"/>
        <v>1</v>
      </c>
      <c r="DJ13" s="159">
        <f t="shared" si="87"/>
        <v>1</v>
      </c>
      <c r="DK13" s="159">
        <f t="shared" si="87"/>
        <v>1</v>
      </c>
      <c r="DL13" s="159">
        <f t="shared" si="87"/>
        <v>1</v>
      </c>
      <c r="DM13" s="159">
        <f t="shared" si="87"/>
        <v>1</v>
      </c>
      <c r="DN13" s="159">
        <f t="shared" si="87"/>
        <v>1</v>
      </c>
      <c r="DO13" s="159">
        <f t="shared" si="87"/>
        <v>1</v>
      </c>
      <c r="DP13" s="159">
        <f t="shared" si="87"/>
        <v>1</v>
      </c>
      <c r="DQ13" s="159">
        <f t="shared" si="87"/>
        <v>1</v>
      </c>
      <c r="DR13" s="159">
        <f t="shared" si="87"/>
        <v>1</v>
      </c>
      <c r="DS13" s="159">
        <f t="shared" si="87"/>
        <v>1</v>
      </c>
      <c r="DT13" s="159">
        <f t="shared" si="87"/>
        <v>1</v>
      </c>
      <c r="DU13" s="159">
        <f t="shared" si="87"/>
        <v>1</v>
      </c>
      <c r="DV13" s="159">
        <f t="shared" si="87"/>
        <v>1</v>
      </c>
      <c r="DW13" s="159">
        <f t="shared" si="87"/>
        <v>1</v>
      </c>
      <c r="DX13" s="159">
        <f t="shared" si="87"/>
        <v>1</v>
      </c>
      <c r="DY13" s="159">
        <f t="shared" si="87"/>
        <v>1</v>
      </c>
      <c r="DZ13" s="159">
        <f t="shared" si="87"/>
        <v>1</v>
      </c>
      <c r="EA13" s="159">
        <f t="shared" si="87"/>
        <v>1</v>
      </c>
      <c r="EB13" s="159">
        <f t="shared" si="87"/>
        <v>1</v>
      </c>
      <c r="EC13" s="159">
        <f t="shared" si="87"/>
        <v>1</v>
      </c>
      <c r="ED13" s="159">
        <f t="shared" si="87"/>
        <v>1</v>
      </c>
      <c r="EE13" s="159">
        <f t="shared" si="87"/>
        <v>1</v>
      </c>
      <c r="EF13" s="159">
        <f t="shared" si="87"/>
        <v>1</v>
      </c>
      <c r="EG13" s="159">
        <f t="shared" si="87"/>
        <v>1</v>
      </c>
      <c r="EH13" s="159">
        <f t="shared" si="87"/>
        <v>1</v>
      </c>
      <c r="EI13" s="159">
        <f t="shared" si="87"/>
        <v>1</v>
      </c>
      <c r="EJ13" s="159">
        <f t="shared" si="87"/>
        <v>1</v>
      </c>
      <c r="EK13" s="159">
        <f t="shared" si="87"/>
        <v>1</v>
      </c>
      <c r="EL13" s="159">
        <f t="shared" si="87"/>
        <v>1</v>
      </c>
    </row>
    <row r="14" spans="2:142" ht="15" hidden="1" outlineLevel="1" collapsed="1" x14ac:dyDescent="0.3">
      <c r="B14" s="22"/>
      <c r="C14" s="23"/>
      <c r="D14" s="23" t="s">
        <v>13</v>
      </c>
      <c r="E14" s="50"/>
      <c r="F14" s="26">
        <v>55</v>
      </c>
      <c r="G14" s="160">
        <v>45489</v>
      </c>
      <c r="H14" s="160">
        <v>45566</v>
      </c>
      <c r="I14" s="26">
        <f>+SUM(I15:I16)</f>
        <v>75</v>
      </c>
      <c r="J14" s="28">
        <v>0.02</v>
      </c>
      <c r="K14" s="51"/>
      <c r="L14" s="28">
        <f>+SUMPRODUCT($J$15:$J$16,L15:L16)</f>
        <v>0</v>
      </c>
      <c r="M14" s="28">
        <f t="shared" ref="M14:BR14" si="88">+SUMPRODUCT($J$15:$J$16,M15:M16)</f>
        <v>2.6666666666666668E-2</v>
      </c>
      <c r="N14" s="28">
        <f t="shared" si="88"/>
        <v>5.3333333333333337E-2</v>
      </c>
      <c r="O14" s="28">
        <f t="shared" si="88"/>
        <v>0.10666666666666667</v>
      </c>
      <c r="P14" s="28">
        <f t="shared" si="88"/>
        <v>0.16</v>
      </c>
      <c r="Q14" s="28">
        <f t="shared" si="88"/>
        <v>0.21333333333333335</v>
      </c>
      <c r="R14" s="28">
        <f t="shared" si="88"/>
        <v>0.24</v>
      </c>
      <c r="S14" s="28">
        <f t="shared" si="88"/>
        <v>0.26666666666666666</v>
      </c>
      <c r="T14" s="28">
        <f t="shared" si="88"/>
        <v>0.26666666666666666</v>
      </c>
      <c r="U14" s="28">
        <f t="shared" si="88"/>
        <v>0.37666666666666665</v>
      </c>
      <c r="V14" s="28">
        <f t="shared" si="88"/>
        <v>0.38547505627554857</v>
      </c>
      <c r="W14" s="28">
        <f t="shared" si="88"/>
        <v>0.43226925434798685</v>
      </c>
      <c r="X14" s="28">
        <f t="shared" si="88"/>
        <v>0.43226925434798685</v>
      </c>
      <c r="Y14" s="28">
        <f t="shared" si="88"/>
        <v>0.53840172512088014</v>
      </c>
      <c r="Z14" s="28">
        <f t="shared" si="88"/>
        <v>0.71007801178546359</v>
      </c>
      <c r="AA14" s="28">
        <f t="shared" si="88"/>
        <v>0.76590619178134478</v>
      </c>
      <c r="AB14" s="28">
        <f t="shared" si="88"/>
        <v>0.82274736632022716</v>
      </c>
      <c r="AC14" s="28">
        <f t="shared" si="88"/>
        <v>1</v>
      </c>
      <c r="AD14" s="28">
        <f t="shared" si="88"/>
        <v>1</v>
      </c>
      <c r="AE14" s="28">
        <f t="shared" si="88"/>
        <v>1</v>
      </c>
      <c r="AF14" s="28">
        <f t="shared" si="88"/>
        <v>1</v>
      </c>
      <c r="AG14" s="28">
        <f t="shared" si="88"/>
        <v>1</v>
      </c>
      <c r="AH14" s="28">
        <f t="shared" si="88"/>
        <v>1</v>
      </c>
      <c r="AI14" s="28">
        <f t="shared" si="88"/>
        <v>1</v>
      </c>
      <c r="AJ14" s="28">
        <f t="shared" si="88"/>
        <v>1</v>
      </c>
      <c r="AK14" s="28">
        <f t="shared" si="88"/>
        <v>1</v>
      </c>
      <c r="AL14" s="28">
        <f t="shared" si="88"/>
        <v>1</v>
      </c>
      <c r="AM14" s="28">
        <f t="shared" si="88"/>
        <v>1</v>
      </c>
      <c r="AN14" s="28">
        <f t="shared" si="88"/>
        <v>1</v>
      </c>
      <c r="AO14" s="28">
        <f t="shared" si="88"/>
        <v>1</v>
      </c>
      <c r="AP14" s="28">
        <f t="shared" si="88"/>
        <v>1</v>
      </c>
      <c r="AQ14" s="28">
        <f t="shared" si="88"/>
        <v>1</v>
      </c>
      <c r="AR14" s="28">
        <f t="shared" si="88"/>
        <v>1</v>
      </c>
      <c r="AS14" s="28">
        <f t="shared" si="88"/>
        <v>1</v>
      </c>
      <c r="AT14" s="28">
        <f t="shared" si="88"/>
        <v>1</v>
      </c>
      <c r="AU14" s="28">
        <f t="shared" si="88"/>
        <v>1</v>
      </c>
      <c r="AV14" s="28">
        <f t="shared" si="88"/>
        <v>1</v>
      </c>
      <c r="AW14" s="28">
        <f t="shared" si="88"/>
        <v>1</v>
      </c>
      <c r="AX14" s="28">
        <f t="shared" si="88"/>
        <v>1</v>
      </c>
      <c r="AY14" s="28">
        <f t="shared" si="88"/>
        <v>1</v>
      </c>
      <c r="AZ14" s="28">
        <f t="shared" si="88"/>
        <v>1</v>
      </c>
      <c r="BA14" s="28">
        <f t="shared" si="88"/>
        <v>1</v>
      </c>
      <c r="BB14" s="28">
        <f t="shared" si="88"/>
        <v>1</v>
      </c>
      <c r="BC14" s="28">
        <f t="shared" si="88"/>
        <v>1</v>
      </c>
      <c r="BD14" s="28">
        <f t="shared" si="88"/>
        <v>1</v>
      </c>
      <c r="BE14" s="28">
        <f t="shared" si="88"/>
        <v>1</v>
      </c>
      <c r="BF14" s="28">
        <f t="shared" si="88"/>
        <v>1</v>
      </c>
      <c r="BG14" s="28">
        <f t="shared" si="88"/>
        <v>1</v>
      </c>
      <c r="BH14" s="28">
        <f t="shared" si="88"/>
        <v>1</v>
      </c>
      <c r="BI14" s="28">
        <f t="shared" si="88"/>
        <v>1</v>
      </c>
      <c r="BJ14" s="28">
        <f t="shared" si="88"/>
        <v>1</v>
      </c>
      <c r="BK14" s="28">
        <f t="shared" si="88"/>
        <v>1</v>
      </c>
      <c r="BL14" s="28">
        <f t="shared" si="88"/>
        <v>1</v>
      </c>
      <c r="BM14" s="28">
        <f t="shared" si="88"/>
        <v>1</v>
      </c>
      <c r="BN14" s="28">
        <f t="shared" si="88"/>
        <v>1</v>
      </c>
      <c r="BO14" s="28">
        <f t="shared" si="88"/>
        <v>1</v>
      </c>
      <c r="BP14" s="28">
        <f t="shared" si="88"/>
        <v>1</v>
      </c>
      <c r="BQ14" s="28">
        <f t="shared" si="88"/>
        <v>1</v>
      </c>
      <c r="BR14" s="161">
        <f t="shared" si="88"/>
        <v>1</v>
      </c>
      <c r="BS14" s="161">
        <f t="shared" ref="BS14:CL14" si="89">+SUMPRODUCT($J$15:$J$16,BS15:BS16)</f>
        <v>1</v>
      </c>
      <c r="BT14" s="161">
        <f t="shared" si="89"/>
        <v>1</v>
      </c>
      <c r="BU14" s="161">
        <f t="shared" si="89"/>
        <v>1</v>
      </c>
      <c r="BV14" s="161">
        <f t="shared" si="89"/>
        <v>1</v>
      </c>
      <c r="BW14" s="161">
        <f t="shared" si="89"/>
        <v>1</v>
      </c>
      <c r="BX14" s="161">
        <f t="shared" si="89"/>
        <v>1</v>
      </c>
      <c r="BY14" s="161">
        <f t="shared" si="89"/>
        <v>1</v>
      </c>
      <c r="BZ14" s="161">
        <f t="shared" si="89"/>
        <v>1</v>
      </c>
      <c r="CA14" s="161">
        <f t="shared" si="89"/>
        <v>1</v>
      </c>
      <c r="CB14" s="161">
        <f t="shared" si="89"/>
        <v>1</v>
      </c>
      <c r="CC14" s="161">
        <f t="shared" si="89"/>
        <v>1</v>
      </c>
      <c r="CD14" s="161">
        <f t="shared" si="89"/>
        <v>1</v>
      </c>
      <c r="CE14" s="161">
        <f t="shared" si="89"/>
        <v>1</v>
      </c>
      <c r="CF14" s="161">
        <f t="shared" si="89"/>
        <v>1</v>
      </c>
      <c r="CG14" s="161">
        <f t="shared" si="89"/>
        <v>1</v>
      </c>
      <c r="CH14" s="161">
        <f t="shared" si="89"/>
        <v>1</v>
      </c>
      <c r="CI14" s="161">
        <f t="shared" si="89"/>
        <v>1</v>
      </c>
      <c r="CJ14" s="161">
        <f t="shared" si="89"/>
        <v>1</v>
      </c>
      <c r="CK14" s="161">
        <f t="shared" si="89"/>
        <v>1</v>
      </c>
      <c r="CL14" s="161">
        <f t="shared" si="89"/>
        <v>1</v>
      </c>
      <c r="CM14" s="161">
        <f t="shared" ref="CM14:CN14" si="90">+SUMPRODUCT($J$15:$J$16,CM15:CM16)</f>
        <v>1</v>
      </c>
      <c r="CN14" s="161">
        <f t="shared" si="90"/>
        <v>1</v>
      </c>
      <c r="CO14" s="161">
        <f t="shared" ref="CO14" si="91">+SUMPRODUCT($J$15:$J$16,CO15:CO16)</f>
        <v>1</v>
      </c>
      <c r="CP14" s="161">
        <f t="shared" ref="CP14:CV14" si="92">+SUMPRODUCT($J$15:$J$16,CP15:CP16)</f>
        <v>1</v>
      </c>
      <c r="CQ14" s="161">
        <f t="shared" si="92"/>
        <v>1</v>
      </c>
      <c r="CR14" s="161">
        <f t="shared" si="92"/>
        <v>1</v>
      </c>
      <c r="CS14" s="161">
        <f t="shared" si="92"/>
        <v>1</v>
      </c>
      <c r="CT14" s="161">
        <f t="shared" si="92"/>
        <v>1</v>
      </c>
      <c r="CU14" s="161">
        <f t="shared" si="92"/>
        <v>1</v>
      </c>
      <c r="CV14" s="161">
        <f t="shared" si="92"/>
        <v>1</v>
      </c>
      <c r="CW14" s="161">
        <f t="shared" ref="CW14:CY14" si="93">+SUMPRODUCT($J$15:$J$16,CW15:CW16)</f>
        <v>1</v>
      </c>
      <c r="CX14" s="161">
        <f t="shared" si="93"/>
        <v>1</v>
      </c>
      <c r="CY14" s="161">
        <f t="shared" si="93"/>
        <v>1</v>
      </c>
      <c r="CZ14" s="161">
        <f t="shared" ref="CZ14:DA14" si="94">+SUMPRODUCT($J$15:$J$16,CZ15:CZ16)</f>
        <v>1</v>
      </c>
      <c r="DA14" s="161">
        <f t="shared" si="94"/>
        <v>1</v>
      </c>
      <c r="DB14" s="161">
        <f t="shared" ref="DB14:DC14" si="95">+SUMPRODUCT($J$15:$J$16,DB15:DB16)</f>
        <v>1</v>
      </c>
      <c r="DC14" s="161">
        <f t="shared" si="95"/>
        <v>1</v>
      </c>
      <c r="DD14" s="161">
        <f t="shared" ref="DD14:DE14" si="96">+SUMPRODUCT($J$15:$J$16,DD15:DD16)</f>
        <v>1</v>
      </c>
      <c r="DE14" s="161">
        <f t="shared" si="96"/>
        <v>1</v>
      </c>
      <c r="DF14" s="161">
        <f t="shared" ref="DF14:DG14" si="97">+SUMPRODUCT($J$15:$J$16,DF15:DF16)</f>
        <v>1</v>
      </c>
      <c r="DG14" s="161">
        <f t="shared" si="97"/>
        <v>1</v>
      </c>
      <c r="DH14" s="346">
        <f t="shared" ref="DH14:EL14" si="98">+SUMPRODUCT($J$15:$J$16,DH15:DH16)</f>
        <v>1</v>
      </c>
      <c r="DI14" s="161">
        <f t="shared" si="98"/>
        <v>1</v>
      </c>
      <c r="DJ14" s="161">
        <f t="shared" si="98"/>
        <v>1</v>
      </c>
      <c r="DK14" s="161">
        <f t="shared" si="98"/>
        <v>1</v>
      </c>
      <c r="DL14" s="161">
        <f t="shared" si="98"/>
        <v>1</v>
      </c>
      <c r="DM14" s="161">
        <f t="shared" si="98"/>
        <v>1</v>
      </c>
      <c r="DN14" s="161">
        <f t="shared" si="98"/>
        <v>1</v>
      </c>
      <c r="DO14" s="161">
        <f t="shared" si="98"/>
        <v>1</v>
      </c>
      <c r="DP14" s="161">
        <f t="shared" si="98"/>
        <v>1</v>
      </c>
      <c r="DQ14" s="161">
        <f t="shared" si="98"/>
        <v>1</v>
      </c>
      <c r="DR14" s="161">
        <f t="shared" si="98"/>
        <v>1</v>
      </c>
      <c r="DS14" s="161">
        <f t="shared" si="98"/>
        <v>1</v>
      </c>
      <c r="DT14" s="161">
        <f t="shared" si="98"/>
        <v>1</v>
      </c>
      <c r="DU14" s="161">
        <f t="shared" si="98"/>
        <v>1</v>
      </c>
      <c r="DV14" s="161">
        <f t="shared" si="98"/>
        <v>1</v>
      </c>
      <c r="DW14" s="161">
        <f t="shared" si="98"/>
        <v>1</v>
      </c>
      <c r="DX14" s="161">
        <f t="shared" si="98"/>
        <v>1</v>
      </c>
      <c r="DY14" s="161">
        <f t="shared" si="98"/>
        <v>1</v>
      </c>
      <c r="DZ14" s="161">
        <f t="shared" si="98"/>
        <v>1</v>
      </c>
      <c r="EA14" s="161">
        <f t="shared" si="98"/>
        <v>1</v>
      </c>
      <c r="EB14" s="161">
        <f t="shared" si="98"/>
        <v>1</v>
      </c>
      <c r="EC14" s="161">
        <f t="shared" si="98"/>
        <v>1</v>
      </c>
      <c r="ED14" s="161">
        <f t="shared" si="98"/>
        <v>1</v>
      </c>
      <c r="EE14" s="161">
        <f t="shared" si="98"/>
        <v>1</v>
      </c>
      <c r="EF14" s="161">
        <f t="shared" si="98"/>
        <v>1</v>
      </c>
      <c r="EG14" s="161">
        <f t="shared" si="98"/>
        <v>1</v>
      </c>
      <c r="EH14" s="161">
        <f t="shared" si="98"/>
        <v>1</v>
      </c>
      <c r="EI14" s="161">
        <f t="shared" si="98"/>
        <v>1</v>
      </c>
      <c r="EJ14" s="161">
        <f t="shared" si="98"/>
        <v>1</v>
      </c>
      <c r="EK14" s="161">
        <f t="shared" si="98"/>
        <v>1</v>
      </c>
      <c r="EL14" s="161">
        <f t="shared" si="98"/>
        <v>1</v>
      </c>
    </row>
    <row r="15" spans="2:142" hidden="1" outlineLevel="2" x14ac:dyDescent="0.3">
      <c r="B15" s="29"/>
      <c r="C15" s="30"/>
      <c r="D15" s="30"/>
      <c r="E15" s="52" t="s">
        <v>20</v>
      </c>
      <c r="F15" s="33">
        <v>20</v>
      </c>
      <c r="G15" s="162">
        <v>45489</v>
      </c>
      <c r="H15" s="162">
        <v>45517</v>
      </c>
      <c r="I15" s="33">
        <f>+F15</f>
        <v>20</v>
      </c>
      <c r="J15" s="35">
        <v>0.26666666666666666</v>
      </c>
      <c r="K15" s="53"/>
      <c r="L15" s="127">
        <v>0</v>
      </c>
      <c r="M15" s="127">
        <v>0.1</v>
      </c>
      <c r="N15" s="127">
        <v>0.2</v>
      </c>
      <c r="O15" s="127">
        <v>0.4</v>
      </c>
      <c r="P15" s="127">
        <v>0.6</v>
      </c>
      <c r="Q15" s="127">
        <v>0.8</v>
      </c>
      <c r="R15" s="127">
        <v>0.9</v>
      </c>
      <c r="S15" s="127">
        <v>1</v>
      </c>
      <c r="T15" s="127">
        <v>1</v>
      </c>
      <c r="U15" s="127">
        <v>1</v>
      </c>
      <c r="V15" s="127">
        <v>1</v>
      </c>
      <c r="W15" s="127">
        <v>1</v>
      </c>
      <c r="X15" s="127">
        <v>1</v>
      </c>
      <c r="Y15" s="127">
        <v>1</v>
      </c>
      <c r="Z15" s="127">
        <v>1</v>
      </c>
      <c r="AA15" s="127">
        <v>1</v>
      </c>
      <c r="AB15" s="127">
        <v>1</v>
      </c>
      <c r="AC15" s="127">
        <v>1</v>
      </c>
      <c r="AD15" s="127">
        <v>1</v>
      </c>
      <c r="AE15" s="127">
        <v>1</v>
      </c>
      <c r="AF15" s="127">
        <v>1</v>
      </c>
      <c r="AG15" s="127">
        <v>1</v>
      </c>
      <c r="AH15" s="127">
        <v>1</v>
      </c>
      <c r="AI15" s="127">
        <v>1</v>
      </c>
      <c r="AJ15" s="127">
        <v>1</v>
      </c>
      <c r="AK15" s="127">
        <v>1</v>
      </c>
      <c r="AL15" s="127">
        <v>1</v>
      </c>
      <c r="AM15" s="127">
        <v>1</v>
      </c>
      <c r="AN15" s="127">
        <v>1</v>
      </c>
      <c r="AO15" s="127">
        <v>1</v>
      </c>
      <c r="AP15" s="127">
        <v>1</v>
      </c>
      <c r="AQ15" s="127">
        <v>1</v>
      </c>
      <c r="AR15" s="127">
        <v>1</v>
      </c>
      <c r="AS15" s="127">
        <v>1</v>
      </c>
      <c r="AT15" s="127">
        <v>1</v>
      </c>
      <c r="AU15" s="127">
        <v>1</v>
      </c>
      <c r="AV15" s="127">
        <v>1</v>
      </c>
      <c r="AW15" s="127">
        <v>1</v>
      </c>
      <c r="AX15" s="127">
        <v>1</v>
      </c>
      <c r="AY15" s="127">
        <v>1</v>
      </c>
      <c r="AZ15" s="127">
        <v>1</v>
      </c>
      <c r="BA15" s="127">
        <v>1</v>
      </c>
      <c r="BB15" s="127">
        <v>1</v>
      </c>
      <c r="BC15" s="127">
        <v>1</v>
      </c>
      <c r="BD15" s="127">
        <v>1</v>
      </c>
      <c r="BE15" s="127">
        <v>1</v>
      </c>
      <c r="BF15" s="127">
        <v>1</v>
      </c>
      <c r="BG15" s="127">
        <v>1</v>
      </c>
      <c r="BH15" s="127">
        <v>1</v>
      </c>
      <c r="BI15" s="127">
        <v>1</v>
      </c>
      <c r="BJ15" s="127">
        <v>1</v>
      </c>
      <c r="BK15" s="127">
        <v>1</v>
      </c>
      <c r="BL15" s="127">
        <v>1</v>
      </c>
      <c r="BM15" s="127">
        <v>1</v>
      </c>
      <c r="BN15" s="127">
        <v>1</v>
      </c>
      <c r="BO15" s="127">
        <v>1</v>
      </c>
      <c r="BP15" s="127">
        <v>1</v>
      </c>
      <c r="BQ15" s="127">
        <v>1</v>
      </c>
      <c r="BR15" s="163">
        <v>1</v>
      </c>
      <c r="BS15" s="163">
        <v>1</v>
      </c>
      <c r="BT15" s="163">
        <v>1</v>
      </c>
      <c r="BU15" s="163">
        <v>1</v>
      </c>
      <c r="BV15" s="163">
        <v>1</v>
      </c>
      <c r="BW15" s="163">
        <v>1</v>
      </c>
      <c r="BX15" s="163">
        <v>1</v>
      </c>
      <c r="BY15" s="163">
        <v>1</v>
      </c>
      <c r="BZ15" s="163">
        <v>1</v>
      </c>
      <c r="CA15" s="163">
        <v>1</v>
      </c>
      <c r="CB15" s="163">
        <v>1</v>
      </c>
      <c r="CC15" s="163">
        <v>1</v>
      </c>
      <c r="CD15" s="163">
        <v>1</v>
      </c>
      <c r="CE15" s="163">
        <v>1</v>
      </c>
      <c r="CF15" s="163">
        <v>1</v>
      </c>
      <c r="CG15" s="163">
        <v>1</v>
      </c>
      <c r="CH15" s="163">
        <v>1</v>
      </c>
      <c r="CI15" s="163">
        <v>1</v>
      </c>
      <c r="CJ15" s="163">
        <v>1</v>
      </c>
      <c r="CK15" s="163">
        <v>1</v>
      </c>
      <c r="CL15" s="163">
        <v>1</v>
      </c>
      <c r="CM15" s="163">
        <v>1</v>
      </c>
      <c r="CN15" s="163">
        <v>1</v>
      </c>
      <c r="CO15" s="163">
        <v>1</v>
      </c>
      <c r="CP15" s="163">
        <v>1</v>
      </c>
      <c r="CQ15" s="163">
        <v>1</v>
      </c>
      <c r="CR15" s="163">
        <v>1</v>
      </c>
      <c r="CS15" s="163">
        <v>1</v>
      </c>
      <c r="CT15" s="163">
        <v>1</v>
      </c>
      <c r="CU15" s="163">
        <v>1</v>
      </c>
      <c r="CV15" s="163">
        <v>1</v>
      </c>
      <c r="CW15" s="163">
        <v>1</v>
      </c>
      <c r="CX15" s="163">
        <v>1</v>
      </c>
      <c r="CY15" s="163">
        <v>1</v>
      </c>
      <c r="CZ15" s="163">
        <v>1</v>
      </c>
      <c r="DA15" s="163">
        <v>1</v>
      </c>
      <c r="DB15" s="163">
        <v>1</v>
      </c>
      <c r="DC15" s="163">
        <v>1</v>
      </c>
      <c r="DD15" s="163">
        <v>1</v>
      </c>
      <c r="DE15" s="163">
        <v>1</v>
      </c>
      <c r="DF15" s="163">
        <v>1</v>
      </c>
      <c r="DG15" s="163">
        <v>1</v>
      </c>
      <c r="DH15" s="347">
        <v>1</v>
      </c>
      <c r="DI15" s="163">
        <v>1</v>
      </c>
      <c r="DJ15" s="163">
        <v>1</v>
      </c>
      <c r="DK15" s="163">
        <v>1</v>
      </c>
      <c r="DL15" s="163">
        <v>1</v>
      </c>
      <c r="DM15" s="163">
        <v>1</v>
      </c>
      <c r="DN15" s="163">
        <v>1</v>
      </c>
      <c r="DO15" s="163">
        <v>1</v>
      </c>
      <c r="DP15" s="163">
        <v>1</v>
      </c>
      <c r="DQ15" s="163">
        <v>1</v>
      </c>
      <c r="DR15" s="163">
        <v>1</v>
      </c>
      <c r="DS15" s="163">
        <v>1</v>
      </c>
      <c r="DT15" s="163">
        <v>1</v>
      </c>
      <c r="DU15" s="163">
        <v>1</v>
      </c>
      <c r="DV15" s="163">
        <v>1</v>
      </c>
      <c r="DW15" s="163">
        <v>1</v>
      </c>
      <c r="DX15" s="163">
        <v>1</v>
      </c>
      <c r="DY15" s="163">
        <v>1</v>
      </c>
      <c r="DZ15" s="163">
        <v>1</v>
      </c>
      <c r="EA15" s="163">
        <v>1</v>
      </c>
      <c r="EB15" s="163">
        <v>1</v>
      </c>
      <c r="EC15" s="163">
        <v>1</v>
      </c>
      <c r="ED15" s="163">
        <v>1</v>
      </c>
      <c r="EE15" s="163">
        <v>1</v>
      </c>
      <c r="EF15" s="163">
        <v>1</v>
      </c>
      <c r="EG15" s="163">
        <v>1</v>
      </c>
      <c r="EH15" s="163">
        <v>1</v>
      </c>
      <c r="EI15" s="163">
        <v>1</v>
      </c>
      <c r="EJ15" s="163">
        <v>1</v>
      </c>
      <c r="EK15" s="163">
        <v>1</v>
      </c>
      <c r="EL15" s="163">
        <v>1</v>
      </c>
    </row>
    <row r="16" spans="2:142" hidden="1" outlineLevel="2" x14ac:dyDescent="0.3">
      <c r="B16" s="29"/>
      <c r="C16" s="30"/>
      <c r="D16" s="30"/>
      <c r="E16" s="52" t="s">
        <v>21</v>
      </c>
      <c r="F16" s="33">
        <v>55</v>
      </c>
      <c r="G16" s="162">
        <v>45489</v>
      </c>
      <c r="H16" s="162">
        <v>45566</v>
      </c>
      <c r="I16" s="33">
        <f>+F16</f>
        <v>55</v>
      </c>
      <c r="J16" s="35">
        <v>0.73333333333333328</v>
      </c>
      <c r="K16" s="53"/>
      <c r="L16" s="127">
        <v>0</v>
      </c>
      <c r="M16" s="127">
        <v>0</v>
      </c>
      <c r="N16" s="127">
        <v>0</v>
      </c>
      <c r="O16" s="127">
        <v>0</v>
      </c>
      <c r="P16" s="127">
        <v>0</v>
      </c>
      <c r="Q16" s="127">
        <v>0</v>
      </c>
      <c r="R16" s="127">
        <v>0</v>
      </c>
      <c r="S16" s="127">
        <v>0</v>
      </c>
      <c r="T16" s="127">
        <v>0</v>
      </c>
      <c r="U16" s="127">
        <v>0.15</v>
      </c>
      <c r="V16" s="127">
        <v>0.16201144037574811</v>
      </c>
      <c r="W16" s="127">
        <v>0.22582171047452754</v>
      </c>
      <c r="X16" s="127">
        <v>0.22582171047452754</v>
      </c>
      <c r="Y16" s="127">
        <v>0.37054780698301837</v>
      </c>
      <c r="Z16" s="127">
        <v>0.60465183425290492</v>
      </c>
      <c r="AA16" s="127">
        <v>0.68078117061092469</v>
      </c>
      <c r="AB16" s="127">
        <v>0.75829186316394614</v>
      </c>
      <c r="AC16" s="127">
        <v>1</v>
      </c>
      <c r="AD16" s="127">
        <v>1</v>
      </c>
      <c r="AE16" s="127">
        <v>1</v>
      </c>
      <c r="AF16" s="127">
        <v>1</v>
      </c>
      <c r="AG16" s="127">
        <v>1</v>
      </c>
      <c r="AH16" s="127">
        <v>1</v>
      </c>
      <c r="AI16" s="127">
        <v>1</v>
      </c>
      <c r="AJ16" s="127">
        <v>1</v>
      </c>
      <c r="AK16" s="127">
        <v>1</v>
      </c>
      <c r="AL16" s="127">
        <v>1</v>
      </c>
      <c r="AM16" s="127">
        <v>1</v>
      </c>
      <c r="AN16" s="127">
        <v>1</v>
      </c>
      <c r="AO16" s="127">
        <v>1</v>
      </c>
      <c r="AP16" s="127">
        <v>1</v>
      </c>
      <c r="AQ16" s="127">
        <v>1</v>
      </c>
      <c r="AR16" s="127">
        <v>1</v>
      </c>
      <c r="AS16" s="127">
        <v>1</v>
      </c>
      <c r="AT16" s="127">
        <v>1</v>
      </c>
      <c r="AU16" s="127">
        <v>1</v>
      </c>
      <c r="AV16" s="127">
        <v>1</v>
      </c>
      <c r="AW16" s="127">
        <v>1</v>
      </c>
      <c r="AX16" s="127">
        <v>1</v>
      </c>
      <c r="AY16" s="127">
        <v>1</v>
      </c>
      <c r="AZ16" s="127">
        <v>1</v>
      </c>
      <c r="BA16" s="127">
        <v>1</v>
      </c>
      <c r="BB16" s="127">
        <v>1</v>
      </c>
      <c r="BC16" s="127">
        <v>1</v>
      </c>
      <c r="BD16" s="127">
        <v>1</v>
      </c>
      <c r="BE16" s="127">
        <v>1</v>
      </c>
      <c r="BF16" s="127">
        <v>1</v>
      </c>
      <c r="BG16" s="127">
        <v>1</v>
      </c>
      <c r="BH16" s="127">
        <v>1</v>
      </c>
      <c r="BI16" s="127">
        <v>1</v>
      </c>
      <c r="BJ16" s="127">
        <v>1</v>
      </c>
      <c r="BK16" s="127">
        <v>1</v>
      </c>
      <c r="BL16" s="127">
        <v>1</v>
      </c>
      <c r="BM16" s="127">
        <v>1</v>
      </c>
      <c r="BN16" s="127">
        <v>1</v>
      </c>
      <c r="BO16" s="127">
        <v>1</v>
      </c>
      <c r="BP16" s="127">
        <v>1</v>
      </c>
      <c r="BQ16" s="127">
        <v>1</v>
      </c>
      <c r="BR16" s="163">
        <v>1</v>
      </c>
      <c r="BS16" s="163">
        <v>1</v>
      </c>
      <c r="BT16" s="163">
        <v>1</v>
      </c>
      <c r="BU16" s="163">
        <v>1</v>
      </c>
      <c r="BV16" s="163">
        <v>1</v>
      </c>
      <c r="BW16" s="163">
        <v>1</v>
      </c>
      <c r="BX16" s="163">
        <v>1</v>
      </c>
      <c r="BY16" s="163">
        <v>1</v>
      </c>
      <c r="BZ16" s="163">
        <v>1</v>
      </c>
      <c r="CA16" s="163">
        <v>1</v>
      </c>
      <c r="CB16" s="163">
        <v>1</v>
      </c>
      <c r="CC16" s="163">
        <v>1</v>
      </c>
      <c r="CD16" s="163">
        <v>1</v>
      </c>
      <c r="CE16" s="163">
        <v>1</v>
      </c>
      <c r="CF16" s="163">
        <v>1</v>
      </c>
      <c r="CG16" s="163">
        <v>1</v>
      </c>
      <c r="CH16" s="163">
        <v>1</v>
      </c>
      <c r="CI16" s="163">
        <v>1</v>
      </c>
      <c r="CJ16" s="163">
        <v>1</v>
      </c>
      <c r="CK16" s="163">
        <v>1</v>
      </c>
      <c r="CL16" s="163">
        <v>1</v>
      </c>
      <c r="CM16" s="163">
        <v>1</v>
      </c>
      <c r="CN16" s="163">
        <v>1</v>
      </c>
      <c r="CO16" s="163">
        <v>1</v>
      </c>
      <c r="CP16" s="163">
        <v>1</v>
      </c>
      <c r="CQ16" s="163">
        <v>1</v>
      </c>
      <c r="CR16" s="163">
        <v>1</v>
      </c>
      <c r="CS16" s="163">
        <v>1</v>
      </c>
      <c r="CT16" s="163">
        <v>1</v>
      </c>
      <c r="CU16" s="163">
        <v>1</v>
      </c>
      <c r="CV16" s="163">
        <v>1</v>
      </c>
      <c r="CW16" s="163">
        <v>1</v>
      </c>
      <c r="CX16" s="163">
        <v>1</v>
      </c>
      <c r="CY16" s="163">
        <v>1</v>
      </c>
      <c r="CZ16" s="163">
        <v>1</v>
      </c>
      <c r="DA16" s="163">
        <v>1</v>
      </c>
      <c r="DB16" s="163">
        <v>1</v>
      </c>
      <c r="DC16" s="163">
        <v>1</v>
      </c>
      <c r="DD16" s="163">
        <v>1</v>
      </c>
      <c r="DE16" s="163">
        <v>1</v>
      </c>
      <c r="DF16" s="163">
        <v>1</v>
      </c>
      <c r="DG16" s="163">
        <v>1</v>
      </c>
      <c r="DH16" s="347">
        <v>1</v>
      </c>
      <c r="DI16" s="163">
        <v>1</v>
      </c>
      <c r="DJ16" s="163">
        <v>1</v>
      </c>
      <c r="DK16" s="163">
        <v>1</v>
      </c>
      <c r="DL16" s="163">
        <v>1</v>
      </c>
      <c r="DM16" s="163">
        <v>1</v>
      </c>
      <c r="DN16" s="163">
        <v>1</v>
      </c>
      <c r="DO16" s="163">
        <v>1</v>
      </c>
      <c r="DP16" s="163">
        <v>1</v>
      </c>
      <c r="DQ16" s="163">
        <v>1</v>
      </c>
      <c r="DR16" s="163">
        <v>1</v>
      </c>
      <c r="DS16" s="163">
        <v>1</v>
      </c>
      <c r="DT16" s="163">
        <v>1</v>
      </c>
      <c r="DU16" s="163">
        <v>1</v>
      </c>
      <c r="DV16" s="163">
        <v>1</v>
      </c>
      <c r="DW16" s="163">
        <v>1</v>
      </c>
      <c r="DX16" s="163">
        <v>1</v>
      </c>
      <c r="DY16" s="163">
        <v>1</v>
      </c>
      <c r="DZ16" s="163">
        <v>1</v>
      </c>
      <c r="EA16" s="163">
        <v>1</v>
      </c>
      <c r="EB16" s="163">
        <v>1</v>
      </c>
      <c r="EC16" s="163">
        <v>1</v>
      </c>
      <c r="ED16" s="163">
        <v>1</v>
      </c>
      <c r="EE16" s="163">
        <v>1</v>
      </c>
      <c r="EF16" s="163">
        <v>1</v>
      </c>
      <c r="EG16" s="163">
        <v>1</v>
      </c>
      <c r="EH16" s="163">
        <v>1</v>
      </c>
      <c r="EI16" s="163">
        <v>1</v>
      </c>
      <c r="EJ16" s="163">
        <v>1</v>
      </c>
      <c r="EK16" s="163">
        <v>1</v>
      </c>
      <c r="EL16" s="163">
        <v>1</v>
      </c>
    </row>
    <row r="17" spans="2:142" ht="15" hidden="1" outlineLevel="1" collapsed="1" x14ac:dyDescent="0.3">
      <c r="B17" s="22"/>
      <c r="C17" s="23"/>
      <c r="D17" s="23" t="s">
        <v>22</v>
      </c>
      <c r="E17" s="50"/>
      <c r="F17" s="26">
        <v>105</v>
      </c>
      <c r="G17" s="160">
        <v>45489</v>
      </c>
      <c r="H17" s="160">
        <v>45636</v>
      </c>
      <c r="I17" s="26">
        <f>+SUM(I18:I23)</f>
        <v>195</v>
      </c>
      <c r="J17" s="28">
        <v>0.20327658227712506</v>
      </c>
      <c r="K17" s="51"/>
      <c r="L17" s="28">
        <f>+SUMPRODUCT($J$18:$J$23,L18:L23)</f>
        <v>0</v>
      </c>
      <c r="M17" s="28">
        <f t="shared" ref="M17:BU17" si="99">+SUMPRODUCT($J$18:$J$23,M18:M23)</f>
        <v>0</v>
      </c>
      <c r="N17" s="28">
        <f t="shared" si="99"/>
        <v>0</v>
      </c>
      <c r="O17" s="28">
        <f t="shared" si="99"/>
        <v>0</v>
      </c>
      <c r="P17" s="28">
        <f t="shared" si="99"/>
        <v>0</v>
      </c>
      <c r="Q17" s="28">
        <f t="shared" si="99"/>
        <v>0</v>
      </c>
      <c r="R17" s="28">
        <f t="shared" si="99"/>
        <v>4.4497231905633518E-2</v>
      </c>
      <c r="S17" s="28">
        <f t="shared" si="99"/>
        <v>0.11434790962780973</v>
      </c>
      <c r="T17" s="28">
        <f t="shared" si="99"/>
        <v>0.16930294954238911</v>
      </c>
      <c r="U17" s="28">
        <f t="shared" si="99"/>
        <v>0.19432363425605897</v>
      </c>
      <c r="V17" s="28">
        <f t="shared" si="99"/>
        <v>0.2050076899214851</v>
      </c>
      <c r="W17" s="28">
        <f t="shared" si="99"/>
        <v>0.20747184624163564</v>
      </c>
      <c r="X17" s="28">
        <f t="shared" si="99"/>
        <v>0.26031641732596139</v>
      </c>
      <c r="Y17" s="28">
        <f t="shared" si="99"/>
        <v>0.28055341483607049</v>
      </c>
      <c r="Z17" s="28">
        <f t="shared" si="99"/>
        <v>0.28387537919455558</v>
      </c>
      <c r="AA17" s="28">
        <f t="shared" si="99"/>
        <v>0.2995897310162195</v>
      </c>
      <c r="AB17" s="28">
        <f t="shared" si="99"/>
        <v>0.31996535675693016</v>
      </c>
      <c r="AC17" s="28">
        <f t="shared" si="99"/>
        <v>0.32809737671005562</v>
      </c>
      <c r="AD17" s="28">
        <f t="shared" si="99"/>
        <v>0.33066073380050942</v>
      </c>
      <c r="AE17" s="28">
        <f t="shared" si="99"/>
        <v>0.33236672238852438</v>
      </c>
      <c r="AF17" s="28">
        <f t="shared" si="99"/>
        <v>0.42243543929767535</v>
      </c>
      <c r="AG17" s="28">
        <f t="shared" si="99"/>
        <v>0.46397093497542718</v>
      </c>
      <c r="AH17" s="28">
        <f t="shared" si="99"/>
        <v>0.51549243016182067</v>
      </c>
      <c r="AI17" s="28">
        <f t="shared" si="99"/>
        <v>0.5678199957032446</v>
      </c>
      <c r="AJ17" s="28">
        <f t="shared" si="99"/>
        <v>0.65288169685770348</v>
      </c>
      <c r="AK17" s="28">
        <f t="shared" si="99"/>
        <v>0.67493414408897245</v>
      </c>
      <c r="AL17" s="28">
        <f t="shared" si="99"/>
        <v>0.67493414408897245</v>
      </c>
      <c r="AM17" s="28">
        <f t="shared" si="99"/>
        <v>0.67493414408897245</v>
      </c>
      <c r="AN17" s="28">
        <f t="shared" si="99"/>
        <v>0.67594525195390998</v>
      </c>
      <c r="AO17" s="28">
        <f t="shared" si="99"/>
        <v>0.67594525195390998</v>
      </c>
      <c r="AP17" s="28">
        <f t="shared" si="99"/>
        <v>0.68471725195391009</v>
      </c>
      <c r="AQ17" s="28">
        <f t="shared" si="99"/>
        <v>0.69348925195391009</v>
      </c>
      <c r="AR17" s="28">
        <f t="shared" si="99"/>
        <v>0.70226125195391009</v>
      </c>
      <c r="AS17" s="28">
        <f t="shared" si="99"/>
        <v>0.71103325195391009</v>
      </c>
      <c r="AT17" s="28">
        <f t="shared" si="99"/>
        <v>0.71980525195391021</v>
      </c>
      <c r="AU17" s="28">
        <f t="shared" si="99"/>
        <v>0.72857725195391021</v>
      </c>
      <c r="AV17" s="28">
        <f t="shared" si="99"/>
        <v>0.7373492519539101</v>
      </c>
      <c r="AW17" s="28">
        <f t="shared" si="99"/>
        <v>0.7461212519539101</v>
      </c>
      <c r="AX17" s="28">
        <f t="shared" si="99"/>
        <v>0.75489325195391022</v>
      </c>
      <c r="AY17" s="28">
        <f t="shared" si="99"/>
        <v>0.76366525195391022</v>
      </c>
      <c r="AZ17" s="28">
        <f t="shared" si="99"/>
        <v>0.77539725195391029</v>
      </c>
      <c r="BA17" s="28">
        <f t="shared" si="99"/>
        <v>0.79962425195391029</v>
      </c>
      <c r="BB17" s="28">
        <f t="shared" si="99"/>
        <v>0.82385125195391029</v>
      </c>
      <c r="BC17" s="28">
        <f t="shared" si="99"/>
        <v>0.84807825195391029</v>
      </c>
      <c r="BD17" s="28">
        <f t="shared" si="99"/>
        <v>0.87230525195391029</v>
      </c>
      <c r="BE17" s="28">
        <f t="shared" si="99"/>
        <v>0.89357811079892457</v>
      </c>
      <c r="BF17" s="28">
        <f t="shared" si="99"/>
        <v>0.91243306525212309</v>
      </c>
      <c r="BG17" s="28">
        <f t="shared" si="99"/>
        <v>0.93128806525212315</v>
      </c>
      <c r="BH17" s="28">
        <f t="shared" si="99"/>
        <v>0.950143065252123</v>
      </c>
      <c r="BI17" s="28">
        <f t="shared" si="99"/>
        <v>0.96245499999999995</v>
      </c>
      <c r="BJ17" s="28">
        <f t="shared" si="99"/>
        <v>0.97494999999999998</v>
      </c>
      <c r="BK17" s="28">
        <f t="shared" si="99"/>
        <v>0.98744500000000002</v>
      </c>
      <c r="BL17" s="28">
        <f t="shared" si="99"/>
        <v>0.99994000000000005</v>
      </c>
      <c r="BM17" s="28">
        <f t="shared" si="99"/>
        <v>1</v>
      </c>
      <c r="BN17" s="28">
        <f t="shared" si="99"/>
        <v>1</v>
      </c>
      <c r="BO17" s="28">
        <f t="shared" si="99"/>
        <v>1</v>
      </c>
      <c r="BP17" s="28">
        <f t="shared" si="99"/>
        <v>1</v>
      </c>
      <c r="BQ17" s="28">
        <f t="shared" si="99"/>
        <v>1</v>
      </c>
      <c r="BR17" s="161">
        <f t="shared" si="99"/>
        <v>1</v>
      </c>
      <c r="BS17" s="161">
        <f t="shared" si="99"/>
        <v>1</v>
      </c>
      <c r="BT17" s="161">
        <f t="shared" si="99"/>
        <v>1</v>
      </c>
      <c r="BU17" s="161">
        <f t="shared" si="99"/>
        <v>1</v>
      </c>
      <c r="BV17" s="161">
        <f t="shared" ref="BV17:CL17" si="100">+SUMPRODUCT($J$18:$J$23,BV18:BV23)</f>
        <v>1</v>
      </c>
      <c r="BW17" s="161">
        <f t="shared" si="100"/>
        <v>1</v>
      </c>
      <c r="BX17" s="161">
        <f t="shared" si="100"/>
        <v>1</v>
      </c>
      <c r="BY17" s="161">
        <f t="shared" si="100"/>
        <v>1</v>
      </c>
      <c r="BZ17" s="161">
        <f t="shared" si="100"/>
        <v>1</v>
      </c>
      <c r="CA17" s="161">
        <f t="shared" si="100"/>
        <v>1</v>
      </c>
      <c r="CB17" s="161">
        <f t="shared" si="100"/>
        <v>1</v>
      </c>
      <c r="CC17" s="161">
        <f t="shared" si="100"/>
        <v>1</v>
      </c>
      <c r="CD17" s="161">
        <f t="shared" si="100"/>
        <v>1</v>
      </c>
      <c r="CE17" s="161">
        <f t="shared" si="100"/>
        <v>1</v>
      </c>
      <c r="CF17" s="161">
        <f t="shared" si="100"/>
        <v>1</v>
      </c>
      <c r="CG17" s="161">
        <f t="shared" si="100"/>
        <v>1</v>
      </c>
      <c r="CH17" s="161">
        <f t="shared" si="100"/>
        <v>1</v>
      </c>
      <c r="CI17" s="161">
        <f t="shared" si="100"/>
        <v>1</v>
      </c>
      <c r="CJ17" s="161">
        <f t="shared" si="100"/>
        <v>1</v>
      </c>
      <c r="CK17" s="161">
        <f t="shared" si="100"/>
        <v>1</v>
      </c>
      <c r="CL17" s="161">
        <f t="shared" si="100"/>
        <v>1</v>
      </c>
      <c r="CM17" s="161">
        <f t="shared" ref="CM17:CN17" si="101">+SUMPRODUCT($J$18:$J$23,CM18:CM23)</f>
        <v>1</v>
      </c>
      <c r="CN17" s="161">
        <f t="shared" si="101"/>
        <v>1</v>
      </c>
      <c r="CO17" s="161">
        <f t="shared" ref="CO17" si="102">+SUMPRODUCT($J$18:$J$23,CO18:CO23)</f>
        <v>1</v>
      </c>
      <c r="CP17" s="161">
        <f t="shared" ref="CP17:CV17" si="103">+SUMPRODUCT($J$18:$J$23,CP18:CP23)</f>
        <v>1</v>
      </c>
      <c r="CQ17" s="161">
        <f t="shared" si="103"/>
        <v>1</v>
      </c>
      <c r="CR17" s="161">
        <f t="shared" si="103"/>
        <v>1</v>
      </c>
      <c r="CS17" s="161">
        <f t="shared" si="103"/>
        <v>1</v>
      </c>
      <c r="CT17" s="161">
        <f t="shared" si="103"/>
        <v>1</v>
      </c>
      <c r="CU17" s="161">
        <f t="shared" si="103"/>
        <v>1</v>
      </c>
      <c r="CV17" s="161">
        <f t="shared" si="103"/>
        <v>1</v>
      </c>
      <c r="CW17" s="161">
        <f t="shared" ref="CW17:CY17" si="104">+SUMPRODUCT($J$18:$J$23,CW18:CW23)</f>
        <v>1</v>
      </c>
      <c r="CX17" s="161">
        <f t="shared" si="104"/>
        <v>1</v>
      </c>
      <c r="CY17" s="161">
        <f t="shared" si="104"/>
        <v>1</v>
      </c>
      <c r="CZ17" s="161">
        <f t="shared" ref="CZ17:DA17" si="105">+SUMPRODUCT($J$18:$J$23,CZ18:CZ23)</f>
        <v>1</v>
      </c>
      <c r="DA17" s="161">
        <f t="shared" si="105"/>
        <v>1</v>
      </c>
      <c r="DB17" s="161">
        <f t="shared" ref="DB17:DC17" si="106">+SUMPRODUCT($J$18:$J$23,DB18:DB23)</f>
        <v>1</v>
      </c>
      <c r="DC17" s="161">
        <f t="shared" si="106"/>
        <v>1</v>
      </c>
      <c r="DD17" s="161">
        <f t="shared" ref="DD17:DE17" si="107">+SUMPRODUCT($J$18:$J$23,DD18:DD23)</f>
        <v>1</v>
      </c>
      <c r="DE17" s="161">
        <f t="shared" si="107"/>
        <v>1</v>
      </c>
      <c r="DF17" s="161">
        <f t="shared" ref="DF17:DG17" si="108">+SUMPRODUCT($J$18:$J$23,DF18:DF23)</f>
        <v>1</v>
      </c>
      <c r="DG17" s="161">
        <f t="shared" si="108"/>
        <v>1</v>
      </c>
      <c r="DH17" s="346">
        <f t="shared" ref="DH17:EL17" si="109">+SUMPRODUCT($J$18:$J$23,DH18:DH23)</f>
        <v>1</v>
      </c>
      <c r="DI17" s="161">
        <f t="shared" si="109"/>
        <v>1</v>
      </c>
      <c r="DJ17" s="161">
        <f t="shared" si="109"/>
        <v>1</v>
      </c>
      <c r="DK17" s="161">
        <f t="shared" si="109"/>
        <v>1</v>
      </c>
      <c r="DL17" s="161">
        <f t="shared" si="109"/>
        <v>1</v>
      </c>
      <c r="DM17" s="161">
        <f t="shared" si="109"/>
        <v>1</v>
      </c>
      <c r="DN17" s="161">
        <f t="shared" si="109"/>
        <v>1</v>
      </c>
      <c r="DO17" s="161">
        <f t="shared" si="109"/>
        <v>1</v>
      </c>
      <c r="DP17" s="161">
        <f t="shared" si="109"/>
        <v>1</v>
      </c>
      <c r="DQ17" s="161">
        <f t="shared" si="109"/>
        <v>1</v>
      </c>
      <c r="DR17" s="161">
        <f t="shared" si="109"/>
        <v>1</v>
      </c>
      <c r="DS17" s="161">
        <f t="shared" si="109"/>
        <v>1</v>
      </c>
      <c r="DT17" s="161">
        <f t="shared" si="109"/>
        <v>1</v>
      </c>
      <c r="DU17" s="161">
        <f t="shared" si="109"/>
        <v>1</v>
      </c>
      <c r="DV17" s="161">
        <f t="shared" si="109"/>
        <v>1</v>
      </c>
      <c r="DW17" s="161">
        <f t="shared" si="109"/>
        <v>1</v>
      </c>
      <c r="DX17" s="161">
        <f t="shared" si="109"/>
        <v>1</v>
      </c>
      <c r="DY17" s="161">
        <f t="shared" si="109"/>
        <v>1</v>
      </c>
      <c r="DZ17" s="161">
        <f t="shared" si="109"/>
        <v>1</v>
      </c>
      <c r="EA17" s="161">
        <f t="shared" si="109"/>
        <v>1</v>
      </c>
      <c r="EB17" s="161">
        <f t="shared" si="109"/>
        <v>1</v>
      </c>
      <c r="EC17" s="161">
        <f t="shared" si="109"/>
        <v>1</v>
      </c>
      <c r="ED17" s="161">
        <f t="shared" si="109"/>
        <v>1</v>
      </c>
      <c r="EE17" s="161">
        <f t="shared" si="109"/>
        <v>1</v>
      </c>
      <c r="EF17" s="161">
        <f t="shared" si="109"/>
        <v>1</v>
      </c>
      <c r="EG17" s="161">
        <f t="shared" si="109"/>
        <v>1</v>
      </c>
      <c r="EH17" s="161">
        <f t="shared" si="109"/>
        <v>1</v>
      </c>
      <c r="EI17" s="161">
        <f t="shared" si="109"/>
        <v>1</v>
      </c>
      <c r="EJ17" s="161">
        <f t="shared" si="109"/>
        <v>1</v>
      </c>
      <c r="EK17" s="161">
        <f t="shared" si="109"/>
        <v>1</v>
      </c>
      <c r="EL17" s="161">
        <f t="shared" si="109"/>
        <v>1</v>
      </c>
    </row>
    <row r="18" spans="2:142" hidden="1" outlineLevel="2" x14ac:dyDescent="0.3">
      <c r="B18" s="29"/>
      <c r="C18" s="30"/>
      <c r="D18" s="30"/>
      <c r="E18" s="52" t="s">
        <v>23</v>
      </c>
      <c r="F18" s="33">
        <v>10</v>
      </c>
      <c r="G18" s="162">
        <v>45518</v>
      </c>
      <c r="H18" s="162">
        <v>45531</v>
      </c>
      <c r="I18" s="33">
        <f t="shared" ref="I18:I23" si="110">+F18</f>
        <v>10</v>
      </c>
      <c r="J18" s="35">
        <v>0.05</v>
      </c>
      <c r="K18" s="53"/>
      <c r="L18" s="127">
        <v>0</v>
      </c>
      <c r="M18" s="127">
        <v>0</v>
      </c>
      <c r="N18" s="127">
        <v>0</v>
      </c>
      <c r="O18" s="127">
        <v>0</v>
      </c>
      <c r="P18" s="127">
        <v>0</v>
      </c>
      <c r="Q18" s="127">
        <v>0</v>
      </c>
      <c r="R18" s="127">
        <v>0</v>
      </c>
      <c r="S18" s="127">
        <v>0.5</v>
      </c>
      <c r="T18" s="127">
        <v>0.5</v>
      </c>
      <c r="U18" s="127">
        <v>0.5</v>
      </c>
      <c r="V18" s="127">
        <v>0.5</v>
      </c>
      <c r="W18" s="127">
        <v>0.5</v>
      </c>
      <c r="X18" s="127">
        <v>0.5</v>
      </c>
      <c r="Y18" s="127">
        <v>0.5</v>
      </c>
      <c r="Z18" s="127">
        <v>0.5</v>
      </c>
      <c r="AA18" s="127">
        <v>0.5</v>
      </c>
      <c r="AB18" s="127">
        <v>0.5</v>
      </c>
      <c r="AC18" s="127">
        <v>0.6</v>
      </c>
      <c r="AD18" s="127">
        <v>0.6</v>
      </c>
      <c r="AE18" s="127">
        <v>0.6</v>
      </c>
      <c r="AF18" s="127">
        <v>0.6</v>
      </c>
      <c r="AG18" s="127">
        <v>1</v>
      </c>
      <c r="AH18" s="127">
        <v>1</v>
      </c>
      <c r="AI18" s="127">
        <v>1</v>
      </c>
      <c r="AJ18" s="127">
        <v>1</v>
      </c>
      <c r="AK18" s="127">
        <v>1</v>
      </c>
      <c r="AL18" s="127">
        <v>1</v>
      </c>
      <c r="AM18" s="127">
        <v>1</v>
      </c>
      <c r="AN18" s="127">
        <v>1</v>
      </c>
      <c r="AO18" s="127">
        <v>1</v>
      </c>
      <c r="AP18" s="127">
        <v>1</v>
      </c>
      <c r="AQ18" s="127">
        <v>1</v>
      </c>
      <c r="AR18" s="127">
        <v>1</v>
      </c>
      <c r="AS18" s="127">
        <v>1</v>
      </c>
      <c r="AT18" s="127">
        <v>1</v>
      </c>
      <c r="AU18" s="127">
        <v>1</v>
      </c>
      <c r="AV18" s="127">
        <v>1</v>
      </c>
      <c r="AW18" s="127">
        <v>1</v>
      </c>
      <c r="AX18" s="127">
        <v>1</v>
      </c>
      <c r="AY18" s="127">
        <v>1</v>
      </c>
      <c r="AZ18" s="127">
        <v>1</v>
      </c>
      <c r="BA18" s="127">
        <v>1</v>
      </c>
      <c r="BB18" s="127">
        <v>1</v>
      </c>
      <c r="BC18" s="127">
        <v>1</v>
      </c>
      <c r="BD18" s="127">
        <v>1</v>
      </c>
      <c r="BE18" s="127">
        <v>1</v>
      </c>
      <c r="BF18" s="127">
        <v>1</v>
      </c>
      <c r="BG18" s="127">
        <v>1</v>
      </c>
      <c r="BH18" s="127">
        <v>1</v>
      </c>
      <c r="BI18" s="127">
        <v>1</v>
      </c>
      <c r="BJ18" s="127">
        <v>1</v>
      </c>
      <c r="BK18" s="127">
        <v>1</v>
      </c>
      <c r="BL18" s="127">
        <v>1</v>
      </c>
      <c r="BM18" s="127">
        <v>1</v>
      </c>
      <c r="BN18" s="127">
        <v>1</v>
      </c>
      <c r="BO18" s="127">
        <v>1</v>
      </c>
      <c r="BP18" s="127">
        <v>1</v>
      </c>
      <c r="BQ18" s="127">
        <v>1</v>
      </c>
      <c r="BR18" s="163">
        <v>1</v>
      </c>
      <c r="BS18" s="163">
        <v>1</v>
      </c>
      <c r="BT18" s="163">
        <v>1</v>
      </c>
      <c r="BU18" s="163">
        <v>1</v>
      </c>
      <c r="BV18" s="163">
        <v>1</v>
      </c>
      <c r="BW18" s="163">
        <v>1</v>
      </c>
      <c r="BX18" s="163">
        <v>1</v>
      </c>
      <c r="BY18" s="163">
        <v>1</v>
      </c>
      <c r="BZ18" s="163">
        <v>1</v>
      </c>
      <c r="CA18" s="163">
        <v>1</v>
      </c>
      <c r="CB18" s="163">
        <v>1</v>
      </c>
      <c r="CC18" s="163">
        <v>1</v>
      </c>
      <c r="CD18" s="163">
        <v>1</v>
      </c>
      <c r="CE18" s="163">
        <v>1</v>
      </c>
      <c r="CF18" s="163">
        <v>1</v>
      </c>
      <c r="CG18" s="163">
        <v>1</v>
      </c>
      <c r="CH18" s="163">
        <v>1</v>
      </c>
      <c r="CI18" s="163">
        <v>1</v>
      </c>
      <c r="CJ18" s="163">
        <v>1</v>
      </c>
      <c r="CK18" s="163">
        <v>1</v>
      </c>
      <c r="CL18" s="163">
        <v>1</v>
      </c>
      <c r="CM18" s="163">
        <v>1</v>
      </c>
      <c r="CN18" s="163">
        <v>1</v>
      </c>
      <c r="CO18" s="163">
        <v>1</v>
      </c>
      <c r="CP18" s="163">
        <v>1</v>
      </c>
      <c r="CQ18" s="163">
        <v>1</v>
      </c>
      <c r="CR18" s="163">
        <v>1</v>
      </c>
      <c r="CS18" s="163">
        <v>1</v>
      </c>
      <c r="CT18" s="163">
        <v>1</v>
      </c>
      <c r="CU18" s="163">
        <v>1</v>
      </c>
      <c r="CV18" s="163">
        <v>1</v>
      </c>
      <c r="CW18" s="163">
        <v>1</v>
      </c>
      <c r="CX18" s="163">
        <v>1</v>
      </c>
      <c r="CY18" s="163">
        <v>1</v>
      </c>
      <c r="CZ18" s="163">
        <v>1</v>
      </c>
      <c r="DA18" s="163">
        <v>1</v>
      </c>
      <c r="DB18" s="163">
        <v>1</v>
      </c>
      <c r="DC18" s="163">
        <v>1</v>
      </c>
      <c r="DD18" s="163">
        <v>1</v>
      </c>
      <c r="DE18" s="163">
        <v>1</v>
      </c>
      <c r="DF18" s="163">
        <v>1</v>
      </c>
      <c r="DG18" s="163">
        <v>1</v>
      </c>
      <c r="DH18" s="347">
        <v>1</v>
      </c>
      <c r="DI18" s="163">
        <v>1</v>
      </c>
      <c r="DJ18" s="163">
        <v>1</v>
      </c>
      <c r="DK18" s="163">
        <v>1</v>
      </c>
      <c r="DL18" s="163">
        <v>1</v>
      </c>
      <c r="DM18" s="163">
        <v>1</v>
      </c>
      <c r="DN18" s="163">
        <v>1</v>
      </c>
      <c r="DO18" s="163">
        <v>1</v>
      </c>
      <c r="DP18" s="163">
        <v>1</v>
      </c>
      <c r="DQ18" s="163">
        <v>1</v>
      </c>
      <c r="DR18" s="163">
        <v>1</v>
      </c>
      <c r="DS18" s="163">
        <v>1</v>
      </c>
      <c r="DT18" s="163">
        <v>1</v>
      </c>
      <c r="DU18" s="163">
        <v>1</v>
      </c>
      <c r="DV18" s="163">
        <v>1</v>
      </c>
      <c r="DW18" s="163">
        <v>1</v>
      </c>
      <c r="DX18" s="163">
        <v>1</v>
      </c>
      <c r="DY18" s="163">
        <v>1</v>
      </c>
      <c r="DZ18" s="163">
        <v>1</v>
      </c>
      <c r="EA18" s="163">
        <v>1</v>
      </c>
      <c r="EB18" s="163">
        <v>1</v>
      </c>
      <c r="EC18" s="163">
        <v>1</v>
      </c>
      <c r="ED18" s="163">
        <v>1</v>
      </c>
      <c r="EE18" s="163">
        <v>1</v>
      </c>
      <c r="EF18" s="163">
        <v>1</v>
      </c>
      <c r="EG18" s="163">
        <v>1</v>
      </c>
      <c r="EH18" s="163">
        <v>1</v>
      </c>
      <c r="EI18" s="163">
        <v>1</v>
      </c>
      <c r="EJ18" s="163">
        <v>1</v>
      </c>
      <c r="EK18" s="163">
        <v>1</v>
      </c>
      <c r="EL18" s="163">
        <v>1</v>
      </c>
    </row>
    <row r="19" spans="2:142" hidden="1" outlineLevel="2" x14ac:dyDescent="0.3">
      <c r="B19" s="29"/>
      <c r="C19" s="30"/>
      <c r="D19" s="30"/>
      <c r="E19" s="52" t="s">
        <v>24</v>
      </c>
      <c r="F19" s="33">
        <v>40</v>
      </c>
      <c r="G19" s="162">
        <v>45532</v>
      </c>
      <c r="H19" s="162">
        <v>45587</v>
      </c>
      <c r="I19" s="33">
        <f t="shared" si="110"/>
        <v>40</v>
      </c>
      <c r="J19" s="35">
        <v>0.08</v>
      </c>
      <c r="K19" s="53"/>
      <c r="L19" s="127">
        <v>0</v>
      </c>
      <c r="M19" s="127">
        <v>0</v>
      </c>
      <c r="N19" s="127">
        <v>0</v>
      </c>
      <c r="O19" s="127">
        <v>0</v>
      </c>
      <c r="P19" s="127">
        <v>0</v>
      </c>
      <c r="Q19" s="127">
        <v>0</v>
      </c>
      <c r="R19" s="127">
        <v>0</v>
      </c>
      <c r="S19" s="127">
        <v>4.4180727067836415E-3</v>
      </c>
      <c r="T19" s="127">
        <v>0.28170638427477523</v>
      </c>
      <c r="U19" s="127">
        <v>0.44661817128029491</v>
      </c>
      <c r="V19" s="127">
        <v>0.44682734455115225</v>
      </c>
      <c r="W19" s="127">
        <v>0.44714110445743832</v>
      </c>
      <c r="X19" s="127">
        <v>0.44741302970955293</v>
      </c>
      <c r="Y19" s="127">
        <v>0.44749669901789585</v>
      </c>
      <c r="Z19" s="127">
        <v>0.44751761634498161</v>
      </c>
      <c r="AA19" s="127">
        <v>0.44751761634498161</v>
      </c>
      <c r="AB19" s="127">
        <v>0.44751761634498161</v>
      </c>
      <c r="AC19" s="127">
        <v>0.44751761634498161</v>
      </c>
      <c r="AD19" s="127">
        <v>0.44751761634498161</v>
      </c>
      <c r="AE19" s="127">
        <v>0.44751761634498161</v>
      </c>
      <c r="AF19" s="127">
        <v>0.44751761634498161</v>
      </c>
      <c r="AG19" s="127">
        <v>0.44751761634498161</v>
      </c>
      <c r="AH19" s="127">
        <v>0.50268846060026617</v>
      </c>
      <c r="AI19" s="127">
        <v>0.7437746259304584</v>
      </c>
      <c r="AJ19" s="127">
        <v>0.85568156482974034</v>
      </c>
      <c r="AK19" s="127">
        <v>1</v>
      </c>
      <c r="AL19" s="127">
        <v>1</v>
      </c>
      <c r="AM19" s="127">
        <v>1</v>
      </c>
      <c r="AN19" s="127">
        <v>1</v>
      </c>
      <c r="AO19" s="127">
        <v>1</v>
      </c>
      <c r="AP19" s="127">
        <v>1</v>
      </c>
      <c r="AQ19" s="127">
        <v>1</v>
      </c>
      <c r="AR19" s="127">
        <v>1</v>
      </c>
      <c r="AS19" s="127">
        <v>1</v>
      </c>
      <c r="AT19" s="127">
        <v>1</v>
      </c>
      <c r="AU19" s="127">
        <v>1</v>
      </c>
      <c r="AV19" s="127">
        <v>1</v>
      </c>
      <c r="AW19" s="127">
        <v>1</v>
      </c>
      <c r="AX19" s="127">
        <v>1</v>
      </c>
      <c r="AY19" s="127">
        <v>1</v>
      </c>
      <c r="AZ19" s="127">
        <v>1</v>
      </c>
      <c r="BA19" s="127">
        <v>1</v>
      </c>
      <c r="BB19" s="127">
        <v>1</v>
      </c>
      <c r="BC19" s="127">
        <v>1</v>
      </c>
      <c r="BD19" s="127">
        <v>1</v>
      </c>
      <c r="BE19" s="127">
        <v>1</v>
      </c>
      <c r="BF19" s="127">
        <v>1</v>
      </c>
      <c r="BG19" s="127">
        <v>1</v>
      </c>
      <c r="BH19" s="127">
        <v>1</v>
      </c>
      <c r="BI19" s="127">
        <v>1</v>
      </c>
      <c r="BJ19" s="127">
        <v>1</v>
      </c>
      <c r="BK19" s="127">
        <v>1</v>
      </c>
      <c r="BL19" s="127">
        <v>1</v>
      </c>
      <c r="BM19" s="127">
        <v>1</v>
      </c>
      <c r="BN19" s="127">
        <v>1</v>
      </c>
      <c r="BO19" s="127">
        <v>1</v>
      </c>
      <c r="BP19" s="127">
        <v>1</v>
      </c>
      <c r="BQ19" s="127">
        <v>1</v>
      </c>
      <c r="BR19" s="163">
        <v>1</v>
      </c>
      <c r="BS19" s="163">
        <v>1</v>
      </c>
      <c r="BT19" s="163">
        <v>1</v>
      </c>
      <c r="BU19" s="163">
        <v>1</v>
      </c>
      <c r="BV19" s="163">
        <v>1</v>
      </c>
      <c r="BW19" s="163">
        <v>1</v>
      </c>
      <c r="BX19" s="163">
        <v>1</v>
      </c>
      <c r="BY19" s="163">
        <v>1</v>
      </c>
      <c r="BZ19" s="163">
        <v>1</v>
      </c>
      <c r="CA19" s="163">
        <v>1</v>
      </c>
      <c r="CB19" s="163">
        <v>1</v>
      </c>
      <c r="CC19" s="163">
        <v>1</v>
      </c>
      <c r="CD19" s="163">
        <v>1</v>
      </c>
      <c r="CE19" s="163">
        <v>1</v>
      </c>
      <c r="CF19" s="163">
        <v>1</v>
      </c>
      <c r="CG19" s="163">
        <v>1</v>
      </c>
      <c r="CH19" s="163">
        <v>1</v>
      </c>
      <c r="CI19" s="163">
        <v>1</v>
      </c>
      <c r="CJ19" s="163">
        <v>1</v>
      </c>
      <c r="CK19" s="163">
        <v>1</v>
      </c>
      <c r="CL19" s="163">
        <v>1</v>
      </c>
      <c r="CM19" s="163">
        <v>1</v>
      </c>
      <c r="CN19" s="163">
        <v>1</v>
      </c>
      <c r="CO19" s="163">
        <v>1</v>
      </c>
      <c r="CP19" s="163">
        <v>1</v>
      </c>
      <c r="CQ19" s="163">
        <v>1</v>
      </c>
      <c r="CR19" s="163">
        <v>1</v>
      </c>
      <c r="CS19" s="163">
        <v>1</v>
      </c>
      <c r="CT19" s="163">
        <v>1</v>
      </c>
      <c r="CU19" s="163">
        <v>1</v>
      </c>
      <c r="CV19" s="163">
        <v>1</v>
      </c>
      <c r="CW19" s="163">
        <v>1</v>
      </c>
      <c r="CX19" s="163">
        <v>1</v>
      </c>
      <c r="CY19" s="163">
        <v>1</v>
      </c>
      <c r="CZ19" s="163">
        <v>1</v>
      </c>
      <c r="DA19" s="163">
        <v>1</v>
      </c>
      <c r="DB19" s="163">
        <v>1</v>
      </c>
      <c r="DC19" s="163">
        <v>1</v>
      </c>
      <c r="DD19" s="163">
        <v>1</v>
      </c>
      <c r="DE19" s="163">
        <v>1</v>
      </c>
      <c r="DF19" s="163">
        <v>1</v>
      </c>
      <c r="DG19" s="163">
        <v>1</v>
      </c>
      <c r="DH19" s="347">
        <v>1</v>
      </c>
      <c r="DI19" s="163">
        <v>1</v>
      </c>
      <c r="DJ19" s="163">
        <v>1</v>
      </c>
      <c r="DK19" s="163">
        <v>1</v>
      </c>
      <c r="DL19" s="163">
        <v>1</v>
      </c>
      <c r="DM19" s="163">
        <v>1</v>
      </c>
      <c r="DN19" s="163">
        <v>1</v>
      </c>
      <c r="DO19" s="163">
        <v>1</v>
      </c>
      <c r="DP19" s="163">
        <v>1</v>
      </c>
      <c r="DQ19" s="163">
        <v>1</v>
      </c>
      <c r="DR19" s="163">
        <v>1</v>
      </c>
      <c r="DS19" s="163">
        <v>1</v>
      </c>
      <c r="DT19" s="163">
        <v>1</v>
      </c>
      <c r="DU19" s="163">
        <v>1</v>
      </c>
      <c r="DV19" s="163">
        <v>1</v>
      </c>
      <c r="DW19" s="163">
        <v>1</v>
      </c>
      <c r="DX19" s="163">
        <v>1</v>
      </c>
      <c r="DY19" s="163">
        <v>1</v>
      </c>
      <c r="DZ19" s="163">
        <v>1</v>
      </c>
      <c r="EA19" s="163">
        <v>1</v>
      </c>
      <c r="EB19" s="163">
        <v>1</v>
      </c>
      <c r="EC19" s="163">
        <v>1</v>
      </c>
      <c r="ED19" s="163">
        <v>1</v>
      </c>
      <c r="EE19" s="163">
        <v>1</v>
      </c>
      <c r="EF19" s="163">
        <v>1</v>
      </c>
      <c r="EG19" s="163">
        <v>1</v>
      </c>
      <c r="EH19" s="163">
        <v>1</v>
      </c>
      <c r="EI19" s="163">
        <v>1</v>
      </c>
      <c r="EJ19" s="163">
        <v>1</v>
      </c>
      <c r="EK19" s="163">
        <v>1</v>
      </c>
      <c r="EL19" s="163">
        <v>1</v>
      </c>
    </row>
    <row r="20" spans="2:142" hidden="1" outlineLevel="2" x14ac:dyDescent="0.3">
      <c r="B20" s="29"/>
      <c r="C20" s="30"/>
      <c r="D20" s="30"/>
      <c r="E20" s="52" t="s">
        <v>25</v>
      </c>
      <c r="F20" s="33">
        <v>40</v>
      </c>
      <c r="G20" s="162">
        <v>45489</v>
      </c>
      <c r="H20" s="162">
        <v>45545</v>
      </c>
      <c r="I20" s="33">
        <f t="shared" si="110"/>
        <v>40</v>
      </c>
      <c r="J20" s="35">
        <v>0.2</v>
      </c>
      <c r="K20" s="53"/>
      <c r="L20" s="127">
        <v>0</v>
      </c>
      <c r="M20" s="127">
        <v>0</v>
      </c>
      <c r="N20" s="127">
        <v>0</v>
      </c>
      <c r="O20" s="127">
        <v>0</v>
      </c>
      <c r="P20" s="127">
        <v>0</v>
      </c>
      <c r="Q20" s="127">
        <v>0</v>
      </c>
      <c r="R20" s="127">
        <v>0.22248615952816758</v>
      </c>
      <c r="S20" s="127">
        <v>0.44497231905633516</v>
      </c>
      <c r="T20" s="127">
        <v>0.60883219400203537</v>
      </c>
      <c r="U20" s="127">
        <v>0.66797090276817694</v>
      </c>
      <c r="V20" s="127">
        <v>0.72130751178696462</v>
      </c>
      <c r="W20" s="127">
        <v>0.73350278942520286</v>
      </c>
      <c r="X20" s="127">
        <v>0.75644306225462654</v>
      </c>
      <c r="Y20" s="127">
        <v>0.85058690624567956</v>
      </c>
      <c r="Z20" s="127">
        <v>0.8671883611072706</v>
      </c>
      <c r="AA20" s="127">
        <v>0.9259707057749279</v>
      </c>
      <c r="AB20" s="127">
        <v>0.9259707057749279</v>
      </c>
      <c r="AC20" s="127">
        <v>0.9259707057749279</v>
      </c>
      <c r="AD20" s="127">
        <v>0.9259707057749279</v>
      </c>
      <c r="AE20" s="127">
        <v>0.9259707057749279</v>
      </c>
      <c r="AF20" s="127">
        <v>0.9259707057749279</v>
      </c>
      <c r="AG20" s="127">
        <v>0.9259707057749279</v>
      </c>
      <c r="AH20" s="127">
        <v>0.9259707057749279</v>
      </c>
      <c r="AI20" s="127">
        <v>0.9259707057749279</v>
      </c>
      <c r="AJ20" s="127">
        <v>0.9259707057749279</v>
      </c>
      <c r="AK20" s="127">
        <v>0.9259707057749279</v>
      </c>
      <c r="AL20" s="127">
        <v>0.9259707057749279</v>
      </c>
      <c r="AM20" s="127">
        <v>0.9259707057749279</v>
      </c>
      <c r="AN20" s="127">
        <v>0.9259707057749279</v>
      </c>
      <c r="AO20" s="127">
        <v>0.9259707057749279</v>
      </c>
      <c r="AP20" s="127">
        <v>0.9259707057749279</v>
      </c>
      <c r="AQ20" s="127">
        <v>0.9259707057749279</v>
      </c>
      <c r="AR20" s="127">
        <v>0.9259707057749279</v>
      </c>
      <c r="AS20" s="127">
        <v>0.9259707057749279</v>
      </c>
      <c r="AT20" s="127">
        <v>0.9259707057749279</v>
      </c>
      <c r="AU20" s="127">
        <v>0.9259707057749279</v>
      </c>
      <c r="AV20" s="127">
        <v>0.9259707057749279</v>
      </c>
      <c r="AW20" s="127">
        <v>0.9259707057749279</v>
      </c>
      <c r="AX20" s="127">
        <v>0.9259707057749279</v>
      </c>
      <c r="AY20" s="127">
        <v>0.9259707057749279</v>
      </c>
      <c r="AZ20" s="127">
        <v>0.94077070577492794</v>
      </c>
      <c r="BA20" s="127">
        <v>0.95557070577492798</v>
      </c>
      <c r="BB20" s="127">
        <v>0.97037070577492801</v>
      </c>
      <c r="BC20" s="127">
        <v>0.98517070577492805</v>
      </c>
      <c r="BD20" s="127">
        <v>0.99997070577492808</v>
      </c>
      <c r="BE20" s="127">
        <v>1</v>
      </c>
      <c r="BF20" s="127">
        <v>1</v>
      </c>
      <c r="BG20" s="127">
        <v>1</v>
      </c>
      <c r="BH20" s="127">
        <v>1</v>
      </c>
      <c r="BI20" s="127">
        <v>1</v>
      </c>
      <c r="BJ20" s="127">
        <v>1</v>
      </c>
      <c r="BK20" s="127">
        <v>1</v>
      </c>
      <c r="BL20" s="127">
        <v>1</v>
      </c>
      <c r="BM20" s="127">
        <v>1</v>
      </c>
      <c r="BN20" s="127">
        <v>1</v>
      </c>
      <c r="BO20" s="127">
        <v>1</v>
      </c>
      <c r="BP20" s="127">
        <v>1</v>
      </c>
      <c r="BQ20" s="127">
        <v>1</v>
      </c>
      <c r="BR20" s="163">
        <v>1</v>
      </c>
      <c r="BS20" s="163">
        <v>1</v>
      </c>
      <c r="BT20" s="163">
        <v>1</v>
      </c>
      <c r="BU20" s="163">
        <v>1</v>
      </c>
      <c r="BV20" s="163">
        <v>1</v>
      </c>
      <c r="BW20" s="163">
        <v>1</v>
      </c>
      <c r="BX20" s="163">
        <v>1</v>
      </c>
      <c r="BY20" s="163">
        <v>1</v>
      </c>
      <c r="BZ20" s="163">
        <v>1</v>
      </c>
      <c r="CA20" s="163">
        <v>1</v>
      </c>
      <c r="CB20" s="163">
        <v>1</v>
      </c>
      <c r="CC20" s="163">
        <v>1</v>
      </c>
      <c r="CD20" s="163">
        <v>1</v>
      </c>
      <c r="CE20" s="163">
        <v>1</v>
      </c>
      <c r="CF20" s="163">
        <v>1</v>
      </c>
      <c r="CG20" s="163">
        <v>1</v>
      </c>
      <c r="CH20" s="163">
        <v>1</v>
      </c>
      <c r="CI20" s="163">
        <v>1</v>
      </c>
      <c r="CJ20" s="163">
        <v>1</v>
      </c>
      <c r="CK20" s="163">
        <v>1</v>
      </c>
      <c r="CL20" s="163">
        <v>1</v>
      </c>
      <c r="CM20" s="163">
        <v>1</v>
      </c>
      <c r="CN20" s="163">
        <v>1</v>
      </c>
      <c r="CO20" s="163">
        <v>1</v>
      </c>
      <c r="CP20" s="163">
        <v>1</v>
      </c>
      <c r="CQ20" s="163">
        <v>1</v>
      </c>
      <c r="CR20" s="163">
        <v>1</v>
      </c>
      <c r="CS20" s="163">
        <v>1</v>
      </c>
      <c r="CT20" s="163">
        <v>1</v>
      </c>
      <c r="CU20" s="163">
        <v>1</v>
      </c>
      <c r="CV20" s="163">
        <v>1</v>
      </c>
      <c r="CW20" s="163">
        <v>1</v>
      </c>
      <c r="CX20" s="163">
        <v>1</v>
      </c>
      <c r="CY20" s="163">
        <v>1</v>
      </c>
      <c r="CZ20" s="163">
        <v>1</v>
      </c>
      <c r="DA20" s="163">
        <v>1</v>
      </c>
      <c r="DB20" s="163">
        <v>1</v>
      </c>
      <c r="DC20" s="163">
        <v>1</v>
      </c>
      <c r="DD20" s="163">
        <v>1</v>
      </c>
      <c r="DE20" s="163">
        <v>1</v>
      </c>
      <c r="DF20" s="163">
        <v>1</v>
      </c>
      <c r="DG20" s="163">
        <v>1</v>
      </c>
      <c r="DH20" s="347">
        <v>1</v>
      </c>
      <c r="DI20" s="163">
        <v>1</v>
      </c>
      <c r="DJ20" s="163">
        <v>1</v>
      </c>
      <c r="DK20" s="163">
        <v>1</v>
      </c>
      <c r="DL20" s="163">
        <v>1</v>
      </c>
      <c r="DM20" s="163">
        <v>1</v>
      </c>
      <c r="DN20" s="163">
        <v>1</v>
      </c>
      <c r="DO20" s="163">
        <v>1</v>
      </c>
      <c r="DP20" s="163">
        <v>1</v>
      </c>
      <c r="DQ20" s="163">
        <v>1</v>
      </c>
      <c r="DR20" s="163">
        <v>1</v>
      </c>
      <c r="DS20" s="163">
        <v>1</v>
      </c>
      <c r="DT20" s="163">
        <v>1</v>
      </c>
      <c r="DU20" s="163">
        <v>1</v>
      </c>
      <c r="DV20" s="163">
        <v>1</v>
      </c>
      <c r="DW20" s="163">
        <v>1</v>
      </c>
      <c r="DX20" s="163">
        <v>1</v>
      </c>
      <c r="DY20" s="163">
        <v>1</v>
      </c>
      <c r="DZ20" s="163">
        <v>1</v>
      </c>
      <c r="EA20" s="163">
        <v>1</v>
      </c>
      <c r="EB20" s="163">
        <v>1</v>
      </c>
      <c r="EC20" s="163">
        <v>1</v>
      </c>
      <c r="ED20" s="163">
        <v>1</v>
      </c>
      <c r="EE20" s="163">
        <v>1</v>
      </c>
      <c r="EF20" s="163">
        <v>1</v>
      </c>
      <c r="EG20" s="163">
        <v>1</v>
      </c>
      <c r="EH20" s="163">
        <v>1</v>
      </c>
      <c r="EI20" s="163">
        <v>1</v>
      </c>
      <c r="EJ20" s="163">
        <v>1</v>
      </c>
      <c r="EK20" s="163">
        <v>1</v>
      </c>
      <c r="EL20" s="163">
        <v>1</v>
      </c>
    </row>
    <row r="21" spans="2:142" hidden="1" outlineLevel="2" x14ac:dyDescent="0.3">
      <c r="B21" s="29"/>
      <c r="C21" s="30"/>
      <c r="D21" s="30"/>
      <c r="E21" s="52" t="s">
        <v>26</v>
      </c>
      <c r="F21" s="33">
        <v>35</v>
      </c>
      <c r="G21" s="162">
        <v>45560</v>
      </c>
      <c r="H21" s="162">
        <v>45608</v>
      </c>
      <c r="I21" s="33">
        <f t="shared" si="110"/>
        <v>35</v>
      </c>
      <c r="J21" s="35">
        <v>0.4</v>
      </c>
      <c r="K21" s="53"/>
      <c r="L21" s="127">
        <v>0</v>
      </c>
      <c r="M21" s="127">
        <v>0</v>
      </c>
      <c r="N21" s="127">
        <v>0</v>
      </c>
      <c r="O21" s="127">
        <v>0</v>
      </c>
      <c r="P21" s="127">
        <v>0</v>
      </c>
      <c r="Q21" s="127">
        <v>0</v>
      </c>
      <c r="R21" s="127">
        <v>0</v>
      </c>
      <c r="S21" s="127">
        <v>0</v>
      </c>
      <c r="T21" s="127">
        <v>0</v>
      </c>
      <c r="U21" s="127">
        <v>0</v>
      </c>
      <c r="V21" s="127">
        <v>0</v>
      </c>
      <c r="W21" s="127">
        <v>0</v>
      </c>
      <c r="X21" s="127">
        <v>0</v>
      </c>
      <c r="Y21" s="127">
        <v>0</v>
      </c>
      <c r="Z21" s="127">
        <v>0</v>
      </c>
      <c r="AA21" s="127">
        <v>0</v>
      </c>
      <c r="AB21" s="127">
        <v>5.0939064351776628E-2</v>
      </c>
      <c r="AC21" s="127">
        <v>5.8769114234590192E-2</v>
      </c>
      <c r="AD21" s="127">
        <v>6.5177506960724621E-2</v>
      </c>
      <c r="AE21" s="127">
        <v>6.9442478430762025E-2</v>
      </c>
      <c r="AF21" s="127">
        <v>0.29461427070363955</v>
      </c>
      <c r="AG21" s="127">
        <v>0.34845300989801925</v>
      </c>
      <c r="AH21" s="127">
        <v>0.45892498751449445</v>
      </c>
      <c r="AI21" s="127">
        <v>0.54152666830201579</v>
      </c>
      <c r="AJ21" s="127">
        <v>0.66956246242384254</v>
      </c>
      <c r="AK21" s="127">
        <v>0.69582989346796309</v>
      </c>
      <c r="AL21" s="127">
        <v>0.69582989346796309</v>
      </c>
      <c r="AM21" s="127">
        <v>0.69582989346796309</v>
      </c>
      <c r="AN21" s="127">
        <v>0.69835766313030723</v>
      </c>
      <c r="AO21" s="127">
        <v>0.69835766313030723</v>
      </c>
      <c r="AP21" s="127">
        <v>0.71425766313030725</v>
      </c>
      <c r="AQ21" s="127">
        <v>0.73015766313030728</v>
      </c>
      <c r="AR21" s="127">
        <v>0.7460576631303073</v>
      </c>
      <c r="AS21" s="127">
        <v>0.76195766313030733</v>
      </c>
      <c r="AT21" s="127">
        <v>0.77785766313030735</v>
      </c>
      <c r="AU21" s="127">
        <v>0.79375766313030738</v>
      </c>
      <c r="AV21" s="127">
        <v>0.8096576631303074</v>
      </c>
      <c r="AW21" s="127">
        <v>0.82555766313030743</v>
      </c>
      <c r="AX21" s="127">
        <v>0.84145766313030745</v>
      </c>
      <c r="AY21" s="127">
        <v>0.85735766313030748</v>
      </c>
      <c r="AZ21" s="127">
        <v>0.8732576631303075</v>
      </c>
      <c r="BA21" s="127">
        <v>0.88915766313030753</v>
      </c>
      <c r="BB21" s="127">
        <v>0.90505766313030755</v>
      </c>
      <c r="BC21" s="127">
        <v>0.92095766313030758</v>
      </c>
      <c r="BD21" s="127">
        <v>0.93685766313030761</v>
      </c>
      <c r="BE21" s="127">
        <v>0.95275766313030763</v>
      </c>
      <c r="BF21" s="127">
        <v>0.96865766313030766</v>
      </c>
      <c r="BG21" s="127">
        <v>0.98455766313030768</v>
      </c>
      <c r="BH21" s="127">
        <v>1.0004576631303077</v>
      </c>
      <c r="BI21" s="127">
        <v>1</v>
      </c>
      <c r="BJ21" s="127">
        <v>1</v>
      </c>
      <c r="BK21" s="127">
        <v>1</v>
      </c>
      <c r="BL21" s="127">
        <v>1</v>
      </c>
      <c r="BM21" s="127">
        <v>1</v>
      </c>
      <c r="BN21" s="127">
        <v>1</v>
      </c>
      <c r="BO21" s="127">
        <v>1</v>
      </c>
      <c r="BP21" s="127">
        <v>1</v>
      </c>
      <c r="BQ21" s="127">
        <v>1</v>
      </c>
      <c r="BR21" s="163">
        <v>1</v>
      </c>
      <c r="BS21" s="163">
        <v>1</v>
      </c>
      <c r="BT21" s="163">
        <v>1</v>
      </c>
      <c r="BU21" s="163">
        <v>1</v>
      </c>
      <c r="BV21" s="163">
        <v>1</v>
      </c>
      <c r="BW21" s="163">
        <v>1</v>
      </c>
      <c r="BX21" s="163">
        <v>1</v>
      </c>
      <c r="BY21" s="163">
        <v>1</v>
      </c>
      <c r="BZ21" s="163">
        <v>1</v>
      </c>
      <c r="CA21" s="163">
        <v>1</v>
      </c>
      <c r="CB21" s="163">
        <v>1</v>
      </c>
      <c r="CC21" s="163">
        <v>1</v>
      </c>
      <c r="CD21" s="163">
        <v>1</v>
      </c>
      <c r="CE21" s="163">
        <v>1</v>
      </c>
      <c r="CF21" s="163">
        <v>1</v>
      </c>
      <c r="CG21" s="163">
        <v>1</v>
      </c>
      <c r="CH21" s="163">
        <v>1</v>
      </c>
      <c r="CI21" s="163">
        <v>1</v>
      </c>
      <c r="CJ21" s="163">
        <v>1</v>
      </c>
      <c r="CK21" s="163">
        <v>1</v>
      </c>
      <c r="CL21" s="163">
        <v>1</v>
      </c>
      <c r="CM21" s="163">
        <v>1</v>
      </c>
      <c r="CN21" s="163">
        <v>1</v>
      </c>
      <c r="CO21" s="163">
        <v>1</v>
      </c>
      <c r="CP21" s="163">
        <v>1</v>
      </c>
      <c r="CQ21" s="163">
        <v>1</v>
      </c>
      <c r="CR21" s="163">
        <v>1</v>
      </c>
      <c r="CS21" s="163">
        <v>1</v>
      </c>
      <c r="CT21" s="163">
        <v>1</v>
      </c>
      <c r="CU21" s="163">
        <v>1</v>
      </c>
      <c r="CV21" s="163">
        <v>1</v>
      </c>
      <c r="CW21" s="163">
        <v>1</v>
      </c>
      <c r="CX21" s="163">
        <v>1</v>
      </c>
      <c r="CY21" s="163">
        <v>1</v>
      </c>
      <c r="CZ21" s="163">
        <v>1</v>
      </c>
      <c r="DA21" s="163">
        <v>1</v>
      </c>
      <c r="DB21" s="163">
        <v>1</v>
      </c>
      <c r="DC21" s="163">
        <v>1</v>
      </c>
      <c r="DD21" s="163">
        <v>1</v>
      </c>
      <c r="DE21" s="163">
        <v>1</v>
      </c>
      <c r="DF21" s="163">
        <v>1</v>
      </c>
      <c r="DG21" s="163">
        <v>1</v>
      </c>
      <c r="DH21" s="347">
        <v>1</v>
      </c>
      <c r="DI21" s="163">
        <v>1</v>
      </c>
      <c r="DJ21" s="163">
        <v>1</v>
      </c>
      <c r="DK21" s="163">
        <v>1</v>
      </c>
      <c r="DL21" s="163">
        <v>1</v>
      </c>
      <c r="DM21" s="163">
        <v>1</v>
      </c>
      <c r="DN21" s="163">
        <v>1</v>
      </c>
      <c r="DO21" s="163">
        <v>1</v>
      </c>
      <c r="DP21" s="163">
        <v>1</v>
      </c>
      <c r="DQ21" s="163">
        <v>1</v>
      </c>
      <c r="DR21" s="163">
        <v>1</v>
      </c>
      <c r="DS21" s="163">
        <v>1</v>
      </c>
      <c r="DT21" s="163">
        <v>1</v>
      </c>
      <c r="DU21" s="163">
        <v>1</v>
      </c>
      <c r="DV21" s="163">
        <v>1</v>
      </c>
      <c r="DW21" s="163">
        <v>1</v>
      </c>
      <c r="DX21" s="163">
        <v>1</v>
      </c>
      <c r="DY21" s="163">
        <v>1</v>
      </c>
      <c r="DZ21" s="163">
        <v>1</v>
      </c>
      <c r="EA21" s="163">
        <v>1</v>
      </c>
      <c r="EB21" s="163">
        <v>1</v>
      </c>
      <c r="EC21" s="163">
        <v>1</v>
      </c>
      <c r="ED21" s="163">
        <v>1</v>
      </c>
      <c r="EE21" s="163">
        <v>1</v>
      </c>
      <c r="EF21" s="163">
        <v>1</v>
      </c>
      <c r="EG21" s="163">
        <v>1</v>
      </c>
      <c r="EH21" s="163">
        <v>1</v>
      </c>
      <c r="EI21" s="163">
        <v>1</v>
      </c>
      <c r="EJ21" s="163">
        <v>1</v>
      </c>
      <c r="EK21" s="163">
        <v>1</v>
      </c>
      <c r="EL21" s="163">
        <v>1</v>
      </c>
    </row>
    <row r="22" spans="2:142" hidden="1" outlineLevel="2" x14ac:dyDescent="0.3">
      <c r="B22" s="29"/>
      <c r="C22" s="30"/>
      <c r="D22" s="30"/>
      <c r="E22" s="52" t="s">
        <v>27</v>
      </c>
      <c r="F22" s="33">
        <v>35</v>
      </c>
      <c r="G22" s="162">
        <v>45574</v>
      </c>
      <c r="H22" s="162">
        <v>45622</v>
      </c>
      <c r="I22" s="33">
        <f t="shared" si="110"/>
        <v>35</v>
      </c>
      <c r="J22" s="35">
        <v>0.12</v>
      </c>
      <c r="K22" s="53"/>
      <c r="L22" s="127">
        <v>0</v>
      </c>
      <c r="M22" s="127">
        <v>0</v>
      </c>
      <c r="N22" s="127">
        <v>0</v>
      </c>
      <c r="O22" s="127">
        <v>0</v>
      </c>
      <c r="P22" s="127">
        <v>0</v>
      </c>
      <c r="Q22" s="127">
        <v>0</v>
      </c>
      <c r="R22" s="127">
        <v>0</v>
      </c>
      <c r="S22" s="127">
        <v>0</v>
      </c>
      <c r="T22" s="127">
        <v>0</v>
      </c>
      <c r="U22" s="127">
        <v>0</v>
      </c>
      <c r="V22" s="127">
        <v>0</v>
      </c>
      <c r="W22" s="127">
        <v>0</v>
      </c>
      <c r="X22" s="127">
        <v>0.40195635415226544</v>
      </c>
      <c r="Y22" s="127">
        <v>0.41363581387919096</v>
      </c>
      <c r="Z22" s="127">
        <v>0.41363581387919096</v>
      </c>
      <c r="AA22" s="127">
        <v>0.44661817128029491</v>
      </c>
      <c r="AB22" s="127">
        <v>0.44661817128029491</v>
      </c>
      <c r="AC22" s="127">
        <v>0.44661817128029491</v>
      </c>
      <c r="AD22" s="127">
        <v>0.44661817128029491</v>
      </c>
      <c r="AE22" s="127">
        <v>0.44661817128029491</v>
      </c>
      <c r="AF22" s="127">
        <v>0.44661817128029491</v>
      </c>
      <c r="AG22" s="127">
        <v>0.44661817128029491</v>
      </c>
      <c r="AH22" s="127">
        <v>0.470943476275133</v>
      </c>
      <c r="AI22" s="127">
        <v>0.470943476275133</v>
      </c>
      <c r="AJ22" s="127">
        <v>0.67840037955667998</v>
      </c>
      <c r="AK22" s="127">
        <v>0.67840037955667998</v>
      </c>
      <c r="AL22" s="127">
        <v>0.67840037955667998</v>
      </c>
      <c r="AM22" s="127">
        <v>0.67840037955667998</v>
      </c>
      <c r="AN22" s="127">
        <v>0.67840037955667998</v>
      </c>
      <c r="AO22" s="127">
        <v>0.67840037955667998</v>
      </c>
      <c r="AP22" s="127">
        <v>0.69850037955667998</v>
      </c>
      <c r="AQ22" s="127">
        <v>0.71860037955667999</v>
      </c>
      <c r="AR22" s="127">
        <v>0.73870037955668</v>
      </c>
      <c r="AS22" s="127">
        <v>0.75880037955668</v>
      </c>
      <c r="AT22" s="127">
        <v>0.77890037955668001</v>
      </c>
      <c r="AU22" s="127">
        <v>0.79900037955668002</v>
      </c>
      <c r="AV22" s="127">
        <v>0.81910037955668002</v>
      </c>
      <c r="AW22" s="127">
        <v>0.83920037955668003</v>
      </c>
      <c r="AX22" s="127">
        <v>0.85930037955668004</v>
      </c>
      <c r="AY22" s="127">
        <v>0.87940037955668005</v>
      </c>
      <c r="AZ22" s="127">
        <v>0.89950037955668005</v>
      </c>
      <c r="BA22" s="127">
        <v>0.91960037955668006</v>
      </c>
      <c r="BB22" s="127">
        <v>0.93970037955668007</v>
      </c>
      <c r="BC22" s="127">
        <v>0.95980037955668007</v>
      </c>
      <c r="BD22" s="127">
        <v>0.97990037955668008</v>
      </c>
      <c r="BE22" s="127">
        <v>1.0000003795566801</v>
      </c>
      <c r="BF22" s="127">
        <v>1</v>
      </c>
      <c r="BG22" s="127">
        <v>1</v>
      </c>
      <c r="BH22" s="127">
        <v>1</v>
      </c>
      <c r="BI22" s="127">
        <v>1</v>
      </c>
      <c r="BJ22" s="127">
        <v>1</v>
      </c>
      <c r="BK22" s="127">
        <v>1</v>
      </c>
      <c r="BL22" s="127">
        <v>1</v>
      </c>
      <c r="BM22" s="127">
        <v>1</v>
      </c>
      <c r="BN22" s="127">
        <v>1</v>
      </c>
      <c r="BO22" s="127">
        <v>1</v>
      </c>
      <c r="BP22" s="127">
        <v>1</v>
      </c>
      <c r="BQ22" s="127">
        <v>1</v>
      </c>
      <c r="BR22" s="163">
        <v>1</v>
      </c>
      <c r="BS22" s="163">
        <v>1</v>
      </c>
      <c r="BT22" s="163">
        <v>1</v>
      </c>
      <c r="BU22" s="163">
        <v>1</v>
      </c>
      <c r="BV22" s="163">
        <v>1</v>
      </c>
      <c r="BW22" s="163">
        <v>1</v>
      </c>
      <c r="BX22" s="163">
        <v>1</v>
      </c>
      <c r="BY22" s="163">
        <v>1</v>
      </c>
      <c r="BZ22" s="163">
        <v>1</v>
      </c>
      <c r="CA22" s="163">
        <v>1</v>
      </c>
      <c r="CB22" s="163">
        <v>1</v>
      </c>
      <c r="CC22" s="163">
        <v>1</v>
      </c>
      <c r="CD22" s="163">
        <v>1</v>
      </c>
      <c r="CE22" s="163">
        <v>1</v>
      </c>
      <c r="CF22" s="163">
        <v>1</v>
      </c>
      <c r="CG22" s="163">
        <v>1</v>
      </c>
      <c r="CH22" s="163">
        <v>1</v>
      </c>
      <c r="CI22" s="163">
        <v>1</v>
      </c>
      <c r="CJ22" s="163">
        <v>1</v>
      </c>
      <c r="CK22" s="163">
        <v>1</v>
      </c>
      <c r="CL22" s="163">
        <v>1</v>
      </c>
      <c r="CM22" s="163">
        <v>1</v>
      </c>
      <c r="CN22" s="163">
        <v>1</v>
      </c>
      <c r="CO22" s="163">
        <v>1</v>
      </c>
      <c r="CP22" s="163">
        <v>1</v>
      </c>
      <c r="CQ22" s="163">
        <v>1</v>
      </c>
      <c r="CR22" s="163">
        <v>1</v>
      </c>
      <c r="CS22" s="163">
        <v>1</v>
      </c>
      <c r="CT22" s="163">
        <v>1</v>
      </c>
      <c r="CU22" s="163">
        <v>1</v>
      </c>
      <c r="CV22" s="163">
        <v>1</v>
      </c>
      <c r="CW22" s="163">
        <v>1</v>
      </c>
      <c r="CX22" s="163">
        <v>1</v>
      </c>
      <c r="CY22" s="163">
        <v>1</v>
      </c>
      <c r="CZ22" s="163">
        <v>1</v>
      </c>
      <c r="DA22" s="163">
        <v>1</v>
      </c>
      <c r="DB22" s="163">
        <v>1</v>
      </c>
      <c r="DC22" s="163">
        <v>1</v>
      </c>
      <c r="DD22" s="163">
        <v>1</v>
      </c>
      <c r="DE22" s="163">
        <v>1</v>
      </c>
      <c r="DF22" s="163">
        <v>1</v>
      </c>
      <c r="DG22" s="163">
        <v>1</v>
      </c>
      <c r="DH22" s="347">
        <v>1</v>
      </c>
      <c r="DI22" s="163">
        <v>1</v>
      </c>
      <c r="DJ22" s="163">
        <v>1</v>
      </c>
      <c r="DK22" s="163">
        <v>1</v>
      </c>
      <c r="DL22" s="163">
        <v>1</v>
      </c>
      <c r="DM22" s="163">
        <v>1</v>
      </c>
      <c r="DN22" s="163">
        <v>1</v>
      </c>
      <c r="DO22" s="163">
        <v>1</v>
      </c>
      <c r="DP22" s="163">
        <v>1</v>
      </c>
      <c r="DQ22" s="163">
        <v>1</v>
      </c>
      <c r="DR22" s="163">
        <v>1</v>
      </c>
      <c r="DS22" s="163">
        <v>1</v>
      </c>
      <c r="DT22" s="163">
        <v>1</v>
      </c>
      <c r="DU22" s="163">
        <v>1</v>
      </c>
      <c r="DV22" s="163">
        <v>1</v>
      </c>
      <c r="DW22" s="163">
        <v>1</v>
      </c>
      <c r="DX22" s="163">
        <v>1</v>
      </c>
      <c r="DY22" s="163">
        <v>1</v>
      </c>
      <c r="DZ22" s="163">
        <v>1</v>
      </c>
      <c r="EA22" s="163">
        <v>1</v>
      </c>
      <c r="EB22" s="163">
        <v>1</v>
      </c>
      <c r="EC22" s="163">
        <v>1</v>
      </c>
      <c r="ED22" s="163">
        <v>1</v>
      </c>
      <c r="EE22" s="163">
        <v>1</v>
      </c>
      <c r="EF22" s="163">
        <v>1</v>
      </c>
      <c r="EG22" s="163">
        <v>1</v>
      </c>
      <c r="EH22" s="163">
        <v>1</v>
      </c>
      <c r="EI22" s="163">
        <v>1</v>
      </c>
      <c r="EJ22" s="163">
        <v>1</v>
      </c>
      <c r="EK22" s="163">
        <v>1</v>
      </c>
      <c r="EL22" s="163">
        <v>1</v>
      </c>
    </row>
    <row r="23" spans="2:142" hidden="1" outlineLevel="2" x14ac:dyDescent="0.3">
      <c r="B23" s="29"/>
      <c r="C23" s="30"/>
      <c r="D23" s="30"/>
      <c r="E23" s="52" t="s">
        <v>28</v>
      </c>
      <c r="F23" s="33">
        <v>35</v>
      </c>
      <c r="G23" s="162">
        <v>45588</v>
      </c>
      <c r="H23" s="162">
        <v>45636</v>
      </c>
      <c r="I23" s="33">
        <f t="shared" si="110"/>
        <v>35</v>
      </c>
      <c r="J23" s="35">
        <v>0.15</v>
      </c>
      <c r="K23" s="53"/>
      <c r="L23" s="127">
        <v>0</v>
      </c>
      <c r="M23" s="127">
        <v>0</v>
      </c>
      <c r="N23" s="127">
        <v>0</v>
      </c>
      <c r="O23" s="127">
        <v>0</v>
      </c>
      <c r="P23" s="127">
        <v>0</v>
      </c>
      <c r="Q23" s="127">
        <v>0</v>
      </c>
      <c r="R23" s="127">
        <v>0</v>
      </c>
      <c r="S23" s="127">
        <v>0</v>
      </c>
      <c r="T23" s="127">
        <v>0</v>
      </c>
      <c r="U23" s="127">
        <v>0</v>
      </c>
      <c r="V23" s="127">
        <v>0</v>
      </c>
      <c r="W23" s="127">
        <v>0</v>
      </c>
      <c r="X23" s="127">
        <v>0</v>
      </c>
      <c r="Y23" s="127">
        <v>0</v>
      </c>
      <c r="Z23" s="127">
        <v>0</v>
      </c>
      <c r="AA23" s="127">
        <v>0</v>
      </c>
      <c r="AB23" s="127">
        <v>0</v>
      </c>
      <c r="AC23" s="127">
        <v>0</v>
      </c>
      <c r="AD23" s="127">
        <v>0</v>
      </c>
      <c r="AE23" s="127">
        <v>0</v>
      </c>
      <c r="AF23" s="127">
        <v>0</v>
      </c>
      <c r="AG23" s="127">
        <v>0</v>
      </c>
      <c r="AH23" s="127">
        <v>0</v>
      </c>
      <c r="AI23" s="127">
        <v>0</v>
      </c>
      <c r="AJ23" s="127">
        <v>0</v>
      </c>
      <c r="AK23" s="127">
        <v>0</v>
      </c>
      <c r="AL23" s="127">
        <v>0</v>
      </c>
      <c r="AM23" s="127">
        <v>0</v>
      </c>
      <c r="AN23" s="127">
        <v>0</v>
      </c>
      <c r="AO23" s="127">
        <v>0</v>
      </c>
      <c r="AP23" s="127">
        <v>0</v>
      </c>
      <c r="AQ23" s="127">
        <v>0</v>
      </c>
      <c r="AR23" s="127">
        <v>0</v>
      </c>
      <c r="AS23" s="127">
        <v>0</v>
      </c>
      <c r="AT23" s="127">
        <v>0</v>
      </c>
      <c r="AU23" s="127">
        <v>0</v>
      </c>
      <c r="AV23" s="127">
        <v>0</v>
      </c>
      <c r="AW23" s="127">
        <v>0</v>
      </c>
      <c r="AX23" s="127">
        <v>0</v>
      </c>
      <c r="AY23" s="127">
        <v>0</v>
      </c>
      <c r="AZ23" s="127">
        <v>0</v>
      </c>
      <c r="BA23" s="127">
        <v>8.3299999999999999E-2</v>
      </c>
      <c r="BB23" s="127">
        <v>0.1666</v>
      </c>
      <c r="BC23" s="127">
        <v>0.24990000000000001</v>
      </c>
      <c r="BD23" s="127">
        <v>0.3332</v>
      </c>
      <c r="BE23" s="127">
        <v>0.41649999999999998</v>
      </c>
      <c r="BF23" s="127">
        <v>0.49979999999999997</v>
      </c>
      <c r="BG23" s="127">
        <v>0.58309999999999995</v>
      </c>
      <c r="BH23" s="127">
        <v>0.66639999999999999</v>
      </c>
      <c r="BI23" s="127">
        <v>0.74970000000000003</v>
      </c>
      <c r="BJ23" s="127">
        <v>0.83300000000000007</v>
      </c>
      <c r="BK23" s="127">
        <v>0.91630000000000011</v>
      </c>
      <c r="BL23" s="127">
        <v>0.99960000000000016</v>
      </c>
      <c r="BM23" s="127">
        <v>1</v>
      </c>
      <c r="BN23" s="127">
        <v>1</v>
      </c>
      <c r="BO23" s="127">
        <v>1</v>
      </c>
      <c r="BP23" s="127">
        <v>1</v>
      </c>
      <c r="BQ23" s="127">
        <v>1</v>
      </c>
      <c r="BR23" s="163">
        <v>1</v>
      </c>
      <c r="BS23" s="163">
        <v>1</v>
      </c>
      <c r="BT23" s="163">
        <v>1</v>
      </c>
      <c r="BU23" s="163">
        <v>1</v>
      </c>
      <c r="BV23" s="163">
        <v>1</v>
      </c>
      <c r="BW23" s="163">
        <v>1</v>
      </c>
      <c r="BX23" s="163">
        <v>1</v>
      </c>
      <c r="BY23" s="163">
        <v>1</v>
      </c>
      <c r="BZ23" s="163">
        <v>1</v>
      </c>
      <c r="CA23" s="163">
        <v>1</v>
      </c>
      <c r="CB23" s="163">
        <v>1</v>
      </c>
      <c r="CC23" s="163">
        <v>1</v>
      </c>
      <c r="CD23" s="163">
        <v>1</v>
      </c>
      <c r="CE23" s="163">
        <v>1</v>
      </c>
      <c r="CF23" s="163">
        <v>1</v>
      </c>
      <c r="CG23" s="163">
        <v>1</v>
      </c>
      <c r="CH23" s="163">
        <v>1</v>
      </c>
      <c r="CI23" s="163">
        <v>1</v>
      </c>
      <c r="CJ23" s="163">
        <v>1</v>
      </c>
      <c r="CK23" s="163">
        <v>1</v>
      </c>
      <c r="CL23" s="163">
        <v>1</v>
      </c>
      <c r="CM23" s="163">
        <v>1</v>
      </c>
      <c r="CN23" s="163">
        <v>1</v>
      </c>
      <c r="CO23" s="163">
        <v>1</v>
      </c>
      <c r="CP23" s="163">
        <v>1</v>
      </c>
      <c r="CQ23" s="163">
        <v>1</v>
      </c>
      <c r="CR23" s="163">
        <v>1</v>
      </c>
      <c r="CS23" s="163">
        <v>1</v>
      </c>
      <c r="CT23" s="163">
        <v>1</v>
      </c>
      <c r="CU23" s="163">
        <v>1</v>
      </c>
      <c r="CV23" s="163">
        <v>1</v>
      </c>
      <c r="CW23" s="163">
        <v>1</v>
      </c>
      <c r="CX23" s="163">
        <v>1</v>
      </c>
      <c r="CY23" s="163">
        <v>1</v>
      </c>
      <c r="CZ23" s="163">
        <v>1</v>
      </c>
      <c r="DA23" s="163">
        <v>1</v>
      </c>
      <c r="DB23" s="163">
        <v>1</v>
      </c>
      <c r="DC23" s="163">
        <v>1</v>
      </c>
      <c r="DD23" s="163">
        <v>1</v>
      </c>
      <c r="DE23" s="163">
        <v>1</v>
      </c>
      <c r="DF23" s="163">
        <v>1</v>
      </c>
      <c r="DG23" s="163">
        <v>1</v>
      </c>
      <c r="DH23" s="347">
        <v>1</v>
      </c>
      <c r="DI23" s="163">
        <v>1</v>
      </c>
      <c r="DJ23" s="163">
        <v>1</v>
      </c>
      <c r="DK23" s="163">
        <v>1</v>
      </c>
      <c r="DL23" s="163">
        <v>1</v>
      </c>
      <c r="DM23" s="163">
        <v>1</v>
      </c>
      <c r="DN23" s="163">
        <v>1</v>
      </c>
      <c r="DO23" s="163">
        <v>1</v>
      </c>
      <c r="DP23" s="163">
        <v>1</v>
      </c>
      <c r="DQ23" s="163">
        <v>1</v>
      </c>
      <c r="DR23" s="163">
        <v>1</v>
      </c>
      <c r="DS23" s="163">
        <v>1</v>
      </c>
      <c r="DT23" s="163">
        <v>1</v>
      </c>
      <c r="DU23" s="163">
        <v>1</v>
      </c>
      <c r="DV23" s="163">
        <v>1</v>
      </c>
      <c r="DW23" s="163">
        <v>1</v>
      </c>
      <c r="DX23" s="163">
        <v>1</v>
      </c>
      <c r="DY23" s="163">
        <v>1</v>
      </c>
      <c r="DZ23" s="163">
        <v>1</v>
      </c>
      <c r="EA23" s="163">
        <v>1</v>
      </c>
      <c r="EB23" s="163">
        <v>1</v>
      </c>
      <c r="EC23" s="163">
        <v>1</v>
      </c>
      <c r="ED23" s="163">
        <v>1</v>
      </c>
      <c r="EE23" s="163">
        <v>1</v>
      </c>
      <c r="EF23" s="163">
        <v>1</v>
      </c>
      <c r="EG23" s="163">
        <v>1</v>
      </c>
      <c r="EH23" s="163">
        <v>1</v>
      </c>
      <c r="EI23" s="163">
        <v>1</v>
      </c>
      <c r="EJ23" s="163">
        <v>1</v>
      </c>
      <c r="EK23" s="163">
        <v>1</v>
      </c>
      <c r="EL23" s="163">
        <v>1</v>
      </c>
    </row>
    <row r="24" spans="2:142" ht="15" hidden="1" outlineLevel="1" collapsed="1" x14ac:dyDescent="0.3">
      <c r="B24" s="22"/>
      <c r="C24" s="23"/>
      <c r="D24" s="23" t="s">
        <v>29</v>
      </c>
      <c r="E24" s="50"/>
      <c r="F24" s="26">
        <v>60</v>
      </c>
      <c r="G24" s="160">
        <v>45539</v>
      </c>
      <c r="H24" s="160">
        <v>45622</v>
      </c>
      <c r="I24" s="26">
        <f>+I25</f>
        <v>60</v>
      </c>
      <c r="J24" s="28">
        <v>6.2393862231159891E-2</v>
      </c>
      <c r="K24" s="51"/>
      <c r="L24" s="28">
        <f>+L25*$J$25</f>
        <v>0</v>
      </c>
      <c r="M24" s="28">
        <f t="shared" ref="M24:CP24" si="111">+M25*$J$25</f>
        <v>0</v>
      </c>
      <c r="N24" s="28">
        <f t="shared" si="111"/>
        <v>0</v>
      </c>
      <c r="O24" s="28">
        <f t="shared" si="111"/>
        <v>0</v>
      </c>
      <c r="P24" s="28">
        <f t="shared" si="111"/>
        <v>0</v>
      </c>
      <c r="Q24" s="28">
        <f t="shared" si="111"/>
        <v>0</v>
      </c>
      <c r="R24" s="28">
        <f t="shared" si="111"/>
        <v>2.6718749999999999E-2</v>
      </c>
      <c r="S24" s="28">
        <f t="shared" si="111"/>
        <v>7.3437500000000003E-2</v>
      </c>
      <c r="T24" s="28">
        <f t="shared" si="111"/>
        <v>0.21999999999999997</v>
      </c>
      <c r="U24" s="28">
        <f t="shared" si="111"/>
        <v>0.24249999999999999</v>
      </c>
      <c r="V24" s="28">
        <f t="shared" si="111"/>
        <v>0.35</v>
      </c>
      <c r="W24" s="28">
        <f t="shared" si="111"/>
        <v>0.35</v>
      </c>
      <c r="X24" s="28">
        <f t="shared" si="111"/>
        <v>0.35</v>
      </c>
      <c r="Y24" s="28">
        <f t="shared" si="111"/>
        <v>0.35</v>
      </c>
      <c r="Z24" s="28">
        <f t="shared" si="111"/>
        <v>0.35</v>
      </c>
      <c r="AA24" s="28">
        <f t="shared" si="111"/>
        <v>0.3725</v>
      </c>
      <c r="AB24" s="28">
        <f t="shared" si="111"/>
        <v>0.5</v>
      </c>
      <c r="AC24" s="28">
        <f t="shared" si="111"/>
        <v>0.57499999999999996</v>
      </c>
      <c r="AD24" s="28">
        <f t="shared" si="111"/>
        <v>0.57781249999999995</v>
      </c>
      <c r="AE24" s="28">
        <f t="shared" si="111"/>
        <v>0.58624999999999994</v>
      </c>
      <c r="AF24" s="28">
        <f t="shared" si="111"/>
        <v>0.58812500000000001</v>
      </c>
      <c r="AG24" s="28">
        <f t="shared" si="111"/>
        <v>0.58981249999999996</v>
      </c>
      <c r="AH24" s="28">
        <f t="shared" si="111"/>
        <v>0.60082812499999994</v>
      </c>
      <c r="AI24" s="28">
        <f t="shared" si="111"/>
        <v>0.60481249999999998</v>
      </c>
      <c r="AJ24" s="28">
        <f t="shared" si="111"/>
        <v>0.60783593749999998</v>
      </c>
      <c r="AK24" s="28">
        <f t="shared" si="111"/>
        <v>0.608515625</v>
      </c>
      <c r="AL24" s="28">
        <f t="shared" si="111"/>
        <v>0.608515625</v>
      </c>
      <c r="AM24" s="28">
        <f t="shared" si="111"/>
        <v>0.608515625</v>
      </c>
      <c r="AN24" s="28">
        <f t="shared" si="111"/>
        <v>0.61564062499999994</v>
      </c>
      <c r="AO24" s="28">
        <f t="shared" si="111"/>
        <v>0.62201562499999996</v>
      </c>
      <c r="AP24" s="28">
        <f t="shared" si="111"/>
        <v>0.6263749999999999</v>
      </c>
      <c r="AQ24" s="28">
        <f t="shared" si="111"/>
        <v>0.63550000000000006</v>
      </c>
      <c r="AR24" s="28">
        <f t="shared" si="111"/>
        <v>0.64654687499999997</v>
      </c>
      <c r="AS24" s="28">
        <f t="shared" si="111"/>
        <v>0.65668749999999998</v>
      </c>
      <c r="AT24" s="28">
        <f t="shared" si="111"/>
        <v>0.67578749999999999</v>
      </c>
      <c r="AU24" s="28">
        <f t="shared" si="111"/>
        <v>0.69488749999999999</v>
      </c>
      <c r="AV24" s="28">
        <f t="shared" si="111"/>
        <v>0.7139875</v>
      </c>
      <c r="AW24" s="28">
        <f t="shared" si="111"/>
        <v>0.7330875</v>
      </c>
      <c r="AX24" s="28">
        <f t="shared" si="111"/>
        <v>0.75218750000000001</v>
      </c>
      <c r="AY24" s="28">
        <f t="shared" si="111"/>
        <v>0.77128750000000001</v>
      </c>
      <c r="AZ24" s="28">
        <f t="shared" si="111"/>
        <v>0.79038750000000002</v>
      </c>
      <c r="BA24" s="28">
        <f t="shared" si="111"/>
        <v>0.80948750000000003</v>
      </c>
      <c r="BB24" s="28">
        <f t="shared" si="111"/>
        <v>0.82858750000000003</v>
      </c>
      <c r="BC24" s="28">
        <f t="shared" si="111"/>
        <v>0.84768750000000004</v>
      </c>
      <c r="BD24" s="28">
        <f t="shared" si="111"/>
        <v>0.86678750000000004</v>
      </c>
      <c r="BE24" s="28">
        <f t="shared" si="111"/>
        <v>0.88588750000000005</v>
      </c>
      <c r="BF24" s="28">
        <f t="shared" si="111"/>
        <v>0.90498750000000006</v>
      </c>
      <c r="BG24" s="28">
        <f t="shared" si="111"/>
        <v>0.92408750000000006</v>
      </c>
      <c r="BH24" s="28">
        <f t="shared" si="111"/>
        <v>0.94318750000000007</v>
      </c>
      <c r="BI24" s="28">
        <f t="shared" si="111"/>
        <v>0.96228750000000007</v>
      </c>
      <c r="BJ24" s="28">
        <f t="shared" si="111"/>
        <v>0.98138750000000008</v>
      </c>
      <c r="BK24" s="28">
        <f t="shared" si="111"/>
        <v>1.0004875</v>
      </c>
      <c r="BL24" s="28">
        <f t="shared" si="111"/>
        <v>1</v>
      </c>
      <c r="BM24" s="28">
        <f t="shared" si="111"/>
        <v>1</v>
      </c>
      <c r="BN24" s="28">
        <f t="shared" si="111"/>
        <v>1</v>
      </c>
      <c r="BO24" s="28">
        <f t="shared" si="111"/>
        <v>1</v>
      </c>
      <c r="BP24" s="28">
        <f t="shared" si="111"/>
        <v>1</v>
      </c>
      <c r="BQ24" s="28">
        <f t="shared" si="111"/>
        <v>1</v>
      </c>
      <c r="BR24" s="161">
        <f t="shared" si="111"/>
        <v>1</v>
      </c>
      <c r="BS24" s="161">
        <f t="shared" si="111"/>
        <v>1</v>
      </c>
      <c r="BT24" s="161">
        <f t="shared" si="111"/>
        <v>1</v>
      </c>
      <c r="BU24" s="161">
        <f t="shared" si="111"/>
        <v>1</v>
      </c>
      <c r="BV24" s="161">
        <f t="shared" si="111"/>
        <v>1</v>
      </c>
      <c r="BW24" s="161">
        <f t="shared" si="111"/>
        <v>1</v>
      </c>
      <c r="BX24" s="161">
        <f t="shared" si="111"/>
        <v>1</v>
      </c>
      <c r="BY24" s="161">
        <f t="shared" si="111"/>
        <v>1</v>
      </c>
      <c r="BZ24" s="161">
        <f t="shared" si="111"/>
        <v>1</v>
      </c>
      <c r="CA24" s="161">
        <f t="shared" si="111"/>
        <v>1</v>
      </c>
      <c r="CB24" s="161">
        <f t="shared" si="111"/>
        <v>1</v>
      </c>
      <c r="CC24" s="161">
        <f t="shared" si="111"/>
        <v>1</v>
      </c>
      <c r="CD24" s="161">
        <f t="shared" si="111"/>
        <v>1</v>
      </c>
      <c r="CE24" s="161">
        <f t="shared" si="111"/>
        <v>1</v>
      </c>
      <c r="CF24" s="161">
        <f t="shared" si="111"/>
        <v>1</v>
      </c>
      <c r="CG24" s="161">
        <f t="shared" si="111"/>
        <v>1</v>
      </c>
      <c r="CH24" s="161">
        <f t="shared" si="111"/>
        <v>1</v>
      </c>
      <c r="CI24" s="161">
        <f t="shared" si="111"/>
        <v>1</v>
      </c>
      <c r="CJ24" s="161">
        <f t="shared" si="111"/>
        <v>1</v>
      </c>
      <c r="CK24" s="161">
        <f t="shared" si="111"/>
        <v>1</v>
      </c>
      <c r="CL24" s="161">
        <f t="shared" si="111"/>
        <v>1</v>
      </c>
      <c r="CM24" s="161">
        <f t="shared" si="111"/>
        <v>1</v>
      </c>
      <c r="CN24" s="161">
        <f t="shared" si="111"/>
        <v>1</v>
      </c>
      <c r="CO24" s="161">
        <f t="shared" si="111"/>
        <v>1</v>
      </c>
      <c r="CP24" s="161">
        <f t="shared" si="111"/>
        <v>1</v>
      </c>
      <c r="CQ24" s="161">
        <f t="shared" ref="CQ24:EL24" si="112">+CQ25*$J$25</f>
        <v>1</v>
      </c>
      <c r="CR24" s="161">
        <f t="shared" si="112"/>
        <v>1</v>
      </c>
      <c r="CS24" s="161">
        <f t="shared" si="112"/>
        <v>1</v>
      </c>
      <c r="CT24" s="161">
        <f t="shared" si="112"/>
        <v>1</v>
      </c>
      <c r="CU24" s="161">
        <f t="shared" si="112"/>
        <v>1</v>
      </c>
      <c r="CV24" s="161">
        <f t="shared" si="112"/>
        <v>1</v>
      </c>
      <c r="CW24" s="161">
        <f t="shared" si="112"/>
        <v>1</v>
      </c>
      <c r="CX24" s="161">
        <f t="shared" si="112"/>
        <v>1</v>
      </c>
      <c r="CY24" s="161">
        <f t="shared" si="112"/>
        <v>1</v>
      </c>
      <c r="CZ24" s="161">
        <f t="shared" si="112"/>
        <v>1</v>
      </c>
      <c r="DA24" s="161">
        <f t="shared" si="112"/>
        <v>1</v>
      </c>
      <c r="DB24" s="161">
        <f t="shared" si="112"/>
        <v>1</v>
      </c>
      <c r="DC24" s="161">
        <f t="shared" si="112"/>
        <v>1</v>
      </c>
      <c r="DD24" s="161">
        <f t="shared" si="112"/>
        <v>1</v>
      </c>
      <c r="DE24" s="161">
        <f t="shared" si="112"/>
        <v>1</v>
      </c>
      <c r="DF24" s="161">
        <f t="shared" si="112"/>
        <v>1</v>
      </c>
      <c r="DG24" s="161">
        <f t="shared" si="112"/>
        <v>1</v>
      </c>
      <c r="DH24" s="346">
        <f t="shared" si="112"/>
        <v>1</v>
      </c>
      <c r="DI24" s="161">
        <f t="shared" si="112"/>
        <v>1</v>
      </c>
      <c r="DJ24" s="161">
        <f t="shared" si="112"/>
        <v>1</v>
      </c>
      <c r="DK24" s="161">
        <f t="shared" si="112"/>
        <v>1</v>
      </c>
      <c r="DL24" s="161">
        <f t="shared" si="112"/>
        <v>1</v>
      </c>
      <c r="DM24" s="161">
        <f t="shared" si="112"/>
        <v>1</v>
      </c>
      <c r="DN24" s="161">
        <f t="shared" si="112"/>
        <v>1</v>
      </c>
      <c r="DO24" s="161">
        <f t="shared" si="112"/>
        <v>1</v>
      </c>
      <c r="DP24" s="161">
        <f t="shared" si="112"/>
        <v>1</v>
      </c>
      <c r="DQ24" s="161">
        <f t="shared" si="112"/>
        <v>1</v>
      </c>
      <c r="DR24" s="161">
        <f t="shared" si="112"/>
        <v>1</v>
      </c>
      <c r="DS24" s="161">
        <f t="shared" si="112"/>
        <v>1</v>
      </c>
      <c r="DT24" s="161">
        <f t="shared" si="112"/>
        <v>1</v>
      </c>
      <c r="DU24" s="161">
        <f t="shared" si="112"/>
        <v>1</v>
      </c>
      <c r="DV24" s="161">
        <f t="shared" si="112"/>
        <v>1</v>
      </c>
      <c r="DW24" s="161">
        <f t="shared" si="112"/>
        <v>1</v>
      </c>
      <c r="DX24" s="161">
        <f t="shared" si="112"/>
        <v>1</v>
      </c>
      <c r="DY24" s="161">
        <f t="shared" si="112"/>
        <v>1</v>
      </c>
      <c r="DZ24" s="161">
        <f t="shared" si="112"/>
        <v>1</v>
      </c>
      <c r="EA24" s="161">
        <f t="shared" si="112"/>
        <v>1</v>
      </c>
      <c r="EB24" s="161">
        <f t="shared" si="112"/>
        <v>1</v>
      </c>
      <c r="EC24" s="161">
        <f t="shared" si="112"/>
        <v>1</v>
      </c>
      <c r="ED24" s="161">
        <f t="shared" si="112"/>
        <v>1</v>
      </c>
      <c r="EE24" s="161">
        <f t="shared" si="112"/>
        <v>1</v>
      </c>
      <c r="EF24" s="161">
        <f t="shared" si="112"/>
        <v>1</v>
      </c>
      <c r="EG24" s="161">
        <f t="shared" si="112"/>
        <v>1</v>
      </c>
      <c r="EH24" s="161">
        <f t="shared" si="112"/>
        <v>1</v>
      </c>
      <c r="EI24" s="161">
        <f t="shared" si="112"/>
        <v>1</v>
      </c>
      <c r="EJ24" s="161">
        <f t="shared" si="112"/>
        <v>1</v>
      </c>
      <c r="EK24" s="161">
        <f t="shared" si="112"/>
        <v>1</v>
      </c>
      <c r="EL24" s="161">
        <f t="shared" si="112"/>
        <v>1</v>
      </c>
    </row>
    <row r="25" spans="2:142" hidden="1" outlineLevel="2" x14ac:dyDescent="0.3">
      <c r="B25" s="36"/>
      <c r="C25" s="37"/>
      <c r="D25" s="37"/>
      <c r="E25" s="54" t="s">
        <v>30</v>
      </c>
      <c r="F25" s="33">
        <v>60</v>
      </c>
      <c r="G25" s="162">
        <v>45539</v>
      </c>
      <c r="H25" s="162">
        <v>45622</v>
      </c>
      <c r="I25" s="33">
        <f>+F25</f>
        <v>60</v>
      </c>
      <c r="J25" s="35">
        <v>1</v>
      </c>
      <c r="K25" s="53"/>
      <c r="L25" s="127">
        <v>0</v>
      </c>
      <c r="M25" s="127">
        <v>0</v>
      </c>
      <c r="N25" s="127">
        <v>0</v>
      </c>
      <c r="O25" s="127">
        <v>0</v>
      </c>
      <c r="P25" s="127">
        <v>0</v>
      </c>
      <c r="Q25" s="127">
        <v>0</v>
      </c>
      <c r="R25" s="127">
        <v>2.6718749999999999E-2</v>
      </c>
      <c r="S25" s="127">
        <v>7.3437500000000003E-2</v>
      </c>
      <c r="T25" s="127">
        <v>0.21999999999999997</v>
      </c>
      <c r="U25" s="127">
        <v>0.24249999999999999</v>
      </c>
      <c r="V25" s="127">
        <v>0.35</v>
      </c>
      <c r="W25" s="127">
        <v>0.35</v>
      </c>
      <c r="X25" s="127">
        <v>0.35</v>
      </c>
      <c r="Y25" s="127">
        <v>0.35</v>
      </c>
      <c r="Z25" s="127">
        <v>0.35</v>
      </c>
      <c r="AA25" s="127">
        <v>0.3725</v>
      </c>
      <c r="AB25" s="127">
        <v>0.5</v>
      </c>
      <c r="AC25" s="127">
        <v>0.57499999999999996</v>
      </c>
      <c r="AD25" s="127">
        <v>0.57781249999999995</v>
      </c>
      <c r="AE25" s="127">
        <v>0.58624999999999994</v>
      </c>
      <c r="AF25" s="127">
        <v>0.58812500000000001</v>
      </c>
      <c r="AG25" s="127">
        <v>0.58981249999999996</v>
      </c>
      <c r="AH25" s="127">
        <v>0.60082812499999994</v>
      </c>
      <c r="AI25" s="127">
        <v>0.60481249999999998</v>
      </c>
      <c r="AJ25" s="127">
        <v>0.60783593749999998</v>
      </c>
      <c r="AK25" s="127">
        <v>0.608515625</v>
      </c>
      <c r="AL25" s="127">
        <v>0.608515625</v>
      </c>
      <c r="AM25" s="127">
        <v>0.608515625</v>
      </c>
      <c r="AN25" s="127">
        <v>0.61564062499999994</v>
      </c>
      <c r="AO25" s="127">
        <v>0.62201562499999996</v>
      </c>
      <c r="AP25" s="127">
        <v>0.6263749999999999</v>
      </c>
      <c r="AQ25" s="127">
        <v>0.63550000000000006</v>
      </c>
      <c r="AR25" s="127">
        <v>0.64654687499999997</v>
      </c>
      <c r="AS25" s="127">
        <v>0.65668749999999998</v>
      </c>
      <c r="AT25" s="127">
        <v>0.67578749999999999</v>
      </c>
      <c r="AU25" s="127">
        <v>0.69488749999999999</v>
      </c>
      <c r="AV25" s="127">
        <v>0.7139875</v>
      </c>
      <c r="AW25" s="127">
        <v>0.7330875</v>
      </c>
      <c r="AX25" s="127">
        <v>0.75218750000000001</v>
      </c>
      <c r="AY25" s="127">
        <v>0.77128750000000001</v>
      </c>
      <c r="AZ25" s="127">
        <v>0.79038750000000002</v>
      </c>
      <c r="BA25" s="127">
        <v>0.80948750000000003</v>
      </c>
      <c r="BB25" s="127">
        <v>0.82858750000000003</v>
      </c>
      <c r="BC25" s="127">
        <v>0.84768750000000004</v>
      </c>
      <c r="BD25" s="127">
        <v>0.86678750000000004</v>
      </c>
      <c r="BE25" s="127">
        <v>0.88588750000000005</v>
      </c>
      <c r="BF25" s="127">
        <v>0.90498750000000006</v>
      </c>
      <c r="BG25" s="127">
        <v>0.92408750000000006</v>
      </c>
      <c r="BH25" s="127">
        <v>0.94318750000000007</v>
      </c>
      <c r="BI25" s="127">
        <v>0.96228750000000007</v>
      </c>
      <c r="BJ25" s="127">
        <v>0.98138750000000008</v>
      </c>
      <c r="BK25" s="127">
        <v>1.0004875</v>
      </c>
      <c r="BL25" s="127">
        <v>1</v>
      </c>
      <c r="BM25" s="127">
        <v>1</v>
      </c>
      <c r="BN25" s="127">
        <v>1</v>
      </c>
      <c r="BO25" s="127">
        <v>1</v>
      </c>
      <c r="BP25" s="127">
        <v>1</v>
      </c>
      <c r="BQ25" s="127">
        <v>1</v>
      </c>
      <c r="BR25" s="163">
        <v>1</v>
      </c>
      <c r="BS25" s="163">
        <v>1</v>
      </c>
      <c r="BT25" s="163">
        <v>1</v>
      </c>
      <c r="BU25" s="163">
        <v>1</v>
      </c>
      <c r="BV25" s="163">
        <v>1</v>
      </c>
      <c r="BW25" s="163">
        <v>1</v>
      </c>
      <c r="BX25" s="163">
        <v>1</v>
      </c>
      <c r="BY25" s="163">
        <v>1</v>
      </c>
      <c r="BZ25" s="163">
        <v>1</v>
      </c>
      <c r="CA25" s="163">
        <v>1</v>
      </c>
      <c r="CB25" s="163">
        <v>1</v>
      </c>
      <c r="CC25" s="163">
        <v>1</v>
      </c>
      <c r="CD25" s="163">
        <v>1</v>
      </c>
      <c r="CE25" s="163">
        <v>1</v>
      </c>
      <c r="CF25" s="163">
        <v>1</v>
      </c>
      <c r="CG25" s="163">
        <v>1</v>
      </c>
      <c r="CH25" s="163">
        <v>1</v>
      </c>
      <c r="CI25" s="163">
        <v>1</v>
      </c>
      <c r="CJ25" s="163">
        <v>1</v>
      </c>
      <c r="CK25" s="163">
        <v>1</v>
      </c>
      <c r="CL25" s="163">
        <v>1</v>
      </c>
      <c r="CM25" s="163">
        <v>1</v>
      </c>
      <c r="CN25" s="163">
        <v>1</v>
      </c>
      <c r="CO25" s="163">
        <v>1</v>
      </c>
      <c r="CP25" s="163">
        <v>1</v>
      </c>
      <c r="CQ25" s="163">
        <v>1</v>
      </c>
      <c r="CR25" s="163">
        <v>1</v>
      </c>
      <c r="CS25" s="163">
        <v>1</v>
      </c>
      <c r="CT25" s="163">
        <v>1</v>
      </c>
      <c r="CU25" s="163">
        <v>1</v>
      </c>
      <c r="CV25" s="163">
        <v>1</v>
      </c>
      <c r="CW25" s="163">
        <v>1</v>
      </c>
      <c r="CX25" s="163">
        <v>1</v>
      </c>
      <c r="CY25" s="163">
        <v>1</v>
      </c>
      <c r="CZ25" s="163">
        <v>1</v>
      </c>
      <c r="DA25" s="163">
        <v>1</v>
      </c>
      <c r="DB25" s="163">
        <v>1</v>
      </c>
      <c r="DC25" s="163">
        <v>1</v>
      </c>
      <c r="DD25" s="163">
        <v>1</v>
      </c>
      <c r="DE25" s="163">
        <v>1</v>
      </c>
      <c r="DF25" s="163">
        <v>1</v>
      </c>
      <c r="DG25" s="163">
        <v>1</v>
      </c>
      <c r="DH25" s="347">
        <v>1</v>
      </c>
      <c r="DI25" s="163">
        <v>1</v>
      </c>
      <c r="DJ25" s="163">
        <v>1</v>
      </c>
      <c r="DK25" s="163">
        <v>1</v>
      </c>
      <c r="DL25" s="163">
        <v>1</v>
      </c>
      <c r="DM25" s="163">
        <v>1</v>
      </c>
      <c r="DN25" s="163">
        <v>1</v>
      </c>
      <c r="DO25" s="163">
        <v>1</v>
      </c>
      <c r="DP25" s="163">
        <v>1</v>
      </c>
      <c r="DQ25" s="163">
        <v>1</v>
      </c>
      <c r="DR25" s="163">
        <v>1</v>
      </c>
      <c r="DS25" s="163">
        <v>1</v>
      </c>
      <c r="DT25" s="163">
        <v>1</v>
      </c>
      <c r="DU25" s="163">
        <v>1</v>
      </c>
      <c r="DV25" s="163">
        <v>1</v>
      </c>
      <c r="DW25" s="163">
        <v>1</v>
      </c>
      <c r="DX25" s="163">
        <v>1</v>
      </c>
      <c r="DY25" s="163">
        <v>1</v>
      </c>
      <c r="DZ25" s="163">
        <v>1</v>
      </c>
      <c r="EA25" s="163">
        <v>1</v>
      </c>
      <c r="EB25" s="163">
        <v>1</v>
      </c>
      <c r="EC25" s="163">
        <v>1</v>
      </c>
      <c r="ED25" s="163">
        <v>1</v>
      </c>
      <c r="EE25" s="163">
        <v>1</v>
      </c>
      <c r="EF25" s="163">
        <v>1</v>
      </c>
      <c r="EG25" s="163">
        <v>1</v>
      </c>
      <c r="EH25" s="163">
        <v>1</v>
      </c>
      <c r="EI25" s="163">
        <v>1</v>
      </c>
      <c r="EJ25" s="163">
        <v>1</v>
      </c>
      <c r="EK25" s="163">
        <v>1</v>
      </c>
      <c r="EL25" s="163">
        <v>1</v>
      </c>
    </row>
    <row r="26" spans="2:142" ht="15" hidden="1" outlineLevel="1" collapsed="1" x14ac:dyDescent="0.3">
      <c r="B26" s="22"/>
      <c r="C26" s="23"/>
      <c r="D26" s="23" t="s">
        <v>31</v>
      </c>
      <c r="E26" s="50"/>
      <c r="F26" s="26">
        <v>183</v>
      </c>
      <c r="G26" s="160">
        <v>45489</v>
      </c>
      <c r="H26" s="160">
        <v>45782</v>
      </c>
      <c r="I26" s="26">
        <f>+SUM(I27:I33)</f>
        <v>320</v>
      </c>
      <c r="J26" s="28">
        <v>0.12500840447381109</v>
      </c>
      <c r="K26" s="51"/>
      <c r="L26" s="28">
        <f>+SUMPRODUCT($J$27:$J$33,L27:L33)</f>
        <v>0</v>
      </c>
      <c r="M26" s="28">
        <f t="shared" ref="M26:BU26" si="113">+SUMPRODUCT($J$27:$J$33,M27:M33)</f>
        <v>0</v>
      </c>
      <c r="N26" s="28">
        <f t="shared" si="113"/>
        <v>0</v>
      </c>
      <c r="O26" s="28">
        <f t="shared" si="113"/>
        <v>0</v>
      </c>
      <c r="P26" s="28">
        <f t="shared" si="113"/>
        <v>0</v>
      </c>
      <c r="Q26" s="28">
        <f t="shared" si="113"/>
        <v>0</v>
      </c>
      <c r="R26" s="28">
        <f t="shared" si="113"/>
        <v>3.5000000000000003E-2</v>
      </c>
      <c r="S26" s="28">
        <f t="shared" si="113"/>
        <v>7.3062500000000002E-2</v>
      </c>
      <c r="T26" s="28">
        <f t="shared" si="113"/>
        <v>8.8350499999999998E-2</v>
      </c>
      <c r="U26" s="28">
        <f t="shared" si="113"/>
        <v>0.1138305</v>
      </c>
      <c r="V26" s="28">
        <f t="shared" si="113"/>
        <v>0.341059</v>
      </c>
      <c r="W26" s="28">
        <f t="shared" si="113"/>
        <v>0.341059</v>
      </c>
      <c r="X26" s="28">
        <f t="shared" si="113"/>
        <v>0.39271900000000004</v>
      </c>
      <c r="Y26" s="28">
        <f t="shared" si="113"/>
        <v>0.40937900000000005</v>
      </c>
      <c r="Z26" s="28">
        <f t="shared" si="113"/>
        <v>0.40937900000000005</v>
      </c>
      <c r="AA26" s="28">
        <f t="shared" si="113"/>
        <v>0.40937900000000005</v>
      </c>
      <c r="AB26" s="28">
        <f t="shared" si="113"/>
        <v>0.45800733333333332</v>
      </c>
      <c r="AC26" s="28">
        <f t="shared" si="113"/>
        <v>0.55937899999999996</v>
      </c>
      <c r="AD26" s="28">
        <f t="shared" si="113"/>
        <v>0.55937899999999996</v>
      </c>
      <c r="AE26" s="28">
        <f t="shared" si="113"/>
        <v>0.56861899999999999</v>
      </c>
      <c r="AF26" s="28">
        <f t="shared" si="113"/>
        <v>0.57475100000000001</v>
      </c>
      <c r="AG26" s="28">
        <f t="shared" si="113"/>
        <v>0.57475100000000001</v>
      </c>
      <c r="AH26" s="28">
        <f t="shared" si="113"/>
        <v>0.57475100000000001</v>
      </c>
      <c r="AI26" s="28">
        <f t="shared" si="113"/>
        <v>0.57475100000000001</v>
      </c>
      <c r="AJ26" s="28">
        <f t="shared" si="113"/>
        <v>0.58823132</v>
      </c>
      <c r="AK26" s="28">
        <f t="shared" si="113"/>
        <v>0.59012299999999995</v>
      </c>
      <c r="AL26" s="28">
        <f t="shared" si="113"/>
        <v>0.59012299999999995</v>
      </c>
      <c r="AM26" s="28">
        <f t="shared" si="113"/>
        <v>0.59012299999999995</v>
      </c>
      <c r="AN26" s="28">
        <f t="shared" si="113"/>
        <v>0.59012299999999995</v>
      </c>
      <c r="AO26" s="28">
        <f t="shared" si="113"/>
        <v>0.59362300000000001</v>
      </c>
      <c r="AP26" s="28">
        <f t="shared" si="113"/>
        <v>0.59362300000000001</v>
      </c>
      <c r="AQ26" s="28">
        <f t="shared" si="113"/>
        <v>0.59362300000000001</v>
      </c>
      <c r="AR26" s="28">
        <f t="shared" si="113"/>
        <v>0.59362300000000001</v>
      </c>
      <c r="AS26" s="28">
        <f t="shared" si="113"/>
        <v>0.59362300000000001</v>
      </c>
      <c r="AT26" s="28">
        <f t="shared" si="113"/>
        <v>0.59362300000000001</v>
      </c>
      <c r="AU26" s="28">
        <f t="shared" si="113"/>
        <v>0.59362300000000001</v>
      </c>
      <c r="AV26" s="28">
        <f t="shared" si="113"/>
        <v>0.59575800000000001</v>
      </c>
      <c r="AW26" s="28">
        <f t="shared" si="113"/>
        <v>0.59789300000000001</v>
      </c>
      <c r="AX26" s="28">
        <f t="shared" si="113"/>
        <v>0.60002800000000001</v>
      </c>
      <c r="AY26" s="28">
        <f t="shared" si="113"/>
        <v>0.6</v>
      </c>
      <c r="AZ26" s="28">
        <f t="shared" si="113"/>
        <v>0.6</v>
      </c>
      <c r="BA26" s="28">
        <f t="shared" si="113"/>
        <v>0.6</v>
      </c>
      <c r="BB26" s="28">
        <f t="shared" si="113"/>
        <v>0.63332999999999995</v>
      </c>
      <c r="BC26" s="28">
        <f t="shared" si="113"/>
        <v>0.66666000000000003</v>
      </c>
      <c r="BD26" s="28">
        <f t="shared" si="113"/>
        <v>0.69999</v>
      </c>
      <c r="BE26" s="28">
        <f t="shared" si="113"/>
        <v>0.73331999999999997</v>
      </c>
      <c r="BF26" s="28">
        <f t="shared" si="113"/>
        <v>0.78093999999999997</v>
      </c>
      <c r="BG26" s="28">
        <f t="shared" si="113"/>
        <v>0.82855999999999996</v>
      </c>
      <c r="BH26" s="28">
        <f t="shared" si="113"/>
        <v>0.87617999999999996</v>
      </c>
      <c r="BI26" s="28">
        <f t="shared" si="113"/>
        <v>0.92379999999999995</v>
      </c>
      <c r="BJ26" s="28">
        <f t="shared" si="113"/>
        <v>0.97141999999999995</v>
      </c>
      <c r="BK26" s="28">
        <f t="shared" si="113"/>
        <v>0.98573999999999995</v>
      </c>
      <c r="BL26" s="28">
        <f t="shared" si="113"/>
        <v>1.00003</v>
      </c>
      <c r="BM26" s="28">
        <f t="shared" si="113"/>
        <v>0.99999999999999989</v>
      </c>
      <c r="BN26" s="28">
        <f t="shared" si="113"/>
        <v>0.99999999999999989</v>
      </c>
      <c r="BO26" s="28">
        <f t="shared" si="113"/>
        <v>0.99999999999999989</v>
      </c>
      <c r="BP26" s="28">
        <f t="shared" si="113"/>
        <v>0.99999999999999989</v>
      </c>
      <c r="BQ26" s="28">
        <f t="shared" si="113"/>
        <v>0.99999999999999989</v>
      </c>
      <c r="BR26" s="161">
        <f t="shared" si="113"/>
        <v>0.99999999999999989</v>
      </c>
      <c r="BS26" s="161">
        <f t="shared" si="113"/>
        <v>0.99999999999999989</v>
      </c>
      <c r="BT26" s="161">
        <f t="shared" si="113"/>
        <v>0.99999999999999989</v>
      </c>
      <c r="BU26" s="161">
        <f t="shared" si="113"/>
        <v>0.99999999999999989</v>
      </c>
      <c r="BV26" s="161">
        <f t="shared" ref="BV26:CL26" si="114">+SUMPRODUCT($J$27:$J$33,BV27:BV33)</f>
        <v>0.99999999999999989</v>
      </c>
      <c r="BW26" s="161">
        <f t="shared" si="114"/>
        <v>0.99999999999999989</v>
      </c>
      <c r="BX26" s="161">
        <f t="shared" si="114"/>
        <v>0.99999999999999989</v>
      </c>
      <c r="BY26" s="161">
        <f t="shared" si="114"/>
        <v>0.99999999999999989</v>
      </c>
      <c r="BZ26" s="161">
        <f t="shared" si="114"/>
        <v>0.99999999999999989</v>
      </c>
      <c r="CA26" s="161">
        <f t="shared" si="114"/>
        <v>0.99999999999999989</v>
      </c>
      <c r="CB26" s="161">
        <f t="shared" si="114"/>
        <v>0.99999999999999989</v>
      </c>
      <c r="CC26" s="161">
        <f t="shared" si="114"/>
        <v>0.99999999999999989</v>
      </c>
      <c r="CD26" s="161">
        <f t="shared" si="114"/>
        <v>0.99999999999999989</v>
      </c>
      <c r="CE26" s="161">
        <f t="shared" si="114"/>
        <v>0.99999999999999989</v>
      </c>
      <c r="CF26" s="161">
        <f t="shared" si="114"/>
        <v>0.99999999999999989</v>
      </c>
      <c r="CG26" s="161">
        <f t="shared" si="114"/>
        <v>0.99999999999999989</v>
      </c>
      <c r="CH26" s="161">
        <f t="shared" si="114"/>
        <v>0.99999999999999989</v>
      </c>
      <c r="CI26" s="161">
        <f t="shared" si="114"/>
        <v>0.99999999999999989</v>
      </c>
      <c r="CJ26" s="161">
        <f t="shared" si="114"/>
        <v>0.99999999999999989</v>
      </c>
      <c r="CK26" s="161">
        <f t="shared" si="114"/>
        <v>0.99999999999999989</v>
      </c>
      <c r="CL26" s="161">
        <f t="shared" si="114"/>
        <v>0.99999999999999989</v>
      </c>
      <c r="CM26" s="161">
        <f t="shared" ref="CM26:CN26" si="115">+SUMPRODUCT($J$27:$J$33,CM27:CM33)</f>
        <v>0.99999999999999989</v>
      </c>
      <c r="CN26" s="161">
        <f t="shared" si="115"/>
        <v>0.99999999999999989</v>
      </c>
      <c r="CO26" s="161">
        <f t="shared" ref="CO26" si="116">+SUMPRODUCT($J$27:$J$33,CO27:CO33)</f>
        <v>0.99999999999999989</v>
      </c>
      <c r="CP26" s="161">
        <f t="shared" ref="CP26:CV26" si="117">+SUMPRODUCT($J$27:$J$33,CP27:CP33)</f>
        <v>0.99999999999999989</v>
      </c>
      <c r="CQ26" s="161">
        <f t="shared" si="117"/>
        <v>0.99999999999999989</v>
      </c>
      <c r="CR26" s="161">
        <f t="shared" si="117"/>
        <v>0.99999999999999989</v>
      </c>
      <c r="CS26" s="161">
        <f t="shared" si="117"/>
        <v>0.99999999999999989</v>
      </c>
      <c r="CT26" s="161">
        <f t="shared" si="117"/>
        <v>0.99999999999999989</v>
      </c>
      <c r="CU26" s="161">
        <f t="shared" si="117"/>
        <v>0.99999999999999989</v>
      </c>
      <c r="CV26" s="161">
        <f t="shared" si="117"/>
        <v>0.99999999999999989</v>
      </c>
      <c r="CW26" s="161">
        <f t="shared" ref="CW26:CY26" si="118">+SUMPRODUCT($J$27:$J$33,CW27:CW33)</f>
        <v>0.99999999999999989</v>
      </c>
      <c r="CX26" s="161">
        <f t="shared" si="118"/>
        <v>0.99999999999999989</v>
      </c>
      <c r="CY26" s="161">
        <f t="shared" si="118"/>
        <v>0.99999999999999989</v>
      </c>
      <c r="CZ26" s="161">
        <f t="shared" ref="CZ26:DA26" si="119">+SUMPRODUCT($J$27:$J$33,CZ27:CZ33)</f>
        <v>0.99999999999999989</v>
      </c>
      <c r="DA26" s="161">
        <f t="shared" si="119"/>
        <v>0.99999999999999989</v>
      </c>
      <c r="DB26" s="161">
        <f t="shared" ref="DB26:DC26" si="120">+SUMPRODUCT($J$27:$J$33,DB27:DB33)</f>
        <v>0.99999999999999989</v>
      </c>
      <c r="DC26" s="161">
        <f t="shared" si="120"/>
        <v>0.99999999999999989</v>
      </c>
      <c r="DD26" s="161">
        <f t="shared" ref="DD26:DE26" si="121">+SUMPRODUCT($J$27:$J$33,DD27:DD33)</f>
        <v>0.99999999999999989</v>
      </c>
      <c r="DE26" s="161">
        <f t="shared" si="121"/>
        <v>0.99999999999999989</v>
      </c>
      <c r="DF26" s="161">
        <f t="shared" ref="DF26:DG26" si="122">+SUMPRODUCT($J$27:$J$33,DF27:DF33)</f>
        <v>0.99999999999999989</v>
      </c>
      <c r="DG26" s="161">
        <f t="shared" si="122"/>
        <v>0.99999999999999989</v>
      </c>
      <c r="DH26" s="346">
        <f t="shared" ref="DH26:EL26" si="123">+SUMPRODUCT($J$27:$J$33,DH27:DH33)</f>
        <v>0.99999999999999989</v>
      </c>
      <c r="DI26" s="161">
        <f t="shared" si="123"/>
        <v>0.99999999999999989</v>
      </c>
      <c r="DJ26" s="161">
        <f t="shared" si="123"/>
        <v>0.99999999999999989</v>
      </c>
      <c r="DK26" s="161">
        <f t="shared" si="123"/>
        <v>0.99999999999999989</v>
      </c>
      <c r="DL26" s="161">
        <f t="shared" si="123"/>
        <v>0.99999999999999989</v>
      </c>
      <c r="DM26" s="161">
        <f t="shared" si="123"/>
        <v>0.99999999999999989</v>
      </c>
      <c r="DN26" s="161">
        <f t="shared" si="123"/>
        <v>0.99999999999999989</v>
      </c>
      <c r="DO26" s="161">
        <f t="shared" si="123"/>
        <v>0.99999999999999989</v>
      </c>
      <c r="DP26" s="161">
        <f t="shared" si="123"/>
        <v>0.99999999999999989</v>
      </c>
      <c r="DQ26" s="161">
        <f t="shared" si="123"/>
        <v>0.99999999999999989</v>
      </c>
      <c r="DR26" s="161">
        <f t="shared" si="123"/>
        <v>0.99999999999999989</v>
      </c>
      <c r="DS26" s="161">
        <f t="shared" si="123"/>
        <v>0.99999999999999989</v>
      </c>
      <c r="DT26" s="161">
        <f t="shared" si="123"/>
        <v>0.99999999999999989</v>
      </c>
      <c r="DU26" s="161">
        <f t="shared" si="123"/>
        <v>0.99999999999999989</v>
      </c>
      <c r="DV26" s="161">
        <f t="shared" si="123"/>
        <v>0.99999999999999989</v>
      </c>
      <c r="DW26" s="161">
        <f t="shared" si="123"/>
        <v>0.99999999999999989</v>
      </c>
      <c r="DX26" s="161">
        <f t="shared" si="123"/>
        <v>0.99999999999999989</v>
      </c>
      <c r="DY26" s="161">
        <f t="shared" si="123"/>
        <v>0.99999999999999989</v>
      </c>
      <c r="DZ26" s="161">
        <f t="shared" si="123"/>
        <v>0.99999999999999989</v>
      </c>
      <c r="EA26" s="161">
        <f t="shared" si="123"/>
        <v>0.99999999999999989</v>
      </c>
      <c r="EB26" s="161">
        <f t="shared" si="123"/>
        <v>0.99999999999999989</v>
      </c>
      <c r="EC26" s="161">
        <f t="shared" si="123"/>
        <v>0.99999999999999989</v>
      </c>
      <c r="ED26" s="161">
        <f t="shared" si="123"/>
        <v>0.99999999999999989</v>
      </c>
      <c r="EE26" s="161">
        <f t="shared" si="123"/>
        <v>0.99999999999999989</v>
      </c>
      <c r="EF26" s="161">
        <f t="shared" si="123"/>
        <v>0.99999999999999989</v>
      </c>
      <c r="EG26" s="161">
        <f t="shared" si="123"/>
        <v>0.99999999999999989</v>
      </c>
      <c r="EH26" s="161">
        <f t="shared" si="123"/>
        <v>0.99999999999999989</v>
      </c>
      <c r="EI26" s="161">
        <f t="shared" si="123"/>
        <v>0.99999999999999989</v>
      </c>
      <c r="EJ26" s="161">
        <f t="shared" si="123"/>
        <v>0.99999999999999989</v>
      </c>
      <c r="EK26" s="161">
        <f t="shared" si="123"/>
        <v>0.99999999999999989</v>
      </c>
      <c r="EL26" s="161">
        <f t="shared" si="123"/>
        <v>0.99999999999999989</v>
      </c>
    </row>
    <row r="27" spans="2:142" hidden="1" outlineLevel="2" x14ac:dyDescent="0.3">
      <c r="B27" s="29"/>
      <c r="C27" s="30"/>
      <c r="D27" s="30"/>
      <c r="E27" s="52" t="s">
        <v>32</v>
      </c>
      <c r="F27" s="33">
        <v>30</v>
      </c>
      <c r="G27" s="162">
        <v>45518</v>
      </c>
      <c r="H27" s="162">
        <v>45559</v>
      </c>
      <c r="I27" s="33">
        <f>+F27</f>
        <v>30</v>
      </c>
      <c r="J27" s="35">
        <v>0.05</v>
      </c>
      <c r="K27" s="53"/>
      <c r="L27" s="127">
        <v>0</v>
      </c>
      <c r="M27" s="127">
        <v>0</v>
      </c>
      <c r="N27" s="127">
        <v>0</v>
      </c>
      <c r="O27" s="127">
        <v>0</v>
      </c>
      <c r="P27" s="127">
        <v>0</v>
      </c>
      <c r="Q27" s="127">
        <v>0</v>
      </c>
      <c r="R27" s="127">
        <v>0</v>
      </c>
      <c r="S27" s="127">
        <v>0</v>
      </c>
      <c r="T27" s="127">
        <v>0</v>
      </c>
      <c r="U27" s="127">
        <v>0</v>
      </c>
      <c r="V27" s="127">
        <v>0</v>
      </c>
      <c r="W27" s="127">
        <v>0</v>
      </c>
      <c r="X27" s="127">
        <v>0</v>
      </c>
      <c r="Y27" s="127">
        <v>0</v>
      </c>
      <c r="Z27" s="127">
        <v>0</v>
      </c>
      <c r="AA27" s="127">
        <v>0</v>
      </c>
      <c r="AB27" s="127">
        <v>0</v>
      </c>
      <c r="AC27" s="127">
        <v>1</v>
      </c>
      <c r="AD27" s="127">
        <v>1</v>
      </c>
      <c r="AE27" s="127">
        <v>1</v>
      </c>
      <c r="AF27" s="127">
        <v>1</v>
      </c>
      <c r="AG27" s="127">
        <v>1</v>
      </c>
      <c r="AH27" s="127">
        <v>1</v>
      </c>
      <c r="AI27" s="127">
        <v>1</v>
      </c>
      <c r="AJ27" s="127">
        <v>1</v>
      </c>
      <c r="AK27" s="127">
        <v>1</v>
      </c>
      <c r="AL27" s="127">
        <v>1</v>
      </c>
      <c r="AM27" s="127">
        <v>1</v>
      </c>
      <c r="AN27" s="127">
        <v>1</v>
      </c>
      <c r="AO27" s="127">
        <v>1</v>
      </c>
      <c r="AP27" s="127">
        <v>1</v>
      </c>
      <c r="AQ27" s="127">
        <v>1</v>
      </c>
      <c r="AR27" s="127">
        <v>1</v>
      </c>
      <c r="AS27" s="127">
        <v>1</v>
      </c>
      <c r="AT27" s="127">
        <v>1</v>
      </c>
      <c r="AU27" s="127">
        <v>1</v>
      </c>
      <c r="AV27" s="127">
        <v>1</v>
      </c>
      <c r="AW27" s="127">
        <v>1</v>
      </c>
      <c r="AX27" s="127">
        <v>1</v>
      </c>
      <c r="AY27" s="127">
        <v>1</v>
      </c>
      <c r="AZ27" s="127">
        <v>1</v>
      </c>
      <c r="BA27" s="127">
        <v>1</v>
      </c>
      <c r="BB27" s="127">
        <v>1</v>
      </c>
      <c r="BC27" s="127">
        <v>1</v>
      </c>
      <c r="BD27" s="127">
        <v>1</v>
      </c>
      <c r="BE27" s="127">
        <v>1</v>
      </c>
      <c r="BF27" s="127">
        <v>1</v>
      </c>
      <c r="BG27" s="127">
        <v>1</v>
      </c>
      <c r="BH27" s="127">
        <v>1</v>
      </c>
      <c r="BI27" s="127">
        <v>1</v>
      </c>
      <c r="BJ27" s="127">
        <v>1</v>
      </c>
      <c r="BK27" s="127">
        <v>1</v>
      </c>
      <c r="BL27" s="127">
        <v>1</v>
      </c>
      <c r="BM27" s="127">
        <v>1</v>
      </c>
      <c r="BN27" s="127">
        <v>1</v>
      </c>
      <c r="BO27" s="127">
        <v>1</v>
      </c>
      <c r="BP27" s="127">
        <v>1</v>
      </c>
      <c r="BQ27" s="127">
        <v>1</v>
      </c>
      <c r="BR27" s="163">
        <v>1</v>
      </c>
      <c r="BS27" s="163">
        <v>1</v>
      </c>
      <c r="BT27" s="163">
        <v>1</v>
      </c>
      <c r="BU27" s="163">
        <v>1</v>
      </c>
      <c r="BV27" s="163">
        <v>1</v>
      </c>
      <c r="BW27" s="163">
        <v>1</v>
      </c>
      <c r="BX27" s="163">
        <v>1</v>
      </c>
      <c r="BY27" s="163">
        <v>1</v>
      </c>
      <c r="BZ27" s="163">
        <v>1</v>
      </c>
      <c r="CA27" s="163">
        <v>1</v>
      </c>
      <c r="CB27" s="163">
        <v>1</v>
      </c>
      <c r="CC27" s="163">
        <v>1</v>
      </c>
      <c r="CD27" s="163">
        <v>1</v>
      </c>
      <c r="CE27" s="163">
        <v>1</v>
      </c>
      <c r="CF27" s="163">
        <v>1</v>
      </c>
      <c r="CG27" s="163">
        <v>1</v>
      </c>
      <c r="CH27" s="163">
        <v>1</v>
      </c>
      <c r="CI27" s="163">
        <v>1</v>
      </c>
      <c r="CJ27" s="163">
        <v>1</v>
      </c>
      <c r="CK27" s="163">
        <v>1</v>
      </c>
      <c r="CL27" s="163">
        <v>1</v>
      </c>
      <c r="CM27" s="163">
        <v>1</v>
      </c>
      <c r="CN27" s="163">
        <v>1</v>
      </c>
      <c r="CO27" s="163">
        <v>1</v>
      </c>
      <c r="CP27" s="163">
        <v>1</v>
      </c>
      <c r="CQ27" s="163">
        <v>1</v>
      </c>
      <c r="CR27" s="163">
        <v>1</v>
      </c>
      <c r="CS27" s="163">
        <v>1</v>
      </c>
      <c r="CT27" s="163">
        <v>1</v>
      </c>
      <c r="CU27" s="163">
        <v>1</v>
      </c>
      <c r="CV27" s="163">
        <v>1</v>
      </c>
      <c r="CW27" s="163">
        <v>1</v>
      </c>
      <c r="CX27" s="163">
        <v>1</v>
      </c>
      <c r="CY27" s="163">
        <v>1</v>
      </c>
      <c r="CZ27" s="163">
        <v>1</v>
      </c>
      <c r="DA27" s="163">
        <v>1</v>
      </c>
      <c r="DB27" s="163">
        <v>1</v>
      </c>
      <c r="DC27" s="163">
        <v>1</v>
      </c>
      <c r="DD27" s="163">
        <v>1</v>
      </c>
      <c r="DE27" s="163">
        <v>1</v>
      </c>
      <c r="DF27" s="163">
        <v>1</v>
      </c>
      <c r="DG27" s="163">
        <v>1</v>
      </c>
      <c r="DH27" s="347">
        <v>1</v>
      </c>
      <c r="DI27" s="163">
        <v>1</v>
      </c>
      <c r="DJ27" s="163">
        <v>1</v>
      </c>
      <c r="DK27" s="163">
        <v>1</v>
      </c>
      <c r="DL27" s="163">
        <v>1</v>
      </c>
      <c r="DM27" s="163">
        <v>1</v>
      </c>
      <c r="DN27" s="163">
        <v>1</v>
      </c>
      <c r="DO27" s="163">
        <v>1</v>
      </c>
      <c r="DP27" s="163">
        <v>1</v>
      </c>
      <c r="DQ27" s="163">
        <v>1</v>
      </c>
      <c r="DR27" s="163">
        <v>1</v>
      </c>
      <c r="DS27" s="163">
        <v>1</v>
      </c>
      <c r="DT27" s="163">
        <v>1</v>
      </c>
      <c r="DU27" s="163">
        <v>1</v>
      </c>
      <c r="DV27" s="163">
        <v>1</v>
      </c>
      <c r="DW27" s="163">
        <v>1</v>
      </c>
      <c r="DX27" s="163">
        <v>1</v>
      </c>
      <c r="DY27" s="163">
        <v>1</v>
      </c>
      <c r="DZ27" s="163">
        <v>1</v>
      </c>
      <c r="EA27" s="163">
        <v>1</v>
      </c>
      <c r="EB27" s="163">
        <v>1</v>
      </c>
      <c r="EC27" s="163">
        <v>1</v>
      </c>
      <c r="ED27" s="163">
        <v>1</v>
      </c>
      <c r="EE27" s="163">
        <v>1</v>
      </c>
      <c r="EF27" s="163">
        <v>1</v>
      </c>
      <c r="EG27" s="163">
        <v>1</v>
      </c>
      <c r="EH27" s="163">
        <v>1</v>
      </c>
      <c r="EI27" s="163">
        <v>1</v>
      </c>
      <c r="EJ27" s="163">
        <v>1</v>
      </c>
      <c r="EK27" s="163">
        <v>1</v>
      </c>
      <c r="EL27" s="163">
        <v>1</v>
      </c>
    </row>
    <row r="28" spans="2:142" hidden="1" outlineLevel="2" x14ac:dyDescent="0.3">
      <c r="B28" s="36"/>
      <c r="C28" s="37"/>
      <c r="D28" s="37"/>
      <c r="E28" s="54" t="s">
        <v>33</v>
      </c>
      <c r="F28" s="33">
        <v>55</v>
      </c>
      <c r="G28" s="162">
        <v>45489</v>
      </c>
      <c r="H28" s="162">
        <v>45566</v>
      </c>
      <c r="I28" s="33">
        <f t="shared" ref="I28:I33" si="124">+F28</f>
        <v>55</v>
      </c>
      <c r="J28" s="35">
        <v>0.21</v>
      </c>
      <c r="K28" s="53"/>
      <c r="L28" s="127">
        <v>0</v>
      </c>
      <c r="M28" s="127">
        <v>0</v>
      </c>
      <c r="N28" s="127">
        <v>0</v>
      </c>
      <c r="O28" s="127">
        <v>0</v>
      </c>
      <c r="P28" s="127">
        <v>0</v>
      </c>
      <c r="Q28" s="127">
        <v>0</v>
      </c>
      <c r="R28" s="127">
        <v>0.1</v>
      </c>
      <c r="S28" s="127">
        <v>0.20874999999999999</v>
      </c>
      <c r="T28" s="127">
        <v>0.28155000000000002</v>
      </c>
      <c r="U28" s="127">
        <v>0.35435</v>
      </c>
      <c r="V28" s="127">
        <v>0.68874000000000002</v>
      </c>
      <c r="W28" s="127">
        <v>0.68874000000000002</v>
      </c>
      <c r="X28" s="127">
        <v>0.83634000000000008</v>
      </c>
      <c r="Y28" s="127">
        <v>0.88394000000000006</v>
      </c>
      <c r="Z28" s="127">
        <v>0.88394000000000006</v>
      </c>
      <c r="AA28" s="127">
        <v>0.88394000000000006</v>
      </c>
      <c r="AB28" s="127">
        <v>0.88394000000000006</v>
      </c>
      <c r="AC28" s="127">
        <v>0.88394000000000006</v>
      </c>
      <c r="AD28" s="127">
        <v>0.88394000000000006</v>
      </c>
      <c r="AE28" s="127">
        <v>0.91034000000000004</v>
      </c>
      <c r="AF28" s="127">
        <v>0.92786000000000002</v>
      </c>
      <c r="AG28" s="127">
        <v>0.92786000000000002</v>
      </c>
      <c r="AH28" s="127">
        <v>0.92786000000000002</v>
      </c>
      <c r="AI28" s="127">
        <v>0.92786000000000002</v>
      </c>
      <c r="AJ28" s="127">
        <v>0.97177999999999998</v>
      </c>
      <c r="AK28" s="127">
        <v>0.97177999999999998</v>
      </c>
      <c r="AL28" s="127">
        <v>0.97177999999999998</v>
      </c>
      <c r="AM28" s="127">
        <v>0.97177999999999998</v>
      </c>
      <c r="AN28" s="127">
        <v>0.97177999999999998</v>
      </c>
      <c r="AO28" s="127">
        <v>0.98177999999999999</v>
      </c>
      <c r="AP28" s="127">
        <v>0.98177999999999999</v>
      </c>
      <c r="AQ28" s="127">
        <v>0.98177999999999999</v>
      </c>
      <c r="AR28" s="127">
        <v>0.98177999999999999</v>
      </c>
      <c r="AS28" s="127">
        <v>0.98177999999999999</v>
      </c>
      <c r="AT28" s="127">
        <v>0.98177999999999999</v>
      </c>
      <c r="AU28" s="127">
        <v>0.98177999999999999</v>
      </c>
      <c r="AV28" s="127">
        <v>0.98787999999999998</v>
      </c>
      <c r="AW28" s="127">
        <v>0.99397999999999997</v>
      </c>
      <c r="AX28" s="127">
        <v>1.0000800000000001</v>
      </c>
      <c r="AY28" s="127">
        <v>1</v>
      </c>
      <c r="AZ28" s="127">
        <v>1</v>
      </c>
      <c r="BA28" s="127">
        <v>1</v>
      </c>
      <c r="BB28" s="127">
        <v>1</v>
      </c>
      <c r="BC28" s="127">
        <v>1</v>
      </c>
      <c r="BD28" s="127">
        <v>1</v>
      </c>
      <c r="BE28" s="127">
        <v>1</v>
      </c>
      <c r="BF28" s="127">
        <v>1</v>
      </c>
      <c r="BG28" s="127">
        <v>1</v>
      </c>
      <c r="BH28" s="127">
        <v>1</v>
      </c>
      <c r="BI28" s="127">
        <v>1</v>
      </c>
      <c r="BJ28" s="127">
        <v>1</v>
      </c>
      <c r="BK28" s="127">
        <v>1</v>
      </c>
      <c r="BL28" s="127">
        <v>1</v>
      </c>
      <c r="BM28" s="127">
        <v>1</v>
      </c>
      <c r="BN28" s="127">
        <v>1</v>
      </c>
      <c r="BO28" s="127">
        <v>1</v>
      </c>
      <c r="BP28" s="127">
        <v>1</v>
      </c>
      <c r="BQ28" s="127">
        <v>1</v>
      </c>
      <c r="BR28" s="163">
        <v>1</v>
      </c>
      <c r="BS28" s="163">
        <v>1</v>
      </c>
      <c r="BT28" s="163">
        <v>1</v>
      </c>
      <c r="BU28" s="163">
        <v>1</v>
      </c>
      <c r="BV28" s="163">
        <v>1</v>
      </c>
      <c r="BW28" s="163">
        <v>1</v>
      </c>
      <c r="BX28" s="163">
        <v>1</v>
      </c>
      <c r="BY28" s="163">
        <v>1</v>
      </c>
      <c r="BZ28" s="163">
        <v>1</v>
      </c>
      <c r="CA28" s="163">
        <v>1</v>
      </c>
      <c r="CB28" s="163">
        <v>1</v>
      </c>
      <c r="CC28" s="163">
        <v>1</v>
      </c>
      <c r="CD28" s="163">
        <v>1</v>
      </c>
      <c r="CE28" s="163">
        <v>1</v>
      </c>
      <c r="CF28" s="163">
        <v>1</v>
      </c>
      <c r="CG28" s="163">
        <v>1</v>
      </c>
      <c r="CH28" s="163">
        <v>1</v>
      </c>
      <c r="CI28" s="163">
        <v>1</v>
      </c>
      <c r="CJ28" s="163">
        <v>1</v>
      </c>
      <c r="CK28" s="163">
        <v>1</v>
      </c>
      <c r="CL28" s="163">
        <v>1</v>
      </c>
      <c r="CM28" s="163">
        <v>1</v>
      </c>
      <c r="CN28" s="163">
        <v>1</v>
      </c>
      <c r="CO28" s="163">
        <v>1</v>
      </c>
      <c r="CP28" s="163">
        <v>1</v>
      </c>
      <c r="CQ28" s="163">
        <v>1</v>
      </c>
      <c r="CR28" s="163">
        <v>1</v>
      </c>
      <c r="CS28" s="163">
        <v>1</v>
      </c>
      <c r="CT28" s="163">
        <v>1</v>
      </c>
      <c r="CU28" s="163">
        <v>1</v>
      </c>
      <c r="CV28" s="163">
        <v>1</v>
      </c>
      <c r="CW28" s="163">
        <v>1</v>
      </c>
      <c r="CX28" s="163">
        <v>1</v>
      </c>
      <c r="CY28" s="163">
        <v>1</v>
      </c>
      <c r="CZ28" s="163">
        <v>1</v>
      </c>
      <c r="DA28" s="163">
        <v>1</v>
      </c>
      <c r="DB28" s="163">
        <v>1</v>
      </c>
      <c r="DC28" s="163">
        <v>1</v>
      </c>
      <c r="DD28" s="163">
        <v>1</v>
      </c>
      <c r="DE28" s="163">
        <v>1</v>
      </c>
      <c r="DF28" s="163">
        <v>1</v>
      </c>
      <c r="DG28" s="163">
        <v>1</v>
      </c>
      <c r="DH28" s="347">
        <v>1</v>
      </c>
      <c r="DI28" s="163">
        <v>1</v>
      </c>
      <c r="DJ28" s="163">
        <v>1</v>
      </c>
      <c r="DK28" s="163">
        <v>1</v>
      </c>
      <c r="DL28" s="163">
        <v>1</v>
      </c>
      <c r="DM28" s="163">
        <v>1</v>
      </c>
      <c r="DN28" s="163">
        <v>1</v>
      </c>
      <c r="DO28" s="163">
        <v>1</v>
      </c>
      <c r="DP28" s="163">
        <v>1</v>
      </c>
      <c r="DQ28" s="163">
        <v>1</v>
      </c>
      <c r="DR28" s="163">
        <v>1</v>
      </c>
      <c r="DS28" s="163">
        <v>1</v>
      </c>
      <c r="DT28" s="163">
        <v>1</v>
      </c>
      <c r="DU28" s="163">
        <v>1</v>
      </c>
      <c r="DV28" s="163">
        <v>1</v>
      </c>
      <c r="DW28" s="163">
        <v>1</v>
      </c>
      <c r="DX28" s="163">
        <v>1</v>
      </c>
      <c r="DY28" s="163">
        <v>1</v>
      </c>
      <c r="DZ28" s="163">
        <v>1</v>
      </c>
      <c r="EA28" s="163">
        <v>1</v>
      </c>
      <c r="EB28" s="163">
        <v>1</v>
      </c>
      <c r="EC28" s="163">
        <v>1</v>
      </c>
      <c r="ED28" s="163">
        <v>1</v>
      </c>
      <c r="EE28" s="163">
        <v>1</v>
      </c>
      <c r="EF28" s="163">
        <v>1</v>
      </c>
      <c r="EG28" s="163">
        <v>1</v>
      </c>
      <c r="EH28" s="163">
        <v>1</v>
      </c>
      <c r="EI28" s="163">
        <v>1</v>
      </c>
      <c r="EJ28" s="163">
        <v>1</v>
      </c>
      <c r="EK28" s="163">
        <v>1</v>
      </c>
      <c r="EL28" s="163">
        <v>1</v>
      </c>
    </row>
    <row r="29" spans="2:142" hidden="1" outlineLevel="2" x14ac:dyDescent="0.3">
      <c r="B29" s="36"/>
      <c r="C29" s="37"/>
      <c r="D29" s="37"/>
      <c r="E29" s="54" t="s">
        <v>34</v>
      </c>
      <c r="F29" s="33">
        <v>55</v>
      </c>
      <c r="G29" s="162">
        <v>45504</v>
      </c>
      <c r="H29" s="162">
        <v>45580</v>
      </c>
      <c r="I29" s="33">
        <f t="shared" si="124"/>
        <v>55</v>
      </c>
      <c r="J29" s="35">
        <v>0.14000000000000001</v>
      </c>
      <c r="K29" s="53"/>
      <c r="L29" s="127">
        <v>0</v>
      </c>
      <c r="M29" s="127">
        <v>0</v>
      </c>
      <c r="N29" s="127">
        <v>0</v>
      </c>
      <c r="O29" s="127">
        <v>0</v>
      </c>
      <c r="P29" s="127">
        <v>0</v>
      </c>
      <c r="Q29" s="127">
        <v>0</v>
      </c>
      <c r="R29" s="127">
        <v>0.1</v>
      </c>
      <c r="S29" s="127">
        <v>0.20874999999999999</v>
      </c>
      <c r="T29" s="127">
        <v>0.20874999999999999</v>
      </c>
      <c r="U29" s="127">
        <v>0.28155000000000002</v>
      </c>
      <c r="V29" s="127">
        <v>0.68874000000000002</v>
      </c>
      <c r="W29" s="127">
        <v>0.68874000000000002</v>
      </c>
      <c r="X29" s="127">
        <v>0.83634000000000008</v>
      </c>
      <c r="Y29" s="127">
        <v>0.88394000000000006</v>
      </c>
      <c r="Z29" s="127">
        <v>0.88394000000000006</v>
      </c>
      <c r="AA29" s="127">
        <v>0.88394000000000006</v>
      </c>
      <c r="AB29" s="127">
        <v>0.88394000000000006</v>
      </c>
      <c r="AC29" s="127">
        <v>0.88394000000000006</v>
      </c>
      <c r="AD29" s="127">
        <v>0.88394000000000006</v>
      </c>
      <c r="AE29" s="127">
        <v>0.91034000000000004</v>
      </c>
      <c r="AF29" s="127">
        <v>0.92786000000000002</v>
      </c>
      <c r="AG29" s="127">
        <v>0.92786000000000002</v>
      </c>
      <c r="AH29" s="127">
        <v>0.92786000000000002</v>
      </c>
      <c r="AI29" s="127">
        <v>0.92786000000000002</v>
      </c>
      <c r="AJ29" s="127">
        <v>0.95826800000000001</v>
      </c>
      <c r="AK29" s="127">
        <v>0.97177999999999998</v>
      </c>
      <c r="AL29" s="127">
        <v>0.97177999999999998</v>
      </c>
      <c r="AM29" s="127">
        <v>0.97177999999999998</v>
      </c>
      <c r="AN29" s="127">
        <v>0.97177999999999998</v>
      </c>
      <c r="AO29" s="127">
        <v>0.98177999999999999</v>
      </c>
      <c r="AP29" s="127">
        <v>0.98177999999999999</v>
      </c>
      <c r="AQ29" s="127">
        <v>0.98177999999999999</v>
      </c>
      <c r="AR29" s="127">
        <v>0.98177999999999999</v>
      </c>
      <c r="AS29" s="127">
        <v>0.98177999999999999</v>
      </c>
      <c r="AT29" s="127">
        <v>0.98177999999999999</v>
      </c>
      <c r="AU29" s="127">
        <v>0.98177999999999999</v>
      </c>
      <c r="AV29" s="127">
        <v>0.98787999999999998</v>
      </c>
      <c r="AW29" s="127">
        <v>0.99397999999999997</v>
      </c>
      <c r="AX29" s="127">
        <v>1.0000800000000001</v>
      </c>
      <c r="AY29" s="127">
        <v>1</v>
      </c>
      <c r="AZ29" s="127">
        <v>1</v>
      </c>
      <c r="BA29" s="127">
        <v>1</v>
      </c>
      <c r="BB29" s="127">
        <v>1</v>
      </c>
      <c r="BC29" s="127">
        <v>1</v>
      </c>
      <c r="BD29" s="127">
        <v>1</v>
      </c>
      <c r="BE29" s="127">
        <v>1</v>
      </c>
      <c r="BF29" s="127">
        <v>1</v>
      </c>
      <c r="BG29" s="127">
        <v>1</v>
      </c>
      <c r="BH29" s="127">
        <v>1</v>
      </c>
      <c r="BI29" s="127">
        <v>1</v>
      </c>
      <c r="BJ29" s="127">
        <v>1</v>
      </c>
      <c r="BK29" s="127">
        <v>1</v>
      </c>
      <c r="BL29" s="127">
        <v>1</v>
      </c>
      <c r="BM29" s="127">
        <v>1</v>
      </c>
      <c r="BN29" s="127">
        <v>1</v>
      </c>
      <c r="BO29" s="127">
        <v>1</v>
      </c>
      <c r="BP29" s="127">
        <v>1</v>
      </c>
      <c r="BQ29" s="127">
        <v>1</v>
      </c>
      <c r="BR29" s="163">
        <v>1</v>
      </c>
      <c r="BS29" s="163">
        <v>1</v>
      </c>
      <c r="BT29" s="163">
        <v>1</v>
      </c>
      <c r="BU29" s="163">
        <v>1</v>
      </c>
      <c r="BV29" s="163">
        <v>1</v>
      </c>
      <c r="BW29" s="163">
        <v>1</v>
      </c>
      <c r="BX29" s="163">
        <v>1</v>
      </c>
      <c r="BY29" s="163">
        <v>1</v>
      </c>
      <c r="BZ29" s="163">
        <v>1</v>
      </c>
      <c r="CA29" s="163">
        <v>1</v>
      </c>
      <c r="CB29" s="163">
        <v>1</v>
      </c>
      <c r="CC29" s="163">
        <v>1</v>
      </c>
      <c r="CD29" s="163">
        <v>1</v>
      </c>
      <c r="CE29" s="163">
        <v>1</v>
      </c>
      <c r="CF29" s="163">
        <v>1</v>
      </c>
      <c r="CG29" s="163">
        <v>1</v>
      </c>
      <c r="CH29" s="163">
        <v>1</v>
      </c>
      <c r="CI29" s="163">
        <v>1</v>
      </c>
      <c r="CJ29" s="163">
        <v>1</v>
      </c>
      <c r="CK29" s="163">
        <v>1</v>
      </c>
      <c r="CL29" s="163">
        <v>1</v>
      </c>
      <c r="CM29" s="163">
        <v>1</v>
      </c>
      <c r="CN29" s="163">
        <v>1</v>
      </c>
      <c r="CO29" s="163">
        <v>1</v>
      </c>
      <c r="CP29" s="163">
        <v>1</v>
      </c>
      <c r="CQ29" s="163">
        <v>1</v>
      </c>
      <c r="CR29" s="163">
        <v>1</v>
      </c>
      <c r="CS29" s="163">
        <v>1</v>
      </c>
      <c r="CT29" s="163">
        <v>1</v>
      </c>
      <c r="CU29" s="163">
        <v>1</v>
      </c>
      <c r="CV29" s="163">
        <v>1</v>
      </c>
      <c r="CW29" s="163">
        <v>1</v>
      </c>
      <c r="CX29" s="163">
        <v>1</v>
      </c>
      <c r="CY29" s="163">
        <v>1</v>
      </c>
      <c r="CZ29" s="163">
        <v>1</v>
      </c>
      <c r="DA29" s="163">
        <v>1</v>
      </c>
      <c r="DB29" s="163">
        <v>1</v>
      </c>
      <c r="DC29" s="163">
        <v>1</v>
      </c>
      <c r="DD29" s="163">
        <v>1</v>
      </c>
      <c r="DE29" s="163">
        <v>1</v>
      </c>
      <c r="DF29" s="163">
        <v>1</v>
      </c>
      <c r="DG29" s="163">
        <v>1</v>
      </c>
      <c r="DH29" s="347">
        <v>1</v>
      </c>
      <c r="DI29" s="163">
        <v>1</v>
      </c>
      <c r="DJ29" s="163">
        <v>1</v>
      </c>
      <c r="DK29" s="163">
        <v>1</v>
      </c>
      <c r="DL29" s="163">
        <v>1</v>
      </c>
      <c r="DM29" s="163">
        <v>1</v>
      </c>
      <c r="DN29" s="163">
        <v>1</v>
      </c>
      <c r="DO29" s="163">
        <v>1</v>
      </c>
      <c r="DP29" s="163">
        <v>1</v>
      </c>
      <c r="DQ29" s="163">
        <v>1</v>
      </c>
      <c r="DR29" s="163">
        <v>1</v>
      </c>
      <c r="DS29" s="163">
        <v>1</v>
      </c>
      <c r="DT29" s="163">
        <v>1</v>
      </c>
      <c r="DU29" s="163">
        <v>1</v>
      </c>
      <c r="DV29" s="163">
        <v>1</v>
      </c>
      <c r="DW29" s="163">
        <v>1</v>
      </c>
      <c r="DX29" s="163">
        <v>1</v>
      </c>
      <c r="DY29" s="163">
        <v>1</v>
      </c>
      <c r="DZ29" s="163">
        <v>1</v>
      </c>
      <c r="EA29" s="163">
        <v>1</v>
      </c>
      <c r="EB29" s="163">
        <v>1</v>
      </c>
      <c r="EC29" s="163">
        <v>1</v>
      </c>
      <c r="ED29" s="163">
        <v>1</v>
      </c>
      <c r="EE29" s="163">
        <v>1</v>
      </c>
      <c r="EF29" s="163">
        <v>1</v>
      </c>
      <c r="EG29" s="163">
        <v>1</v>
      </c>
      <c r="EH29" s="163">
        <v>1</v>
      </c>
      <c r="EI29" s="163">
        <v>1</v>
      </c>
      <c r="EJ29" s="163">
        <v>1</v>
      </c>
      <c r="EK29" s="163">
        <v>1</v>
      </c>
      <c r="EL29" s="163">
        <v>1</v>
      </c>
    </row>
    <row r="30" spans="2:142" hidden="1" outlineLevel="2" x14ac:dyDescent="0.3">
      <c r="B30" s="29"/>
      <c r="C30" s="30"/>
      <c r="D30" s="30"/>
      <c r="E30" s="52" t="s">
        <v>35</v>
      </c>
      <c r="F30" s="33">
        <v>40</v>
      </c>
      <c r="G30" s="162">
        <v>45670</v>
      </c>
      <c r="H30" s="162">
        <v>45727</v>
      </c>
      <c r="I30" s="33">
        <f t="shared" si="124"/>
        <v>40</v>
      </c>
      <c r="J30" s="35">
        <v>0.3</v>
      </c>
      <c r="K30" s="53"/>
      <c r="L30" s="127">
        <v>0</v>
      </c>
      <c r="M30" s="127">
        <v>0</v>
      </c>
      <c r="N30" s="127">
        <v>0</v>
      </c>
      <c r="O30" s="127">
        <v>0</v>
      </c>
      <c r="P30" s="127">
        <v>0</v>
      </c>
      <c r="Q30" s="127">
        <v>0</v>
      </c>
      <c r="R30" s="127">
        <v>0</v>
      </c>
      <c r="S30" s="127">
        <v>0</v>
      </c>
      <c r="T30" s="127">
        <v>0</v>
      </c>
      <c r="U30" s="127">
        <v>0</v>
      </c>
      <c r="V30" s="127">
        <v>0</v>
      </c>
      <c r="W30" s="127">
        <v>0</v>
      </c>
      <c r="X30" s="127">
        <v>0</v>
      </c>
      <c r="Y30" s="127">
        <v>0</v>
      </c>
      <c r="Z30" s="127">
        <v>0</v>
      </c>
      <c r="AA30" s="127">
        <v>0</v>
      </c>
      <c r="AB30" s="127">
        <v>0</v>
      </c>
      <c r="AC30" s="127">
        <v>0</v>
      </c>
      <c r="AD30" s="127">
        <v>0</v>
      </c>
      <c r="AE30" s="127">
        <v>0</v>
      </c>
      <c r="AF30" s="127">
        <v>0</v>
      </c>
      <c r="AG30" s="127">
        <v>0</v>
      </c>
      <c r="AH30" s="127">
        <v>0</v>
      </c>
      <c r="AI30" s="127">
        <v>0</v>
      </c>
      <c r="AJ30" s="127">
        <v>0</v>
      </c>
      <c r="AK30" s="127">
        <v>0</v>
      </c>
      <c r="AL30" s="127">
        <v>0</v>
      </c>
      <c r="AM30" s="127">
        <v>0</v>
      </c>
      <c r="AN30" s="127">
        <v>0</v>
      </c>
      <c r="AO30" s="127">
        <v>0</v>
      </c>
      <c r="AP30" s="127">
        <v>0</v>
      </c>
      <c r="AQ30" s="127">
        <v>0</v>
      </c>
      <c r="AR30" s="127">
        <v>0</v>
      </c>
      <c r="AS30" s="127">
        <v>0</v>
      </c>
      <c r="AT30" s="127">
        <v>0</v>
      </c>
      <c r="AU30" s="127">
        <v>0</v>
      </c>
      <c r="AV30" s="127">
        <v>0</v>
      </c>
      <c r="AW30" s="127">
        <v>0</v>
      </c>
      <c r="AX30" s="127">
        <v>0</v>
      </c>
      <c r="AY30" s="127">
        <v>0</v>
      </c>
      <c r="AZ30" s="127">
        <v>0</v>
      </c>
      <c r="BA30" s="127">
        <v>0</v>
      </c>
      <c r="BB30" s="127">
        <v>0.1111</v>
      </c>
      <c r="BC30" s="127">
        <v>0.22220000000000001</v>
      </c>
      <c r="BD30" s="127">
        <v>0.33329999999999999</v>
      </c>
      <c r="BE30" s="127">
        <v>0.44439999999999996</v>
      </c>
      <c r="BF30" s="127">
        <v>0.55549999999999999</v>
      </c>
      <c r="BG30" s="127">
        <v>0.66659999999999997</v>
      </c>
      <c r="BH30" s="127">
        <v>0.77769999999999995</v>
      </c>
      <c r="BI30" s="127">
        <v>0.88879999999999992</v>
      </c>
      <c r="BJ30" s="127">
        <v>0.9998999999999999</v>
      </c>
      <c r="BK30" s="127">
        <v>1</v>
      </c>
      <c r="BL30" s="127">
        <v>1</v>
      </c>
      <c r="BM30" s="127">
        <v>1</v>
      </c>
      <c r="BN30" s="127">
        <v>1</v>
      </c>
      <c r="BO30" s="127">
        <v>1</v>
      </c>
      <c r="BP30" s="127">
        <v>1</v>
      </c>
      <c r="BQ30" s="127">
        <v>1</v>
      </c>
      <c r="BR30" s="163">
        <v>1</v>
      </c>
      <c r="BS30" s="163">
        <v>1</v>
      </c>
      <c r="BT30" s="163">
        <v>1</v>
      </c>
      <c r="BU30" s="163">
        <v>1</v>
      </c>
      <c r="BV30" s="163">
        <v>1</v>
      </c>
      <c r="BW30" s="163">
        <v>1</v>
      </c>
      <c r="BX30" s="163">
        <v>1</v>
      </c>
      <c r="BY30" s="163">
        <v>1</v>
      </c>
      <c r="BZ30" s="163">
        <v>1</v>
      </c>
      <c r="CA30" s="163">
        <v>1</v>
      </c>
      <c r="CB30" s="163">
        <v>1</v>
      </c>
      <c r="CC30" s="163">
        <v>1</v>
      </c>
      <c r="CD30" s="163">
        <v>1</v>
      </c>
      <c r="CE30" s="163">
        <v>1</v>
      </c>
      <c r="CF30" s="163">
        <v>1</v>
      </c>
      <c r="CG30" s="163">
        <v>1</v>
      </c>
      <c r="CH30" s="163">
        <v>1</v>
      </c>
      <c r="CI30" s="163">
        <v>1</v>
      </c>
      <c r="CJ30" s="163">
        <v>1</v>
      </c>
      <c r="CK30" s="163">
        <v>1</v>
      </c>
      <c r="CL30" s="163">
        <v>1</v>
      </c>
      <c r="CM30" s="163">
        <v>1</v>
      </c>
      <c r="CN30" s="163">
        <v>1</v>
      </c>
      <c r="CO30" s="163">
        <v>1</v>
      </c>
      <c r="CP30" s="163">
        <v>1</v>
      </c>
      <c r="CQ30" s="163">
        <v>1</v>
      </c>
      <c r="CR30" s="163">
        <v>1</v>
      </c>
      <c r="CS30" s="163">
        <v>1</v>
      </c>
      <c r="CT30" s="163">
        <v>1</v>
      </c>
      <c r="CU30" s="163">
        <v>1</v>
      </c>
      <c r="CV30" s="163">
        <v>1</v>
      </c>
      <c r="CW30" s="163">
        <v>1</v>
      </c>
      <c r="CX30" s="163">
        <v>1</v>
      </c>
      <c r="CY30" s="163">
        <v>1</v>
      </c>
      <c r="CZ30" s="163">
        <v>1</v>
      </c>
      <c r="DA30" s="163">
        <v>1</v>
      </c>
      <c r="DB30" s="163">
        <v>1</v>
      </c>
      <c r="DC30" s="163">
        <v>1</v>
      </c>
      <c r="DD30" s="163">
        <v>1</v>
      </c>
      <c r="DE30" s="163">
        <v>1</v>
      </c>
      <c r="DF30" s="163">
        <v>1</v>
      </c>
      <c r="DG30" s="163">
        <v>1</v>
      </c>
      <c r="DH30" s="347">
        <v>1</v>
      </c>
      <c r="DI30" s="163">
        <v>1</v>
      </c>
      <c r="DJ30" s="163">
        <v>1</v>
      </c>
      <c r="DK30" s="163">
        <v>1</v>
      </c>
      <c r="DL30" s="163">
        <v>1</v>
      </c>
      <c r="DM30" s="163">
        <v>1</v>
      </c>
      <c r="DN30" s="163">
        <v>1</v>
      </c>
      <c r="DO30" s="163">
        <v>1</v>
      </c>
      <c r="DP30" s="163">
        <v>1</v>
      </c>
      <c r="DQ30" s="163">
        <v>1</v>
      </c>
      <c r="DR30" s="163">
        <v>1</v>
      </c>
      <c r="DS30" s="163">
        <v>1</v>
      </c>
      <c r="DT30" s="163">
        <v>1</v>
      </c>
      <c r="DU30" s="163">
        <v>1</v>
      </c>
      <c r="DV30" s="163">
        <v>1</v>
      </c>
      <c r="DW30" s="163">
        <v>1</v>
      </c>
      <c r="DX30" s="163">
        <v>1</v>
      </c>
      <c r="DY30" s="163">
        <v>1</v>
      </c>
      <c r="DZ30" s="163">
        <v>1</v>
      </c>
      <c r="EA30" s="163">
        <v>1</v>
      </c>
      <c r="EB30" s="163">
        <v>1</v>
      </c>
      <c r="EC30" s="163">
        <v>1</v>
      </c>
      <c r="ED30" s="163">
        <v>1</v>
      </c>
      <c r="EE30" s="163">
        <v>1</v>
      </c>
      <c r="EF30" s="163">
        <v>1</v>
      </c>
      <c r="EG30" s="163">
        <v>1</v>
      </c>
      <c r="EH30" s="163">
        <v>1</v>
      </c>
      <c r="EI30" s="163">
        <v>1</v>
      </c>
      <c r="EJ30" s="163">
        <v>1</v>
      </c>
      <c r="EK30" s="163">
        <v>1</v>
      </c>
      <c r="EL30" s="163">
        <v>1</v>
      </c>
    </row>
    <row r="31" spans="2:142" hidden="1" outlineLevel="2" x14ac:dyDescent="0.3">
      <c r="B31" s="29"/>
      <c r="C31" s="30"/>
      <c r="D31" s="30"/>
      <c r="E31" s="52" t="s">
        <v>36</v>
      </c>
      <c r="F31" s="33">
        <v>55</v>
      </c>
      <c r="G31" s="162">
        <v>45698</v>
      </c>
      <c r="H31" s="162">
        <v>45782</v>
      </c>
      <c r="I31" s="33">
        <f t="shared" si="124"/>
        <v>55</v>
      </c>
      <c r="J31" s="35">
        <v>0.1</v>
      </c>
      <c r="K31" s="53"/>
      <c r="L31" s="127">
        <v>0</v>
      </c>
      <c r="M31" s="127">
        <v>0</v>
      </c>
      <c r="N31" s="127">
        <v>0</v>
      </c>
      <c r="O31" s="127">
        <v>0</v>
      </c>
      <c r="P31" s="127">
        <v>0</v>
      </c>
      <c r="Q31" s="127">
        <v>0</v>
      </c>
      <c r="R31" s="127">
        <v>0</v>
      </c>
      <c r="S31" s="127">
        <v>0</v>
      </c>
      <c r="T31" s="127">
        <v>0</v>
      </c>
      <c r="U31" s="127">
        <v>0</v>
      </c>
      <c r="V31" s="127">
        <v>0</v>
      </c>
      <c r="W31" s="127">
        <v>0</v>
      </c>
      <c r="X31" s="127">
        <v>0</v>
      </c>
      <c r="Y31" s="127">
        <v>0</v>
      </c>
      <c r="Z31" s="127">
        <v>0</v>
      </c>
      <c r="AA31" s="127">
        <v>0</v>
      </c>
      <c r="AB31" s="127">
        <v>0</v>
      </c>
      <c r="AC31" s="127">
        <v>0</v>
      </c>
      <c r="AD31" s="127">
        <v>0</v>
      </c>
      <c r="AE31" s="127">
        <v>0</v>
      </c>
      <c r="AF31" s="127">
        <v>0</v>
      </c>
      <c r="AG31" s="127">
        <v>0</v>
      </c>
      <c r="AH31" s="127">
        <v>0</v>
      </c>
      <c r="AI31" s="127">
        <v>0</v>
      </c>
      <c r="AJ31" s="127">
        <v>0</v>
      </c>
      <c r="AK31" s="127">
        <v>0</v>
      </c>
      <c r="AL31" s="127">
        <v>0</v>
      </c>
      <c r="AM31" s="127">
        <v>0</v>
      </c>
      <c r="AN31" s="127">
        <v>0</v>
      </c>
      <c r="AO31" s="127">
        <v>0</v>
      </c>
      <c r="AP31" s="127">
        <v>0</v>
      </c>
      <c r="AQ31" s="127">
        <v>0</v>
      </c>
      <c r="AR31" s="127">
        <v>0</v>
      </c>
      <c r="AS31" s="127">
        <v>0</v>
      </c>
      <c r="AT31" s="127">
        <v>0</v>
      </c>
      <c r="AU31" s="127">
        <v>0</v>
      </c>
      <c r="AV31" s="127">
        <v>0</v>
      </c>
      <c r="AW31" s="127">
        <v>0</v>
      </c>
      <c r="AX31" s="127">
        <v>0</v>
      </c>
      <c r="AY31" s="127">
        <v>0</v>
      </c>
      <c r="AZ31" s="127">
        <v>0</v>
      </c>
      <c r="BA31" s="127">
        <v>0</v>
      </c>
      <c r="BB31" s="127">
        <v>0</v>
      </c>
      <c r="BC31" s="127">
        <v>0</v>
      </c>
      <c r="BD31" s="127">
        <v>0</v>
      </c>
      <c r="BE31" s="127">
        <v>0</v>
      </c>
      <c r="BF31" s="127">
        <v>0.1429</v>
      </c>
      <c r="BG31" s="127">
        <v>0.2858</v>
      </c>
      <c r="BH31" s="127">
        <v>0.42869999999999997</v>
      </c>
      <c r="BI31" s="127">
        <v>0.5716</v>
      </c>
      <c r="BJ31" s="127">
        <v>0.71450000000000002</v>
      </c>
      <c r="BK31" s="127">
        <v>0.85740000000000005</v>
      </c>
      <c r="BL31" s="127">
        <v>1.0003</v>
      </c>
      <c r="BM31" s="127">
        <v>1</v>
      </c>
      <c r="BN31" s="127">
        <v>1</v>
      </c>
      <c r="BO31" s="127">
        <v>1</v>
      </c>
      <c r="BP31" s="127">
        <v>1</v>
      </c>
      <c r="BQ31" s="127">
        <v>1</v>
      </c>
      <c r="BR31" s="163">
        <v>1</v>
      </c>
      <c r="BS31" s="163">
        <v>1</v>
      </c>
      <c r="BT31" s="163">
        <v>1</v>
      </c>
      <c r="BU31" s="163">
        <v>1</v>
      </c>
      <c r="BV31" s="163">
        <v>1</v>
      </c>
      <c r="BW31" s="163">
        <v>1</v>
      </c>
      <c r="BX31" s="163">
        <v>1</v>
      </c>
      <c r="BY31" s="163">
        <v>1</v>
      </c>
      <c r="BZ31" s="163">
        <v>1</v>
      </c>
      <c r="CA31" s="163">
        <v>1</v>
      </c>
      <c r="CB31" s="163">
        <v>1</v>
      </c>
      <c r="CC31" s="163">
        <v>1</v>
      </c>
      <c r="CD31" s="163">
        <v>1</v>
      </c>
      <c r="CE31" s="163">
        <v>1</v>
      </c>
      <c r="CF31" s="163">
        <v>1</v>
      </c>
      <c r="CG31" s="163">
        <v>1</v>
      </c>
      <c r="CH31" s="163">
        <v>1</v>
      </c>
      <c r="CI31" s="163">
        <v>1</v>
      </c>
      <c r="CJ31" s="163">
        <v>1</v>
      </c>
      <c r="CK31" s="163">
        <v>1</v>
      </c>
      <c r="CL31" s="163">
        <v>1</v>
      </c>
      <c r="CM31" s="163">
        <v>1</v>
      </c>
      <c r="CN31" s="163">
        <v>1</v>
      </c>
      <c r="CO31" s="163">
        <v>1</v>
      </c>
      <c r="CP31" s="163">
        <v>1</v>
      </c>
      <c r="CQ31" s="163">
        <v>1</v>
      </c>
      <c r="CR31" s="163">
        <v>1</v>
      </c>
      <c r="CS31" s="163">
        <v>1</v>
      </c>
      <c r="CT31" s="163">
        <v>1</v>
      </c>
      <c r="CU31" s="163">
        <v>1</v>
      </c>
      <c r="CV31" s="163">
        <v>1</v>
      </c>
      <c r="CW31" s="163">
        <v>1</v>
      </c>
      <c r="CX31" s="163">
        <v>1</v>
      </c>
      <c r="CY31" s="163">
        <v>1</v>
      </c>
      <c r="CZ31" s="163">
        <v>1</v>
      </c>
      <c r="DA31" s="163">
        <v>1</v>
      </c>
      <c r="DB31" s="163">
        <v>1</v>
      </c>
      <c r="DC31" s="163">
        <v>1</v>
      </c>
      <c r="DD31" s="163">
        <v>1</v>
      </c>
      <c r="DE31" s="163">
        <v>1</v>
      </c>
      <c r="DF31" s="163">
        <v>1</v>
      </c>
      <c r="DG31" s="163">
        <v>1</v>
      </c>
      <c r="DH31" s="347">
        <v>1</v>
      </c>
      <c r="DI31" s="163">
        <v>1</v>
      </c>
      <c r="DJ31" s="163">
        <v>1</v>
      </c>
      <c r="DK31" s="163">
        <v>1</v>
      </c>
      <c r="DL31" s="163">
        <v>1</v>
      </c>
      <c r="DM31" s="163">
        <v>1</v>
      </c>
      <c r="DN31" s="163">
        <v>1</v>
      </c>
      <c r="DO31" s="163">
        <v>1</v>
      </c>
      <c r="DP31" s="163">
        <v>1</v>
      </c>
      <c r="DQ31" s="163">
        <v>1</v>
      </c>
      <c r="DR31" s="163">
        <v>1</v>
      </c>
      <c r="DS31" s="163">
        <v>1</v>
      </c>
      <c r="DT31" s="163">
        <v>1</v>
      </c>
      <c r="DU31" s="163">
        <v>1</v>
      </c>
      <c r="DV31" s="163">
        <v>1</v>
      </c>
      <c r="DW31" s="163">
        <v>1</v>
      </c>
      <c r="DX31" s="163">
        <v>1</v>
      </c>
      <c r="DY31" s="163">
        <v>1</v>
      </c>
      <c r="DZ31" s="163">
        <v>1</v>
      </c>
      <c r="EA31" s="163">
        <v>1</v>
      </c>
      <c r="EB31" s="163">
        <v>1</v>
      </c>
      <c r="EC31" s="163">
        <v>1</v>
      </c>
      <c r="ED31" s="163">
        <v>1</v>
      </c>
      <c r="EE31" s="163">
        <v>1</v>
      </c>
      <c r="EF31" s="163">
        <v>1</v>
      </c>
      <c r="EG31" s="163">
        <v>1</v>
      </c>
      <c r="EH31" s="163">
        <v>1</v>
      </c>
      <c r="EI31" s="163">
        <v>1</v>
      </c>
      <c r="EJ31" s="163">
        <v>1</v>
      </c>
      <c r="EK31" s="163">
        <v>1</v>
      </c>
      <c r="EL31" s="163">
        <v>1</v>
      </c>
    </row>
    <row r="32" spans="2:142" ht="28.8" hidden="1" outlineLevel="2" x14ac:dyDescent="0.3">
      <c r="B32" s="29"/>
      <c r="C32" s="30"/>
      <c r="D32" s="30"/>
      <c r="E32" s="52" t="s">
        <v>37</v>
      </c>
      <c r="F32" s="33">
        <v>55</v>
      </c>
      <c r="G32" s="162">
        <v>45602</v>
      </c>
      <c r="H32" s="162">
        <v>45706</v>
      </c>
      <c r="I32" s="33">
        <f t="shared" si="124"/>
        <v>55</v>
      </c>
      <c r="J32" s="35">
        <v>0.1</v>
      </c>
      <c r="K32" s="53"/>
      <c r="L32" s="127">
        <v>0</v>
      </c>
      <c r="M32" s="127">
        <v>0</v>
      </c>
      <c r="N32" s="127">
        <v>0</v>
      </c>
      <c r="O32" s="127">
        <v>0</v>
      </c>
      <c r="P32" s="127">
        <v>0</v>
      </c>
      <c r="Q32" s="127">
        <v>0</v>
      </c>
      <c r="R32" s="127">
        <v>0</v>
      </c>
      <c r="S32" s="127">
        <v>0</v>
      </c>
      <c r="T32" s="127">
        <v>0</v>
      </c>
      <c r="U32" s="127">
        <v>0</v>
      </c>
      <c r="V32" s="127">
        <v>0</v>
      </c>
      <c r="W32" s="127">
        <v>0</v>
      </c>
      <c r="X32" s="127">
        <v>0</v>
      </c>
      <c r="Y32" s="127">
        <v>0</v>
      </c>
      <c r="Z32" s="127">
        <v>0</v>
      </c>
      <c r="AA32" s="127">
        <v>0</v>
      </c>
      <c r="AB32" s="127">
        <v>0.48628333333333329</v>
      </c>
      <c r="AC32" s="127">
        <v>1</v>
      </c>
      <c r="AD32" s="127">
        <v>1</v>
      </c>
      <c r="AE32" s="127">
        <v>1</v>
      </c>
      <c r="AF32" s="127">
        <v>1</v>
      </c>
      <c r="AG32" s="127">
        <v>1</v>
      </c>
      <c r="AH32" s="127">
        <v>1</v>
      </c>
      <c r="AI32" s="127">
        <v>1</v>
      </c>
      <c r="AJ32" s="127">
        <v>1</v>
      </c>
      <c r="AK32" s="127">
        <v>1</v>
      </c>
      <c r="AL32" s="127">
        <v>1</v>
      </c>
      <c r="AM32" s="127">
        <v>1</v>
      </c>
      <c r="AN32" s="127">
        <v>1</v>
      </c>
      <c r="AO32" s="127">
        <v>1</v>
      </c>
      <c r="AP32" s="127">
        <v>1</v>
      </c>
      <c r="AQ32" s="127">
        <v>1</v>
      </c>
      <c r="AR32" s="127">
        <v>1</v>
      </c>
      <c r="AS32" s="127">
        <v>1</v>
      </c>
      <c r="AT32" s="127">
        <v>1</v>
      </c>
      <c r="AU32" s="127">
        <v>1</v>
      </c>
      <c r="AV32" s="127">
        <v>1</v>
      </c>
      <c r="AW32" s="127">
        <v>1</v>
      </c>
      <c r="AX32" s="127">
        <v>1</v>
      </c>
      <c r="AY32" s="127">
        <v>1</v>
      </c>
      <c r="AZ32" s="127">
        <v>1</v>
      </c>
      <c r="BA32" s="127">
        <v>1</v>
      </c>
      <c r="BB32" s="127">
        <v>1</v>
      </c>
      <c r="BC32" s="127">
        <v>1</v>
      </c>
      <c r="BD32" s="127">
        <v>1</v>
      </c>
      <c r="BE32" s="127">
        <v>1</v>
      </c>
      <c r="BF32" s="127">
        <v>1</v>
      </c>
      <c r="BG32" s="127">
        <v>1</v>
      </c>
      <c r="BH32" s="127">
        <v>1</v>
      </c>
      <c r="BI32" s="127">
        <v>1</v>
      </c>
      <c r="BJ32" s="127">
        <v>1</v>
      </c>
      <c r="BK32" s="127">
        <v>1</v>
      </c>
      <c r="BL32" s="127">
        <v>1</v>
      </c>
      <c r="BM32" s="127">
        <v>1</v>
      </c>
      <c r="BN32" s="127">
        <v>1</v>
      </c>
      <c r="BO32" s="127">
        <v>1</v>
      </c>
      <c r="BP32" s="127">
        <v>1</v>
      </c>
      <c r="BQ32" s="127">
        <v>1</v>
      </c>
      <c r="BR32" s="163">
        <v>1</v>
      </c>
      <c r="BS32" s="163">
        <v>1</v>
      </c>
      <c r="BT32" s="163">
        <v>1</v>
      </c>
      <c r="BU32" s="163">
        <v>1</v>
      </c>
      <c r="BV32" s="163">
        <v>1</v>
      </c>
      <c r="BW32" s="163">
        <v>1</v>
      </c>
      <c r="BX32" s="163">
        <v>1</v>
      </c>
      <c r="BY32" s="163">
        <v>1</v>
      </c>
      <c r="BZ32" s="163">
        <v>1</v>
      </c>
      <c r="CA32" s="163">
        <v>1</v>
      </c>
      <c r="CB32" s="163">
        <v>1</v>
      </c>
      <c r="CC32" s="163">
        <v>1</v>
      </c>
      <c r="CD32" s="163">
        <v>1</v>
      </c>
      <c r="CE32" s="163">
        <v>1</v>
      </c>
      <c r="CF32" s="163">
        <v>1</v>
      </c>
      <c r="CG32" s="163">
        <v>1</v>
      </c>
      <c r="CH32" s="163">
        <v>1</v>
      </c>
      <c r="CI32" s="163">
        <v>1</v>
      </c>
      <c r="CJ32" s="163">
        <v>1</v>
      </c>
      <c r="CK32" s="163">
        <v>1</v>
      </c>
      <c r="CL32" s="163">
        <v>1</v>
      </c>
      <c r="CM32" s="163">
        <v>1</v>
      </c>
      <c r="CN32" s="163">
        <v>1</v>
      </c>
      <c r="CO32" s="163">
        <v>1</v>
      </c>
      <c r="CP32" s="163">
        <v>1</v>
      </c>
      <c r="CQ32" s="163">
        <v>1</v>
      </c>
      <c r="CR32" s="163">
        <v>1</v>
      </c>
      <c r="CS32" s="163">
        <v>1</v>
      </c>
      <c r="CT32" s="163">
        <v>1</v>
      </c>
      <c r="CU32" s="163">
        <v>1</v>
      </c>
      <c r="CV32" s="163">
        <v>1</v>
      </c>
      <c r="CW32" s="163">
        <v>1</v>
      </c>
      <c r="CX32" s="163">
        <v>1</v>
      </c>
      <c r="CY32" s="163">
        <v>1</v>
      </c>
      <c r="CZ32" s="163">
        <v>1</v>
      </c>
      <c r="DA32" s="163">
        <v>1</v>
      </c>
      <c r="DB32" s="163">
        <v>1</v>
      </c>
      <c r="DC32" s="163">
        <v>1</v>
      </c>
      <c r="DD32" s="163">
        <v>1</v>
      </c>
      <c r="DE32" s="163">
        <v>1</v>
      </c>
      <c r="DF32" s="163">
        <v>1</v>
      </c>
      <c r="DG32" s="163">
        <v>1</v>
      </c>
      <c r="DH32" s="347">
        <v>1</v>
      </c>
      <c r="DI32" s="163">
        <v>1</v>
      </c>
      <c r="DJ32" s="163">
        <v>1</v>
      </c>
      <c r="DK32" s="163">
        <v>1</v>
      </c>
      <c r="DL32" s="163">
        <v>1</v>
      </c>
      <c r="DM32" s="163">
        <v>1</v>
      </c>
      <c r="DN32" s="163">
        <v>1</v>
      </c>
      <c r="DO32" s="163">
        <v>1</v>
      </c>
      <c r="DP32" s="163">
        <v>1</v>
      </c>
      <c r="DQ32" s="163">
        <v>1</v>
      </c>
      <c r="DR32" s="163">
        <v>1</v>
      </c>
      <c r="DS32" s="163">
        <v>1</v>
      </c>
      <c r="DT32" s="163">
        <v>1</v>
      </c>
      <c r="DU32" s="163">
        <v>1</v>
      </c>
      <c r="DV32" s="163">
        <v>1</v>
      </c>
      <c r="DW32" s="163">
        <v>1</v>
      </c>
      <c r="DX32" s="163">
        <v>1</v>
      </c>
      <c r="DY32" s="163">
        <v>1</v>
      </c>
      <c r="DZ32" s="163">
        <v>1</v>
      </c>
      <c r="EA32" s="163">
        <v>1</v>
      </c>
      <c r="EB32" s="163">
        <v>1</v>
      </c>
      <c r="EC32" s="163">
        <v>1</v>
      </c>
      <c r="ED32" s="163">
        <v>1</v>
      </c>
      <c r="EE32" s="163">
        <v>1</v>
      </c>
      <c r="EF32" s="163">
        <v>1</v>
      </c>
      <c r="EG32" s="163">
        <v>1</v>
      </c>
      <c r="EH32" s="163">
        <v>1</v>
      </c>
      <c r="EI32" s="163">
        <v>1</v>
      </c>
      <c r="EJ32" s="163">
        <v>1</v>
      </c>
      <c r="EK32" s="163">
        <v>1</v>
      </c>
      <c r="EL32" s="163">
        <v>1</v>
      </c>
    </row>
    <row r="33" spans="2:142" hidden="1" outlineLevel="2" x14ac:dyDescent="0.3">
      <c r="B33" s="29"/>
      <c r="C33" s="30"/>
      <c r="D33" s="30"/>
      <c r="E33" s="52" t="s">
        <v>38</v>
      </c>
      <c r="F33" s="33">
        <v>30</v>
      </c>
      <c r="G33" s="162">
        <v>45581</v>
      </c>
      <c r="H33" s="162">
        <v>45622</v>
      </c>
      <c r="I33" s="33">
        <f t="shared" si="124"/>
        <v>30</v>
      </c>
      <c r="J33" s="35">
        <v>0.1</v>
      </c>
      <c r="K33" s="53"/>
      <c r="L33" s="127">
        <v>0</v>
      </c>
      <c r="M33" s="127">
        <v>0</v>
      </c>
      <c r="N33" s="127">
        <v>0</v>
      </c>
      <c r="O33" s="127">
        <v>0</v>
      </c>
      <c r="P33" s="127">
        <v>0</v>
      </c>
      <c r="Q33" s="127">
        <v>0</v>
      </c>
      <c r="R33" s="127">
        <v>0</v>
      </c>
      <c r="S33" s="127">
        <v>0</v>
      </c>
      <c r="T33" s="127">
        <v>0</v>
      </c>
      <c r="U33" s="127">
        <v>0</v>
      </c>
      <c r="V33" s="127">
        <v>1</v>
      </c>
      <c r="W33" s="127">
        <v>1</v>
      </c>
      <c r="X33" s="127">
        <v>1</v>
      </c>
      <c r="Y33" s="127">
        <v>1</v>
      </c>
      <c r="Z33" s="127">
        <v>1</v>
      </c>
      <c r="AA33" s="127">
        <v>1</v>
      </c>
      <c r="AB33" s="127">
        <v>1</v>
      </c>
      <c r="AC33" s="127">
        <v>1</v>
      </c>
      <c r="AD33" s="127">
        <v>1</v>
      </c>
      <c r="AE33" s="127">
        <v>1</v>
      </c>
      <c r="AF33" s="127">
        <v>1</v>
      </c>
      <c r="AG33" s="127">
        <v>1</v>
      </c>
      <c r="AH33" s="127">
        <v>1</v>
      </c>
      <c r="AI33" s="127">
        <v>1</v>
      </c>
      <c r="AJ33" s="127">
        <v>1</v>
      </c>
      <c r="AK33" s="127">
        <v>1</v>
      </c>
      <c r="AL33" s="127">
        <v>1</v>
      </c>
      <c r="AM33" s="127">
        <v>1</v>
      </c>
      <c r="AN33" s="127">
        <v>1</v>
      </c>
      <c r="AO33" s="127">
        <v>1</v>
      </c>
      <c r="AP33" s="127">
        <v>1</v>
      </c>
      <c r="AQ33" s="127">
        <v>1</v>
      </c>
      <c r="AR33" s="127">
        <v>1</v>
      </c>
      <c r="AS33" s="127">
        <v>1</v>
      </c>
      <c r="AT33" s="127">
        <v>1</v>
      </c>
      <c r="AU33" s="127">
        <v>1</v>
      </c>
      <c r="AV33" s="127">
        <v>1</v>
      </c>
      <c r="AW33" s="127">
        <v>1</v>
      </c>
      <c r="AX33" s="127">
        <v>1</v>
      </c>
      <c r="AY33" s="127">
        <v>1</v>
      </c>
      <c r="AZ33" s="127">
        <v>1</v>
      </c>
      <c r="BA33" s="127">
        <v>1</v>
      </c>
      <c r="BB33" s="127">
        <v>1</v>
      </c>
      <c r="BC33" s="127">
        <v>1</v>
      </c>
      <c r="BD33" s="127">
        <v>1</v>
      </c>
      <c r="BE33" s="127">
        <v>1</v>
      </c>
      <c r="BF33" s="127">
        <v>1</v>
      </c>
      <c r="BG33" s="127">
        <v>1</v>
      </c>
      <c r="BH33" s="127">
        <v>1</v>
      </c>
      <c r="BI33" s="127">
        <v>1</v>
      </c>
      <c r="BJ33" s="127">
        <v>1</v>
      </c>
      <c r="BK33" s="127">
        <v>1</v>
      </c>
      <c r="BL33" s="127">
        <v>1</v>
      </c>
      <c r="BM33" s="127">
        <v>1</v>
      </c>
      <c r="BN33" s="127">
        <v>1</v>
      </c>
      <c r="BO33" s="127">
        <v>1</v>
      </c>
      <c r="BP33" s="127">
        <v>1</v>
      </c>
      <c r="BQ33" s="127">
        <v>1</v>
      </c>
      <c r="BR33" s="163">
        <v>1</v>
      </c>
      <c r="BS33" s="163">
        <v>1</v>
      </c>
      <c r="BT33" s="163">
        <v>1</v>
      </c>
      <c r="BU33" s="163">
        <v>1</v>
      </c>
      <c r="BV33" s="163">
        <v>1</v>
      </c>
      <c r="BW33" s="163">
        <v>1</v>
      </c>
      <c r="BX33" s="163">
        <v>1</v>
      </c>
      <c r="BY33" s="163">
        <v>1</v>
      </c>
      <c r="BZ33" s="163">
        <v>1</v>
      </c>
      <c r="CA33" s="163">
        <v>1</v>
      </c>
      <c r="CB33" s="163">
        <v>1</v>
      </c>
      <c r="CC33" s="163">
        <v>1</v>
      </c>
      <c r="CD33" s="163">
        <v>1</v>
      </c>
      <c r="CE33" s="163">
        <v>1</v>
      </c>
      <c r="CF33" s="163">
        <v>1</v>
      </c>
      <c r="CG33" s="163">
        <v>1</v>
      </c>
      <c r="CH33" s="163">
        <v>1</v>
      </c>
      <c r="CI33" s="163">
        <v>1</v>
      </c>
      <c r="CJ33" s="163">
        <v>1</v>
      </c>
      <c r="CK33" s="163">
        <v>1</v>
      </c>
      <c r="CL33" s="163">
        <v>1</v>
      </c>
      <c r="CM33" s="163">
        <v>1</v>
      </c>
      <c r="CN33" s="163">
        <v>1</v>
      </c>
      <c r="CO33" s="163">
        <v>1</v>
      </c>
      <c r="CP33" s="163">
        <v>1</v>
      </c>
      <c r="CQ33" s="163">
        <v>1</v>
      </c>
      <c r="CR33" s="163">
        <v>1</v>
      </c>
      <c r="CS33" s="163">
        <v>1</v>
      </c>
      <c r="CT33" s="163">
        <v>1</v>
      </c>
      <c r="CU33" s="163">
        <v>1</v>
      </c>
      <c r="CV33" s="163">
        <v>1</v>
      </c>
      <c r="CW33" s="163">
        <v>1</v>
      </c>
      <c r="CX33" s="163">
        <v>1</v>
      </c>
      <c r="CY33" s="163">
        <v>1</v>
      </c>
      <c r="CZ33" s="163">
        <v>1</v>
      </c>
      <c r="DA33" s="163">
        <v>1</v>
      </c>
      <c r="DB33" s="163">
        <v>1</v>
      </c>
      <c r="DC33" s="163">
        <v>1</v>
      </c>
      <c r="DD33" s="163">
        <v>1</v>
      </c>
      <c r="DE33" s="163">
        <v>1</v>
      </c>
      <c r="DF33" s="163">
        <v>1</v>
      </c>
      <c r="DG33" s="163">
        <v>1</v>
      </c>
      <c r="DH33" s="347">
        <v>1</v>
      </c>
      <c r="DI33" s="163">
        <v>1</v>
      </c>
      <c r="DJ33" s="163">
        <v>1</v>
      </c>
      <c r="DK33" s="163">
        <v>1</v>
      </c>
      <c r="DL33" s="163">
        <v>1</v>
      </c>
      <c r="DM33" s="163">
        <v>1</v>
      </c>
      <c r="DN33" s="163">
        <v>1</v>
      </c>
      <c r="DO33" s="163">
        <v>1</v>
      </c>
      <c r="DP33" s="163">
        <v>1</v>
      </c>
      <c r="DQ33" s="163">
        <v>1</v>
      </c>
      <c r="DR33" s="163">
        <v>1</v>
      </c>
      <c r="DS33" s="163">
        <v>1</v>
      </c>
      <c r="DT33" s="163">
        <v>1</v>
      </c>
      <c r="DU33" s="163">
        <v>1</v>
      </c>
      <c r="DV33" s="163">
        <v>1</v>
      </c>
      <c r="DW33" s="163">
        <v>1</v>
      </c>
      <c r="DX33" s="163">
        <v>1</v>
      </c>
      <c r="DY33" s="163">
        <v>1</v>
      </c>
      <c r="DZ33" s="163">
        <v>1</v>
      </c>
      <c r="EA33" s="163">
        <v>1</v>
      </c>
      <c r="EB33" s="163">
        <v>1</v>
      </c>
      <c r="EC33" s="163">
        <v>1</v>
      </c>
      <c r="ED33" s="163">
        <v>1</v>
      </c>
      <c r="EE33" s="163">
        <v>1</v>
      </c>
      <c r="EF33" s="163">
        <v>1</v>
      </c>
      <c r="EG33" s="163">
        <v>1</v>
      </c>
      <c r="EH33" s="163">
        <v>1</v>
      </c>
      <c r="EI33" s="163">
        <v>1</v>
      </c>
      <c r="EJ33" s="163">
        <v>1</v>
      </c>
      <c r="EK33" s="163">
        <v>1</v>
      </c>
      <c r="EL33" s="163">
        <v>1</v>
      </c>
    </row>
    <row r="34" spans="2:142" ht="15" hidden="1" outlineLevel="1" collapsed="1" x14ac:dyDescent="0.3">
      <c r="B34" s="22"/>
      <c r="C34" s="23"/>
      <c r="D34" s="23" t="s">
        <v>39</v>
      </c>
      <c r="E34" s="50"/>
      <c r="F34" s="26">
        <v>75</v>
      </c>
      <c r="G34" s="160">
        <v>45607</v>
      </c>
      <c r="H34" s="160">
        <v>45741</v>
      </c>
      <c r="I34" s="26">
        <f>+SUM(I35:I37)</f>
        <v>75</v>
      </c>
      <c r="J34" s="28">
        <v>7.0220680011491288E-2</v>
      </c>
      <c r="K34" s="51"/>
      <c r="L34" s="28">
        <f>+SUMPRODUCT($J$35:$J$37,L35:L37)</f>
        <v>0</v>
      </c>
      <c r="M34" s="28">
        <f t="shared" ref="M34:BU34" si="125">+SUMPRODUCT($J$35:$J$37,M35:M37)</f>
        <v>0</v>
      </c>
      <c r="N34" s="28">
        <f t="shared" si="125"/>
        <v>0</v>
      </c>
      <c r="O34" s="28">
        <f t="shared" si="125"/>
        <v>0</v>
      </c>
      <c r="P34" s="28">
        <f t="shared" si="125"/>
        <v>0</v>
      </c>
      <c r="Q34" s="28">
        <f t="shared" si="125"/>
        <v>0</v>
      </c>
      <c r="R34" s="28">
        <f t="shared" si="125"/>
        <v>0</v>
      </c>
      <c r="S34" s="28">
        <f t="shared" si="125"/>
        <v>1.4999999999999999E-2</v>
      </c>
      <c r="T34" s="28">
        <f t="shared" si="125"/>
        <v>0.08</v>
      </c>
      <c r="U34" s="28">
        <f t="shared" si="125"/>
        <v>0.11</v>
      </c>
      <c r="V34" s="28">
        <f t="shared" si="125"/>
        <v>0.17250000000000001</v>
      </c>
      <c r="W34" s="28">
        <f t="shared" si="125"/>
        <v>0.17550000000000002</v>
      </c>
      <c r="X34" s="28">
        <f t="shared" si="125"/>
        <v>0.18149999999999999</v>
      </c>
      <c r="Y34" s="28">
        <f t="shared" si="125"/>
        <v>0.1875</v>
      </c>
      <c r="Z34" s="28">
        <f t="shared" si="125"/>
        <v>0.19750000000000001</v>
      </c>
      <c r="AA34" s="28">
        <f t="shared" si="125"/>
        <v>0.20350000000000001</v>
      </c>
      <c r="AB34" s="28">
        <f t="shared" si="125"/>
        <v>0.20950000000000002</v>
      </c>
      <c r="AC34" s="28">
        <f t="shared" si="125"/>
        <v>0.21950000000000003</v>
      </c>
      <c r="AD34" s="28">
        <f t="shared" si="125"/>
        <v>0.24912499999999999</v>
      </c>
      <c r="AE34" s="28">
        <f t="shared" si="125"/>
        <v>0.25580000000000003</v>
      </c>
      <c r="AF34" s="28">
        <f t="shared" si="125"/>
        <v>0.25700000000000001</v>
      </c>
      <c r="AG34" s="28">
        <f t="shared" si="125"/>
        <v>0.26350000000000001</v>
      </c>
      <c r="AH34" s="28">
        <f t="shared" si="125"/>
        <v>0.26502500000000001</v>
      </c>
      <c r="AI34" s="28">
        <f t="shared" si="125"/>
        <v>0.26895000000000002</v>
      </c>
      <c r="AJ34" s="28">
        <f t="shared" si="125"/>
        <v>0.30317</v>
      </c>
      <c r="AK34" s="28">
        <f t="shared" si="125"/>
        <v>0.30993000000000004</v>
      </c>
      <c r="AL34" s="28">
        <f t="shared" si="125"/>
        <v>0.30993000000000004</v>
      </c>
      <c r="AM34" s="28">
        <f t="shared" si="125"/>
        <v>0.30993000000000004</v>
      </c>
      <c r="AN34" s="28">
        <f t="shared" si="125"/>
        <v>0.31029400000000001</v>
      </c>
      <c r="AO34" s="28">
        <f t="shared" si="125"/>
        <v>0.31149000000000004</v>
      </c>
      <c r="AP34" s="28">
        <f t="shared" si="125"/>
        <v>0.31149000000000004</v>
      </c>
      <c r="AQ34" s="28">
        <f t="shared" si="125"/>
        <v>0.31149000000000004</v>
      </c>
      <c r="AR34" s="28">
        <f t="shared" si="125"/>
        <v>0.31149000000000004</v>
      </c>
      <c r="AS34" s="28">
        <f t="shared" si="125"/>
        <v>0.31149000000000004</v>
      </c>
      <c r="AT34" s="28">
        <f t="shared" si="125"/>
        <v>0.31149000000000004</v>
      </c>
      <c r="AU34" s="28">
        <f t="shared" si="125"/>
        <v>0.31149000000000004</v>
      </c>
      <c r="AV34" s="28">
        <f t="shared" si="125"/>
        <v>0.35597000000000001</v>
      </c>
      <c r="AW34" s="28">
        <f t="shared" si="125"/>
        <v>0.40045000000000003</v>
      </c>
      <c r="AX34" s="28">
        <f t="shared" si="125"/>
        <v>0.45545000000000008</v>
      </c>
      <c r="AY34" s="28">
        <f t="shared" si="125"/>
        <v>0.51045000000000007</v>
      </c>
      <c r="AZ34" s="28">
        <f t="shared" si="125"/>
        <v>0.56545000000000001</v>
      </c>
      <c r="BA34" s="28">
        <f t="shared" si="125"/>
        <v>0.62045000000000006</v>
      </c>
      <c r="BB34" s="28">
        <f t="shared" si="125"/>
        <v>0.67545000000000011</v>
      </c>
      <c r="BC34" s="28">
        <f t="shared" si="125"/>
        <v>0.73045000000000015</v>
      </c>
      <c r="BD34" s="28">
        <f t="shared" si="125"/>
        <v>0.7854500000000002</v>
      </c>
      <c r="BE34" s="28">
        <f t="shared" si="125"/>
        <v>0.84045000000000014</v>
      </c>
      <c r="BF34" s="28">
        <f t="shared" si="125"/>
        <v>0.89545000000000008</v>
      </c>
      <c r="BG34" s="28">
        <f t="shared" si="125"/>
        <v>0.94000000000000017</v>
      </c>
      <c r="BH34" s="28">
        <f t="shared" si="125"/>
        <v>0.96000000000000019</v>
      </c>
      <c r="BI34" s="28">
        <f t="shared" si="125"/>
        <v>0.9800000000000002</v>
      </c>
      <c r="BJ34" s="28">
        <f t="shared" si="125"/>
        <v>1</v>
      </c>
      <c r="BK34" s="28">
        <f t="shared" si="125"/>
        <v>1</v>
      </c>
      <c r="BL34" s="28">
        <f t="shared" si="125"/>
        <v>1</v>
      </c>
      <c r="BM34" s="28">
        <f t="shared" si="125"/>
        <v>1</v>
      </c>
      <c r="BN34" s="28">
        <f t="shared" si="125"/>
        <v>1</v>
      </c>
      <c r="BO34" s="28">
        <f t="shared" si="125"/>
        <v>1</v>
      </c>
      <c r="BP34" s="28">
        <f t="shared" si="125"/>
        <v>1</v>
      </c>
      <c r="BQ34" s="28">
        <f t="shared" si="125"/>
        <v>1</v>
      </c>
      <c r="BR34" s="161">
        <f t="shared" si="125"/>
        <v>1</v>
      </c>
      <c r="BS34" s="161">
        <f t="shared" si="125"/>
        <v>1</v>
      </c>
      <c r="BT34" s="161">
        <f t="shared" si="125"/>
        <v>1</v>
      </c>
      <c r="BU34" s="161">
        <f t="shared" si="125"/>
        <v>1</v>
      </c>
      <c r="BV34" s="161">
        <f t="shared" ref="BV34:CL34" si="126">+SUMPRODUCT($J$35:$J$37,BV35:BV37)</f>
        <v>1</v>
      </c>
      <c r="BW34" s="161">
        <f t="shared" si="126"/>
        <v>1</v>
      </c>
      <c r="BX34" s="161">
        <f t="shared" si="126"/>
        <v>1</v>
      </c>
      <c r="BY34" s="161">
        <f t="shared" si="126"/>
        <v>1</v>
      </c>
      <c r="BZ34" s="161">
        <f t="shared" si="126"/>
        <v>1</v>
      </c>
      <c r="CA34" s="161">
        <f t="shared" si="126"/>
        <v>1</v>
      </c>
      <c r="CB34" s="161">
        <f t="shared" si="126"/>
        <v>1</v>
      </c>
      <c r="CC34" s="161">
        <f t="shared" si="126"/>
        <v>1</v>
      </c>
      <c r="CD34" s="161">
        <f t="shared" si="126"/>
        <v>1</v>
      </c>
      <c r="CE34" s="161">
        <f t="shared" si="126"/>
        <v>1</v>
      </c>
      <c r="CF34" s="161">
        <f t="shared" si="126"/>
        <v>1</v>
      </c>
      <c r="CG34" s="161">
        <f t="shared" si="126"/>
        <v>1</v>
      </c>
      <c r="CH34" s="161">
        <f t="shared" si="126"/>
        <v>1</v>
      </c>
      <c r="CI34" s="161">
        <f t="shared" si="126"/>
        <v>1</v>
      </c>
      <c r="CJ34" s="161">
        <f t="shared" si="126"/>
        <v>1</v>
      </c>
      <c r="CK34" s="161">
        <f t="shared" si="126"/>
        <v>1</v>
      </c>
      <c r="CL34" s="161">
        <f t="shared" si="126"/>
        <v>1</v>
      </c>
      <c r="CM34" s="161">
        <f t="shared" ref="CM34:CN34" si="127">+SUMPRODUCT($J$35:$J$37,CM35:CM37)</f>
        <v>1</v>
      </c>
      <c r="CN34" s="161">
        <f t="shared" si="127"/>
        <v>1</v>
      </c>
      <c r="CO34" s="161">
        <f t="shared" ref="CO34" si="128">+SUMPRODUCT($J$35:$J$37,CO35:CO37)</f>
        <v>1</v>
      </c>
      <c r="CP34" s="161">
        <f t="shared" ref="CP34:CV34" si="129">+SUMPRODUCT($J$35:$J$37,CP35:CP37)</f>
        <v>1</v>
      </c>
      <c r="CQ34" s="161">
        <f t="shared" si="129"/>
        <v>1</v>
      </c>
      <c r="CR34" s="161">
        <f t="shared" si="129"/>
        <v>1</v>
      </c>
      <c r="CS34" s="161">
        <f t="shared" si="129"/>
        <v>1</v>
      </c>
      <c r="CT34" s="161">
        <f t="shared" si="129"/>
        <v>1</v>
      </c>
      <c r="CU34" s="161">
        <f t="shared" si="129"/>
        <v>1</v>
      </c>
      <c r="CV34" s="161">
        <f t="shared" si="129"/>
        <v>1</v>
      </c>
      <c r="CW34" s="161">
        <f t="shared" ref="CW34:CY34" si="130">+SUMPRODUCT($J$35:$J$37,CW35:CW37)</f>
        <v>1</v>
      </c>
      <c r="CX34" s="161">
        <f t="shared" si="130"/>
        <v>1</v>
      </c>
      <c r="CY34" s="161">
        <f t="shared" si="130"/>
        <v>1</v>
      </c>
      <c r="CZ34" s="161">
        <f t="shared" ref="CZ34:DA34" si="131">+SUMPRODUCT($J$35:$J$37,CZ35:CZ37)</f>
        <v>1</v>
      </c>
      <c r="DA34" s="161">
        <f t="shared" si="131"/>
        <v>1</v>
      </c>
      <c r="DB34" s="161">
        <f t="shared" ref="DB34:DC34" si="132">+SUMPRODUCT($J$35:$J$37,DB35:DB37)</f>
        <v>1</v>
      </c>
      <c r="DC34" s="161">
        <f t="shared" si="132"/>
        <v>1</v>
      </c>
      <c r="DD34" s="161">
        <f t="shared" ref="DD34:DE34" si="133">+SUMPRODUCT($J$35:$J$37,DD35:DD37)</f>
        <v>1</v>
      </c>
      <c r="DE34" s="161">
        <f t="shared" si="133"/>
        <v>1</v>
      </c>
      <c r="DF34" s="161">
        <f t="shared" ref="DF34:DG34" si="134">+SUMPRODUCT($J$35:$J$37,DF35:DF37)</f>
        <v>1</v>
      </c>
      <c r="DG34" s="161">
        <f t="shared" si="134"/>
        <v>1</v>
      </c>
      <c r="DH34" s="346">
        <f t="shared" ref="DH34:EL34" si="135">+SUMPRODUCT($J$35:$J$37,DH35:DH37)</f>
        <v>1</v>
      </c>
      <c r="DI34" s="161">
        <f t="shared" si="135"/>
        <v>1</v>
      </c>
      <c r="DJ34" s="161">
        <f t="shared" si="135"/>
        <v>1</v>
      </c>
      <c r="DK34" s="161">
        <f t="shared" si="135"/>
        <v>1</v>
      </c>
      <c r="DL34" s="161">
        <f t="shared" si="135"/>
        <v>1</v>
      </c>
      <c r="DM34" s="161">
        <f t="shared" si="135"/>
        <v>1</v>
      </c>
      <c r="DN34" s="161">
        <f t="shared" si="135"/>
        <v>1</v>
      </c>
      <c r="DO34" s="161">
        <f t="shared" si="135"/>
        <v>1</v>
      </c>
      <c r="DP34" s="161">
        <f t="shared" si="135"/>
        <v>1</v>
      </c>
      <c r="DQ34" s="161">
        <f t="shared" si="135"/>
        <v>1</v>
      </c>
      <c r="DR34" s="161">
        <f t="shared" si="135"/>
        <v>1</v>
      </c>
      <c r="DS34" s="161">
        <f t="shared" si="135"/>
        <v>1</v>
      </c>
      <c r="DT34" s="161">
        <f t="shared" si="135"/>
        <v>1</v>
      </c>
      <c r="DU34" s="161">
        <f t="shared" si="135"/>
        <v>1</v>
      </c>
      <c r="DV34" s="161">
        <f t="shared" si="135"/>
        <v>1</v>
      </c>
      <c r="DW34" s="161">
        <f t="shared" si="135"/>
        <v>1</v>
      </c>
      <c r="DX34" s="161">
        <f t="shared" si="135"/>
        <v>1</v>
      </c>
      <c r="DY34" s="161">
        <f t="shared" si="135"/>
        <v>1</v>
      </c>
      <c r="DZ34" s="161">
        <f t="shared" si="135"/>
        <v>1</v>
      </c>
      <c r="EA34" s="161">
        <f t="shared" si="135"/>
        <v>1</v>
      </c>
      <c r="EB34" s="161">
        <f t="shared" si="135"/>
        <v>1</v>
      </c>
      <c r="EC34" s="161">
        <f t="shared" si="135"/>
        <v>1</v>
      </c>
      <c r="ED34" s="161">
        <f t="shared" si="135"/>
        <v>1</v>
      </c>
      <c r="EE34" s="161">
        <f t="shared" si="135"/>
        <v>1</v>
      </c>
      <c r="EF34" s="161">
        <f t="shared" si="135"/>
        <v>1</v>
      </c>
      <c r="EG34" s="161">
        <f t="shared" si="135"/>
        <v>1</v>
      </c>
      <c r="EH34" s="161">
        <f t="shared" si="135"/>
        <v>1</v>
      </c>
      <c r="EI34" s="161">
        <f t="shared" si="135"/>
        <v>1</v>
      </c>
      <c r="EJ34" s="161">
        <f t="shared" si="135"/>
        <v>1</v>
      </c>
      <c r="EK34" s="161">
        <f t="shared" si="135"/>
        <v>1</v>
      </c>
      <c r="EL34" s="161">
        <f t="shared" si="135"/>
        <v>1</v>
      </c>
    </row>
    <row r="35" spans="2:142" hidden="1" outlineLevel="2" x14ac:dyDescent="0.3">
      <c r="B35" s="29"/>
      <c r="C35" s="30"/>
      <c r="D35" s="30"/>
      <c r="E35" s="52" t="s">
        <v>40</v>
      </c>
      <c r="F35" s="33">
        <v>25</v>
      </c>
      <c r="G35" s="162">
        <v>45607</v>
      </c>
      <c r="H35" s="162">
        <v>45639</v>
      </c>
      <c r="I35" s="33">
        <f>+F35</f>
        <v>25</v>
      </c>
      <c r="J35" s="35">
        <v>0.4</v>
      </c>
      <c r="K35" s="53"/>
      <c r="L35" s="127">
        <v>0</v>
      </c>
      <c r="M35" s="127">
        <v>0</v>
      </c>
      <c r="N35" s="127">
        <v>0</v>
      </c>
      <c r="O35" s="127">
        <v>0</v>
      </c>
      <c r="P35" s="127">
        <v>0</v>
      </c>
      <c r="Q35" s="127">
        <v>0</v>
      </c>
      <c r="R35" s="127">
        <v>0</v>
      </c>
      <c r="S35" s="127">
        <v>0</v>
      </c>
      <c r="T35" s="127">
        <v>0</v>
      </c>
      <c r="U35" s="127">
        <v>0</v>
      </c>
      <c r="V35" s="127">
        <v>7.4999999999999997E-3</v>
      </c>
      <c r="W35" s="127">
        <v>1.4999999999999999E-2</v>
      </c>
      <c r="X35" s="127">
        <v>0.03</v>
      </c>
      <c r="Y35" s="127">
        <v>4.4999999999999998E-2</v>
      </c>
      <c r="Z35" s="127">
        <v>7.0000000000000007E-2</v>
      </c>
      <c r="AA35" s="127">
        <v>8.4999999999999992E-2</v>
      </c>
      <c r="AB35" s="127">
        <v>0.1</v>
      </c>
      <c r="AC35" s="127">
        <v>0.125</v>
      </c>
      <c r="AD35" s="127">
        <v>0.16249999999999998</v>
      </c>
      <c r="AE35" s="127">
        <v>0.16699999999999998</v>
      </c>
      <c r="AF35" s="127">
        <v>0.16999999999999998</v>
      </c>
      <c r="AG35" s="127">
        <v>0.183</v>
      </c>
      <c r="AH35" s="127">
        <v>0.186</v>
      </c>
      <c r="AI35" s="127">
        <v>0.19500000000000001</v>
      </c>
      <c r="AJ35" s="127">
        <v>0.25455</v>
      </c>
      <c r="AK35" s="127">
        <v>0.26169999999999999</v>
      </c>
      <c r="AL35" s="127">
        <v>0.26169999999999999</v>
      </c>
      <c r="AM35" s="127">
        <v>0.26169999999999999</v>
      </c>
      <c r="AN35" s="127">
        <v>0.26261000000000001</v>
      </c>
      <c r="AO35" s="127">
        <v>0.2656</v>
      </c>
      <c r="AP35" s="127">
        <v>0.2656</v>
      </c>
      <c r="AQ35" s="127">
        <v>0.2656</v>
      </c>
      <c r="AR35" s="127">
        <v>0.2656</v>
      </c>
      <c r="AS35" s="127">
        <v>0.2656</v>
      </c>
      <c r="AT35" s="127">
        <v>0.2656</v>
      </c>
      <c r="AU35" s="127">
        <v>0.2656</v>
      </c>
      <c r="AV35" s="127">
        <v>0.32679999999999998</v>
      </c>
      <c r="AW35" s="127">
        <v>0.38800000000000001</v>
      </c>
      <c r="AX35" s="127">
        <v>0.44920000000000004</v>
      </c>
      <c r="AY35" s="127">
        <v>0.51040000000000008</v>
      </c>
      <c r="AZ35" s="127">
        <v>0.57160000000000011</v>
      </c>
      <c r="BA35" s="127">
        <v>0.63280000000000014</v>
      </c>
      <c r="BB35" s="127">
        <v>0.69400000000000017</v>
      </c>
      <c r="BC35" s="127">
        <v>0.7552000000000002</v>
      </c>
      <c r="BD35" s="127">
        <v>0.81640000000000024</v>
      </c>
      <c r="BE35" s="127">
        <v>0.87760000000000027</v>
      </c>
      <c r="BF35" s="127">
        <v>0.9388000000000003</v>
      </c>
      <c r="BG35" s="127">
        <v>1.0000000000000002</v>
      </c>
      <c r="BH35" s="127">
        <v>1</v>
      </c>
      <c r="BI35" s="127">
        <v>1</v>
      </c>
      <c r="BJ35" s="127">
        <v>1</v>
      </c>
      <c r="BK35" s="127">
        <v>1</v>
      </c>
      <c r="BL35" s="127">
        <v>1</v>
      </c>
      <c r="BM35" s="127">
        <v>1</v>
      </c>
      <c r="BN35" s="127">
        <v>1</v>
      </c>
      <c r="BO35" s="127">
        <v>1</v>
      </c>
      <c r="BP35" s="127">
        <v>1</v>
      </c>
      <c r="BQ35" s="127">
        <v>1</v>
      </c>
      <c r="BR35" s="163">
        <v>1</v>
      </c>
      <c r="BS35" s="163">
        <v>1</v>
      </c>
      <c r="BT35" s="163">
        <v>1</v>
      </c>
      <c r="BU35" s="163">
        <v>1</v>
      </c>
      <c r="BV35" s="163">
        <v>1</v>
      </c>
      <c r="BW35" s="163">
        <v>1</v>
      </c>
      <c r="BX35" s="163">
        <v>1</v>
      </c>
      <c r="BY35" s="163">
        <v>1</v>
      </c>
      <c r="BZ35" s="163">
        <v>1</v>
      </c>
      <c r="CA35" s="163">
        <v>1</v>
      </c>
      <c r="CB35" s="163">
        <v>1</v>
      </c>
      <c r="CC35" s="163">
        <v>1</v>
      </c>
      <c r="CD35" s="163">
        <v>1</v>
      </c>
      <c r="CE35" s="163">
        <v>1</v>
      </c>
      <c r="CF35" s="163">
        <v>1</v>
      </c>
      <c r="CG35" s="163">
        <v>1</v>
      </c>
      <c r="CH35" s="163">
        <v>1</v>
      </c>
      <c r="CI35" s="163">
        <v>1</v>
      </c>
      <c r="CJ35" s="163">
        <v>1</v>
      </c>
      <c r="CK35" s="163">
        <v>1</v>
      </c>
      <c r="CL35" s="163">
        <v>1</v>
      </c>
      <c r="CM35" s="163">
        <v>1</v>
      </c>
      <c r="CN35" s="163">
        <v>1</v>
      </c>
      <c r="CO35" s="163">
        <v>1</v>
      </c>
      <c r="CP35" s="163">
        <v>1</v>
      </c>
      <c r="CQ35" s="163">
        <v>1</v>
      </c>
      <c r="CR35" s="163">
        <v>1</v>
      </c>
      <c r="CS35" s="163">
        <v>1</v>
      </c>
      <c r="CT35" s="163">
        <v>1</v>
      </c>
      <c r="CU35" s="163">
        <v>1</v>
      </c>
      <c r="CV35" s="163">
        <v>1</v>
      </c>
      <c r="CW35" s="163">
        <v>1</v>
      </c>
      <c r="CX35" s="163">
        <v>1</v>
      </c>
      <c r="CY35" s="163">
        <v>1</v>
      </c>
      <c r="CZ35" s="163">
        <v>1</v>
      </c>
      <c r="DA35" s="163">
        <v>1</v>
      </c>
      <c r="DB35" s="163">
        <v>1</v>
      </c>
      <c r="DC35" s="163">
        <v>1</v>
      </c>
      <c r="DD35" s="163">
        <v>1</v>
      </c>
      <c r="DE35" s="163">
        <v>1</v>
      </c>
      <c r="DF35" s="163">
        <v>1</v>
      </c>
      <c r="DG35" s="163">
        <v>1</v>
      </c>
      <c r="DH35" s="347">
        <v>1</v>
      </c>
      <c r="DI35" s="163">
        <v>1</v>
      </c>
      <c r="DJ35" s="163">
        <v>1</v>
      </c>
      <c r="DK35" s="163">
        <v>1</v>
      </c>
      <c r="DL35" s="163">
        <v>1</v>
      </c>
      <c r="DM35" s="163">
        <v>1</v>
      </c>
      <c r="DN35" s="163">
        <v>1</v>
      </c>
      <c r="DO35" s="163">
        <v>1</v>
      </c>
      <c r="DP35" s="163">
        <v>1</v>
      </c>
      <c r="DQ35" s="163">
        <v>1</v>
      </c>
      <c r="DR35" s="163">
        <v>1</v>
      </c>
      <c r="DS35" s="163">
        <v>1</v>
      </c>
      <c r="DT35" s="163">
        <v>1</v>
      </c>
      <c r="DU35" s="163">
        <v>1</v>
      </c>
      <c r="DV35" s="163">
        <v>1</v>
      </c>
      <c r="DW35" s="163">
        <v>1</v>
      </c>
      <c r="DX35" s="163">
        <v>1</v>
      </c>
      <c r="DY35" s="163">
        <v>1</v>
      </c>
      <c r="DZ35" s="163">
        <v>1</v>
      </c>
      <c r="EA35" s="163">
        <v>1</v>
      </c>
      <c r="EB35" s="163">
        <v>1</v>
      </c>
      <c r="EC35" s="163">
        <v>1</v>
      </c>
      <c r="ED35" s="163">
        <v>1</v>
      </c>
      <c r="EE35" s="163">
        <v>1</v>
      </c>
      <c r="EF35" s="163">
        <v>1</v>
      </c>
      <c r="EG35" s="163">
        <v>1</v>
      </c>
      <c r="EH35" s="163">
        <v>1</v>
      </c>
      <c r="EI35" s="163">
        <v>1</v>
      </c>
      <c r="EJ35" s="163">
        <v>1</v>
      </c>
      <c r="EK35" s="163">
        <v>1</v>
      </c>
      <c r="EL35" s="163">
        <v>1</v>
      </c>
    </row>
    <row r="36" spans="2:142" hidden="1" outlineLevel="2" x14ac:dyDescent="0.3">
      <c r="B36" s="29"/>
      <c r="C36" s="30"/>
      <c r="D36" s="30"/>
      <c r="E36" s="52" t="s">
        <v>41</v>
      </c>
      <c r="F36" s="33">
        <v>25</v>
      </c>
      <c r="G36" s="162">
        <v>45670</v>
      </c>
      <c r="H36" s="162">
        <v>45702</v>
      </c>
      <c r="I36" s="33">
        <f>+F36</f>
        <v>25</v>
      </c>
      <c r="J36" s="35">
        <v>0.4</v>
      </c>
      <c r="K36" s="53"/>
      <c r="L36" s="127">
        <v>0</v>
      </c>
      <c r="M36" s="127">
        <v>0</v>
      </c>
      <c r="N36" s="127">
        <v>0</v>
      </c>
      <c r="O36" s="127">
        <v>0</v>
      </c>
      <c r="P36" s="127">
        <v>0</v>
      </c>
      <c r="Q36" s="127">
        <v>0</v>
      </c>
      <c r="R36" s="127">
        <v>0</v>
      </c>
      <c r="S36" s="127">
        <v>0</v>
      </c>
      <c r="T36" s="127">
        <v>7.4999999999999997E-2</v>
      </c>
      <c r="U36" s="127">
        <v>0.15</v>
      </c>
      <c r="V36" s="127">
        <v>0.25</v>
      </c>
      <c r="W36" s="127">
        <v>0.25</v>
      </c>
      <c r="X36" s="127">
        <v>0.25</v>
      </c>
      <c r="Y36" s="127">
        <v>0.25</v>
      </c>
      <c r="Z36" s="127">
        <v>0.25</v>
      </c>
      <c r="AA36" s="127">
        <v>0.25</v>
      </c>
      <c r="AB36" s="127">
        <v>0.25</v>
      </c>
      <c r="AC36" s="127">
        <v>0.25</v>
      </c>
      <c r="AD36" s="127">
        <v>0.25</v>
      </c>
      <c r="AE36" s="127">
        <v>0.25</v>
      </c>
      <c r="AF36" s="127">
        <v>0.25</v>
      </c>
      <c r="AG36" s="127">
        <v>0.25</v>
      </c>
      <c r="AH36" s="127">
        <v>0.25</v>
      </c>
      <c r="AI36" s="127">
        <v>0.25</v>
      </c>
      <c r="AJ36" s="127">
        <v>0.25</v>
      </c>
      <c r="AK36" s="127">
        <v>0.25</v>
      </c>
      <c r="AL36" s="127">
        <v>0.25</v>
      </c>
      <c r="AM36" s="127">
        <v>0.25</v>
      </c>
      <c r="AN36" s="127">
        <v>0.25</v>
      </c>
      <c r="AO36" s="127">
        <v>0.25</v>
      </c>
      <c r="AP36" s="127">
        <v>0.25</v>
      </c>
      <c r="AQ36" s="127">
        <v>0.25</v>
      </c>
      <c r="AR36" s="127">
        <v>0.25</v>
      </c>
      <c r="AS36" s="127">
        <v>0.25</v>
      </c>
      <c r="AT36" s="127">
        <v>0.25</v>
      </c>
      <c r="AU36" s="127">
        <v>0.25</v>
      </c>
      <c r="AV36" s="127">
        <v>0.3</v>
      </c>
      <c r="AW36" s="127">
        <v>0.35</v>
      </c>
      <c r="AX36" s="127">
        <v>0.39999999999999997</v>
      </c>
      <c r="AY36" s="127">
        <v>0.44999999999999996</v>
      </c>
      <c r="AZ36" s="127">
        <v>0.49999999999999994</v>
      </c>
      <c r="BA36" s="127">
        <v>0.54999999999999993</v>
      </c>
      <c r="BB36" s="127">
        <v>0.6</v>
      </c>
      <c r="BC36" s="127">
        <v>0.65</v>
      </c>
      <c r="BD36" s="127">
        <v>0.70000000000000007</v>
      </c>
      <c r="BE36" s="127">
        <v>0.75000000000000011</v>
      </c>
      <c r="BF36" s="127">
        <v>0.80000000000000016</v>
      </c>
      <c r="BG36" s="127">
        <v>0.8500000000000002</v>
      </c>
      <c r="BH36" s="127">
        <v>0.90000000000000024</v>
      </c>
      <c r="BI36" s="127">
        <v>0.95000000000000029</v>
      </c>
      <c r="BJ36" s="127">
        <v>1</v>
      </c>
      <c r="BK36" s="127">
        <v>1</v>
      </c>
      <c r="BL36" s="127">
        <v>1</v>
      </c>
      <c r="BM36" s="127">
        <v>1</v>
      </c>
      <c r="BN36" s="127">
        <v>1</v>
      </c>
      <c r="BO36" s="127">
        <v>1</v>
      </c>
      <c r="BP36" s="127">
        <v>1</v>
      </c>
      <c r="BQ36" s="127">
        <v>1</v>
      </c>
      <c r="BR36" s="163">
        <v>1</v>
      </c>
      <c r="BS36" s="163">
        <v>1</v>
      </c>
      <c r="BT36" s="163">
        <v>1</v>
      </c>
      <c r="BU36" s="163">
        <v>1</v>
      </c>
      <c r="BV36" s="163">
        <v>1</v>
      </c>
      <c r="BW36" s="163">
        <v>1</v>
      </c>
      <c r="BX36" s="163">
        <v>1</v>
      </c>
      <c r="BY36" s="163">
        <v>1</v>
      </c>
      <c r="BZ36" s="163">
        <v>1</v>
      </c>
      <c r="CA36" s="163">
        <v>1</v>
      </c>
      <c r="CB36" s="163">
        <v>1</v>
      </c>
      <c r="CC36" s="163">
        <v>1</v>
      </c>
      <c r="CD36" s="163">
        <v>1</v>
      </c>
      <c r="CE36" s="163">
        <v>1</v>
      </c>
      <c r="CF36" s="163">
        <v>1</v>
      </c>
      <c r="CG36" s="163">
        <v>1</v>
      </c>
      <c r="CH36" s="163">
        <v>1</v>
      </c>
      <c r="CI36" s="163">
        <v>1</v>
      </c>
      <c r="CJ36" s="163">
        <v>1</v>
      </c>
      <c r="CK36" s="163">
        <v>1</v>
      </c>
      <c r="CL36" s="163">
        <v>1</v>
      </c>
      <c r="CM36" s="163">
        <v>1</v>
      </c>
      <c r="CN36" s="163">
        <v>1</v>
      </c>
      <c r="CO36" s="163">
        <v>1</v>
      </c>
      <c r="CP36" s="163">
        <v>1</v>
      </c>
      <c r="CQ36" s="163">
        <v>1</v>
      </c>
      <c r="CR36" s="163">
        <v>1</v>
      </c>
      <c r="CS36" s="163">
        <v>1</v>
      </c>
      <c r="CT36" s="163">
        <v>1</v>
      </c>
      <c r="CU36" s="163">
        <v>1</v>
      </c>
      <c r="CV36" s="163">
        <v>1</v>
      </c>
      <c r="CW36" s="163">
        <v>1</v>
      </c>
      <c r="CX36" s="163">
        <v>1</v>
      </c>
      <c r="CY36" s="163">
        <v>1</v>
      </c>
      <c r="CZ36" s="163">
        <v>1</v>
      </c>
      <c r="DA36" s="163">
        <v>1</v>
      </c>
      <c r="DB36" s="163">
        <v>1</v>
      </c>
      <c r="DC36" s="163">
        <v>1</v>
      </c>
      <c r="DD36" s="163">
        <v>1</v>
      </c>
      <c r="DE36" s="163">
        <v>1</v>
      </c>
      <c r="DF36" s="163">
        <v>1</v>
      </c>
      <c r="DG36" s="163">
        <v>1</v>
      </c>
      <c r="DH36" s="347">
        <v>1</v>
      </c>
      <c r="DI36" s="163">
        <v>1</v>
      </c>
      <c r="DJ36" s="163">
        <v>1</v>
      </c>
      <c r="DK36" s="163">
        <v>1</v>
      </c>
      <c r="DL36" s="163">
        <v>1</v>
      </c>
      <c r="DM36" s="163">
        <v>1</v>
      </c>
      <c r="DN36" s="163">
        <v>1</v>
      </c>
      <c r="DO36" s="163">
        <v>1</v>
      </c>
      <c r="DP36" s="163">
        <v>1</v>
      </c>
      <c r="DQ36" s="163">
        <v>1</v>
      </c>
      <c r="DR36" s="163">
        <v>1</v>
      </c>
      <c r="DS36" s="163">
        <v>1</v>
      </c>
      <c r="DT36" s="163">
        <v>1</v>
      </c>
      <c r="DU36" s="163">
        <v>1</v>
      </c>
      <c r="DV36" s="163">
        <v>1</v>
      </c>
      <c r="DW36" s="163">
        <v>1</v>
      </c>
      <c r="DX36" s="163">
        <v>1</v>
      </c>
      <c r="DY36" s="163">
        <v>1</v>
      </c>
      <c r="DZ36" s="163">
        <v>1</v>
      </c>
      <c r="EA36" s="163">
        <v>1</v>
      </c>
      <c r="EB36" s="163">
        <v>1</v>
      </c>
      <c r="EC36" s="163">
        <v>1</v>
      </c>
      <c r="ED36" s="163">
        <v>1</v>
      </c>
      <c r="EE36" s="163">
        <v>1</v>
      </c>
      <c r="EF36" s="163">
        <v>1</v>
      </c>
      <c r="EG36" s="163">
        <v>1</v>
      </c>
      <c r="EH36" s="163">
        <v>1</v>
      </c>
      <c r="EI36" s="163">
        <v>1</v>
      </c>
      <c r="EJ36" s="163">
        <v>1</v>
      </c>
      <c r="EK36" s="163">
        <v>1</v>
      </c>
      <c r="EL36" s="163">
        <v>1</v>
      </c>
    </row>
    <row r="37" spans="2:142" hidden="1" outlineLevel="2" x14ac:dyDescent="0.3">
      <c r="B37" s="29"/>
      <c r="C37" s="30"/>
      <c r="D37" s="30"/>
      <c r="E37" s="52" t="s">
        <v>42</v>
      </c>
      <c r="F37" s="33">
        <v>25</v>
      </c>
      <c r="G37" s="162">
        <v>45705</v>
      </c>
      <c r="H37" s="162">
        <v>45741</v>
      </c>
      <c r="I37" s="33">
        <f>+F37</f>
        <v>25</v>
      </c>
      <c r="J37" s="35">
        <v>0.2</v>
      </c>
      <c r="K37" s="53"/>
      <c r="L37" s="127">
        <v>0</v>
      </c>
      <c r="M37" s="127">
        <v>0</v>
      </c>
      <c r="N37" s="127">
        <v>0</v>
      </c>
      <c r="O37" s="127">
        <v>0</v>
      </c>
      <c r="P37" s="127">
        <v>0</v>
      </c>
      <c r="Q37" s="127">
        <v>0</v>
      </c>
      <c r="R37" s="127">
        <v>0</v>
      </c>
      <c r="S37" s="127">
        <v>7.4999999999999997E-2</v>
      </c>
      <c r="T37" s="127">
        <v>0.25</v>
      </c>
      <c r="U37" s="127">
        <v>0.25</v>
      </c>
      <c r="V37" s="127">
        <v>0.34750000000000003</v>
      </c>
      <c r="W37" s="127">
        <v>0.34750000000000003</v>
      </c>
      <c r="X37" s="127">
        <v>0.34750000000000003</v>
      </c>
      <c r="Y37" s="127">
        <v>0.34750000000000003</v>
      </c>
      <c r="Z37" s="127">
        <v>0.34750000000000003</v>
      </c>
      <c r="AA37" s="127">
        <v>0.34750000000000003</v>
      </c>
      <c r="AB37" s="127">
        <v>0.34750000000000003</v>
      </c>
      <c r="AC37" s="127">
        <v>0.34750000000000003</v>
      </c>
      <c r="AD37" s="127">
        <v>0.42062499999999997</v>
      </c>
      <c r="AE37" s="127">
        <v>0.44500000000000001</v>
      </c>
      <c r="AF37" s="127">
        <v>0.44500000000000001</v>
      </c>
      <c r="AG37" s="127">
        <v>0.45150000000000001</v>
      </c>
      <c r="AH37" s="127">
        <v>0.453125</v>
      </c>
      <c r="AI37" s="127">
        <v>0.45474999999999999</v>
      </c>
      <c r="AJ37" s="127">
        <v>0.50675000000000003</v>
      </c>
      <c r="AK37" s="127">
        <v>0.52625000000000011</v>
      </c>
      <c r="AL37" s="127">
        <v>0.52625000000000011</v>
      </c>
      <c r="AM37" s="127">
        <v>0.52625000000000011</v>
      </c>
      <c r="AN37" s="127">
        <v>0.52625000000000011</v>
      </c>
      <c r="AO37" s="127">
        <v>0.52625000000000011</v>
      </c>
      <c r="AP37" s="127">
        <v>0.52625000000000011</v>
      </c>
      <c r="AQ37" s="127">
        <v>0.52625000000000011</v>
      </c>
      <c r="AR37" s="127">
        <v>0.52625000000000011</v>
      </c>
      <c r="AS37" s="127">
        <v>0.52625000000000011</v>
      </c>
      <c r="AT37" s="127">
        <v>0.52625000000000011</v>
      </c>
      <c r="AU37" s="127">
        <v>0.52625000000000011</v>
      </c>
      <c r="AV37" s="127">
        <v>0.52625000000000011</v>
      </c>
      <c r="AW37" s="127">
        <v>0.52625000000000011</v>
      </c>
      <c r="AX37" s="127">
        <v>0.57885000000000009</v>
      </c>
      <c r="AY37" s="127">
        <v>0.63145000000000007</v>
      </c>
      <c r="AZ37" s="127">
        <v>0.68405000000000005</v>
      </c>
      <c r="BA37" s="127">
        <v>0.73665000000000003</v>
      </c>
      <c r="BB37" s="127">
        <v>0.78925000000000001</v>
      </c>
      <c r="BC37" s="127">
        <v>0.84184999999999999</v>
      </c>
      <c r="BD37" s="127">
        <v>0.89444999999999997</v>
      </c>
      <c r="BE37" s="127">
        <v>0.94704999999999995</v>
      </c>
      <c r="BF37" s="127">
        <v>0.99964999999999993</v>
      </c>
      <c r="BG37" s="127">
        <v>1</v>
      </c>
      <c r="BH37" s="127">
        <v>1</v>
      </c>
      <c r="BI37" s="127">
        <v>1</v>
      </c>
      <c r="BJ37" s="127">
        <v>1</v>
      </c>
      <c r="BK37" s="127">
        <v>1</v>
      </c>
      <c r="BL37" s="127">
        <v>1</v>
      </c>
      <c r="BM37" s="127">
        <v>1</v>
      </c>
      <c r="BN37" s="127">
        <v>1</v>
      </c>
      <c r="BO37" s="127">
        <v>1</v>
      </c>
      <c r="BP37" s="127">
        <v>1</v>
      </c>
      <c r="BQ37" s="127">
        <v>1</v>
      </c>
      <c r="BR37" s="163">
        <v>1</v>
      </c>
      <c r="BS37" s="163">
        <v>1</v>
      </c>
      <c r="BT37" s="163">
        <v>1</v>
      </c>
      <c r="BU37" s="163">
        <v>1</v>
      </c>
      <c r="BV37" s="163">
        <v>1</v>
      </c>
      <c r="BW37" s="163">
        <v>1</v>
      </c>
      <c r="BX37" s="163">
        <v>1</v>
      </c>
      <c r="BY37" s="163">
        <v>1</v>
      </c>
      <c r="BZ37" s="163">
        <v>1</v>
      </c>
      <c r="CA37" s="163">
        <v>1</v>
      </c>
      <c r="CB37" s="163">
        <v>1</v>
      </c>
      <c r="CC37" s="163">
        <v>1</v>
      </c>
      <c r="CD37" s="163">
        <v>1</v>
      </c>
      <c r="CE37" s="163">
        <v>1</v>
      </c>
      <c r="CF37" s="163">
        <v>1</v>
      </c>
      <c r="CG37" s="163">
        <v>1</v>
      </c>
      <c r="CH37" s="163">
        <v>1</v>
      </c>
      <c r="CI37" s="163">
        <v>1</v>
      </c>
      <c r="CJ37" s="163">
        <v>1</v>
      </c>
      <c r="CK37" s="163">
        <v>1</v>
      </c>
      <c r="CL37" s="163">
        <v>1</v>
      </c>
      <c r="CM37" s="163">
        <v>1</v>
      </c>
      <c r="CN37" s="163">
        <v>1</v>
      </c>
      <c r="CO37" s="163">
        <v>1</v>
      </c>
      <c r="CP37" s="163">
        <v>1</v>
      </c>
      <c r="CQ37" s="163">
        <v>1</v>
      </c>
      <c r="CR37" s="163">
        <v>1</v>
      </c>
      <c r="CS37" s="163">
        <v>1</v>
      </c>
      <c r="CT37" s="163">
        <v>1</v>
      </c>
      <c r="CU37" s="163">
        <v>1</v>
      </c>
      <c r="CV37" s="163">
        <v>1</v>
      </c>
      <c r="CW37" s="163">
        <v>1</v>
      </c>
      <c r="CX37" s="163">
        <v>1</v>
      </c>
      <c r="CY37" s="163">
        <v>1</v>
      </c>
      <c r="CZ37" s="163">
        <v>1</v>
      </c>
      <c r="DA37" s="163">
        <v>1</v>
      </c>
      <c r="DB37" s="163">
        <v>1</v>
      </c>
      <c r="DC37" s="163">
        <v>1</v>
      </c>
      <c r="DD37" s="163">
        <v>1</v>
      </c>
      <c r="DE37" s="163">
        <v>1</v>
      </c>
      <c r="DF37" s="163">
        <v>1</v>
      </c>
      <c r="DG37" s="163">
        <v>1</v>
      </c>
      <c r="DH37" s="347">
        <v>1</v>
      </c>
      <c r="DI37" s="163">
        <v>1</v>
      </c>
      <c r="DJ37" s="163">
        <v>1</v>
      </c>
      <c r="DK37" s="163">
        <v>1</v>
      </c>
      <c r="DL37" s="163">
        <v>1</v>
      </c>
      <c r="DM37" s="163">
        <v>1</v>
      </c>
      <c r="DN37" s="163">
        <v>1</v>
      </c>
      <c r="DO37" s="163">
        <v>1</v>
      </c>
      <c r="DP37" s="163">
        <v>1</v>
      </c>
      <c r="DQ37" s="163">
        <v>1</v>
      </c>
      <c r="DR37" s="163">
        <v>1</v>
      </c>
      <c r="DS37" s="163">
        <v>1</v>
      </c>
      <c r="DT37" s="163">
        <v>1</v>
      </c>
      <c r="DU37" s="163">
        <v>1</v>
      </c>
      <c r="DV37" s="163">
        <v>1</v>
      </c>
      <c r="DW37" s="163">
        <v>1</v>
      </c>
      <c r="DX37" s="163">
        <v>1</v>
      </c>
      <c r="DY37" s="163">
        <v>1</v>
      </c>
      <c r="DZ37" s="163">
        <v>1</v>
      </c>
      <c r="EA37" s="163">
        <v>1</v>
      </c>
      <c r="EB37" s="163">
        <v>1</v>
      </c>
      <c r="EC37" s="163">
        <v>1</v>
      </c>
      <c r="ED37" s="163">
        <v>1</v>
      </c>
      <c r="EE37" s="163">
        <v>1</v>
      </c>
      <c r="EF37" s="163">
        <v>1</v>
      </c>
      <c r="EG37" s="163">
        <v>1</v>
      </c>
      <c r="EH37" s="163">
        <v>1</v>
      </c>
      <c r="EI37" s="163">
        <v>1</v>
      </c>
      <c r="EJ37" s="163">
        <v>1</v>
      </c>
      <c r="EK37" s="163">
        <v>1</v>
      </c>
      <c r="EL37" s="163">
        <v>1</v>
      </c>
    </row>
    <row r="38" spans="2:142" ht="15" hidden="1" outlineLevel="1" collapsed="1" x14ac:dyDescent="0.3">
      <c r="B38" s="22"/>
      <c r="C38" s="23"/>
      <c r="D38" s="23" t="s">
        <v>43</v>
      </c>
      <c r="E38" s="50"/>
      <c r="F38" s="26">
        <v>90</v>
      </c>
      <c r="G38" s="160">
        <v>45574</v>
      </c>
      <c r="H38" s="160">
        <v>45729</v>
      </c>
      <c r="I38" s="26">
        <f>+SUM(I39:I40)</f>
        <v>80</v>
      </c>
      <c r="J38" s="28">
        <v>0.202410671178782</v>
      </c>
      <c r="K38" s="51"/>
      <c r="L38" s="28">
        <f>+SUMPRODUCT($J$39:$J$40,L39:L40)</f>
        <v>0</v>
      </c>
      <c r="M38" s="28">
        <f t="shared" ref="M38:BU38" si="136">+SUMPRODUCT($J$39:$J$40,M39:M40)</f>
        <v>0</v>
      </c>
      <c r="N38" s="28">
        <f t="shared" si="136"/>
        <v>0</v>
      </c>
      <c r="O38" s="28">
        <f t="shared" si="136"/>
        <v>0</v>
      </c>
      <c r="P38" s="28">
        <f t="shared" si="136"/>
        <v>0</v>
      </c>
      <c r="Q38" s="28">
        <f t="shared" si="136"/>
        <v>0</v>
      </c>
      <c r="R38" s="28">
        <f t="shared" si="136"/>
        <v>0</v>
      </c>
      <c r="S38" s="28">
        <f t="shared" si="136"/>
        <v>0</v>
      </c>
      <c r="T38" s="28">
        <f t="shared" si="136"/>
        <v>0</v>
      </c>
      <c r="U38" s="28">
        <f t="shared" si="136"/>
        <v>0</v>
      </c>
      <c r="V38" s="28">
        <f t="shared" si="136"/>
        <v>0</v>
      </c>
      <c r="W38" s="28">
        <f t="shared" si="136"/>
        <v>0</v>
      </c>
      <c r="X38" s="28">
        <f t="shared" si="136"/>
        <v>0</v>
      </c>
      <c r="Y38" s="28">
        <f t="shared" si="136"/>
        <v>0</v>
      </c>
      <c r="Z38" s="28">
        <f t="shared" si="136"/>
        <v>0</v>
      </c>
      <c r="AA38" s="28">
        <f t="shared" si="136"/>
        <v>0</v>
      </c>
      <c r="AB38" s="28">
        <f t="shared" si="136"/>
        <v>2.7560500000000005E-2</v>
      </c>
      <c r="AC38" s="28">
        <f t="shared" si="136"/>
        <v>6.9046066666666683E-2</v>
      </c>
      <c r="AD38" s="28">
        <f t="shared" si="136"/>
        <v>9.0913766666666687E-2</v>
      </c>
      <c r="AE38" s="28">
        <f t="shared" si="136"/>
        <v>0.10046100000000001</v>
      </c>
      <c r="AF38" s="28">
        <f t="shared" si="136"/>
        <v>0.11705346666666669</v>
      </c>
      <c r="AG38" s="28">
        <f t="shared" si="136"/>
        <v>0.12932510000000003</v>
      </c>
      <c r="AH38" s="28">
        <f t="shared" si="136"/>
        <v>0.15926783285333337</v>
      </c>
      <c r="AI38" s="28">
        <f t="shared" si="136"/>
        <v>0.16144422785333334</v>
      </c>
      <c r="AJ38" s="28">
        <f t="shared" si="136"/>
        <v>0.16413357785333335</v>
      </c>
      <c r="AK38" s="28">
        <f t="shared" si="136"/>
        <v>0.16413357785333335</v>
      </c>
      <c r="AL38" s="28">
        <f t="shared" si="136"/>
        <v>0.16413357785333335</v>
      </c>
      <c r="AM38" s="28">
        <f t="shared" si="136"/>
        <v>0.16413357785333335</v>
      </c>
      <c r="AN38" s="28">
        <f t="shared" si="136"/>
        <v>0.16413357785333335</v>
      </c>
      <c r="AO38" s="28">
        <f t="shared" si="136"/>
        <v>0.16503978804333336</v>
      </c>
      <c r="AP38" s="28">
        <f t="shared" si="136"/>
        <v>0.17797312137666668</v>
      </c>
      <c r="AQ38" s="28">
        <f t="shared" si="136"/>
        <v>0.19090645470999998</v>
      </c>
      <c r="AR38" s="28">
        <f t="shared" si="136"/>
        <v>0.2038397880433333</v>
      </c>
      <c r="AS38" s="28">
        <f t="shared" si="136"/>
        <v>0.21677312137666663</v>
      </c>
      <c r="AT38" s="28">
        <f t="shared" si="136"/>
        <v>0.22970645470999995</v>
      </c>
      <c r="AU38" s="28">
        <f t="shared" si="136"/>
        <v>0.24263978804333325</v>
      </c>
      <c r="AV38" s="28">
        <f t="shared" si="136"/>
        <v>0.2555731213766666</v>
      </c>
      <c r="AW38" s="28">
        <f t="shared" si="136"/>
        <v>0.2685064547099999</v>
      </c>
      <c r="AX38" s="28">
        <f t="shared" si="136"/>
        <v>0.28143978804333319</v>
      </c>
      <c r="AY38" s="28">
        <f t="shared" si="136"/>
        <v>0.29437312137666655</v>
      </c>
      <c r="AZ38" s="28">
        <f t="shared" si="136"/>
        <v>0.3739731213766665</v>
      </c>
      <c r="BA38" s="28">
        <f t="shared" si="136"/>
        <v>0.4535731213766665</v>
      </c>
      <c r="BB38" s="28">
        <f t="shared" si="136"/>
        <v>0.5331731213766665</v>
      </c>
      <c r="BC38" s="28">
        <f t="shared" si="136"/>
        <v>0.60000000000000009</v>
      </c>
      <c r="BD38" s="28">
        <f t="shared" si="136"/>
        <v>0.66666666666666674</v>
      </c>
      <c r="BE38" s="28">
        <f t="shared" si="136"/>
        <v>0.73333333333333339</v>
      </c>
      <c r="BF38" s="28">
        <f t="shared" si="136"/>
        <v>0.8</v>
      </c>
      <c r="BG38" s="28">
        <f t="shared" si="136"/>
        <v>0.86666666666666659</v>
      </c>
      <c r="BH38" s="28">
        <f t="shared" si="136"/>
        <v>0.93333333333333324</v>
      </c>
      <c r="BI38" s="28">
        <f t="shared" si="136"/>
        <v>0.99999999999999989</v>
      </c>
      <c r="BJ38" s="28">
        <f t="shared" si="136"/>
        <v>1</v>
      </c>
      <c r="BK38" s="28">
        <f t="shared" si="136"/>
        <v>1</v>
      </c>
      <c r="BL38" s="28">
        <f t="shared" si="136"/>
        <v>1</v>
      </c>
      <c r="BM38" s="28">
        <f t="shared" si="136"/>
        <v>1</v>
      </c>
      <c r="BN38" s="28">
        <f t="shared" si="136"/>
        <v>1</v>
      </c>
      <c r="BO38" s="28">
        <f t="shared" si="136"/>
        <v>1</v>
      </c>
      <c r="BP38" s="28">
        <f t="shared" si="136"/>
        <v>1</v>
      </c>
      <c r="BQ38" s="28">
        <f t="shared" si="136"/>
        <v>1</v>
      </c>
      <c r="BR38" s="161">
        <f t="shared" si="136"/>
        <v>1</v>
      </c>
      <c r="BS38" s="161">
        <f t="shared" si="136"/>
        <v>1</v>
      </c>
      <c r="BT38" s="161">
        <f t="shared" si="136"/>
        <v>1</v>
      </c>
      <c r="BU38" s="161">
        <f t="shared" si="136"/>
        <v>1</v>
      </c>
      <c r="BV38" s="161">
        <f t="shared" ref="BV38:CL38" si="137">+SUMPRODUCT($J$39:$J$40,BV39:BV40)</f>
        <v>1</v>
      </c>
      <c r="BW38" s="161">
        <f t="shared" si="137"/>
        <v>1</v>
      </c>
      <c r="BX38" s="161">
        <f t="shared" si="137"/>
        <v>1</v>
      </c>
      <c r="BY38" s="161">
        <f t="shared" si="137"/>
        <v>1</v>
      </c>
      <c r="BZ38" s="161">
        <f t="shared" si="137"/>
        <v>1</v>
      </c>
      <c r="CA38" s="161">
        <f t="shared" si="137"/>
        <v>1</v>
      </c>
      <c r="CB38" s="161">
        <f t="shared" si="137"/>
        <v>1</v>
      </c>
      <c r="CC38" s="161">
        <f t="shared" si="137"/>
        <v>1</v>
      </c>
      <c r="CD38" s="161">
        <f t="shared" si="137"/>
        <v>1</v>
      </c>
      <c r="CE38" s="161">
        <f t="shared" si="137"/>
        <v>1</v>
      </c>
      <c r="CF38" s="161">
        <f t="shared" si="137"/>
        <v>1</v>
      </c>
      <c r="CG38" s="161">
        <f t="shared" si="137"/>
        <v>1</v>
      </c>
      <c r="CH38" s="161">
        <f t="shared" si="137"/>
        <v>1</v>
      </c>
      <c r="CI38" s="161">
        <f t="shared" si="137"/>
        <v>1</v>
      </c>
      <c r="CJ38" s="161">
        <f t="shared" si="137"/>
        <v>1</v>
      </c>
      <c r="CK38" s="161">
        <f t="shared" si="137"/>
        <v>1</v>
      </c>
      <c r="CL38" s="161">
        <f t="shared" si="137"/>
        <v>1</v>
      </c>
      <c r="CM38" s="161">
        <f t="shared" ref="CM38:CN38" si="138">+SUMPRODUCT($J$39:$J$40,CM39:CM40)</f>
        <v>1</v>
      </c>
      <c r="CN38" s="161">
        <f t="shared" si="138"/>
        <v>1</v>
      </c>
      <c r="CO38" s="161">
        <f t="shared" ref="CO38" si="139">+SUMPRODUCT($J$39:$J$40,CO39:CO40)</f>
        <v>1</v>
      </c>
      <c r="CP38" s="161">
        <f t="shared" ref="CP38:CV38" si="140">+SUMPRODUCT($J$39:$J$40,CP39:CP40)</f>
        <v>1</v>
      </c>
      <c r="CQ38" s="161">
        <f t="shared" si="140"/>
        <v>1</v>
      </c>
      <c r="CR38" s="161">
        <f t="shared" si="140"/>
        <v>1</v>
      </c>
      <c r="CS38" s="161">
        <f t="shared" si="140"/>
        <v>1</v>
      </c>
      <c r="CT38" s="161">
        <f t="shared" si="140"/>
        <v>1</v>
      </c>
      <c r="CU38" s="161">
        <f t="shared" si="140"/>
        <v>1</v>
      </c>
      <c r="CV38" s="161">
        <f t="shared" si="140"/>
        <v>1</v>
      </c>
      <c r="CW38" s="161">
        <f t="shared" ref="CW38:CY38" si="141">+SUMPRODUCT($J$39:$J$40,CW39:CW40)</f>
        <v>1</v>
      </c>
      <c r="CX38" s="161">
        <f t="shared" si="141"/>
        <v>1</v>
      </c>
      <c r="CY38" s="161">
        <f t="shared" si="141"/>
        <v>1</v>
      </c>
      <c r="CZ38" s="161">
        <f t="shared" ref="CZ38:DA38" si="142">+SUMPRODUCT($J$39:$J$40,CZ39:CZ40)</f>
        <v>1</v>
      </c>
      <c r="DA38" s="161">
        <f t="shared" si="142"/>
        <v>1</v>
      </c>
      <c r="DB38" s="161">
        <f t="shared" ref="DB38:DC38" si="143">+SUMPRODUCT($J$39:$J$40,DB39:DB40)</f>
        <v>1</v>
      </c>
      <c r="DC38" s="161">
        <f t="shared" si="143"/>
        <v>1</v>
      </c>
      <c r="DD38" s="161">
        <f t="shared" ref="DD38:DE38" si="144">+SUMPRODUCT($J$39:$J$40,DD39:DD40)</f>
        <v>1</v>
      </c>
      <c r="DE38" s="161">
        <f t="shared" si="144"/>
        <v>1</v>
      </c>
      <c r="DF38" s="161">
        <f t="shared" ref="DF38:DG38" si="145">+SUMPRODUCT($J$39:$J$40,DF39:DF40)</f>
        <v>1</v>
      </c>
      <c r="DG38" s="161">
        <f t="shared" si="145"/>
        <v>1</v>
      </c>
      <c r="DH38" s="346">
        <f t="shared" ref="DH38:EL38" si="146">+SUMPRODUCT($J$39:$J$40,DH39:DH40)</f>
        <v>1</v>
      </c>
      <c r="DI38" s="161">
        <f t="shared" si="146"/>
        <v>1</v>
      </c>
      <c r="DJ38" s="161">
        <f t="shared" si="146"/>
        <v>1</v>
      </c>
      <c r="DK38" s="161">
        <f t="shared" si="146"/>
        <v>1</v>
      </c>
      <c r="DL38" s="161">
        <f t="shared" si="146"/>
        <v>1</v>
      </c>
      <c r="DM38" s="161">
        <f t="shared" si="146"/>
        <v>1</v>
      </c>
      <c r="DN38" s="161">
        <f t="shared" si="146"/>
        <v>1</v>
      </c>
      <c r="DO38" s="161">
        <f t="shared" si="146"/>
        <v>1</v>
      </c>
      <c r="DP38" s="161">
        <f t="shared" si="146"/>
        <v>1</v>
      </c>
      <c r="DQ38" s="161">
        <f t="shared" si="146"/>
        <v>1</v>
      </c>
      <c r="DR38" s="161">
        <f t="shared" si="146"/>
        <v>1</v>
      </c>
      <c r="DS38" s="161">
        <f t="shared" si="146"/>
        <v>1</v>
      </c>
      <c r="DT38" s="161">
        <f t="shared" si="146"/>
        <v>1</v>
      </c>
      <c r="DU38" s="161">
        <f t="shared" si="146"/>
        <v>1</v>
      </c>
      <c r="DV38" s="161">
        <f t="shared" si="146"/>
        <v>1</v>
      </c>
      <c r="DW38" s="161">
        <f t="shared" si="146"/>
        <v>1</v>
      </c>
      <c r="DX38" s="161">
        <f t="shared" si="146"/>
        <v>1</v>
      </c>
      <c r="DY38" s="161">
        <f t="shared" si="146"/>
        <v>1</v>
      </c>
      <c r="DZ38" s="161">
        <f t="shared" si="146"/>
        <v>1</v>
      </c>
      <c r="EA38" s="161">
        <f t="shared" si="146"/>
        <v>1</v>
      </c>
      <c r="EB38" s="161">
        <f t="shared" si="146"/>
        <v>1</v>
      </c>
      <c r="EC38" s="161">
        <f t="shared" si="146"/>
        <v>1</v>
      </c>
      <c r="ED38" s="161">
        <f t="shared" si="146"/>
        <v>1</v>
      </c>
      <c r="EE38" s="161">
        <f t="shared" si="146"/>
        <v>1</v>
      </c>
      <c r="EF38" s="161">
        <f t="shared" si="146"/>
        <v>1</v>
      </c>
      <c r="EG38" s="161">
        <f t="shared" si="146"/>
        <v>1</v>
      </c>
      <c r="EH38" s="161">
        <f t="shared" si="146"/>
        <v>1</v>
      </c>
      <c r="EI38" s="161">
        <f t="shared" si="146"/>
        <v>1</v>
      </c>
      <c r="EJ38" s="161">
        <f t="shared" si="146"/>
        <v>1</v>
      </c>
      <c r="EK38" s="161">
        <f t="shared" si="146"/>
        <v>1</v>
      </c>
      <c r="EL38" s="161">
        <f t="shared" si="146"/>
        <v>1</v>
      </c>
    </row>
    <row r="39" spans="2:142" hidden="1" outlineLevel="2" x14ac:dyDescent="0.3">
      <c r="B39" s="29"/>
      <c r="C39" s="30"/>
      <c r="D39" s="30"/>
      <c r="E39" s="52" t="s">
        <v>44</v>
      </c>
      <c r="F39" s="33">
        <v>40</v>
      </c>
      <c r="G39" s="162">
        <v>45672</v>
      </c>
      <c r="H39" s="162">
        <v>45729</v>
      </c>
      <c r="I39" s="33">
        <f>+F39</f>
        <v>40</v>
      </c>
      <c r="J39" s="35">
        <v>0.66666666666666663</v>
      </c>
      <c r="K39" s="53"/>
      <c r="L39" s="127">
        <v>0</v>
      </c>
      <c r="M39" s="127">
        <v>0</v>
      </c>
      <c r="N39" s="127">
        <v>0</v>
      </c>
      <c r="O39" s="127">
        <v>0</v>
      </c>
      <c r="P39" s="127">
        <v>0</v>
      </c>
      <c r="Q39" s="127">
        <v>0</v>
      </c>
      <c r="R39" s="127">
        <v>0</v>
      </c>
      <c r="S39" s="127">
        <v>0</v>
      </c>
      <c r="T39" s="127">
        <v>0</v>
      </c>
      <c r="U39" s="127">
        <v>0</v>
      </c>
      <c r="V39" s="127">
        <v>0</v>
      </c>
      <c r="W39" s="127">
        <v>0</v>
      </c>
      <c r="X39" s="127">
        <v>0</v>
      </c>
      <c r="Y39" s="127">
        <v>0</v>
      </c>
      <c r="Z39" s="127">
        <v>0</v>
      </c>
      <c r="AA39" s="127">
        <v>0</v>
      </c>
      <c r="AB39" s="127">
        <v>0</v>
      </c>
      <c r="AC39" s="127">
        <v>0</v>
      </c>
      <c r="AD39" s="127">
        <v>0</v>
      </c>
      <c r="AE39" s="127">
        <v>0</v>
      </c>
      <c r="AF39" s="127">
        <v>0</v>
      </c>
      <c r="AG39" s="127">
        <v>0</v>
      </c>
      <c r="AH39" s="127">
        <v>0</v>
      </c>
      <c r="AI39" s="127">
        <v>0</v>
      </c>
      <c r="AJ39" s="127">
        <v>0</v>
      </c>
      <c r="AK39" s="127">
        <v>0</v>
      </c>
      <c r="AL39" s="127">
        <v>0</v>
      </c>
      <c r="AM39" s="127">
        <v>0</v>
      </c>
      <c r="AN39" s="127">
        <v>0</v>
      </c>
      <c r="AO39" s="127">
        <v>0</v>
      </c>
      <c r="AP39" s="127">
        <v>0</v>
      </c>
      <c r="AQ39" s="127">
        <v>0</v>
      </c>
      <c r="AR39" s="127">
        <v>0</v>
      </c>
      <c r="AS39" s="127">
        <v>0</v>
      </c>
      <c r="AT39" s="127">
        <v>0</v>
      </c>
      <c r="AU39" s="127">
        <v>0</v>
      </c>
      <c r="AV39" s="127">
        <v>0</v>
      </c>
      <c r="AW39" s="127">
        <v>0</v>
      </c>
      <c r="AX39" s="127">
        <v>0</v>
      </c>
      <c r="AY39" s="127">
        <v>0</v>
      </c>
      <c r="AZ39" s="127">
        <v>0.1</v>
      </c>
      <c r="BA39" s="127">
        <v>0.2</v>
      </c>
      <c r="BB39" s="127">
        <v>0.30000000000000004</v>
      </c>
      <c r="BC39" s="127">
        <v>0.4</v>
      </c>
      <c r="BD39" s="127">
        <v>0.5</v>
      </c>
      <c r="BE39" s="127">
        <v>0.6</v>
      </c>
      <c r="BF39" s="127">
        <v>0.7</v>
      </c>
      <c r="BG39" s="127">
        <v>0.79999999999999993</v>
      </c>
      <c r="BH39" s="127">
        <v>0.89999999999999991</v>
      </c>
      <c r="BI39" s="127">
        <v>0.99999999999999989</v>
      </c>
      <c r="BJ39" s="127">
        <v>1</v>
      </c>
      <c r="BK39" s="127">
        <v>1</v>
      </c>
      <c r="BL39" s="127">
        <v>1</v>
      </c>
      <c r="BM39" s="127">
        <v>1</v>
      </c>
      <c r="BN39" s="127">
        <v>1</v>
      </c>
      <c r="BO39" s="127">
        <v>1</v>
      </c>
      <c r="BP39" s="127">
        <v>1</v>
      </c>
      <c r="BQ39" s="127">
        <v>1</v>
      </c>
      <c r="BR39" s="163">
        <v>1</v>
      </c>
      <c r="BS39" s="163">
        <v>1</v>
      </c>
      <c r="BT39" s="163">
        <v>1</v>
      </c>
      <c r="BU39" s="163">
        <v>1</v>
      </c>
      <c r="BV39" s="163">
        <v>1</v>
      </c>
      <c r="BW39" s="163">
        <v>1</v>
      </c>
      <c r="BX39" s="163">
        <v>1</v>
      </c>
      <c r="BY39" s="163">
        <v>1</v>
      </c>
      <c r="BZ39" s="163">
        <v>1</v>
      </c>
      <c r="CA39" s="163">
        <v>1</v>
      </c>
      <c r="CB39" s="163">
        <v>1</v>
      </c>
      <c r="CC39" s="163">
        <v>1</v>
      </c>
      <c r="CD39" s="163">
        <v>1</v>
      </c>
      <c r="CE39" s="163">
        <v>1</v>
      </c>
      <c r="CF39" s="163">
        <v>1</v>
      </c>
      <c r="CG39" s="163">
        <v>1</v>
      </c>
      <c r="CH39" s="163">
        <v>1</v>
      </c>
      <c r="CI39" s="163">
        <v>1</v>
      </c>
      <c r="CJ39" s="163">
        <v>1</v>
      </c>
      <c r="CK39" s="163">
        <v>1</v>
      </c>
      <c r="CL39" s="163">
        <v>1</v>
      </c>
      <c r="CM39" s="163">
        <v>1</v>
      </c>
      <c r="CN39" s="163">
        <v>1</v>
      </c>
      <c r="CO39" s="163">
        <v>1</v>
      </c>
      <c r="CP39" s="163">
        <v>1</v>
      </c>
      <c r="CQ39" s="163">
        <v>1</v>
      </c>
      <c r="CR39" s="163">
        <v>1</v>
      </c>
      <c r="CS39" s="163">
        <v>1</v>
      </c>
      <c r="CT39" s="163">
        <v>1</v>
      </c>
      <c r="CU39" s="163">
        <v>1</v>
      </c>
      <c r="CV39" s="163">
        <v>1</v>
      </c>
      <c r="CW39" s="163">
        <v>1</v>
      </c>
      <c r="CX39" s="163">
        <v>1</v>
      </c>
      <c r="CY39" s="163">
        <v>1</v>
      </c>
      <c r="CZ39" s="163">
        <v>1</v>
      </c>
      <c r="DA39" s="163">
        <v>1</v>
      </c>
      <c r="DB39" s="163">
        <v>1</v>
      </c>
      <c r="DC39" s="163">
        <v>1</v>
      </c>
      <c r="DD39" s="163">
        <v>1</v>
      </c>
      <c r="DE39" s="163">
        <v>1</v>
      </c>
      <c r="DF39" s="163">
        <v>1</v>
      </c>
      <c r="DG39" s="163">
        <v>1</v>
      </c>
      <c r="DH39" s="347">
        <v>1</v>
      </c>
      <c r="DI39" s="163">
        <v>1</v>
      </c>
      <c r="DJ39" s="163">
        <v>1</v>
      </c>
      <c r="DK39" s="163">
        <v>1</v>
      </c>
      <c r="DL39" s="163">
        <v>1</v>
      </c>
      <c r="DM39" s="163">
        <v>1</v>
      </c>
      <c r="DN39" s="163">
        <v>1</v>
      </c>
      <c r="DO39" s="163">
        <v>1</v>
      </c>
      <c r="DP39" s="163">
        <v>1</v>
      </c>
      <c r="DQ39" s="163">
        <v>1</v>
      </c>
      <c r="DR39" s="163">
        <v>1</v>
      </c>
      <c r="DS39" s="163">
        <v>1</v>
      </c>
      <c r="DT39" s="163">
        <v>1</v>
      </c>
      <c r="DU39" s="163">
        <v>1</v>
      </c>
      <c r="DV39" s="163">
        <v>1</v>
      </c>
      <c r="DW39" s="163">
        <v>1</v>
      </c>
      <c r="DX39" s="163">
        <v>1</v>
      </c>
      <c r="DY39" s="163">
        <v>1</v>
      </c>
      <c r="DZ39" s="163">
        <v>1</v>
      </c>
      <c r="EA39" s="163">
        <v>1</v>
      </c>
      <c r="EB39" s="163">
        <v>1</v>
      </c>
      <c r="EC39" s="163">
        <v>1</v>
      </c>
      <c r="ED39" s="163">
        <v>1</v>
      </c>
      <c r="EE39" s="163">
        <v>1</v>
      </c>
      <c r="EF39" s="163">
        <v>1</v>
      </c>
      <c r="EG39" s="163">
        <v>1</v>
      </c>
      <c r="EH39" s="163">
        <v>1</v>
      </c>
      <c r="EI39" s="163">
        <v>1</v>
      </c>
      <c r="EJ39" s="163">
        <v>1</v>
      </c>
      <c r="EK39" s="163">
        <v>1</v>
      </c>
      <c r="EL39" s="163">
        <v>1</v>
      </c>
    </row>
    <row r="40" spans="2:142" hidden="1" outlineLevel="2" x14ac:dyDescent="0.3">
      <c r="B40" s="29"/>
      <c r="C40" s="30"/>
      <c r="D40" s="30"/>
      <c r="E40" s="52" t="s">
        <v>45</v>
      </c>
      <c r="F40" s="33">
        <v>40</v>
      </c>
      <c r="G40" s="162">
        <v>45574</v>
      </c>
      <c r="H40" s="162">
        <v>45629</v>
      </c>
      <c r="I40" s="33">
        <f>+F40</f>
        <v>40</v>
      </c>
      <c r="J40" s="35">
        <v>0.33333333333333337</v>
      </c>
      <c r="K40" s="53"/>
      <c r="L40" s="127">
        <v>0</v>
      </c>
      <c r="M40" s="127">
        <v>0</v>
      </c>
      <c r="N40" s="127">
        <v>0</v>
      </c>
      <c r="O40" s="127">
        <v>0</v>
      </c>
      <c r="P40" s="127">
        <v>0</v>
      </c>
      <c r="Q40" s="127">
        <v>0</v>
      </c>
      <c r="R40" s="127">
        <v>0</v>
      </c>
      <c r="S40" s="127">
        <v>0</v>
      </c>
      <c r="T40" s="127">
        <v>0</v>
      </c>
      <c r="U40" s="127">
        <v>0</v>
      </c>
      <c r="V40" s="127">
        <v>0</v>
      </c>
      <c r="W40" s="127">
        <v>0</v>
      </c>
      <c r="X40" s="127">
        <v>0</v>
      </c>
      <c r="Y40" s="127">
        <v>0</v>
      </c>
      <c r="Z40" s="127">
        <v>0</v>
      </c>
      <c r="AA40" s="127">
        <v>0</v>
      </c>
      <c r="AB40" s="127">
        <v>8.2681500000000005E-2</v>
      </c>
      <c r="AC40" s="127">
        <v>0.20713820000000002</v>
      </c>
      <c r="AD40" s="127">
        <v>0.27274130000000002</v>
      </c>
      <c r="AE40" s="127">
        <v>0.30138300000000001</v>
      </c>
      <c r="AF40" s="127">
        <v>0.35116040000000004</v>
      </c>
      <c r="AG40" s="127">
        <v>0.38797530000000002</v>
      </c>
      <c r="AH40" s="127">
        <v>0.47780349856000004</v>
      </c>
      <c r="AI40" s="127">
        <v>0.48433268355999998</v>
      </c>
      <c r="AJ40" s="127">
        <v>0.49240073356000003</v>
      </c>
      <c r="AK40" s="127">
        <v>0.49240073356000003</v>
      </c>
      <c r="AL40" s="127">
        <v>0.49240073356000003</v>
      </c>
      <c r="AM40" s="127">
        <v>0.49240073356000003</v>
      </c>
      <c r="AN40" s="127">
        <v>0.49240073356000003</v>
      </c>
      <c r="AO40" s="127">
        <v>0.49511936413000002</v>
      </c>
      <c r="AP40" s="127">
        <v>0.53391936412999996</v>
      </c>
      <c r="AQ40" s="127">
        <v>0.57271936412999991</v>
      </c>
      <c r="AR40" s="127">
        <v>0.61151936412999985</v>
      </c>
      <c r="AS40" s="127">
        <v>0.6503193641299998</v>
      </c>
      <c r="AT40" s="127">
        <v>0.68911936412999975</v>
      </c>
      <c r="AU40" s="127">
        <v>0.72791936412999969</v>
      </c>
      <c r="AV40" s="127">
        <v>0.76671936412999964</v>
      </c>
      <c r="AW40" s="127">
        <v>0.80551936412999958</v>
      </c>
      <c r="AX40" s="127">
        <v>0.84431936412999953</v>
      </c>
      <c r="AY40" s="127">
        <v>0.88311936412999947</v>
      </c>
      <c r="AZ40" s="127">
        <v>0.92191936412999942</v>
      </c>
      <c r="BA40" s="127">
        <v>0.96071936412999936</v>
      </c>
      <c r="BB40" s="127">
        <v>0.99951936412999931</v>
      </c>
      <c r="BC40" s="127">
        <v>1</v>
      </c>
      <c r="BD40" s="127">
        <v>1</v>
      </c>
      <c r="BE40" s="127">
        <v>1</v>
      </c>
      <c r="BF40" s="127">
        <v>1</v>
      </c>
      <c r="BG40" s="127">
        <v>1</v>
      </c>
      <c r="BH40" s="127">
        <v>1</v>
      </c>
      <c r="BI40" s="127">
        <v>1</v>
      </c>
      <c r="BJ40" s="127">
        <v>1</v>
      </c>
      <c r="BK40" s="127">
        <v>1</v>
      </c>
      <c r="BL40" s="127">
        <v>1</v>
      </c>
      <c r="BM40" s="127">
        <v>1</v>
      </c>
      <c r="BN40" s="127">
        <v>1</v>
      </c>
      <c r="BO40" s="127">
        <v>1</v>
      </c>
      <c r="BP40" s="127">
        <v>1</v>
      </c>
      <c r="BQ40" s="127">
        <v>1</v>
      </c>
      <c r="BR40" s="163">
        <v>1</v>
      </c>
      <c r="BS40" s="163">
        <v>1</v>
      </c>
      <c r="BT40" s="163">
        <v>1</v>
      </c>
      <c r="BU40" s="163">
        <v>1</v>
      </c>
      <c r="BV40" s="163">
        <v>1</v>
      </c>
      <c r="BW40" s="163">
        <v>1</v>
      </c>
      <c r="BX40" s="163">
        <v>1</v>
      </c>
      <c r="BY40" s="163">
        <v>1</v>
      </c>
      <c r="BZ40" s="163">
        <v>1</v>
      </c>
      <c r="CA40" s="163">
        <v>1</v>
      </c>
      <c r="CB40" s="163">
        <v>1</v>
      </c>
      <c r="CC40" s="163">
        <v>1</v>
      </c>
      <c r="CD40" s="163">
        <v>1</v>
      </c>
      <c r="CE40" s="163">
        <v>1</v>
      </c>
      <c r="CF40" s="163">
        <v>1</v>
      </c>
      <c r="CG40" s="163">
        <v>1</v>
      </c>
      <c r="CH40" s="163">
        <v>1</v>
      </c>
      <c r="CI40" s="163">
        <v>1</v>
      </c>
      <c r="CJ40" s="163">
        <v>1</v>
      </c>
      <c r="CK40" s="163">
        <v>1</v>
      </c>
      <c r="CL40" s="163">
        <v>1</v>
      </c>
      <c r="CM40" s="163">
        <v>1</v>
      </c>
      <c r="CN40" s="163">
        <v>1</v>
      </c>
      <c r="CO40" s="163">
        <v>1</v>
      </c>
      <c r="CP40" s="163">
        <v>1</v>
      </c>
      <c r="CQ40" s="163">
        <v>1</v>
      </c>
      <c r="CR40" s="163">
        <v>1</v>
      </c>
      <c r="CS40" s="163">
        <v>1</v>
      </c>
      <c r="CT40" s="163">
        <v>1</v>
      </c>
      <c r="CU40" s="163">
        <v>1</v>
      </c>
      <c r="CV40" s="163">
        <v>1</v>
      </c>
      <c r="CW40" s="163">
        <v>1</v>
      </c>
      <c r="CX40" s="163">
        <v>1</v>
      </c>
      <c r="CY40" s="163">
        <v>1</v>
      </c>
      <c r="CZ40" s="163">
        <v>1</v>
      </c>
      <c r="DA40" s="163">
        <v>1</v>
      </c>
      <c r="DB40" s="163">
        <v>1</v>
      </c>
      <c r="DC40" s="163">
        <v>1</v>
      </c>
      <c r="DD40" s="163">
        <v>1</v>
      </c>
      <c r="DE40" s="163">
        <v>1</v>
      </c>
      <c r="DF40" s="163">
        <v>1</v>
      </c>
      <c r="DG40" s="163">
        <v>1</v>
      </c>
      <c r="DH40" s="347">
        <v>1</v>
      </c>
      <c r="DI40" s="163">
        <v>1</v>
      </c>
      <c r="DJ40" s="163">
        <v>1</v>
      </c>
      <c r="DK40" s="163">
        <v>1</v>
      </c>
      <c r="DL40" s="163">
        <v>1</v>
      </c>
      <c r="DM40" s="163">
        <v>1</v>
      </c>
      <c r="DN40" s="163">
        <v>1</v>
      </c>
      <c r="DO40" s="163">
        <v>1</v>
      </c>
      <c r="DP40" s="163">
        <v>1</v>
      </c>
      <c r="DQ40" s="163">
        <v>1</v>
      </c>
      <c r="DR40" s="163">
        <v>1</v>
      </c>
      <c r="DS40" s="163">
        <v>1</v>
      </c>
      <c r="DT40" s="163">
        <v>1</v>
      </c>
      <c r="DU40" s="163">
        <v>1</v>
      </c>
      <c r="DV40" s="163">
        <v>1</v>
      </c>
      <c r="DW40" s="163">
        <v>1</v>
      </c>
      <c r="DX40" s="163">
        <v>1</v>
      </c>
      <c r="DY40" s="163">
        <v>1</v>
      </c>
      <c r="DZ40" s="163">
        <v>1</v>
      </c>
      <c r="EA40" s="163">
        <v>1</v>
      </c>
      <c r="EB40" s="163">
        <v>1</v>
      </c>
      <c r="EC40" s="163">
        <v>1</v>
      </c>
      <c r="ED40" s="163">
        <v>1</v>
      </c>
      <c r="EE40" s="163">
        <v>1</v>
      </c>
      <c r="EF40" s="163">
        <v>1</v>
      </c>
      <c r="EG40" s="163">
        <v>1</v>
      </c>
      <c r="EH40" s="163">
        <v>1</v>
      </c>
      <c r="EI40" s="163">
        <v>1</v>
      </c>
      <c r="EJ40" s="163">
        <v>1</v>
      </c>
      <c r="EK40" s="163">
        <v>1</v>
      </c>
      <c r="EL40" s="163">
        <v>1</v>
      </c>
    </row>
    <row r="41" spans="2:142" ht="15" hidden="1" outlineLevel="1" collapsed="1" x14ac:dyDescent="0.3">
      <c r="B41" s="22"/>
      <c r="C41" s="23"/>
      <c r="D41" s="23" t="s">
        <v>46</v>
      </c>
      <c r="E41" s="50"/>
      <c r="F41" s="26">
        <v>40</v>
      </c>
      <c r="G41" s="160">
        <v>45702</v>
      </c>
      <c r="H41" s="160">
        <v>45762</v>
      </c>
      <c r="I41" s="26">
        <f>+I42</f>
        <v>40</v>
      </c>
      <c r="J41" s="28">
        <v>3.8913408890165695E-2</v>
      </c>
      <c r="K41" s="51"/>
      <c r="L41" s="28">
        <f>+L42*$J$42</f>
        <v>0</v>
      </c>
      <c r="M41" s="28">
        <f t="shared" ref="M41:CP41" si="147">+M42*$J$42</f>
        <v>0</v>
      </c>
      <c r="N41" s="28">
        <f t="shared" si="147"/>
        <v>0</v>
      </c>
      <c r="O41" s="28">
        <f t="shared" si="147"/>
        <v>0</v>
      </c>
      <c r="P41" s="28">
        <f t="shared" si="147"/>
        <v>0</v>
      </c>
      <c r="Q41" s="28">
        <f t="shared" si="147"/>
        <v>0</v>
      </c>
      <c r="R41" s="28">
        <f t="shared" si="147"/>
        <v>0</v>
      </c>
      <c r="S41" s="28">
        <f t="shared" si="147"/>
        <v>0</v>
      </c>
      <c r="T41" s="28">
        <f t="shared" si="147"/>
        <v>0</v>
      </c>
      <c r="U41" s="28">
        <f t="shared" si="147"/>
        <v>0</v>
      </c>
      <c r="V41" s="28">
        <f t="shared" si="147"/>
        <v>0</v>
      </c>
      <c r="W41" s="28">
        <f t="shared" si="147"/>
        <v>0</v>
      </c>
      <c r="X41" s="28">
        <f t="shared" si="147"/>
        <v>0</v>
      </c>
      <c r="Y41" s="28">
        <f t="shared" si="147"/>
        <v>0</v>
      </c>
      <c r="Z41" s="28">
        <f t="shared" si="147"/>
        <v>0</v>
      </c>
      <c r="AA41" s="28">
        <f t="shared" si="147"/>
        <v>0</v>
      </c>
      <c r="AB41" s="28">
        <f t="shared" si="147"/>
        <v>0</v>
      </c>
      <c r="AC41" s="28">
        <f t="shared" si="147"/>
        <v>0</v>
      </c>
      <c r="AD41" s="28">
        <f t="shared" si="147"/>
        <v>0</v>
      </c>
      <c r="AE41" s="28">
        <f t="shared" si="147"/>
        <v>0</v>
      </c>
      <c r="AF41" s="28">
        <f t="shared" si="147"/>
        <v>0</v>
      </c>
      <c r="AG41" s="28">
        <f t="shared" si="147"/>
        <v>0</v>
      </c>
      <c r="AH41" s="28">
        <f t="shared" si="147"/>
        <v>0</v>
      </c>
      <c r="AI41" s="28">
        <f t="shared" si="147"/>
        <v>0</v>
      </c>
      <c r="AJ41" s="28">
        <f t="shared" si="147"/>
        <v>0</v>
      </c>
      <c r="AK41" s="28">
        <f t="shared" si="147"/>
        <v>0</v>
      </c>
      <c r="AL41" s="28">
        <f t="shared" si="147"/>
        <v>0</v>
      </c>
      <c r="AM41" s="28">
        <f t="shared" si="147"/>
        <v>0</v>
      </c>
      <c r="AN41" s="28">
        <f t="shared" si="147"/>
        <v>0</v>
      </c>
      <c r="AO41" s="28">
        <f t="shared" si="147"/>
        <v>0</v>
      </c>
      <c r="AP41" s="28">
        <f t="shared" si="147"/>
        <v>0</v>
      </c>
      <c r="AQ41" s="28">
        <f t="shared" si="147"/>
        <v>0</v>
      </c>
      <c r="AR41" s="28">
        <f t="shared" si="147"/>
        <v>0</v>
      </c>
      <c r="AS41" s="28">
        <f t="shared" si="147"/>
        <v>0</v>
      </c>
      <c r="AT41" s="28">
        <f t="shared" si="147"/>
        <v>0.1111</v>
      </c>
      <c r="AU41" s="28">
        <f t="shared" si="147"/>
        <v>0.22220000000000001</v>
      </c>
      <c r="AV41" s="28">
        <f t="shared" si="147"/>
        <v>0.33329999999999999</v>
      </c>
      <c r="AW41" s="28">
        <f t="shared" si="147"/>
        <v>0.44439999999999996</v>
      </c>
      <c r="AX41" s="28">
        <f t="shared" si="147"/>
        <v>0.55549999999999999</v>
      </c>
      <c r="AY41" s="28">
        <f t="shared" si="147"/>
        <v>0.66659999999999997</v>
      </c>
      <c r="AZ41" s="28">
        <f t="shared" si="147"/>
        <v>0.77769999999999995</v>
      </c>
      <c r="BA41" s="28">
        <f t="shared" si="147"/>
        <v>0.88879999999999992</v>
      </c>
      <c r="BB41" s="28">
        <f t="shared" si="147"/>
        <v>0.9998999999999999</v>
      </c>
      <c r="BC41" s="28">
        <f t="shared" si="147"/>
        <v>1</v>
      </c>
      <c r="BD41" s="28">
        <f t="shared" si="147"/>
        <v>1</v>
      </c>
      <c r="BE41" s="28">
        <f t="shared" si="147"/>
        <v>1</v>
      </c>
      <c r="BF41" s="28">
        <f t="shared" si="147"/>
        <v>1</v>
      </c>
      <c r="BG41" s="28">
        <f t="shared" si="147"/>
        <v>1</v>
      </c>
      <c r="BH41" s="28">
        <f t="shared" si="147"/>
        <v>1</v>
      </c>
      <c r="BI41" s="28">
        <f t="shared" si="147"/>
        <v>1</v>
      </c>
      <c r="BJ41" s="28">
        <f t="shared" si="147"/>
        <v>1</v>
      </c>
      <c r="BK41" s="28">
        <f t="shared" si="147"/>
        <v>1</v>
      </c>
      <c r="BL41" s="28">
        <f t="shared" si="147"/>
        <v>1</v>
      </c>
      <c r="BM41" s="28">
        <f t="shared" si="147"/>
        <v>1</v>
      </c>
      <c r="BN41" s="28">
        <f t="shared" si="147"/>
        <v>1</v>
      </c>
      <c r="BO41" s="28">
        <f t="shared" si="147"/>
        <v>1</v>
      </c>
      <c r="BP41" s="28">
        <f t="shared" si="147"/>
        <v>1</v>
      </c>
      <c r="BQ41" s="28">
        <f t="shared" si="147"/>
        <v>1</v>
      </c>
      <c r="BR41" s="161">
        <f t="shared" si="147"/>
        <v>1</v>
      </c>
      <c r="BS41" s="161">
        <f t="shared" si="147"/>
        <v>1</v>
      </c>
      <c r="BT41" s="161">
        <f t="shared" si="147"/>
        <v>1</v>
      </c>
      <c r="BU41" s="161">
        <f t="shared" si="147"/>
        <v>1</v>
      </c>
      <c r="BV41" s="161">
        <f t="shared" si="147"/>
        <v>1</v>
      </c>
      <c r="BW41" s="161">
        <f t="shared" si="147"/>
        <v>1</v>
      </c>
      <c r="BX41" s="161">
        <f t="shared" si="147"/>
        <v>1</v>
      </c>
      <c r="BY41" s="161">
        <f t="shared" si="147"/>
        <v>1</v>
      </c>
      <c r="BZ41" s="161">
        <f t="shared" si="147"/>
        <v>1</v>
      </c>
      <c r="CA41" s="161">
        <f t="shared" si="147"/>
        <v>1</v>
      </c>
      <c r="CB41" s="161">
        <f t="shared" si="147"/>
        <v>1</v>
      </c>
      <c r="CC41" s="161">
        <f t="shared" si="147"/>
        <v>1</v>
      </c>
      <c r="CD41" s="161">
        <f t="shared" si="147"/>
        <v>1</v>
      </c>
      <c r="CE41" s="161">
        <f t="shared" si="147"/>
        <v>1</v>
      </c>
      <c r="CF41" s="161">
        <f t="shared" si="147"/>
        <v>1</v>
      </c>
      <c r="CG41" s="161">
        <f t="shared" si="147"/>
        <v>1</v>
      </c>
      <c r="CH41" s="161">
        <f t="shared" si="147"/>
        <v>1</v>
      </c>
      <c r="CI41" s="161">
        <f t="shared" si="147"/>
        <v>1</v>
      </c>
      <c r="CJ41" s="161">
        <f t="shared" si="147"/>
        <v>1</v>
      </c>
      <c r="CK41" s="161">
        <f t="shared" si="147"/>
        <v>1</v>
      </c>
      <c r="CL41" s="161">
        <f t="shared" si="147"/>
        <v>1</v>
      </c>
      <c r="CM41" s="161">
        <f t="shared" si="147"/>
        <v>1</v>
      </c>
      <c r="CN41" s="161">
        <f t="shared" si="147"/>
        <v>1</v>
      </c>
      <c r="CO41" s="161">
        <f t="shared" si="147"/>
        <v>1</v>
      </c>
      <c r="CP41" s="161">
        <f t="shared" si="147"/>
        <v>1</v>
      </c>
      <c r="CQ41" s="161">
        <f t="shared" ref="CQ41:EL41" si="148">+CQ42*$J$42</f>
        <v>1</v>
      </c>
      <c r="CR41" s="161">
        <f t="shared" si="148"/>
        <v>1</v>
      </c>
      <c r="CS41" s="161">
        <f t="shared" si="148"/>
        <v>1</v>
      </c>
      <c r="CT41" s="161">
        <f t="shared" si="148"/>
        <v>1</v>
      </c>
      <c r="CU41" s="161">
        <f t="shared" si="148"/>
        <v>1</v>
      </c>
      <c r="CV41" s="161">
        <f t="shared" si="148"/>
        <v>1</v>
      </c>
      <c r="CW41" s="161">
        <f t="shared" si="148"/>
        <v>1</v>
      </c>
      <c r="CX41" s="161">
        <f t="shared" si="148"/>
        <v>1</v>
      </c>
      <c r="CY41" s="161">
        <f t="shared" si="148"/>
        <v>1</v>
      </c>
      <c r="CZ41" s="161">
        <f t="shared" si="148"/>
        <v>1</v>
      </c>
      <c r="DA41" s="161">
        <f t="shared" si="148"/>
        <v>1</v>
      </c>
      <c r="DB41" s="161">
        <f t="shared" si="148"/>
        <v>1</v>
      </c>
      <c r="DC41" s="161">
        <f t="shared" si="148"/>
        <v>1</v>
      </c>
      <c r="DD41" s="161">
        <f t="shared" si="148"/>
        <v>1</v>
      </c>
      <c r="DE41" s="161">
        <f t="shared" si="148"/>
        <v>1</v>
      </c>
      <c r="DF41" s="161">
        <f t="shared" si="148"/>
        <v>1</v>
      </c>
      <c r="DG41" s="161">
        <f t="shared" si="148"/>
        <v>1</v>
      </c>
      <c r="DH41" s="346">
        <f t="shared" si="148"/>
        <v>1</v>
      </c>
      <c r="DI41" s="161">
        <f t="shared" si="148"/>
        <v>1</v>
      </c>
      <c r="DJ41" s="161">
        <f t="shared" si="148"/>
        <v>1</v>
      </c>
      <c r="DK41" s="161">
        <f t="shared" si="148"/>
        <v>1</v>
      </c>
      <c r="DL41" s="161">
        <f t="shared" si="148"/>
        <v>1</v>
      </c>
      <c r="DM41" s="161">
        <f t="shared" si="148"/>
        <v>1</v>
      </c>
      <c r="DN41" s="161">
        <f t="shared" si="148"/>
        <v>1</v>
      </c>
      <c r="DO41" s="161">
        <f t="shared" si="148"/>
        <v>1</v>
      </c>
      <c r="DP41" s="161">
        <f t="shared" si="148"/>
        <v>1</v>
      </c>
      <c r="DQ41" s="161">
        <f t="shared" si="148"/>
        <v>1</v>
      </c>
      <c r="DR41" s="161">
        <f t="shared" si="148"/>
        <v>1</v>
      </c>
      <c r="DS41" s="161">
        <f t="shared" si="148"/>
        <v>1</v>
      </c>
      <c r="DT41" s="161">
        <f t="shared" si="148"/>
        <v>1</v>
      </c>
      <c r="DU41" s="161">
        <f t="shared" si="148"/>
        <v>1</v>
      </c>
      <c r="DV41" s="161">
        <f t="shared" si="148"/>
        <v>1</v>
      </c>
      <c r="DW41" s="161">
        <f t="shared" si="148"/>
        <v>1</v>
      </c>
      <c r="DX41" s="161">
        <f t="shared" si="148"/>
        <v>1</v>
      </c>
      <c r="DY41" s="161">
        <f t="shared" si="148"/>
        <v>1</v>
      </c>
      <c r="DZ41" s="161">
        <f t="shared" si="148"/>
        <v>1</v>
      </c>
      <c r="EA41" s="161">
        <f t="shared" si="148"/>
        <v>1</v>
      </c>
      <c r="EB41" s="161">
        <f t="shared" si="148"/>
        <v>1</v>
      </c>
      <c r="EC41" s="161">
        <f t="shared" si="148"/>
        <v>1</v>
      </c>
      <c r="ED41" s="161">
        <f t="shared" si="148"/>
        <v>1</v>
      </c>
      <c r="EE41" s="161">
        <f t="shared" si="148"/>
        <v>1</v>
      </c>
      <c r="EF41" s="161">
        <f t="shared" si="148"/>
        <v>1</v>
      </c>
      <c r="EG41" s="161">
        <f t="shared" si="148"/>
        <v>1</v>
      </c>
      <c r="EH41" s="161">
        <f t="shared" si="148"/>
        <v>1</v>
      </c>
      <c r="EI41" s="161">
        <f t="shared" si="148"/>
        <v>1</v>
      </c>
      <c r="EJ41" s="161">
        <f t="shared" si="148"/>
        <v>1</v>
      </c>
      <c r="EK41" s="161">
        <f t="shared" si="148"/>
        <v>1</v>
      </c>
      <c r="EL41" s="161">
        <f t="shared" si="148"/>
        <v>1</v>
      </c>
    </row>
    <row r="42" spans="2:142" hidden="1" outlineLevel="2" x14ac:dyDescent="0.3">
      <c r="B42" s="29"/>
      <c r="C42" s="30"/>
      <c r="D42" s="30"/>
      <c r="E42" s="52" t="s">
        <v>47</v>
      </c>
      <c r="F42" s="33">
        <v>40</v>
      </c>
      <c r="G42" s="162">
        <v>45702</v>
      </c>
      <c r="H42" s="162">
        <v>45762</v>
      </c>
      <c r="I42" s="33">
        <f>+F42</f>
        <v>40</v>
      </c>
      <c r="J42" s="35">
        <v>1</v>
      </c>
      <c r="K42" s="53"/>
      <c r="L42" s="127">
        <v>0</v>
      </c>
      <c r="M42" s="127">
        <v>0</v>
      </c>
      <c r="N42" s="127">
        <v>0</v>
      </c>
      <c r="O42" s="127">
        <v>0</v>
      </c>
      <c r="P42" s="127">
        <v>0</v>
      </c>
      <c r="Q42" s="127">
        <v>0</v>
      </c>
      <c r="R42" s="127">
        <v>0</v>
      </c>
      <c r="S42" s="127">
        <v>0</v>
      </c>
      <c r="T42" s="127">
        <v>0</v>
      </c>
      <c r="U42" s="127">
        <v>0</v>
      </c>
      <c r="V42" s="127">
        <v>0</v>
      </c>
      <c r="W42" s="127">
        <v>0</v>
      </c>
      <c r="X42" s="127">
        <v>0</v>
      </c>
      <c r="Y42" s="127">
        <v>0</v>
      </c>
      <c r="Z42" s="127">
        <v>0</v>
      </c>
      <c r="AA42" s="127">
        <v>0</v>
      </c>
      <c r="AB42" s="127">
        <v>0</v>
      </c>
      <c r="AC42" s="127">
        <v>0</v>
      </c>
      <c r="AD42" s="127">
        <v>0</v>
      </c>
      <c r="AE42" s="127">
        <v>0</v>
      </c>
      <c r="AF42" s="127">
        <v>0</v>
      </c>
      <c r="AG42" s="127">
        <v>0</v>
      </c>
      <c r="AH42" s="127">
        <v>0</v>
      </c>
      <c r="AI42" s="127">
        <v>0</v>
      </c>
      <c r="AJ42" s="127">
        <v>0</v>
      </c>
      <c r="AK42" s="127">
        <v>0</v>
      </c>
      <c r="AL42" s="127">
        <v>0</v>
      </c>
      <c r="AM42" s="127">
        <v>0</v>
      </c>
      <c r="AN42" s="127">
        <v>0</v>
      </c>
      <c r="AO42" s="127">
        <v>0</v>
      </c>
      <c r="AP42" s="127">
        <v>0</v>
      </c>
      <c r="AQ42" s="127">
        <v>0</v>
      </c>
      <c r="AR42" s="127">
        <v>0</v>
      </c>
      <c r="AS42" s="127">
        <v>0</v>
      </c>
      <c r="AT42" s="127">
        <v>0.1111</v>
      </c>
      <c r="AU42" s="127">
        <v>0.22220000000000001</v>
      </c>
      <c r="AV42" s="127">
        <v>0.33329999999999999</v>
      </c>
      <c r="AW42" s="127">
        <v>0.44439999999999996</v>
      </c>
      <c r="AX42" s="127">
        <v>0.55549999999999999</v>
      </c>
      <c r="AY42" s="127">
        <v>0.66659999999999997</v>
      </c>
      <c r="AZ42" s="127">
        <v>0.77769999999999995</v>
      </c>
      <c r="BA42" s="127">
        <v>0.88879999999999992</v>
      </c>
      <c r="BB42" s="127">
        <v>0.9998999999999999</v>
      </c>
      <c r="BC42" s="127">
        <v>1</v>
      </c>
      <c r="BD42" s="127">
        <v>1</v>
      </c>
      <c r="BE42" s="127">
        <v>1</v>
      </c>
      <c r="BF42" s="127">
        <v>1</v>
      </c>
      <c r="BG42" s="127">
        <v>1</v>
      </c>
      <c r="BH42" s="127">
        <v>1</v>
      </c>
      <c r="BI42" s="127">
        <v>1</v>
      </c>
      <c r="BJ42" s="127">
        <v>1</v>
      </c>
      <c r="BK42" s="127">
        <v>1</v>
      </c>
      <c r="BL42" s="127">
        <v>1</v>
      </c>
      <c r="BM42" s="127">
        <v>1</v>
      </c>
      <c r="BN42" s="127">
        <v>1</v>
      </c>
      <c r="BO42" s="127">
        <v>1</v>
      </c>
      <c r="BP42" s="127">
        <v>1</v>
      </c>
      <c r="BQ42" s="127">
        <v>1</v>
      </c>
      <c r="BR42" s="163">
        <v>1</v>
      </c>
      <c r="BS42" s="163">
        <v>1</v>
      </c>
      <c r="BT42" s="163">
        <v>1</v>
      </c>
      <c r="BU42" s="163">
        <v>1</v>
      </c>
      <c r="BV42" s="163">
        <v>1</v>
      </c>
      <c r="BW42" s="163">
        <v>1</v>
      </c>
      <c r="BX42" s="163">
        <v>1</v>
      </c>
      <c r="BY42" s="163">
        <v>1</v>
      </c>
      <c r="BZ42" s="163">
        <v>1</v>
      </c>
      <c r="CA42" s="163">
        <v>1</v>
      </c>
      <c r="CB42" s="163">
        <v>1</v>
      </c>
      <c r="CC42" s="163">
        <v>1</v>
      </c>
      <c r="CD42" s="163">
        <v>1</v>
      </c>
      <c r="CE42" s="163">
        <v>1</v>
      </c>
      <c r="CF42" s="163">
        <v>1</v>
      </c>
      <c r="CG42" s="163">
        <v>1</v>
      </c>
      <c r="CH42" s="163">
        <v>1</v>
      </c>
      <c r="CI42" s="163">
        <v>1</v>
      </c>
      <c r="CJ42" s="163">
        <v>1</v>
      </c>
      <c r="CK42" s="163">
        <v>1</v>
      </c>
      <c r="CL42" s="163">
        <v>1</v>
      </c>
      <c r="CM42" s="163">
        <v>1</v>
      </c>
      <c r="CN42" s="163">
        <v>1</v>
      </c>
      <c r="CO42" s="163">
        <v>1</v>
      </c>
      <c r="CP42" s="163">
        <v>1</v>
      </c>
      <c r="CQ42" s="163">
        <v>1</v>
      </c>
      <c r="CR42" s="163">
        <v>1</v>
      </c>
      <c r="CS42" s="163">
        <v>1</v>
      </c>
      <c r="CT42" s="163">
        <v>1</v>
      </c>
      <c r="CU42" s="163">
        <v>1</v>
      </c>
      <c r="CV42" s="163">
        <v>1</v>
      </c>
      <c r="CW42" s="163">
        <v>1</v>
      </c>
      <c r="CX42" s="163">
        <v>1</v>
      </c>
      <c r="CY42" s="163">
        <v>1</v>
      </c>
      <c r="CZ42" s="163">
        <v>1</v>
      </c>
      <c r="DA42" s="163">
        <v>1</v>
      </c>
      <c r="DB42" s="163">
        <v>1</v>
      </c>
      <c r="DC42" s="163">
        <v>1</v>
      </c>
      <c r="DD42" s="163">
        <v>1</v>
      </c>
      <c r="DE42" s="163">
        <v>1</v>
      </c>
      <c r="DF42" s="163">
        <v>1</v>
      </c>
      <c r="DG42" s="163">
        <v>1</v>
      </c>
      <c r="DH42" s="347">
        <v>1</v>
      </c>
      <c r="DI42" s="163">
        <v>1</v>
      </c>
      <c r="DJ42" s="163">
        <v>1</v>
      </c>
      <c r="DK42" s="163">
        <v>1</v>
      </c>
      <c r="DL42" s="163">
        <v>1</v>
      </c>
      <c r="DM42" s="163">
        <v>1</v>
      </c>
      <c r="DN42" s="163">
        <v>1</v>
      </c>
      <c r="DO42" s="163">
        <v>1</v>
      </c>
      <c r="DP42" s="163">
        <v>1</v>
      </c>
      <c r="DQ42" s="163">
        <v>1</v>
      </c>
      <c r="DR42" s="163">
        <v>1</v>
      </c>
      <c r="DS42" s="163">
        <v>1</v>
      </c>
      <c r="DT42" s="163">
        <v>1</v>
      </c>
      <c r="DU42" s="163">
        <v>1</v>
      </c>
      <c r="DV42" s="163">
        <v>1</v>
      </c>
      <c r="DW42" s="163">
        <v>1</v>
      </c>
      <c r="DX42" s="163">
        <v>1</v>
      </c>
      <c r="DY42" s="163">
        <v>1</v>
      </c>
      <c r="DZ42" s="163">
        <v>1</v>
      </c>
      <c r="EA42" s="163">
        <v>1</v>
      </c>
      <c r="EB42" s="163">
        <v>1</v>
      </c>
      <c r="EC42" s="163">
        <v>1</v>
      </c>
      <c r="ED42" s="163">
        <v>1</v>
      </c>
      <c r="EE42" s="163">
        <v>1</v>
      </c>
      <c r="EF42" s="163">
        <v>1</v>
      </c>
      <c r="EG42" s="163">
        <v>1</v>
      </c>
      <c r="EH42" s="163">
        <v>1</v>
      </c>
      <c r="EI42" s="163">
        <v>1</v>
      </c>
      <c r="EJ42" s="163">
        <v>1</v>
      </c>
      <c r="EK42" s="163">
        <v>1</v>
      </c>
      <c r="EL42" s="163">
        <v>1</v>
      </c>
    </row>
    <row r="43" spans="2:142" ht="15" hidden="1" outlineLevel="1" collapsed="1" x14ac:dyDescent="0.3">
      <c r="B43" s="22"/>
      <c r="C43" s="23"/>
      <c r="D43" s="23" t="s">
        <v>48</v>
      </c>
      <c r="E43" s="50"/>
      <c r="F43" s="26">
        <v>120</v>
      </c>
      <c r="G43" s="160">
        <v>45611</v>
      </c>
      <c r="H43" s="160">
        <v>45814</v>
      </c>
      <c r="I43" s="26">
        <f>+SUM(I44:I47)</f>
        <v>190</v>
      </c>
      <c r="J43" s="28">
        <v>5.1069782162212127E-2</v>
      </c>
      <c r="K43" s="51"/>
      <c r="L43" s="28">
        <f>+SUMPRODUCT($J$44:$J$47,L44:L47)</f>
        <v>0</v>
      </c>
      <c r="M43" s="28">
        <f t="shared" ref="M43:BU43" si="149">+SUMPRODUCT($J$44:$J$47,M44:M47)</f>
        <v>0</v>
      </c>
      <c r="N43" s="28">
        <f t="shared" si="149"/>
        <v>0</v>
      </c>
      <c r="O43" s="28">
        <f t="shared" si="149"/>
        <v>0</v>
      </c>
      <c r="P43" s="28">
        <f t="shared" si="149"/>
        <v>0</v>
      </c>
      <c r="Q43" s="28">
        <f t="shared" si="149"/>
        <v>0</v>
      </c>
      <c r="R43" s="28">
        <f t="shared" si="149"/>
        <v>0</v>
      </c>
      <c r="S43" s="28">
        <f t="shared" si="149"/>
        <v>0</v>
      </c>
      <c r="T43" s="28">
        <f t="shared" si="149"/>
        <v>0</v>
      </c>
      <c r="U43" s="28">
        <f t="shared" si="149"/>
        <v>0</v>
      </c>
      <c r="V43" s="28">
        <f t="shared" si="149"/>
        <v>0</v>
      </c>
      <c r="W43" s="28">
        <f t="shared" si="149"/>
        <v>0</v>
      </c>
      <c r="X43" s="28">
        <f t="shared" si="149"/>
        <v>0</v>
      </c>
      <c r="Y43" s="28">
        <f t="shared" si="149"/>
        <v>0</v>
      </c>
      <c r="Z43" s="28">
        <f t="shared" si="149"/>
        <v>0</v>
      </c>
      <c r="AA43" s="28">
        <f t="shared" si="149"/>
        <v>0</v>
      </c>
      <c r="AB43" s="28">
        <f t="shared" si="149"/>
        <v>0</v>
      </c>
      <c r="AC43" s="28">
        <f t="shared" si="149"/>
        <v>0</v>
      </c>
      <c r="AD43" s="28">
        <f t="shared" si="149"/>
        <v>0.42499999999999999</v>
      </c>
      <c r="AE43" s="28">
        <f t="shared" si="149"/>
        <v>0.42499999999999999</v>
      </c>
      <c r="AF43" s="28">
        <f t="shared" si="149"/>
        <v>0.42574999999999996</v>
      </c>
      <c r="AG43" s="28">
        <f t="shared" si="149"/>
        <v>0.48649999999999999</v>
      </c>
      <c r="AH43" s="28">
        <f t="shared" si="149"/>
        <v>0.52725</v>
      </c>
      <c r="AI43" s="28">
        <f t="shared" si="149"/>
        <v>0.5575</v>
      </c>
      <c r="AJ43" s="28">
        <f t="shared" si="149"/>
        <v>0.5575</v>
      </c>
      <c r="AK43" s="28">
        <f t="shared" si="149"/>
        <v>0.5575</v>
      </c>
      <c r="AL43" s="28">
        <f t="shared" si="149"/>
        <v>0.5575</v>
      </c>
      <c r="AM43" s="28">
        <f t="shared" si="149"/>
        <v>0.5575</v>
      </c>
      <c r="AN43" s="28">
        <f t="shared" si="149"/>
        <v>0.5575</v>
      </c>
      <c r="AO43" s="28">
        <f t="shared" si="149"/>
        <v>0.5575</v>
      </c>
      <c r="AP43" s="28">
        <f t="shared" si="149"/>
        <v>0.56685000000000008</v>
      </c>
      <c r="AQ43" s="28">
        <f t="shared" si="149"/>
        <v>0.57620000000000005</v>
      </c>
      <c r="AR43" s="28">
        <f t="shared" si="149"/>
        <v>0.58555000000000001</v>
      </c>
      <c r="AS43" s="28">
        <f t="shared" si="149"/>
        <v>0.59489999999999998</v>
      </c>
      <c r="AT43" s="28">
        <f t="shared" si="149"/>
        <v>0.60424999999999995</v>
      </c>
      <c r="AU43" s="28">
        <f t="shared" si="149"/>
        <v>0.61359999999999992</v>
      </c>
      <c r="AV43" s="28">
        <f t="shared" si="149"/>
        <v>0.62295</v>
      </c>
      <c r="AW43" s="28">
        <f t="shared" si="149"/>
        <v>0.63229999999999997</v>
      </c>
      <c r="AX43" s="28">
        <f t="shared" si="149"/>
        <v>0.6666399999999999</v>
      </c>
      <c r="AY43" s="28">
        <f t="shared" si="149"/>
        <v>0.70097999999999994</v>
      </c>
      <c r="AZ43" s="28">
        <f t="shared" si="149"/>
        <v>0.73531999999999997</v>
      </c>
      <c r="BA43" s="28">
        <f t="shared" si="149"/>
        <v>0.76966000000000001</v>
      </c>
      <c r="BB43" s="28">
        <f t="shared" si="149"/>
        <v>0.80384999999999995</v>
      </c>
      <c r="BC43" s="28">
        <f t="shared" si="149"/>
        <v>0.83413999999999988</v>
      </c>
      <c r="BD43" s="28">
        <f t="shared" si="149"/>
        <v>0.86442999999999981</v>
      </c>
      <c r="BE43" s="28">
        <f t="shared" si="149"/>
        <v>0.89471999999999985</v>
      </c>
      <c r="BF43" s="28">
        <f t="shared" si="149"/>
        <v>0.9249099999999999</v>
      </c>
      <c r="BG43" s="28">
        <f t="shared" si="149"/>
        <v>0.94989999999999997</v>
      </c>
      <c r="BH43" s="28">
        <f t="shared" si="149"/>
        <v>0.97489000000000003</v>
      </c>
      <c r="BI43" s="28">
        <f t="shared" si="149"/>
        <v>0.99987999999999999</v>
      </c>
      <c r="BJ43" s="28">
        <f t="shared" si="149"/>
        <v>1</v>
      </c>
      <c r="BK43" s="28">
        <f t="shared" si="149"/>
        <v>1</v>
      </c>
      <c r="BL43" s="28">
        <f t="shared" si="149"/>
        <v>1</v>
      </c>
      <c r="BM43" s="28">
        <f t="shared" si="149"/>
        <v>1</v>
      </c>
      <c r="BN43" s="28">
        <f t="shared" si="149"/>
        <v>1</v>
      </c>
      <c r="BO43" s="28">
        <f t="shared" si="149"/>
        <v>1</v>
      </c>
      <c r="BP43" s="28">
        <f t="shared" si="149"/>
        <v>1</v>
      </c>
      <c r="BQ43" s="28">
        <f t="shared" si="149"/>
        <v>1</v>
      </c>
      <c r="BR43" s="161">
        <f t="shared" si="149"/>
        <v>1</v>
      </c>
      <c r="BS43" s="161">
        <f t="shared" si="149"/>
        <v>1</v>
      </c>
      <c r="BT43" s="161">
        <f t="shared" si="149"/>
        <v>1</v>
      </c>
      <c r="BU43" s="161">
        <f t="shared" si="149"/>
        <v>1</v>
      </c>
      <c r="BV43" s="161">
        <f t="shared" ref="BV43:CL43" si="150">+SUMPRODUCT($J$44:$J$47,BV44:BV47)</f>
        <v>1</v>
      </c>
      <c r="BW43" s="161">
        <f t="shared" si="150"/>
        <v>1</v>
      </c>
      <c r="BX43" s="161">
        <f t="shared" si="150"/>
        <v>1</v>
      </c>
      <c r="BY43" s="161">
        <f t="shared" si="150"/>
        <v>1</v>
      </c>
      <c r="BZ43" s="161">
        <f t="shared" si="150"/>
        <v>1</v>
      </c>
      <c r="CA43" s="161">
        <f t="shared" si="150"/>
        <v>1</v>
      </c>
      <c r="CB43" s="161">
        <f t="shared" si="150"/>
        <v>1</v>
      </c>
      <c r="CC43" s="161">
        <f t="shared" si="150"/>
        <v>1</v>
      </c>
      <c r="CD43" s="161">
        <f t="shared" si="150"/>
        <v>1</v>
      </c>
      <c r="CE43" s="161">
        <f t="shared" si="150"/>
        <v>1</v>
      </c>
      <c r="CF43" s="161">
        <f t="shared" si="150"/>
        <v>1</v>
      </c>
      <c r="CG43" s="161">
        <f t="shared" si="150"/>
        <v>1</v>
      </c>
      <c r="CH43" s="161">
        <f t="shared" si="150"/>
        <v>1</v>
      </c>
      <c r="CI43" s="161">
        <f t="shared" si="150"/>
        <v>1</v>
      </c>
      <c r="CJ43" s="161">
        <f t="shared" si="150"/>
        <v>1</v>
      </c>
      <c r="CK43" s="161">
        <f t="shared" si="150"/>
        <v>1</v>
      </c>
      <c r="CL43" s="161">
        <f t="shared" si="150"/>
        <v>1</v>
      </c>
      <c r="CM43" s="161">
        <f t="shared" ref="CM43:CN43" si="151">+SUMPRODUCT($J$44:$J$47,CM44:CM47)</f>
        <v>1</v>
      </c>
      <c r="CN43" s="161">
        <f t="shared" si="151"/>
        <v>1</v>
      </c>
      <c r="CO43" s="161">
        <f t="shared" ref="CO43" si="152">+SUMPRODUCT($J$44:$J$47,CO44:CO47)</f>
        <v>1</v>
      </c>
      <c r="CP43" s="161">
        <f t="shared" ref="CP43:CV43" si="153">+SUMPRODUCT($J$44:$J$47,CP44:CP47)</f>
        <v>1</v>
      </c>
      <c r="CQ43" s="161">
        <f t="shared" si="153"/>
        <v>1</v>
      </c>
      <c r="CR43" s="161">
        <f t="shared" si="153"/>
        <v>1</v>
      </c>
      <c r="CS43" s="161">
        <f t="shared" si="153"/>
        <v>1</v>
      </c>
      <c r="CT43" s="161">
        <f t="shared" si="153"/>
        <v>1</v>
      </c>
      <c r="CU43" s="161">
        <f t="shared" si="153"/>
        <v>1</v>
      </c>
      <c r="CV43" s="161">
        <f t="shared" si="153"/>
        <v>1</v>
      </c>
      <c r="CW43" s="161">
        <f t="shared" ref="CW43:CY43" si="154">+SUMPRODUCT($J$44:$J$47,CW44:CW47)</f>
        <v>1</v>
      </c>
      <c r="CX43" s="161">
        <f t="shared" si="154"/>
        <v>1</v>
      </c>
      <c r="CY43" s="161">
        <f t="shared" si="154"/>
        <v>1</v>
      </c>
      <c r="CZ43" s="161">
        <f t="shared" ref="CZ43:DA43" si="155">+SUMPRODUCT($J$44:$J$47,CZ44:CZ47)</f>
        <v>1</v>
      </c>
      <c r="DA43" s="161">
        <f t="shared" si="155"/>
        <v>1</v>
      </c>
      <c r="DB43" s="161">
        <f t="shared" ref="DB43:DC43" si="156">+SUMPRODUCT($J$44:$J$47,DB44:DB47)</f>
        <v>1</v>
      </c>
      <c r="DC43" s="161">
        <f t="shared" si="156"/>
        <v>1</v>
      </c>
      <c r="DD43" s="161">
        <f t="shared" ref="DD43:DE43" si="157">+SUMPRODUCT($J$44:$J$47,DD44:DD47)</f>
        <v>1</v>
      </c>
      <c r="DE43" s="161">
        <f t="shared" si="157"/>
        <v>1</v>
      </c>
      <c r="DF43" s="161">
        <f t="shared" ref="DF43:DG43" si="158">+SUMPRODUCT($J$44:$J$47,DF44:DF47)</f>
        <v>1</v>
      </c>
      <c r="DG43" s="161">
        <f t="shared" si="158"/>
        <v>1</v>
      </c>
      <c r="DH43" s="346">
        <f t="shared" ref="DH43:EL43" si="159">+SUMPRODUCT($J$44:$J$47,DH44:DH47)</f>
        <v>1</v>
      </c>
      <c r="DI43" s="161">
        <f t="shared" si="159"/>
        <v>1</v>
      </c>
      <c r="DJ43" s="161">
        <f t="shared" si="159"/>
        <v>1</v>
      </c>
      <c r="DK43" s="161">
        <f t="shared" si="159"/>
        <v>1</v>
      </c>
      <c r="DL43" s="161">
        <f t="shared" si="159"/>
        <v>1</v>
      </c>
      <c r="DM43" s="161">
        <f t="shared" si="159"/>
        <v>1</v>
      </c>
      <c r="DN43" s="161">
        <f t="shared" si="159"/>
        <v>1</v>
      </c>
      <c r="DO43" s="161">
        <f t="shared" si="159"/>
        <v>1</v>
      </c>
      <c r="DP43" s="161">
        <f t="shared" si="159"/>
        <v>1</v>
      </c>
      <c r="DQ43" s="161">
        <f t="shared" si="159"/>
        <v>1</v>
      </c>
      <c r="DR43" s="161">
        <f t="shared" si="159"/>
        <v>1</v>
      </c>
      <c r="DS43" s="161">
        <f t="shared" si="159"/>
        <v>1</v>
      </c>
      <c r="DT43" s="161">
        <f t="shared" si="159"/>
        <v>1</v>
      </c>
      <c r="DU43" s="161">
        <f t="shared" si="159"/>
        <v>1</v>
      </c>
      <c r="DV43" s="161">
        <f t="shared" si="159"/>
        <v>1</v>
      </c>
      <c r="DW43" s="161">
        <f t="shared" si="159"/>
        <v>1</v>
      </c>
      <c r="DX43" s="161">
        <f t="shared" si="159"/>
        <v>1</v>
      </c>
      <c r="DY43" s="161">
        <f t="shared" si="159"/>
        <v>1</v>
      </c>
      <c r="DZ43" s="161">
        <f t="shared" si="159"/>
        <v>1</v>
      </c>
      <c r="EA43" s="161">
        <f t="shared" si="159"/>
        <v>1</v>
      </c>
      <c r="EB43" s="161">
        <f t="shared" si="159"/>
        <v>1</v>
      </c>
      <c r="EC43" s="161">
        <f t="shared" si="159"/>
        <v>1</v>
      </c>
      <c r="ED43" s="161">
        <f t="shared" si="159"/>
        <v>1</v>
      </c>
      <c r="EE43" s="161">
        <f t="shared" si="159"/>
        <v>1</v>
      </c>
      <c r="EF43" s="161">
        <f t="shared" si="159"/>
        <v>1</v>
      </c>
      <c r="EG43" s="161">
        <f t="shared" si="159"/>
        <v>1</v>
      </c>
      <c r="EH43" s="161">
        <f t="shared" si="159"/>
        <v>1</v>
      </c>
      <c r="EI43" s="161">
        <f t="shared" si="159"/>
        <v>1</v>
      </c>
      <c r="EJ43" s="161">
        <f t="shared" si="159"/>
        <v>1</v>
      </c>
      <c r="EK43" s="161">
        <f t="shared" si="159"/>
        <v>1</v>
      </c>
      <c r="EL43" s="161">
        <f t="shared" si="159"/>
        <v>1</v>
      </c>
    </row>
    <row r="44" spans="2:142" ht="28.8" hidden="1" outlineLevel="2" x14ac:dyDescent="0.3">
      <c r="B44" s="29"/>
      <c r="C44" s="30"/>
      <c r="D44" s="30"/>
      <c r="E44" s="52" t="s">
        <v>49</v>
      </c>
      <c r="F44" s="33">
        <v>50</v>
      </c>
      <c r="G44" s="162">
        <v>45611</v>
      </c>
      <c r="H44" s="162">
        <v>45708</v>
      </c>
      <c r="I44" s="33">
        <f>+F44</f>
        <v>50</v>
      </c>
      <c r="J44" s="35">
        <v>0.25</v>
      </c>
      <c r="K44" s="53"/>
      <c r="L44" s="127">
        <v>0</v>
      </c>
      <c r="M44" s="127">
        <v>0</v>
      </c>
      <c r="N44" s="127">
        <v>0</v>
      </c>
      <c r="O44" s="127">
        <v>0</v>
      </c>
      <c r="P44" s="127">
        <v>0</v>
      </c>
      <c r="Q44" s="127">
        <v>0</v>
      </c>
      <c r="R44" s="127">
        <v>0</v>
      </c>
      <c r="S44" s="127">
        <v>0</v>
      </c>
      <c r="T44" s="127">
        <v>0</v>
      </c>
      <c r="U44" s="127">
        <v>0</v>
      </c>
      <c r="V44" s="127">
        <v>0</v>
      </c>
      <c r="W44" s="127">
        <v>0</v>
      </c>
      <c r="X44" s="127">
        <v>0</v>
      </c>
      <c r="Y44" s="127">
        <v>0</v>
      </c>
      <c r="Z44" s="127">
        <v>0</v>
      </c>
      <c r="AA44" s="127">
        <v>0</v>
      </c>
      <c r="AB44" s="127">
        <v>0</v>
      </c>
      <c r="AC44" s="127">
        <v>0</v>
      </c>
      <c r="AD44" s="127">
        <v>1</v>
      </c>
      <c r="AE44" s="127">
        <v>1</v>
      </c>
      <c r="AF44" s="127">
        <v>1</v>
      </c>
      <c r="AG44" s="127">
        <v>1</v>
      </c>
      <c r="AH44" s="127">
        <v>1</v>
      </c>
      <c r="AI44" s="127">
        <v>1</v>
      </c>
      <c r="AJ44" s="127">
        <v>1</v>
      </c>
      <c r="AK44" s="127">
        <v>1</v>
      </c>
      <c r="AL44" s="127">
        <v>1</v>
      </c>
      <c r="AM44" s="127">
        <v>1</v>
      </c>
      <c r="AN44" s="127">
        <v>1</v>
      </c>
      <c r="AO44" s="127">
        <v>1</v>
      </c>
      <c r="AP44" s="127">
        <v>1</v>
      </c>
      <c r="AQ44" s="127">
        <v>1</v>
      </c>
      <c r="AR44" s="127">
        <v>1</v>
      </c>
      <c r="AS44" s="127">
        <v>1</v>
      </c>
      <c r="AT44" s="127">
        <v>1</v>
      </c>
      <c r="AU44" s="127">
        <v>1</v>
      </c>
      <c r="AV44" s="127">
        <v>1</v>
      </c>
      <c r="AW44" s="127">
        <v>1</v>
      </c>
      <c r="AX44" s="127">
        <v>1</v>
      </c>
      <c r="AY44" s="127">
        <v>1</v>
      </c>
      <c r="AZ44" s="127">
        <v>1</v>
      </c>
      <c r="BA44" s="127">
        <v>1</v>
      </c>
      <c r="BB44" s="127">
        <v>1</v>
      </c>
      <c r="BC44" s="127">
        <v>1</v>
      </c>
      <c r="BD44" s="127">
        <v>1</v>
      </c>
      <c r="BE44" s="127">
        <v>1</v>
      </c>
      <c r="BF44" s="127">
        <v>1</v>
      </c>
      <c r="BG44" s="127">
        <v>1</v>
      </c>
      <c r="BH44" s="127">
        <v>1</v>
      </c>
      <c r="BI44" s="127">
        <v>1</v>
      </c>
      <c r="BJ44" s="127">
        <v>1</v>
      </c>
      <c r="BK44" s="127">
        <v>1</v>
      </c>
      <c r="BL44" s="127">
        <v>1</v>
      </c>
      <c r="BM44" s="127">
        <v>1</v>
      </c>
      <c r="BN44" s="127">
        <v>1</v>
      </c>
      <c r="BO44" s="127">
        <v>1</v>
      </c>
      <c r="BP44" s="127">
        <v>1</v>
      </c>
      <c r="BQ44" s="127">
        <v>1</v>
      </c>
      <c r="BR44" s="163">
        <v>1</v>
      </c>
      <c r="BS44" s="163">
        <v>1</v>
      </c>
      <c r="BT44" s="163">
        <v>1</v>
      </c>
      <c r="BU44" s="163">
        <v>1</v>
      </c>
      <c r="BV44" s="163">
        <v>1</v>
      </c>
      <c r="BW44" s="163">
        <v>1</v>
      </c>
      <c r="BX44" s="163">
        <v>1</v>
      </c>
      <c r="BY44" s="163">
        <v>1</v>
      </c>
      <c r="BZ44" s="163">
        <v>1</v>
      </c>
      <c r="CA44" s="163">
        <v>1</v>
      </c>
      <c r="CB44" s="163">
        <v>1</v>
      </c>
      <c r="CC44" s="163">
        <v>1</v>
      </c>
      <c r="CD44" s="163">
        <v>1</v>
      </c>
      <c r="CE44" s="163">
        <v>1</v>
      </c>
      <c r="CF44" s="163">
        <v>1</v>
      </c>
      <c r="CG44" s="163">
        <v>1</v>
      </c>
      <c r="CH44" s="163">
        <v>1</v>
      </c>
      <c r="CI44" s="163">
        <v>1</v>
      </c>
      <c r="CJ44" s="163">
        <v>1</v>
      </c>
      <c r="CK44" s="163">
        <v>1</v>
      </c>
      <c r="CL44" s="163">
        <v>1</v>
      </c>
      <c r="CM44" s="163">
        <v>1</v>
      </c>
      <c r="CN44" s="163">
        <v>1</v>
      </c>
      <c r="CO44" s="163">
        <v>1</v>
      </c>
      <c r="CP44" s="163">
        <v>1</v>
      </c>
      <c r="CQ44" s="163">
        <v>1</v>
      </c>
      <c r="CR44" s="163">
        <v>1</v>
      </c>
      <c r="CS44" s="163">
        <v>1</v>
      </c>
      <c r="CT44" s="163">
        <v>1</v>
      </c>
      <c r="CU44" s="163">
        <v>1</v>
      </c>
      <c r="CV44" s="163">
        <v>1</v>
      </c>
      <c r="CW44" s="163">
        <v>1</v>
      </c>
      <c r="CX44" s="163">
        <v>1</v>
      </c>
      <c r="CY44" s="163">
        <v>1</v>
      </c>
      <c r="CZ44" s="163">
        <v>1</v>
      </c>
      <c r="DA44" s="163">
        <v>1</v>
      </c>
      <c r="DB44" s="163">
        <v>1</v>
      </c>
      <c r="DC44" s="163">
        <v>1</v>
      </c>
      <c r="DD44" s="163">
        <v>1</v>
      </c>
      <c r="DE44" s="163">
        <v>1</v>
      </c>
      <c r="DF44" s="163">
        <v>1</v>
      </c>
      <c r="DG44" s="163">
        <v>1</v>
      </c>
      <c r="DH44" s="347">
        <v>1</v>
      </c>
      <c r="DI44" s="163">
        <v>1</v>
      </c>
      <c r="DJ44" s="163">
        <v>1</v>
      </c>
      <c r="DK44" s="163">
        <v>1</v>
      </c>
      <c r="DL44" s="163">
        <v>1</v>
      </c>
      <c r="DM44" s="163">
        <v>1</v>
      </c>
      <c r="DN44" s="163">
        <v>1</v>
      </c>
      <c r="DO44" s="163">
        <v>1</v>
      </c>
      <c r="DP44" s="163">
        <v>1</v>
      </c>
      <c r="DQ44" s="163">
        <v>1</v>
      </c>
      <c r="DR44" s="163">
        <v>1</v>
      </c>
      <c r="DS44" s="163">
        <v>1</v>
      </c>
      <c r="DT44" s="163">
        <v>1</v>
      </c>
      <c r="DU44" s="163">
        <v>1</v>
      </c>
      <c r="DV44" s="163">
        <v>1</v>
      </c>
      <c r="DW44" s="163">
        <v>1</v>
      </c>
      <c r="DX44" s="163">
        <v>1</v>
      </c>
      <c r="DY44" s="163">
        <v>1</v>
      </c>
      <c r="DZ44" s="163">
        <v>1</v>
      </c>
      <c r="EA44" s="163">
        <v>1</v>
      </c>
      <c r="EB44" s="163">
        <v>1</v>
      </c>
      <c r="EC44" s="163">
        <v>1</v>
      </c>
      <c r="ED44" s="163">
        <v>1</v>
      </c>
      <c r="EE44" s="163">
        <v>1</v>
      </c>
      <c r="EF44" s="163">
        <v>1</v>
      </c>
      <c r="EG44" s="163">
        <v>1</v>
      </c>
      <c r="EH44" s="163">
        <v>1</v>
      </c>
      <c r="EI44" s="163">
        <v>1</v>
      </c>
      <c r="EJ44" s="163">
        <v>1</v>
      </c>
      <c r="EK44" s="163">
        <v>1</v>
      </c>
      <c r="EL44" s="163">
        <v>1</v>
      </c>
    </row>
    <row r="45" spans="2:142" hidden="1" outlineLevel="2" x14ac:dyDescent="0.3">
      <c r="B45" s="29"/>
      <c r="C45" s="30"/>
      <c r="D45" s="30"/>
      <c r="E45" s="52" t="s">
        <v>50</v>
      </c>
      <c r="F45" s="33">
        <v>50</v>
      </c>
      <c r="G45" s="162">
        <v>45674</v>
      </c>
      <c r="H45" s="162">
        <v>45748</v>
      </c>
      <c r="I45" s="33">
        <f>+F45</f>
        <v>50</v>
      </c>
      <c r="J45" s="35">
        <v>0.25</v>
      </c>
      <c r="K45" s="53"/>
      <c r="L45" s="127">
        <v>0</v>
      </c>
      <c r="M45" s="127">
        <v>0</v>
      </c>
      <c r="N45" s="127">
        <v>0</v>
      </c>
      <c r="O45" s="127">
        <v>0</v>
      </c>
      <c r="P45" s="127">
        <v>0</v>
      </c>
      <c r="Q45" s="127">
        <v>0</v>
      </c>
      <c r="R45" s="127">
        <v>0</v>
      </c>
      <c r="S45" s="127">
        <v>0</v>
      </c>
      <c r="T45" s="127">
        <v>0</v>
      </c>
      <c r="U45" s="127">
        <v>0</v>
      </c>
      <c r="V45" s="127">
        <v>0</v>
      </c>
      <c r="W45" s="127">
        <v>0</v>
      </c>
      <c r="X45" s="127">
        <v>0</v>
      </c>
      <c r="Y45" s="127">
        <v>0</v>
      </c>
      <c r="Z45" s="127">
        <v>0</v>
      </c>
      <c r="AA45" s="127">
        <v>0</v>
      </c>
      <c r="AB45" s="127">
        <v>0</v>
      </c>
      <c r="AC45" s="127">
        <v>0</v>
      </c>
      <c r="AD45" s="127">
        <v>0.7</v>
      </c>
      <c r="AE45" s="127">
        <v>0.7</v>
      </c>
      <c r="AF45" s="127">
        <v>0.70299999999999996</v>
      </c>
      <c r="AG45" s="127">
        <v>0.70599999999999996</v>
      </c>
      <c r="AH45" s="127">
        <v>0.70899999999999996</v>
      </c>
      <c r="AI45" s="127">
        <v>0.78999999999999992</v>
      </c>
      <c r="AJ45" s="127">
        <v>0.78999999999999992</v>
      </c>
      <c r="AK45" s="127">
        <v>0.78999999999999992</v>
      </c>
      <c r="AL45" s="127">
        <v>0.78999999999999992</v>
      </c>
      <c r="AM45" s="127">
        <v>0.78999999999999992</v>
      </c>
      <c r="AN45" s="127">
        <v>0.78999999999999992</v>
      </c>
      <c r="AO45" s="127">
        <v>0.78999999999999992</v>
      </c>
      <c r="AP45" s="127">
        <v>0.80619999999999992</v>
      </c>
      <c r="AQ45" s="127">
        <v>0.82239999999999991</v>
      </c>
      <c r="AR45" s="127">
        <v>0.8385999999999999</v>
      </c>
      <c r="AS45" s="127">
        <v>0.85479999999999989</v>
      </c>
      <c r="AT45" s="127">
        <v>0.87099999999999989</v>
      </c>
      <c r="AU45" s="127">
        <v>0.88719999999999988</v>
      </c>
      <c r="AV45" s="127">
        <v>0.90339999999999987</v>
      </c>
      <c r="AW45" s="127">
        <v>0.91959999999999986</v>
      </c>
      <c r="AX45" s="127">
        <v>0.93579999999999985</v>
      </c>
      <c r="AY45" s="127">
        <v>0.95199999999999985</v>
      </c>
      <c r="AZ45" s="127">
        <v>0.96819999999999984</v>
      </c>
      <c r="BA45" s="127">
        <v>0.98439999999999983</v>
      </c>
      <c r="BB45" s="127">
        <v>1</v>
      </c>
      <c r="BC45" s="127">
        <v>1</v>
      </c>
      <c r="BD45" s="127">
        <v>1</v>
      </c>
      <c r="BE45" s="127">
        <v>1</v>
      </c>
      <c r="BF45" s="127">
        <v>1</v>
      </c>
      <c r="BG45" s="127">
        <v>1</v>
      </c>
      <c r="BH45" s="127">
        <v>1</v>
      </c>
      <c r="BI45" s="127">
        <v>1</v>
      </c>
      <c r="BJ45" s="127">
        <v>1</v>
      </c>
      <c r="BK45" s="127">
        <v>1</v>
      </c>
      <c r="BL45" s="127">
        <v>1</v>
      </c>
      <c r="BM45" s="127">
        <v>1</v>
      </c>
      <c r="BN45" s="127">
        <v>1</v>
      </c>
      <c r="BO45" s="127">
        <v>1</v>
      </c>
      <c r="BP45" s="127">
        <v>1</v>
      </c>
      <c r="BQ45" s="127">
        <v>1</v>
      </c>
      <c r="BR45" s="163">
        <v>1</v>
      </c>
      <c r="BS45" s="163">
        <v>1</v>
      </c>
      <c r="BT45" s="163">
        <v>1</v>
      </c>
      <c r="BU45" s="163">
        <v>1</v>
      </c>
      <c r="BV45" s="163">
        <v>1</v>
      </c>
      <c r="BW45" s="163">
        <v>1</v>
      </c>
      <c r="BX45" s="163">
        <v>1</v>
      </c>
      <c r="BY45" s="163">
        <v>1</v>
      </c>
      <c r="BZ45" s="163">
        <v>1</v>
      </c>
      <c r="CA45" s="163">
        <v>1</v>
      </c>
      <c r="CB45" s="163">
        <v>1</v>
      </c>
      <c r="CC45" s="163">
        <v>1</v>
      </c>
      <c r="CD45" s="163">
        <v>1</v>
      </c>
      <c r="CE45" s="163">
        <v>1</v>
      </c>
      <c r="CF45" s="163">
        <v>1</v>
      </c>
      <c r="CG45" s="163">
        <v>1</v>
      </c>
      <c r="CH45" s="163">
        <v>1</v>
      </c>
      <c r="CI45" s="163">
        <v>1</v>
      </c>
      <c r="CJ45" s="163">
        <v>1</v>
      </c>
      <c r="CK45" s="163">
        <v>1</v>
      </c>
      <c r="CL45" s="163">
        <v>1</v>
      </c>
      <c r="CM45" s="163">
        <v>1</v>
      </c>
      <c r="CN45" s="163">
        <v>1</v>
      </c>
      <c r="CO45" s="163">
        <v>1</v>
      </c>
      <c r="CP45" s="163">
        <v>1</v>
      </c>
      <c r="CQ45" s="163">
        <v>1</v>
      </c>
      <c r="CR45" s="163">
        <v>1</v>
      </c>
      <c r="CS45" s="163">
        <v>1</v>
      </c>
      <c r="CT45" s="163">
        <v>1</v>
      </c>
      <c r="CU45" s="163">
        <v>1</v>
      </c>
      <c r="CV45" s="163">
        <v>1</v>
      </c>
      <c r="CW45" s="163">
        <v>1</v>
      </c>
      <c r="CX45" s="163">
        <v>1</v>
      </c>
      <c r="CY45" s="163">
        <v>1</v>
      </c>
      <c r="CZ45" s="163">
        <v>1</v>
      </c>
      <c r="DA45" s="163">
        <v>1</v>
      </c>
      <c r="DB45" s="163">
        <v>1</v>
      </c>
      <c r="DC45" s="163">
        <v>1</v>
      </c>
      <c r="DD45" s="163">
        <v>1</v>
      </c>
      <c r="DE45" s="163">
        <v>1</v>
      </c>
      <c r="DF45" s="163">
        <v>1</v>
      </c>
      <c r="DG45" s="163">
        <v>1</v>
      </c>
      <c r="DH45" s="347">
        <v>1</v>
      </c>
      <c r="DI45" s="163">
        <v>1</v>
      </c>
      <c r="DJ45" s="163">
        <v>1</v>
      </c>
      <c r="DK45" s="163">
        <v>1</v>
      </c>
      <c r="DL45" s="163">
        <v>1</v>
      </c>
      <c r="DM45" s="163">
        <v>1</v>
      </c>
      <c r="DN45" s="163">
        <v>1</v>
      </c>
      <c r="DO45" s="163">
        <v>1</v>
      </c>
      <c r="DP45" s="163">
        <v>1</v>
      </c>
      <c r="DQ45" s="163">
        <v>1</v>
      </c>
      <c r="DR45" s="163">
        <v>1</v>
      </c>
      <c r="DS45" s="163">
        <v>1</v>
      </c>
      <c r="DT45" s="163">
        <v>1</v>
      </c>
      <c r="DU45" s="163">
        <v>1</v>
      </c>
      <c r="DV45" s="163">
        <v>1</v>
      </c>
      <c r="DW45" s="163">
        <v>1</v>
      </c>
      <c r="DX45" s="163">
        <v>1</v>
      </c>
      <c r="DY45" s="163">
        <v>1</v>
      </c>
      <c r="DZ45" s="163">
        <v>1</v>
      </c>
      <c r="EA45" s="163">
        <v>1</v>
      </c>
      <c r="EB45" s="163">
        <v>1</v>
      </c>
      <c r="EC45" s="163">
        <v>1</v>
      </c>
      <c r="ED45" s="163">
        <v>1</v>
      </c>
      <c r="EE45" s="163">
        <v>1</v>
      </c>
      <c r="EF45" s="163">
        <v>1</v>
      </c>
      <c r="EG45" s="163">
        <v>1</v>
      </c>
      <c r="EH45" s="163">
        <v>1</v>
      </c>
      <c r="EI45" s="163">
        <v>1</v>
      </c>
      <c r="EJ45" s="163">
        <v>1</v>
      </c>
      <c r="EK45" s="163">
        <v>1</v>
      </c>
      <c r="EL45" s="163">
        <v>1</v>
      </c>
    </row>
    <row r="46" spans="2:142" ht="28.8" hidden="1" outlineLevel="2" x14ac:dyDescent="0.3">
      <c r="B46" s="29"/>
      <c r="C46" s="30"/>
      <c r="D46" s="30"/>
      <c r="E46" s="52" t="s">
        <v>51</v>
      </c>
      <c r="F46" s="33">
        <v>40</v>
      </c>
      <c r="G46" s="162">
        <v>45709</v>
      </c>
      <c r="H46" s="162">
        <v>45771</v>
      </c>
      <c r="I46" s="33">
        <f>+F46</f>
        <v>40</v>
      </c>
      <c r="J46" s="35">
        <v>0.2</v>
      </c>
      <c r="K46" s="53"/>
      <c r="L46" s="127">
        <v>0</v>
      </c>
      <c r="M46" s="127">
        <v>0</v>
      </c>
      <c r="N46" s="127">
        <v>0</v>
      </c>
      <c r="O46" s="127">
        <v>0</v>
      </c>
      <c r="P46" s="127">
        <v>0</v>
      </c>
      <c r="Q46" s="127">
        <v>0</v>
      </c>
      <c r="R46" s="127">
        <v>0</v>
      </c>
      <c r="S46" s="127">
        <v>0</v>
      </c>
      <c r="T46" s="127">
        <v>0</v>
      </c>
      <c r="U46" s="127">
        <v>0</v>
      </c>
      <c r="V46" s="127">
        <v>0</v>
      </c>
      <c r="W46" s="127">
        <v>0</v>
      </c>
      <c r="X46" s="127">
        <v>0</v>
      </c>
      <c r="Y46" s="127">
        <v>0</v>
      </c>
      <c r="Z46" s="127">
        <v>0</v>
      </c>
      <c r="AA46" s="127">
        <v>0</v>
      </c>
      <c r="AB46" s="127">
        <v>0</v>
      </c>
      <c r="AC46" s="127">
        <v>0</v>
      </c>
      <c r="AD46" s="127">
        <v>0</v>
      </c>
      <c r="AE46" s="127">
        <v>0</v>
      </c>
      <c r="AF46" s="127">
        <v>0</v>
      </c>
      <c r="AG46" s="127">
        <v>0.3</v>
      </c>
      <c r="AH46" s="127">
        <v>0.5</v>
      </c>
      <c r="AI46" s="127">
        <v>0.55000000000000004</v>
      </c>
      <c r="AJ46" s="127">
        <v>0.55000000000000004</v>
      </c>
      <c r="AK46" s="127">
        <v>0.55000000000000004</v>
      </c>
      <c r="AL46" s="127">
        <v>0.55000000000000004</v>
      </c>
      <c r="AM46" s="127">
        <v>0.55000000000000004</v>
      </c>
      <c r="AN46" s="127">
        <v>0.55000000000000004</v>
      </c>
      <c r="AO46" s="127">
        <v>0.55000000000000004</v>
      </c>
      <c r="AP46" s="127">
        <v>0.57650000000000001</v>
      </c>
      <c r="AQ46" s="127">
        <v>0.60299999999999998</v>
      </c>
      <c r="AR46" s="127">
        <v>0.62949999999999995</v>
      </c>
      <c r="AS46" s="127">
        <v>0.65599999999999992</v>
      </c>
      <c r="AT46" s="127">
        <v>0.68249999999999988</v>
      </c>
      <c r="AU46" s="127">
        <v>0.70899999999999985</v>
      </c>
      <c r="AV46" s="127">
        <v>0.73549999999999982</v>
      </c>
      <c r="AW46" s="127">
        <v>0.76199999999999979</v>
      </c>
      <c r="AX46" s="127">
        <v>0.78849999999999976</v>
      </c>
      <c r="AY46" s="127">
        <v>0.81499999999999972</v>
      </c>
      <c r="AZ46" s="127">
        <v>0.84149999999999969</v>
      </c>
      <c r="BA46" s="127">
        <v>0.86799999999999966</v>
      </c>
      <c r="BB46" s="127">
        <v>0.89449999999999963</v>
      </c>
      <c r="BC46" s="127">
        <v>0.9209999999999996</v>
      </c>
      <c r="BD46" s="127">
        <v>0.94749999999999956</v>
      </c>
      <c r="BE46" s="127">
        <v>0.97399999999999953</v>
      </c>
      <c r="BF46" s="127">
        <v>1</v>
      </c>
      <c r="BG46" s="127">
        <v>1</v>
      </c>
      <c r="BH46" s="127">
        <v>1</v>
      </c>
      <c r="BI46" s="127">
        <v>1</v>
      </c>
      <c r="BJ46" s="127">
        <v>1</v>
      </c>
      <c r="BK46" s="127">
        <v>1</v>
      </c>
      <c r="BL46" s="127">
        <v>1</v>
      </c>
      <c r="BM46" s="127">
        <v>1</v>
      </c>
      <c r="BN46" s="127">
        <v>1</v>
      </c>
      <c r="BO46" s="127">
        <v>1</v>
      </c>
      <c r="BP46" s="127">
        <v>1</v>
      </c>
      <c r="BQ46" s="127">
        <v>1</v>
      </c>
      <c r="BR46" s="163">
        <v>1</v>
      </c>
      <c r="BS46" s="163">
        <v>1</v>
      </c>
      <c r="BT46" s="163">
        <v>1</v>
      </c>
      <c r="BU46" s="163">
        <v>1</v>
      </c>
      <c r="BV46" s="163">
        <v>1</v>
      </c>
      <c r="BW46" s="163">
        <v>1</v>
      </c>
      <c r="BX46" s="163">
        <v>1</v>
      </c>
      <c r="BY46" s="163">
        <v>1</v>
      </c>
      <c r="BZ46" s="163">
        <v>1</v>
      </c>
      <c r="CA46" s="163">
        <v>1</v>
      </c>
      <c r="CB46" s="163">
        <v>1</v>
      </c>
      <c r="CC46" s="163">
        <v>1</v>
      </c>
      <c r="CD46" s="163">
        <v>1</v>
      </c>
      <c r="CE46" s="163">
        <v>1</v>
      </c>
      <c r="CF46" s="163">
        <v>1</v>
      </c>
      <c r="CG46" s="163">
        <v>1</v>
      </c>
      <c r="CH46" s="163">
        <v>1</v>
      </c>
      <c r="CI46" s="163">
        <v>1</v>
      </c>
      <c r="CJ46" s="163">
        <v>1</v>
      </c>
      <c r="CK46" s="163">
        <v>1</v>
      </c>
      <c r="CL46" s="163">
        <v>1</v>
      </c>
      <c r="CM46" s="163">
        <v>1</v>
      </c>
      <c r="CN46" s="163">
        <v>1</v>
      </c>
      <c r="CO46" s="163">
        <v>1</v>
      </c>
      <c r="CP46" s="163">
        <v>1</v>
      </c>
      <c r="CQ46" s="163">
        <v>1</v>
      </c>
      <c r="CR46" s="163">
        <v>1</v>
      </c>
      <c r="CS46" s="163">
        <v>1</v>
      </c>
      <c r="CT46" s="163">
        <v>1</v>
      </c>
      <c r="CU46" s="163">
        <v>1</v>
      </c>
      <c r="CV46" s="163">
        <v>1</v>
      </c>
      <c r="CW46" s="163">
        <v>1</v>
      </c>
      <c r="CX46" s="163">
        <v>1</v>
      </c>
      <c r="CY46" s="163">
        <v>1</v>
      </c>
      <c r="CZ46" s="163">
        <v>1</v>
      </c>
      <c r="DA46" s="163">
        <v>1</v>
      </c>
      <c r="DB46" s="163">
        <v>1</v>
      </c>
      <c r="DC46" s="163">
        <v>1</v>
      </c>
      <c r="DD46" s="163">
        <v>1</v>
      </c>
      <c r="DE46" s="163">
        <v>1</v>
      </c>
      <c r="DF46" s="163">
        <v>1</v>
      </c>
      <c r="DG46" s="163">
        <v>1</v>
      </c>
      <c r="DH46" s="347">
        <v>1</v>
      </c>
      <c r="DI46" s="163">
        <v>1</v>
      </c>
      <c r="DJ46" s="163">
        <v>1</v>
      </c>
      <c r="DK46" s="163">
        <v>1</v>
      </c>
      <c r="DL46" s="163">
        <v>1</v>
      </c>
      <c r="DM46" s="163">
        <v>1</v>
      </c>
      <c r="DN46" s="163">
        <v>1</v>
      </c>
      <c r="DO46" s="163">
        <v>1</v>
      </c>
      <c r="DP46" s="163">
        <v>1</v>
      </c>
      <c r="DQ46" s="163">
        <v>1</v>
      </c>
      <c r="DR46" s="163">
        <v>1</v>
      </c>
      <c r="DS46" s="163">
        <v>1</v>
      </c>
      <c r="DT46" s="163">
        <v>1</v>
      </c>
      <c r="DU46" s="163">
        <v>1</v>
      </c>
      <c r="DV46" s="163">
        <v>1</v>
      </c>
      <c r="DW46" s="163">
        <v>1</v>
      </c>
      <c r="DX46" s="163">
        <v>1</v>
      </c>
      <c r="DY46" s="163">
        <v>1</v>
      </c>
      <c r="DZ46" s="163">
        <v>1</v>
      </c>
      <c r="EA46" s="163">
        <v>1</v>
      </c>
      <c r="EB46" s="163">
        <v>1</v>
      </c>
      <c r="EC46" s="163">
        <v>1</v>
      </c>
      <c r="ED46" s="163">
        <v>1</v>
      </c>
      <c r="EE46" s="163">
        <v>1</v>
      </c>
      <c r="EF46" s="163">
        <v>1</v>
      </c>
      <c r="EG46" s="163">
        <v>1</v>
      </c>
      <c r="EH46" s="163">
        <v>1</v>
      </c>
      <c r="EI46" s="163">
        <v>1</v>
      </c>
      <c r="EJ46" s="163">
        <v>1</v>
      </c>
      <c r="EK46" s="163">
        <v>1</v>
      </c>
      <c r="EL46" s="163">
        <v>1</v>
      </c>
    </row>
    <row r="47" spans="2:142" hidden="1" outlineLevel="2" x14ac:dyDescent="0.3">
      <c r="B47" s="29"/>
      <c r="C47" s="30"/>
      <c r="D47" s="30"/>
      <c r="E47" s="52" t="s">
        <v>52</v>
      </c>
      <c r="F47" s="33">
        <v>50</v>
      </c>
      <c r="G47" s="162">
        <v>45741</v>
      </c>
      <c r="H47" s="162">
        <v>45814</v>
      </c>
      <c r="I47" s="33">
        <f>+F47</f>
        <v>50</v>
      </c>
      <c r="J47" s="35">
        <v>0.3</v>
      </c>
      <c r="K47" s="53"/>
      <c r="L47" s="127">
        <v>0</v>
      </c>
      <c r="M47" s="127">
        <v>0</v>
      </c>
      <c r="N47" s="127">
        <v>0</v>
      </c>
      <c r="O47" s="127">
        <v>0</v>
      </c>
      <c r="P47" s="127">
        <v>0</v>
      </c>
      <c r="Q47" s="127">
        <v>0</v>
      </c>
      <c r="R47" s="127">
        <v>0</v>
      </c>
      <c r="S47" s="127">
        <v>0</v>
      </c>
      <c r="T47" s="127">
        <v>0</v>
      </c>
      <c r="U47" s="127">
        <v>0</v>
      </c>
      <c r="V47" s="127">
        <v>0</v>
      </c>
      <c r="W47" s="127">
        <v>0</v>
      </c>
      <c r="X47" s="127">
        <v>0</v>
      </c>
      <c r="Y47" s="127">
        <v>0</v>
      </c>
      <c r="Z47" s="127">
        <v>0</v>
      </c>
      <c r="AA47" s="127">
        <v>0</v>
      </c>
      <c r="AB47" s="127">
        <v>0</v>
      </c>
      <c r="AC47" s="127">
        <v>0</v>
      </c>
      <c r="AD47" s="127">
        <v>0</v>
      </c>
      <c r="AE47" s="127">
        <v>0</v>
      </c>
      <c r="AF47" s="127">
        <v>0</v>
      </c>
      <c r="AG47" s="127">
        <v>0</v>
      </c>
      <c r="AH47" s="127">
        <v>0</v>
      </c>
      <c r="AI47" s="127">
        <v>0</v>
      </c>
      <c r="AJ47" s="127">
        <v>0</v>
      </c>
      <c r="AK47" s="127">
        <v>0</v>
      </c>
      <c r="AL47" s="127">
        <v>0</v>
      </c>
      <c r="AM47" s="127">
        <v>0</v>
      </c>
      <c r="AN47" s="127">
        <v>0</v>
      </c>
      <c r="AO47" s="127">
        <v>0</v>
      </c>
      <c r="AP47" s="127">
        <v>0</v>
      </c>
      <c r="AQ47" s="127">
        <v>0</v>
      </c>
      <c r="AR47" s="127">
        <v>0</v>
      </c>
      <c r="AS47" s="127">
        <v>0</v>
      </c>
      <c r="AT47" s="127">
        <v>0</v>
      </c>
      <c r="AU47" s="127">
        <v>0</v>
      </c>
      <c r="AV47" s="127">
        <v>0</v>
      </c>
      <c r="AW47" s="127">
        <v>0</v>
      </c>
      <c r="AX47" s="127">
        <v>8.3299999999999999E-2</v>
      </c>
      <c r="AY47" s="127">
        <v>0.1666</v>
      </c>
      <c r="AZ47" s="127">
        <v>0.24990000000000001</v>
      </c>
      <c r="BA47" s="127">
        <v>0.3332</v>
      </c>
      <c r="BB47" s="127">
        <v>0.41649999999999998</v>
      </c>
      <c r="BC47" s="127">
        <v>0.49979999999999997</v>
      </c>
      <c r="BD47" s="127">
        <v>0.58309999999999995</v>
      </c>
      <c r="BE47" s="127">
        <v>0.66639999999999999</v>
      </c>
      <c r="BF47" s="127">
        <v>0.74970000000000003</v>
      </c>
      <c r="BG47" s="127">
        <v>0.83300000000000007</v>
      </c>
      <c r="BH47" s="127">
        <v>0.91630000000000011</v>
      </c>
      <c r="BI47" s="127">
        <v>0.99960000000000016</v>
      </c>
      <c r="BJ47" s="127">
        <v>1</v>
      </c>
      <c r="BK47" s="127">
        <v>1</v>
      </c>
      <c r="BL47" s="127">
        <v>1</v>
      </c>
      <c r="BM47" s="127">
        <v>1</v>
      </c>
      <c r="BN47" s="127">
        <v>1</v>
      </c>
      <c r="BO47" s="127">
        <v>1</v>
      </c>
      <c r="BP47" s="127">
        <v>1</v>
      </c>
      <c r="BQ47" s="127">
        <v>1</v>
      </c>
      <c r="BR47" s="163">
        <v>1</v>
      </c>
      <c r="BS47" s="163">
        <v>1</v>
      </c>
      <c r="BT47" s="163">
        <v>1</v>
      </c>
      <c r="BU47" s="163">
        <v>1</v>
      </c>
      <c r="BV47" s="163">
        <v>1</v>
      </c>
      <c r="BW47" s="163">
        <v>1</v>
      </c>
      <c r="BX47" s="163">
        <v>1</v>
      </c>
      <c r="BY47" s="163">
        <v>1</v>
      </c>
      <c r="BZ47" s="163">
        <v>1</v>
      </c>
      <c r="CA47" s="163">
        <v>1</v>
      </c>
      <c r="CB47" s="163">
        <v>1</v>
      </c>
      <c r="CC47" s="163">
        <v>1</v>
      </c>
      <c r="CD47" s="163">
        <v>1</v>
      </c>
      <c r="CE47" s="163">
        <v>1</v>
      </c>
      <c r="CF47" s="163">
        <v>1</v>
      </c>
      <c r="CG47" s="163">
        <v>1</v>
      </c>
      <c r="CH47" s="163">
        <v>1</v>
      </c>
      <c r="CI47" s="163">
        <v>1</v>
      </c>
      <c r="CJ47" s="163">
        <v>1</v>
      </c>
      <c r="CK47" s="163">
        <v>1</v>
      </c>
      <c r="CL47" s="163">
        <v>1</v>
      </c>
      <c r="CM47" s="163">
        <v>1</v>
      </c>
      <c r="CN47" s="163">
        <v>1</v>
      </c>
      <c r="CO47" s="163">
        <v>1</v>
      </c>
      <c r="CP47" s="163">
        <v>1</v>
      </c>
      <c r="CQ47" s="163">
        <v>1</v>
      </c>
      <c r="CR47" s="163">
        <v>1</v>
      </c>
      <c r="CS47" s="163">
        <v>1</v>
      </c>
      <c r="CT47" s="163">
        <v>1</v>
      </c>
      <c r="CU47" s="163">
        <v>1</v>
      </c>
      <c r="CV47" s="163">
        <v>1</v>
      </c>
      <c r="CW47" s="163">
        <v>1</v>
      </c>
      <c r="CX47" s="163">
        <v>1</v>
      </c>
      <c r="CY47" s="163">
        <v>1</v>
      </c>
      <c r="CZ47" s="163">
        <v>1</v>
      </c>
      <c r="DA47" s="163">
        <v>1</v>
      </c>
      <c r="DB47" s="163">
        <v>1</v>
      </c>
      <c r="DC47" s="163">
        <v>1</v>
      </c>
      <c r="DD47" s="163">
        <v>1</v>
      </c>
      <c r="DE47" s="163">
        <v>1</v>
      </c>
      <c r="DF47" s="163">
        <v>1</v>
      </c>
      <c r="DG47" s="163">
        <v>1</v>
      </c>
      <c r="DH47" s="347">
        <v>1</v>
      </c>
      <c r="DI47" s="163">
        <v>1</v>
      </c>
      <c r="DJ47" s="163">
        <v>1</v>
      </c>
      <c r="DK47" s="163">
        <v>1</v>
      </c>
      <c r="DL47" s="163">
        <v>1</v>
      </c>
      <c r="DM47" s="163">
        <v>1</v>
      </c>
      <c r="DN47" s="163">
        <v>1</v>
      </c>
      <c r="DO47" s="163">
        <v>1</v>
      </c>
      <c r="DP47" s="163">
        <v>1</v>
      </c>
      <c r="DQ47" s="163">
        <v>1</v>
      </c>
      <c r="DR47" s="163">
        <v>1</v>
      </c>
      <c r="DS47" s="163">
        <v>1</v>
      </c>
      <c r="DT47" s="163">
        <v>1</v>
      </c>
      <c r="DU47" s="163">
        <v>1</v>
      </c>
      <c r="DV47" s="163">
        <v>1</v>
      </c>
      <c r="DW47" s="163">
        <v>1</v>
      </c>
      <c r="DX47" s="163">
        <v>1</v>
      </c>
      <c r="DY47" s="163">
        <v>1</v>
      </c>
      <c r="DZ47" s="163">
        <v>1</v>
      </c>
      <c r="EA47" s="163">
        <v>1</v>
      </c>
      <c r="EB47" s="163">
        <v>1</v>
      </c>
      <c r="EC47" s="163">
        <v>1</v>
      </c>
      <c r="ED47" s="163">
        <v>1</v>
      </c>
      <c r="EE47" s="163">
        <v>1</v>
      </c>
      <c r="EF47" s="163">
        <v>1</v>
      </c>
      <c r="EG47" s="163">
        <v>1</v>
      </c>
      <c r="EH47" s="163">
        <v>1</v>
      </c>
      <c r="EI47" s="163">
        <v>1</v>
      </c>
      <c r="EJ47" s="163">
        <v>1</v>
      </c>
      <c r="EK47" s="163">
        <v>1</v>
      </c>
      <c r="EL47" s="163">
        <v>1</v>
      </c>
    </row>
    <row r="48" spans="2:142" ht="15" hidden="1" outlineLevel="1" collapsed="1" x14ac:dyDescent="0.3">
      <c r="B48" s="22"/>
      <c r="C48" s="23"/>
      <c r="D48" s="23" t="s">
        <v>53</v>
      </c>
      <c r="E48" s="50"/>
      <c r="F48" s="26">
        <v>133</v>
      </c>
      <c r="G48" s="160">
        <v>45532</v>
      </c>
      <c r="H48" s="160">
        <v>45749</v>
      </c>
      <c r="I48" s="26">
        <f>+SUM(I49:I57)</f>
        <v>140</v>
      </c>
      <c r="J48" s="28">
        <v>7.2801604358898139E-2</v>
      </c>
      <c r="K48" s="51"/>
      <c r="L48" s="28">
        <f>+SUMPRODUCT($J$49:$J$57,L49:L57)</f>
        <v>0</v>
      </c>
      <c r="M48" s="28">
        <f t="shared" ref="M48:BT48" si="160">+SUMPRODUCT($J$49:$J$57,M49:M57)</f>
        <v>8.9782244556113901E-5</v>
      </c>
      <c r="N48" s="28">
        <f t="shared" si="160"/>
        <v>3.4065493765947249E-4</v>
      </c>
      <c r="O48" s="28">
        <f t="shared" si="160"/>
        <v>6.0837761026313287E-3</v>
      </c>
      <c r="P48" s="28">
        <f t="shared" si="160"/>
        <v>1.2120013402601904E-2</v>
      </c>
      <c r="Q48" s="28">
        <f t="shared" si="160"/>
        <v>1.5307135681225575E-2</v>
      </c>
      <c r="R48" s="28">
        <f t="shared" si="160"/>
        <v>2.4156681436018766E-2</v>
      </c>
      <c r="S48" s="28">
        <f t="shared" si="160"/>
        <v>4.8951612654904886E-2</v>
      </c>
      <c r="T48" s="28">
        <f t="shared" si="160"/>
        <v>0.15163488702576583</v>
      </c>
      <c r="U48" s="28">
        <f t="shared" si="160"/>
        <v>0.2055589098931892</v>
      </c>
      <c r="V48" s="28">
        <f t="shared" si="160"/>
        <v>0.26087559116829201</v>
      </c>
      <c r="W48" s="28">
        <f t="shared" si="160"/>
        <v>0.31279123912400825</v>
      </c>
      <c r="X48" s="28">
        <f t="shared" si="160"/>
        <v>0.33992570845934994</v>
      </c>
      <c r="Y48" s="28">
        <f t="shared" si="160"/>
        <v>0.38116119647991809</v>
      </c>
      <c r="Z48" s="28">
        <f t="shared" si="160"/>
        <v>0.43943596969782961</v>
      </c>
      <c r="AA48" s="28">
        <f t="shared" si="160"/>
        <v>0.49184367795914996</v>
      </c>
      <c r="AB48" s="28">
        <f t="shared" si="160"/>
        <v>0.54979051515237509</v>
      </c>
      <c r="AC48" s="28">
        <f t="shared" si="160"/>
        <v>0.6246579672111271</v>
      </c>
      <c r="AD48" s="28">
        <f t="shared" si="160"/>
        <v>0.67362614902930895</v>
      </c>
      <c r="AE48" s="28">
        <f t="shared" si="160"/>
        <v>0.75934528064396301</v>
      </c>
      <c r="AF48" s="28">
        <f t="shared" si="160"/>
        <v>0.79155546246214492</v>
      </c>
      <c r="AG48" s="28">
        <f t="shared" si="160"/>
        <v>0.81814528064396297</v>
      </c>
      <c r="AH48" s="28">
        <f t="shared" si="160"/>
        <v>0.8649675</v>
      </c>
      <c r="AI48" s="28">
        <f t="shared" si="160"/>
        <v>0.8649675</v>
      </c>
      <c r="AJ48" s="28">
        <f t="shared" si="160"/>
        <v>0.86764750000000002</v>
      </c>
      <c r="AK48" s="28">
        <f t="shared" si="160"/>
        <v>0.87552000000000008</v>
      </c>
      <c r="AL48" s="28">
        <f t="shared" si="160"/>
        <v>0.87552000000000008</v>
      </c>
      <c r="AM48" s="28">
        <f t="shared" si="160"/>
        <v>0.87552000000000008</v>
      </c>
      <c r="AN48" s="28">
        <f t="shared" si="160"/>
        <v>0.91678999999999999</v>
      </c>
      <c r="AO48" s="28">
        <f t="shared" si="160"/>
        <v>0.98980181818181823</v>
      </c>
      <c r="AP48" s="28">
        <f t="shared" si="160"/>
        <v>0.99114391818181824</v>
      </c>
      <c r="AQ48" s="28">
        <f t="shared" si="160"/>
        <v>0.99248601818181825</v>
      </c>
      <c r="AR48" s="28">
        <f t="shared" si="160"/>
        <v>0.99382811818181827</v>
      </c>
      <c r="AS48" s="28">
        <f t="shared" si="160"/>
        <v>0.99471461818181806</v>
      </c>
      <c r="AT48" s="28">
        <f t="shared" si="160"/>
        <v>0.9956078181818182</v>
      </c>
      <c r="AU48" s="28">
        <f t="shared" si="160"/>
        <v>0.99650101818181813</v>
      </c>
      <c r="AV48" s="28">
        <f t="shared" si="160"/>
        <v>0.99739421818181806</v>
      </c>
      <c r="AW48" s="28">
        <f t="shared" si="160"/>
        <v>0.99828741818181799</v>
      </c>
      <c r="AX48" s="28">
        <f t="shared" si="160"/>
        <v>0.99918061818181814</v>
      </c>
      <c r="AY48" s="28">
        <f t="shared" si="160"/>
        <v>1.0000738181818181</v>
      </c>
      <c r="AZ48" s="28">
        <f t="shared" si="160"/>
        <v>1</v>
      </c>
      <c r="BA48" s="28">
        <f t="shared" si="160"/>
        <v>1</v>
      </c>
      <c r="BB48" s="28">
        <f t="shared" si="160"/>
        <v>1</v>
      </c>
      <c r="BC48" s="28">
        <f t="shared" si="160"/>
        <v>1</v>
      </c>
      <c r="BD48" s="28">
        <f t="shared" si="160"/>
        <v>1</v>
      </c>
      <c r="BE48" s="28">
        <f t="shared" si="160"/>
        <v>1</v>
      </c>
      <c r="BF48" s="28">
        <f t="shared" si="160"/>
        <v>1</v>
      </c>
      <c r="BG48" s="28">
        <f t="shared" si="160"/>
        <v>1</v>
      </c>
      <c r="BH48" s="28">
        <f t="shared" si="160"/>
        <v>1</v>
      </c>
      <c r="BI48" s="28">
        <f t="shared" si="160"/>
        <v>1</v>
      </c>
      <c r="BJ48" s="28">
        <f t="shared" si="160"/>
        <v>1</v>
      </c>
      <c r="BK48" s="28">
        <f t="shared" si="160"/>
        <v>1</v>
      </c>
      <c r="BL48" s="28">
        <f t="shared" si="160"/>
        <v>1</v>
      </c>
      <c r="BM48" s="28">
        <f t="shared" si="160"/>
        <v>1</v>
      </c>
      <c r="BN48" s="28">
        <f t="shared" si="160"/>
        <v>1</v>
      </c>
      <c r="BO48" s="28">
        <f t="shared" si="160"/>
        <v>1</v>
      </c>
      <c r="BP48" s="28">
        <f t="shared" si="160"/>
        <v>1</v>
      </c>
      <c r="BQ48" s="28">
        <f t="shared" si="160"/>
        <v>1</v>
      </c>
      <c r="BR48" s="161">
        <f t="shared" si="160"/>
        <v>1</v>
      </c>
      <c r="BS48" s="161">
        <f t="shared" si="160"/>
        <v>1</v>
      </c>
      <c r="BT48" s="161">
        <f t="shared" si="160"/>
        <v>1</v>
      </c>
      <c r="BU48" s="161">
        <f t="shared" ref="BU48:CL48" si="161">+SUMPRODUCT($J$49:$J$57,BU49:BU57)</f>
        <v>1</v>
      </c>
      <c r="BV48" s="161">
        <f t="shared" si="161"/>
        <v>1</v>
      </c>
      <c r="BW48" s="161">
        <f t="shared" si="161"/>
        <v>1</v>
      </c>
      <c r="BX48" s="161">
        <f t="shared" si="161"/>
        <v>1</v>
      </c>
      <c r="BY48" s="161">
        <f t="shared" si="161"/>
        <v>1</v>
      </c>
      <c r="BZ48" s="161">
        <f t="shared" si="161"/>
        <v>1</v>
      </c>
      <c r="CA48" s="161">
        <f t="shared" si="161"/>
        <v>1</v>
      </c>
      <c r="CB48" s="161">
        <f t="shared" si="161"/>
        <v>1</v>
      </c>
      <c r="CC48" s="161">
        <f t="shared" si="161"/>
        <v>1</v>
      </c>
      <c r="CD48" s="161">
        <f t="shared" si="161"/>
        <v>1</v>
      </c>
      <c r="CE48" s="161">
        <f t="shared" si="161"/>
        <v>1</v>
      </c>
      <c r="CF48" s="161">
        <f t="shared" si="161"/>
        <v>1</v>
      </c>
      <c r="CG48" s="161">
        <f t="shared" si="161"/>
        <v>1</v>
      </c>
      <c r="CH48" s="161">
        <f t="shared" si="161"/>
        <v>1</v>
      </c>
      <c r="CI48" s="161">
        <f t="shared" si="161"/>
        <v>1</v>
      </c>
      <c r="CJ48" s="161">
        <f t="shared" si="161"/>
        <v>1</v>
      </c>
      <c r="CK48" s="161">
        <f t="shared" si="161"/>
        <v>1</v>
      </c>
      <c r="CL48" s="161">
        <f t="shared" si="161"/>
        <v>1</v>
      </c>
      <c r="CM48" s="161">
        <f t="shared" ref="CM48:CN48" si="162">+SUMPRODUCT($J$49:$J$57,CM49:CM57)</f>
        <v>1</v>
      </c>
      <c r="CN48" s="161">
        <f t="shared" si="162"/>
        <v>1</v>
      </c>
      <c r="CO48" s="161">
        <f t="shared" ref="CO48" si="163">+SUMPRODUCT($J$49:$J$57,CO49:CO57)</f>
        <v>1</v>
      </c>
      <c r="CP48" s="161">
        <f t="shared" ref="CP48:CV48" si="164">+SUMPRODUCT($J$49:$J$57,CP49:CP57)</f>
        <v>1</v>
      </c>
      <c r="CQ48" s="161">
        <f t="shared" si="164"/>
        <v>1</v>
      </c>
      <c r="CR48" s="161">
        <f t="shared" si="164"/>
        <v>1</v>
      </c>
      <c r="CS48" s="161">
        <f t="shared" si="164"/>
        <v>1</v>
      </c>
      <c r="CT48" s="161">
        <f t="shared" si="164"/>
        <v>1</v>
      </c>
      <c r="CU48" s="161">
        <f t="shared" si="164"/>
        <v>1</v>
      </c>
      <c r="CV48" s="161">
        <f t="shared" si="164"/>
        <v>1</v>
      </c>
      <c r="CW48" s="161">
        <f t="shared" ref="CW48:CY48" si="165">+SUMPRODUCT($J$49:$J$57,CW49:CW57)</f>
        <v>1</v>
      </c>
      <c r="CX48" s="161">
        <f t="shared" si="165"/>
        <v>1</v>
      </c>
      <c r="CY48" s="161">
        <f t="shared" si="165"/>
        <v>1</v>
      </c>
      <c r="CZ48" s="161">
        <f t="shared" ref="CZ48:DA48" si="166">+SUMPRODUCT($J$49:$J$57,CZ49:CZ57)</f>
        <v>1</v>
      </c>
      <c r="DA48" s="161">
        <f t="shared" si="166"/>
        <v>1</v>
      </c>
      <c r="DB48" s="161">
        <f t="shared" ref="DB48:DC48" si="167">+SUMPRODUCT($J$49:$J$57,DB49:DB57)</f>
        <v>1</v>
      </c>
      <c r="DC48" s="161">
        <f t="shared" si="167"/>
        <v>1</v>
      </c>
      <c r="DD48" s="161">
        <f t="shared" ref="DD48:DE48" si="168">+SUMPRODUCT($J$49:$J$57,DD49:DD57)</f>
        <v>1</v>
      </c>
      <c r="DE48" s="161">
        <f t="shared" si="168"/>
        <v>1</v>
      </c>
      <c r="DF48" s="161">
        <f t="shared" ref="DF48:DG48" si="169">+SUMPRODUCT($J$49:$J$57,DF49:DF57)</f>
        <v>1</v>
      </c>
      <c r="DG48" s="161">
        <f t="shared" si="169"/>
        <v>1</v>
      </c>
      <c r="DH48" s="346">
        <f t="shared" ref="DH48:EL48" si="170">+SUMPRODUCT($J$49:$J$57,DH49:DH57)</f>
        <v>1</v>
      </c>
      <c r="DI48" s="161">
        <f t="shared" si="170"/>
        <v>1</v>
      </c>
      <c r="DJ48" s="161">
        <f t="shared" si="170"/>
        <v>1</v>
      </c>
      <c r="DK48" s="161">
        <f t="shared" si="170"/>
        <v>1</v>
      </c>
      <c r="DL48" s="161">
        <f t="shared" si="170"/>
        <v>1</v>
      </c>
      <c r="DM48" s="161">
        <f t="shared" si="170"/>
        <v>1</v>
      </c>
      <c r="DN48" s="161">
        <f t="shared" si="170"/>
        <v>1</v>
      </c>
      <c r="DO48" s="161">
        <f t="shared" si="170"/>
        <v>1</v>
      </c>
      <c r="DP48" s="161">
        <f t="shared" si="170"/>
        <v>1</v>
      </c>
      <c r="DQ48" s="161">
        <f t="shared" si="170"/>
        <v>1</v>
      </c>
      <c r="DR48" s="161">
        <f t="shared" si="170"/>
        <v>1</v>
      </c>
      <c r="DS48" s="161">
        <f t="shared" si="170"/>
        <v>1</v>
      </c>
      <c r="DT48" s="161">
        <f t="shared" si="170"/>
        <v>1</v>
      </c>
      <c r="DU48" s="161">
        <f t="shared" si="170"/>
        <v>1</v>
      </c>
      <c r="DV48" s="161">
        <f t="shared" si="170"/>
        <v>1</v>
      </c>
      <c r="DW48" s="161">
        <f t="shared" si="170"/>
        <v>1</v>
      </c>
      <c r="DX48" s="161">
        <f t="shared" si="170"/>
        <v>1</v>
      </c>
      <c r="DY48" s="161">
        <f t="shared" si="170"/>
        <v>1</v>
      </c>
      <c r="DZ48" s="161">
        <f t="shared" si="170"/>
        <v>1</v>
      </c>
      <c r="EA48" s="161">
        <f t="shared" si="170"/>
        <v>1</v>
      </c>
      <c r="EB48" s="161">
        <f t="shared" si="170"/>
        <v>1</v>
      </c>
      <c r="EC48" s="161">
        <f t="shared" si="170"/>
        <v>1</v>
      </c>
      <c r="ED48" s="161">
        <f t="shared" si="170"/>
        <v>1</v>
      </c>
      <c r="EE48" s="161">
        <f t="shared" si="170"/>
        <v>1</v>
      </c>
      <c r="EF48" s="161">
        <f t="shared" si="170"/>
        <v>1</v>
      </c>
      <c r="EG48" s="161">
        <f t="shared" si="170"/>
        <v>1</v>
      </c>
      <c r="EH48" s="161">
        <f t="shared" si="170"/>
        <v>1</v>
      </c>
      <c r="EI48" s="161">
        <f t="shared" si="170"/>
        <v>1</v>
      </c>
      <c r="EJ48" s="161">
        <f t="shared" si="170"/>
        <v>1</v>
      </c>
      <c r="EK48" s="161">
        <f t="shared" si="170"/>
        <v>1</v>
      </c>
      <c r="EL48" s="161">
        <f t="shared" si="170"/>
        <v>1</v>
      </c>
    </row>
    <row r="49" spans="2:142" hidden="1" outlineLevel="2" x14ac:dyDescent="0.3">
      <c r="B49" s="29"/>
      <c r="C49" s="30"/>
      <c r="D49" s="30"/>
      <c r="E49" s="52" t="s">
        <v>54</v>
      </c>
      <c r="F49" s="33">
        <v>10</v>
      </c>
      <c r="G49" s="162">
        <v>45677</v>
      </c>
      <c r="H49" s="162">
        <v>45688</v>
      </c>
      <c r="I49" s="33">
        <f>+F49</f>
        <v>10</v>
      </c>
      <c r="J49" s="35">
        <v>0.13300000000000001</v>
      </c>
      <c r="K49" s="53"/>
      <c r="L49" s="127">
        <v>0</v>
      </c>
      <c r="M49" s="127">
        <v>0</v>
      </c>
      <c r="N49" s="127">
        <v>0</v>
      </c>
      <c r="O49" s="127">
        <v>0</v>
      </c>
      <c r="P49" s="127">
        <v>0</v>
      </c>
      <c r="Q49" s="127">
        <v>0</v>
      </c>
      <c r="R49" s="127">
        <v>0</v>
      </c>
      <c r="S49" s="127">
        <v>1.865671641791045E-2</v>
      </c>
      <c r="T49" s="127">
        <v>3.7313432835820899E-2</v>
      </c>
      <c r="U49" s="127">
        <v>5.5970149253731345E-2</v>
      </c>
      <c r="V49" s="127">
        <v>7.4626865671641798E-2</v>
      </c>
      <c r="W49" s="127">
        <v>9.3283582089552244E-2</v>
      </c>
      <c r="X49" s="127">
        <v>0.11194029850746269</v>
      </c>
      <c r="Y49" s="127">
        <v>0.13059701492537312</v>
      </c>
      <c r="Z49" s="127">
        <v>0.13059701492537312</v>
      </c>
      <c r="AA49" s="127">
        <v>0.13059701492537312</v>
      </c>
      <c r="AB49" s="127">
        <v>0.13059701492537312</v>
      </c>
      <c r="AC49" s="127">
        <v>0.44402985074626866</v>
      </c>
      <c r="AD49" s="127">
        <v>0.59402985074626868</v>
      </c>
      <c r="AE49" s="127">
        <v>0.90671641791044788</v>
      </c>
      <c r="AF49" s="127">
        <v>0.90671641791044788</v>
      </c>
      <c r="AG49" s="127">
        <v>0.90671641791044788</v>
      </c>
      <c r="AH49" s="127">
        <v>1</v>
      </c>
      <c r="AI49" s="127">
        <v>1</v>
      </c>
      <c r="AJ49" s="127">
        <v>1</v>
      </c>
      <c r="AK49" s="127">
        <v>1</v>
      </c>
      <c r="AL49" s="127">
        <v>1</v>
      </c>
      <c r="AM49" s="127">
        <v>1</v>
      </c>
      <c r="AN49" s="127">
        <v>1</v>
      </c>
      <c r="AO49" s="127">
        <v>1</v>
      </c>
      <c r="AP49" s="127">
        <v>1</v>
      </c>
      <c r="AQ49" s="127">
        <v>1</v>
      </c>
      <c r="AR49" s="127">
        <v>1</v>
      </c>
      <c r="AS49" s="127">
        <v>1</v>
      </c>
      <c r="AT49" s="127">
        <v>1</v>
      </c>
      <c r="AU49" s="127">
        <v>1</v>
      </c>
      <c r="AV49" s="127">
        <v>1</v>
      </c>
      <c r="AW49" s="127">
        <v>1</v>
      </c>
      <c r="AX49" s="127">
        <v>1</v>
      </c>
      <c r="AY49" s="127">
        <v>1</v>
      </c>
      <c r="AZ49" s="127">
        <v>1</v>
      </c>
      <c r="BA49" s="127">
        <v>1</v>
      </c>
      <c r="BB49" s="127">
        <v>1</v>
      </c>
      <c r="BC49" s="127">
        <v>1</v>
      </c>
      <c r="BD49" s="127">
        <v>1</v>
      </c>
      <c r="BE49" s="127">
        <v>1</v>
      </c>
      <c r="BF49" s="127">
        <v>1</v>
      </c>
      <c r="BG49" s="127">
        <v>1</v>
      </c>
      <c r="BH49" s="127">
        <v>1</v>
      </c>
      <c r="BI49" s="127">
        <v>1</v>
      </c>
      <c r="BJ49" s="127">
        <v>1</v>
      </c>
      <c r="BK49" s="127">
        <v>1</v>
      </c>
      <c r="BL49" s="127">
        <v>1</v>
      </c>
      <c r="BM49" s="127">
        <v>1</v>
      </c>
      <c r="BN49" s="127">
        <v>1</v>
      </c>
      <c r="BO49" s="127">
        <v>1</v>
      </c>
      <c r="BP49" s="127">
        <v>1</v>
      </c>
      <c r="BQ49" s="127">
        <v>1</v>
      </c>
      <c r="BR49" s="163">
        <v>1</v>
      </c>
      <c r="BS49" s="163">
        <v>1</v>
      </c>
      <c r="BT49" s="163">
        <v>1</v>
      </c>
      <c r="BU49" s="163">
        <v>1</v>
      </c>
      <c r="BV49" s="163">
        <v>1</v>
      </c>
      <c r="BW49" s="163">
        <v>1</v>
      </c>
      <c r="BX49" s="163">
        <v>1</v>
      </c>
      <c r="BY49" s="163">
        <v>1</v>
      </c>
      <c r="BZ49" s="163">
        <v>1</v>
      </c>
      <c r="CA49" s="163">
        <v>1</v>
      </c>
      <c r="CB49" s="163">
        <v>1</v>
      </c>
      <c r="CC49" s="163">
        <v>1</v>
      </c>
      <c r="CD49" s="163">
        <v>1</v>
      </c>
      <c r="CE49" s="163">
        <v>1</v>
      </c>
      <c r="CF49" s="163">
        <v>1</v>
      </c>
      <c r="CG49" s="163">
        <v>1</v>
      </c>
      <c r="CH49" s="163">
        <v>1</v>
      </c>
      <c r="CI49" s="163">
        <v>1</v>
      </c>
      <c r="CJ49" s="163">
        <v>1</v>
      </c>
      <c r="CK49" s="163">
        <v>1</v>
      </c>
      <c r="CL49" s="163">
        <v>1</v>
      </c>
      <c r="CM49" s="163">
        <v>1</v>
      </c>
      <c r="CN49" s="163">
        <v>1</v>
      </c>
      <c r="CO49" s="163">
        <v>1</v>
      </c>
      <c r="CP49" s="163">
        <v>1</v>
      </c>
      <c r="CQ49" s="163">
        <v>1</v>
      </c>
      <c r="CR49" s="163">
        <v>1</v>
      </c>
      <c r="CS49" s="163">
        <v>1</v>
      </c>
      <c r="CT49" s="163">
        <v>1</v>
      </c>
      <c r="CU49" s="163">
        <v>1</v>
      </c>
      <c r="CV49" s="163">
        <v>1</v>
      </c>
      <c r="CW49" s="163">
        <v>1</v>
      </c>
      <c r="CX49" s="163">
        <v>1</v>
      </c>
      <c r="CY49" s="163">
        <v>1</v>
      </c>
      <c r="CZ49" s="163">
        <v>1</v>
      </c>
      <c r="DA49" s="163">
        <v>1</v>
      </c>
      <c r="DB49" s="163">
        <v>1</v>
      </c>
      <c r="DC49" s="163">
        <v>1</v>
      </c>
      <c r="DD49" s="163">
        <v>1</v>
      </c>
      <c r="DE49" s="163">
        <v>1</v>
      </c>
      <c r="DF49" s="163">
        <v>1</v>
      </c>
      <c r="DG49" s="163">
        <v>1</v>
      </c>
      <c r="DH49" s="347">
        <v>1</v>
      </c>
      <c r="DI49" s="163">
        <v>1</v>
      </c>
      <c r="DJ49" s="163">
        <v>1</v>
      </c>
      <c r="DK49" s="163">
        <v>1</v>
      </c>
      <c r="DL49" s="163">
        <v>1</v>
      </c>
      <c r="DM49" s="163">
        <v>1</v>
      </c>
      <c r="DN49" s="163">
        <v>1</v>
      </c>
      <c r="DO49" s="163">
        <v>1</v>
      </c>
      <c r="DP49" s="163">
        <v>1</v>
      </c>
      <c r="DQ49" s="163">
        <v>1</v>
      </c>
      <c r="DR49" s="163">
        <v>1</v>
      </c>
      <c r="DS49" s="163">
        <v>1</v>
      </c>
      <c r="DT49" s="163">
        <v>1</v>
      </c>
      <c r="DU49" s="163">
        <v>1</v>
      </c>
      <c r="DV49" s="163">
        <v>1</v>
      </c>
      <c r="DW49" s="163">
        <v>1</v>
      </c>
      <c r="DX49" s="163">
        <v>1</v>
      </c>
      <c r="DY49" s="163">
        <v>1</v>
      </c>
      <c r="DZ49" s="163">
        <v>1</v>
      </c>
      <c r="EA49" s="163">
        <v>1</v>
      </c>
      <c r="EB49" s="163">
        <v>1</v>
      </c>
      <c r="EC49" s="163">
        <v>1</v>
      </c>
      <c r="ED49" s="163">
        <v>1</v>
      </c>
      <c r="EE49" s="163">
        <v>1</v>
      </c>
      <c r="EF49" s="163">
        <v>1</v>
      </c>
      <c r="EG49" s="163">
        <v>1</v>
      </c>
      <c r="EH49" s="163">
        <v>1</v>
      </c>
      <c r="EI49" s="163">
        <v>1</v>
      </c>
      <c r="EJ49" s="163">
        <v>1</v>
      </c>
      <c r="EK49" s="163">
        <v>1</v>
      </c>
      <c r="EL49" s="163">
        <v>1</v>
      </c>
    </row>
    <row r="50" spans="2:142" ht="28.8" hidden="1" outlineLevel="2" x14ac:dyDescent="0.3">
      <c r="B50" s="29"/>
      <c r="C50" s="30"/>
      <c r="D50" s="30"/>
      <c r="E50" s="52" t="s">
        <v>55</v>
      </c>
      <c r="F50" s="33">
        <v>20</v>
      </c>
      <c r="G50" s="162">
        <v>45532</v>
      </c>
      <c r="H50" s="162">
        <v>45559</v>
      </c>
      <c r="I50" s="33">
        <f t="shared" ref="I50:I55" si="171">+F50</f>
        <v>20</v>
      </c>
      <c r="J50" s="35">
        <v>6.7000000000000004E-2</v>
      </c>
      <c r="K50" s="53"/>
      <c r="L50" s="127">
        <v>0</v>
      </c>
      <c r="M50" s="127">
        <v>0</v>
      </c>
      <c r="N50" s="127">
        <v>0</v>
      </c>
      <c r="O50" s="127">
        <v>0</v>
      </c>
      <c r="P50" s="127">
        <v>0</v>
      </c>
      <c r="Q50" s="127">
        <v>0</v>
      </c>
      <c r="R50" s="127">
        <v>0</v>
      </c>
      <c r="S50" s="127">
        <v>2.5000000000000001E-2</v>
      </c>
      <c r="T50" s="127">
        <v>0.282258064516129</v>
      </c>
      <c r="U50" s="127">
        <v>0.29435483870967744</v>
      </c>
      <c r="V50" s="127">
        <v>0.30645161290322581</v>
      </c>
      <c r="W50" s="127">
        <v>0.44354838709677419</v>
      </c>
      <c r="X50" s="127">
        <v>0.58064516129032251</v>
      </c>
      <c r="Y50" s="127">
        <v>0.842741935483871</v>
      </c>
      <c r="Z50" s="127">
        <v>1</v>
      </c>
      <c r="AA50" s="127">
        <v>1</v>
      </c>
      <c r="AB50" s="127">
        <v>1</v>
      </c>
      <c r="AC50" s="127">
        <v>1</v>
      </c>
      <c r="AD50" s="127">
        <v>1</v>
      </c>
      <c r="AE50" s="127">
        <v>1</v>
      </c>
      <c r="AF50" s="127">
        <v>1</v>
      </c>
      <c r="AG50" s="127">
        <v>1</v>
      </c>
      <c r="AH50" s="127">
        <v>1</v>
      </c>
      <c r="AI50" s="127">
        <v>1</v>
      </c>
      <c r="AJ50" s="127">
        <v>1</v>
      </c>
      <c r="AK50" s="127">
        <v>1</v>
      </c>
      <c r="AL50" s="127">
        <v>1</v>
      </c>
      <c r="AM50" s="127">
        <v>1</v>
      </c>
      <c r="AN50" s="127">
        <v>1</v>
      </c>
      <c r="AO50" s="127">
        <v>1</v>
      </c>
      <c r="AP50" s="127">
        <v>1</v>
      </c>
      <c r="AQ50" s="127">
        <v>1</v>
      </c>
      <c r="AR50" s="127">
        <v>1</v>
      </c>
      <c r="AS50" s="127">
        <v>1</v>
      </c>
      <c r="AT50" s="127">
        <v>1</v>
      </c>
      <c r="AU50" s="127">
        <v>1</v>
      </c>
      <c r="AV50" s="127">
        <v>1</v>
      </c>
      <c r="AW50" s="127">
        <v>1</v>
      </c>
      <c r="AX50" s="127">
        <v>1</v>
      </c>
      <c r="AY50" s="127">
        <v>1</v>
      </c>
      <c r="AZ50" s="127">
        <v>1</v>
      </c>
      <c r="BA50" s="127">
        <v>1</v>
      </c>
      <c r="BB50" s="127">
        <v>1</v>
      </c>
      <c r="BC50" s="127">
        <v>1</v>
      </c>
      <c r="BD50" s="127">
        <v>1</v>
      </c>
      <c r="BE50" s="127">
        <v>1</v>
      </c>
      <c r="BF50" s="127">
        <v>1</v>
      </c>
      <c r="BG50" s="127">
        <v>1</v>
      </c>
      <c r="BH50" s="127">
        <v>1</v>
      </c>
      <c r="BI50" s="127">
        <v>1</v>
      </c>
      <c r="BJ50" s="127">
        <v>1</v>
      </c>
      <c r="BK50" s="127">
        <v>1</v>
      </c>
      <c r="BL50" s="127">
        <v>1</v>
      </c>
      <c r="BM50" s="127">
        <v>1</v>
      </c>
      <c r="BN50" s="127">
        <v>1</v>
      </c>
      <c r="BO50" s="127">
        <v>1</v>
      </c>
      <c r="BP50" s="127">
        <v>1</v>
      </c>
      <c r="BQ50" s="127">
        <v>1</v>
      </c>
      <c r="BR50" s="163">
        <v>1</v>
      </c>
      <c r="BS50" s="163">
        <v>1</v>
      </c>
      <c r="BT50" s="163">
        <v>1</v>
      </c>
      <c r="BU50" s="163">
        <v>1</v>
      </c>
      <c r="BV50" s="163">
        <v>1</v>
      </c>
      <c r="BW50" s="163">
        <v>1</v>
      </c>
      <c r="BX50" s="163">
        <v>1</v>
      </c>
      <c r="BY50" s="163">
        <v>1</v>
      </c>
      <c r="BZ50" s="163">
        <v>1</v>
      </c>
      <c r="CA50" s="163">
        <v>1</v>
      </c>
      <c r="CB50" s="163">
        <v>1</v>
      </c>
      <c r="CC50" s="163">
        <v>1</v>
      </c>
      <c r="CD50" s="163">
        <v>1</v>
      </c>
      <c r="CE50" s="163">
        <v>1</v>
      </c>
      <c r="CF50" s="163">
        <v>1</v>
      </c>
      <c r="CG50" s="163">
        <v>1</v>
      </c>
      <c r="CH50" s="163">
        <v>1</v>
      </c>
      <c r="CI50" s="163">
        <v>1</v>
      </c>
      <c r="CJ50" s="163">
        <v>1</v>
      </c>
      <c r="CK50" s="163">
        <v>1</v>
      </c>
      <c r="CL50" s="163">
        <v>1</v>
      </c>
      <c r="CM50" s="163">
        <v>1</v>
      </c>
      <c r="CN50" s="163">
        <v>1</v>
      </c>
      <c r="CO50" s="163">
        <v>1</v>
      </c>
      <c r="CP50" s="163">
        <v>1</v>
      </c>
      <c r="CQ50" s="163">
        <v>1</v>
      </c>
      <c r="CR50" s="163">
        <v>1</v>
      </c>
      <c r="CS50" s="163">
        <v>1</v>
      </c>
      <c r="CT50" s="163">
        <v>1</v>
      </c>
      <c r="CU50" s="163">
        <v>1</v>
      </c>
      <c r="CV50" s="163">
        <v>1</v>
      </c>
      <c r="CW50" s="163">
        <v>1</v>
      </c>
      <c r="CX50" s="163">
        <v>1</v>
      </c>
      <c r="CY50" s="163">
        <v>1</v>
      </c>
      <c r="CZ50" s="163">
        <v>1</v>
      </c>
      <c r="DA50" s="163">
        <v>1</v>
      </c>
      <c r="DB50" s="163">
        <v>1</v>
      </c>
      <c r="DC50" s="163">
        <v>1</v>
      </c>
      <c r="DD50" s="163">
        <v>1</v>
      </c>
      <c r="DE50" s="163">
        <v>1</v>
      </c>
      <c r="DF50" s="163">
        <v>1</v>
      </c>
      <c r="DG50" s="163">
        <v>1</v>
      </c>
      <c r="DH50" s="347">
        <v>1</v>
      </c>
      <c r="DI50" s="163">
        <v>1</v>
      </c>
      <c r="DJ50" s="163">
        <v>1</v>
      </c>
      <c r="DK50" s="163">
        <v>1</v>
      </c>
      <c r="DL50" s="163">
        <v>1</v>
      </c>
      <c r="DM50" s="163">
        <v>1</v>
      </c>
      <c r="DN50" s="163">
        <v>1</v>
      </c>
      <c r="DO50" s="163">
        <v>1</v>
      </c>
      <c r="DP50" s="163">
        <v>1</v>
      </c>
      <c r="DQ50" s="163">
        <v>1</v>
      </c>
      <c r="DR50" s="163">
        <v>1</v>
      </c>
      <c r="DS50" s="163">
        <v>1</v>
      </c>
      <c r="DT50" s="163">
        <v>1</v>
      </c>
      <c r="DU50" s="163">
        <v>1</v>
      </c>
      <c r="DV50" s="163">
        <v>1</v>
      </c>
      <c r="DW50" s="163">
        <v>1</v>
      </c>
      <c r="DX50" s="163">
        <v>1</v>
      </c>
      <c r="DY50" s="163">
        <v>1</v>
      </c>
      <c r="DZ50" s="163">
        <v>1</v>
      </c>
      <c r="EA50" s="163">
        <v>1</v>
      </c>
      <c r="EB50" s="163">
        <v>1</v>
      </c>
      <c r="EC50" s="163">
        <v>1</v>
      </c>
      <c r="ED50" s="163">
        <v>1</v>
      </c>
      <c r="EE50" s="163">
        <v>1</v>
      </c>
      <c r="EF50" s="163">
        <v>1</v>
      </c>
      <c r="EG50" s="163">
        <v>1</v>
      </c>
      <c r="EH50" s="163">
        <v>1</v>
      </c>
      <c r="EI50" s="163">
        <v>1</v>
      </c>
      <c r="EJ50" s="163">
        <v>1</v>
      </c>
      <c r="EK50" s="163">
        <v>1</v>
      </c>
      <c r="EL50" s="163">
        <v>1</v>
      </c>
    </row>
    <row r="51" spans="2:142" hidden="1" outlineLevel="2" x14ac:dyDescent="0.3">
      <c r="B51" s="29"/>
      <c r="C51" s="30"/>
      <c r="D51" s="30"/>
      <c r="E51" s="52" t="s">
        <v>56</v>
      </c>
      <c r="F51" s="33">
        <v>10</v>
      </c>
      <c r="G51" s="162">
        <v>45677</v>
      </c>
      <c r="H51" s="162">
        <v>45688</v>
      </c>
      <c r="I51" s="33">
        <f t="shared" si="171"/>
        <v>10</v>
      </c>
      <c r="J51" s="35">
        <v>6.7000000000000004E-2</v>
      </c>
      <c r="K51" s="53"/>
      <c r="L51" s="127">
        <v>0</v>
      </c>
      <c r="M51" s="127">
        <v>0</v>
      </c>
      <c r="N51" s="127">
        <v>0</v>
      </c>
      <c r="O51" s="127">
        <v>0</v>
      </c>
      <c r="P51" s="127">
        <v>0</v>
      </c>
      <c r="Q51" s="127">
        <v>0</v>
      </c>
      <c r="R51" s="127">
        <v>0</v>
      </c>
      <c r="S51" s="127">
        <v>1.4705882352941178E-2</v>
      </c>
      <c r="T51" s="127">
        <v>2.9411764705882356E-2</v>
      </c>
      <c r="U51" s="127">
        <v>4.4117647058823532E-2</v>
      </c>
      <c r="V51" s="127">
        <v>5.8823529411764712E-2</v>
      </c>
      <c r="W51" s="127">
        <v>7.3529411764705885E-2</v>
      </c>
      <c r="X51" s="127">
        <v>8.8235294117647065E-2</v>
      </c>
      <c r="Y51" s="127">
        <v>0.15909090909090909</v>
      </c>
      <c r="Z51" s="127">
        <v>0.29090909090909089</v>
      </c>
      <c r="AA51" s="127">
        <v>0.5636363636363636</v>
      </c>
      <c r="AB51" s="127">
        <v>0.94545454545454544</v>
      </c>
      <c r="AC51" s="127">
        <v>0.97272727272727266</v>
      </c>
      <c r="AD51" s="127">
        <v>0.97272727272727266</v>
      </c>
      <c r="AE51" s="127">
        <v>0.97272727272727266</v>
      </c>
      <c r="AF51" s="127">
        <v>0.97272727272727266</v>
      </c>
      <c r="AG51" s="127">
        <v>0.97272727272727266</v>
      </c>
      <c r="AH51" s="127">
        <v>1</v>
      </c>
      <c r="AI51" s="127">
        <v>1</v>
      </c>
      <c r="AJ51" s="127">
        <v>1</v>
      </c>
      <c r="AK51" s="127">
        <v>1</v>
      </c>
      <c r="AL51" s="127">
        <v>1</v>
      </c>
      <c r="AM51" s="127">
        <v>1</v>
      </c>
      <c r="AN51" s="127">
        <v>1</v>
      </c>
      <c r="AO51" s="127">
        <v>1</v>
      </c>
      <c r="AP51" s="127">
        <v>1</v>
      </c>
      <c r="AQ51" s="127">
        <v>1</v>
      </c>
      <c r="AR51" s="127">
        <v>1</v>
      </c>
      <c r="AS51" s="127">
        <v>1</v>
      </c>
      <c r="AT51" s="127">
        <v>1</v>
      </c>
      <c r="AU51" s="127">
        <v>1</v>
      </c>
      <c r="AV51" s="127">
        <v>1</v>
      </c>
      <c r="AW51" s="127">
        <v>1</v>
      </c>
      <c r="AX51" s="127">
        <v>1</v>
      </c>
      <c r="AY51" s="127">
        <v>1</v>
      </c>
      <c r="AZ51" s="127">
        <v>1</v>
      </c>
      <c r="BA51" s="127">
        <v>1</v>
      </c>
      <c r="BB51" s="127">
        <v>1</v>
      </c>
      <c r="BC51" s="127">
        <v>1</v>
      </c>
      <c r="BD51" s="127">
        <v>1</v>
      </c>
      <c r="BE51" s="127">
        <v>1</v>
      </c>
      <c r="BF51" s="127">
        <v>1</v>
      </c>
      <c r="BG51" s="127">
        <v>1</v>
      </c>
      <c r="BH51" s="127">
        <v>1</v>
      </c>
      <c r="BI51" s="127">
        <v>1</v>
      </c>
      <c r="BJ51" s="127">
        <v>1</v>
      </c>
      <c r="BK51" s="127">
        <v>1</v>
      </c>
      <c r="BL51" s="127">
        <v>1</v>
      </c>
      <c r="BM51" s="127">
        <v>1</v>
      </c>
      <c r="BN51" s="127">
        <v>1</v>
      </c>
      <c r="BO51" s="127">
        <v>1</v>
      </c>
      <c r="BP51" s="127">
        <v>1</v>
      </c>
      <c r="BQ51" s="127">
        <v>1</v>
      </c>
      <c r="BR51" s="163">
        <v>1</v>
      </c>
      <c r="BS51" s="163">
        <v>1</v>
      </c>
      <c r="BT51" s="163">
        <v>1</v>
      </c>
      <c r="BU51" s="163">
        <v>1</v>
      </c>
      <c r="BV51" s="163">
        <v>1</v>
      </c>
      <c r="BW51" s="163">
        <v>1</v>
      </c>
      <c r="BX51" s="163">
        <v>1</v>
      </c>
      <c r="BY51" s="163">
        <v>1</v>
      </c>
      <c r="BZ51" s="163">
        <v>1</v>
      </c>
      <c r="CA51" s="163">
        <v>1</v>
      </c>
      <c r="CB51" s="163">
        <v>1</v>
      </c>
      <c r="CC51" s="163">
        <v>1</v>
      </c>
      <c r="CD51" s="163">
        <v>1</v>
      </c>
      <c r="CE51" s="163">
        <v>1</v>
      </c>
      <c r="CF51" s="163">
        <v>1</v>
      </c>
      <c r="CG51" s="163">
        <v>1</v>
      </c>
      <c r="CH51" s="163">
        <v>1</v>
      </c>
      <c r="CI51" s="163">
        <v>1</v>
      </c>
      <c r="CJ51" s="163">
        <v>1</v>
      </c>
      <c r="CK51" s="163">
        <v>1</v>
      </c>
      <c r="CL51" s="163">
        <v>1</v>
      </c>
      <c r="CM51" s="163">
        <v>1</v>
      </c>
      <c r="CN51" s="163">
        <v>1</v>
      </c>
      <c r="CO51" s="163">
        <v>1</v>
      </c>
      <c r="CP51" s="163">
        <v>1</v>
      </c>
      <c r="CQ51" s="163">
        <v>1</v>
      </c>
      <c r="CR51" s="163">
        <v>1</v>
      </c>
      <c r="CS51" s="163">
        <v>1</v>
      </c>
      <c r="CT51" s="163">
        <v>1</v>
      </c>
      <c r="CU51" s="163">
        <v>1</v>
      </c>
      <c r="CV51" s="163">
        <v>1</v>
      </c>
      <c r="CW51" s="163">
        <v>1</v>
      </c>
      <c r="CX51" s="163">
        <v>1</v>
      </c>
      <c r="CY51" s="163">
        <v>1</v>
      </c>
      <c r="CZ51" s="163">
        <v>1</v>
      </c>
      <c r="DA51" s="163">
        <v>1</v>
      </c>
      <c r="DB51" s="163">
        <v>1</v>
      </c>
      <c r="DC51" s="163">
        <v>1</v>
      </c>
      <c r="DD51" s="163">
        <v>1</v>
      </c>
      <c r="DE51" s="163">
        <v>1</v>
      </c>
      <c r="DF51" s="163">
        <v>1</v>
      </c>
      <c r="DG51" s="163">
        <v>1</v>
      </c>
      <c r="DH51" s="347">
        <v>1</v>
      </c>
      <c r="DI51" s="163">
        <v>1</v>
      </c>
      <c r="DJ51" s="163">
        <v>1</v>
      </c>
      <c r="DK51" s="163">
        <v>1</v>
      </c>
      <c r="DL51" s="163">
        <v>1</v>
      </c>
      <c r="DM51" s="163">
        <v>1</v>
      </c>
      <c r="DN51" s="163">
        <v>1</v>
      </c>
      <c r="DO51" s="163">
        <v>1</v>
      </c>
      <c r="DP51" s="163">
        <v>1</v>
      </c>
      <c r="DQ51" s="163">
        <v>1</v>
      </c>
      <c r="DR51" s="163">
        <v>1</v>
      </c>
      <c r="DS51" s="163">
        <v>1</v>
      </c>
      <c r="DT51" s="163">
        <v>1</v>
      </c>
      <c r="DU51" s="163">
        <v>1</v>
      </c>
      <c r="DV51" s="163">
        <v>1</v>
      </c>
      <c r="DW51" s="163">
        <v>1</v>
      </c>
      <c r="DX51" s="163">
        <v>1</v>
      </c>
      <c r="DY51" s="163">
        <v>1</v>
      </c>
      <c r="DZ51" s="163">
        <v>1</v>
      </c>
      <c r="EA51" s="163">
        <v>1</v>
      </c>
      <c r="EB51" s="163">
        <v>1</v>
      </c>
      <c r="EC51" s="163">
        <v>1</v>
      </c>
      <c r="ED51" s="163">
        <v>1</v>
      </c>
      <c r="EE51" s="163">
        <v>1</v>
      </c>
      <c r="EF51" s="163">
        <v>1</v>
      </c>
      <c r="EG51" s="163">
        <v>1</v>
      </c>
      <c r="EH51" s="163">
        <v>1</v>
      </c>
      <c r="EI51" s="163">
        <v>1</v>
      </c>
      <c r="EJ51" s="163">
        <v>1</v>
      </c>
      <c r="EK51" s="163">
        <v>1</v>
      </c>
      <c r="EL51" s="163">
        <v>1</v>
      </c>
    </row>
    <row r="52" spans="2:142" hidden="1" outlineLevel="2" x14ac:dyDescent="0.3">
      <c r="B52" s="29"/>
      <c r="C52" s="30"/>
      <c r="D52" s="30"/>
      <c r="E52" s="52" t="s">
        <v>57</v>
      </c>
      <c r="F52" s="33">
        <v>15</v>
      </c>
      <c r="G52" s="162">
        <v>45691</v>
      </c>
      <c r="H52" s="162">
        <v>45709</v>
      </c>
      <c r="I52" s="33">
        <f t="shared" si="171"/>
        <v>15</v>
      </c>
      <c r="J52" s="35">
        <v>0.13300000000000001</v>
      </c>
      <c r="K52" s="53"/>
      <c r="L52" s="127">
        <v>0</v>
      </c>
      <c r="M52" s="127">
        <v>0</v>
      </c>
      <c r="N52" s="127">
        <v>0</v>
      </c>
      <c r="O52" s="127">
        <v>0</v>
      </c>
      <c r="P52" s="127">
        <v>0</v>
      </c>
      <c r="Q52" s="127">
        <v>0</v>
      </c>
      <c r="R52" s="127">
        <v>1.2167300380228138E-2</v>
      </c>
      <c r="S52" s="127">
        <v>3.8593155893536124E-2</v>
      </c>
      <c r="T52" s="127">
        <v>5.8935361216730042E-2</v>
      </c>
      <c r="U52" s="127">
        <v>7.3193916349809887E-2</v>
      </c>
      <c r="V52" s="127">
        <v>8.7452471482889732E-2</v>
      </c>
      <c r="W52" s="127">
        <v>0.10171102661596958</v>
      </c>
      <c r="X52" s="127">
        <v>0.11596958174904942</v>
      </c>
      <c r="Y52" s="127">
        <v>0.13022813688212928</v>
      </c>
      <c r="Z52" s="127">
        <v>0.23574144486692014</v>
      </c>
      <c r="AA52" s="127">
        <v>0.4923954372623574</v>
      </c>
      <c r="AB52" s="127">
        <v>0.73574144486692017</v>
      </c>
      <c r="AC52" s="127">
        <v>0.97148288973384034</v>
      </c>
      <c r="AD52" s="127">
        <v>0.97148288973384034</v>
      </c>
      <c r="AE52" s="127">
        <v>0.97148288973384034</v>
      </c>
      <c r="AF52" s="127">
        <v>0.97148288973384034</v>
      </c>
      <c r="AG52" s="127">
        <v>0.97148288973384034</v>
      </c>
      <c r="AH52" s="127">
        <v>1</v>
      </c>
      <c r="AI52" s="127">
        <v>1</v>
      </c>
      <c r="AJ52" s="127">
        <v>1</v>
      </c>
      <c r="AK52" s="127">
        <v>1</v>
      </c>
      <c r="AL52" s="127">
        <v>1</v>
      </c>
      <c r="AM52" s="127">
        <v>1</v>
      </c>
      <c r="AN52" s="127">
        <v>1</v>
      </c>
      <c r="AO52" s="127">
        <v>1</v>
      </c>
      <c r="AP52" s="127">
        <v>1</v>
      </c>
      <c r="AQ52" s="127">
        <v>1</v>
      </c>
      <c r="AR52" s="127">
        <v>1</v>
      </c>
      <c r="AS52" s="127">
        <v>1</v>
      </c>
      <c r="AT52" s="127">
        <v>1</v>
      </c>
      <c r="AU52" s="127">
        <v>1</v>
      </c>
      <c r="AV52" s="127">
        <v>1</v>
      </c>
      <c r="AW52" s="127">
        <v>1</v>
      </c>
      <c r="AX52" s="127">
        <v>1</v>
      </c>
      <c r="AY52" s="127">
        <v>1</v>
      </c>
      <c r="AZ52" s="127">
        <v>1</v>
      </c>
      <c r="BA52" s="127">
        <v>1</v>
      </c>
      <c r="BB52" s="127">
        <v>1</v>
      </c>
      <c r="BC52" s="127">
        <v>1</v>
      </c>
      <c r="BD52" s="127">
        <v>1</v>
      </c>
      <c r="BE52" s="127">
        <v>1</v>
      </c>
      <c r="BF52" s="127">
        <v>1</v>
      </c>
      <c r="BG52" s="127">
        <v>1</v>
      </c>
      <c r="BH52" s="127">
        <v>1</v>
      </c>
      <c r="BI52" s="127">
        <v>1</v>
      </c>
      <c r="BJ52" s="127">
        <v>1</v>
      </c>
      <c r="BK52" s="127">
        <v>1</v>
      </c>
      <c r="BL52" s="127">
        <v>1</v>
      </c>
      <c r="BM52" s="127">
        <v>1</v>
      </c>
      <c r="BN52" s="127">
        <v>1</v>
      </c>
      <c r="BO52" s="127">
        <v>1</v>
      </c>
      <c r="BP52" s="127">
        <v>1</v>
      </c>
      <c r="BQ52" s="127">
        <v>1</v>
      </c>
      <c r="BR52" s="163">
        <v>1</v>
      </c>
      <c r="BS52" s="163">
        <v>1</v>
      </c>
      <c r="BT52" s="163">
        <v>1</v>
      </c>
      <c r="BU52" s="163">
        <v>1</v>
      </c>
      <c r="BV52" s="163">
        <v>1</v>
      </c>
      <c r="BW52" s="163">
        <v>1</v>
      </c>
      <c r="BX52" s="163">
        <v>1</v>
      </c>
      <c r="BY52" s="163">
        <v>1</v>
      </c>
      <c r="BZ52" s="163">
        <v>1</v>
      </c>
      <c r="CA52" s="163">
        <v>1</v>
      </c>
      <c r="CB52" s="163">
        <v>1</v>
      </c>
      <c r="CC52" s="163">
        <v>1</v>
      </c>
      <c r="CD52" s="163">
        <v>1</v>
      </c>
      <c r="CE52" s="163">
        <v>1</v>
      </c>
      <c r="CF52" s="163">
        <v>1</v>
      </c>
      <c r="CG52" s="163">
        <v>1</v>
      </c>
      <c r="CH52" s="163">
        <v>1</v>
      </c>
      <c r="CI52" s="163">
        <v>1</v>
      </c>
      <c r="CJ52" s="163">
        <v>1</v>
      </c>
      <c r="CK52" s="163">
        <v>1</v>
      </c>
      <c r="CL52" s="163">
        <v>1</v>
      </c>
      <c r="CM52" s="163">
        <v>1</v>
      </c>
      <c r="CN52" s="163">
        <v>1</v>
      </c>
      <c r="CO52" s="163">
        <v>1</v>
      </c>
      <c r="CP52" s="163">
        <v>1</v>
      </c>
      <c r="CQ52" s="163">
        <v>1</v>
      </c>
      <c r="CR52" s="163">
        <v>1</v>
      </c>
      <c r="CS52" s="163">
        <v>1</v>
      </c>
      <c r="CT52" s="163">
        <v>1</v>
      </c>
      <c r="CU52" s="163">
        <v>1</v>
      </c>
      <c r="CV52" s="163">
        <v>1</v>
      </c>
      <c r="CW52" s="163">
        <v>1</v>
      </c>
      <c r="CX52" s="163">
        <v>1</v>
      </c>
      <c r="CY52" s="163">
        <v>1</v>
      </c>
      <c r="CZ52" s="163">
        <v>1</v>
      </c>
      <c r="DA52" s="163">
        <v>1</v>
      </c>
      <c r="DB52" s="163">
        <v>1</v>
      </c>
      <c r="DC52" s="163">
        <v>1</v>
      </c>
      <c r="DD52" s="163">
        <v>1</v>
      </c>
      <c r="DE52" s="163">
        <v>1</v>
      </c>
      <c r="DF52" s="163">
        <v>1</v>
      </c>
      <c r="DG52" s="163">
        <v>1</v>
      </c>
      <c r="DH52" s="347">
        <v>1</v>
      </c>
      <c r="DI52" s="163">
        <v>1</v>
      </c>
      <c r="DJ52" s="163">
        <v>1</v>
      </c>
      <c r="DK52" s="163">
        <v>1</v>
      </c>
      <c r="DL52" s="163">
        <v>1</v>
      </c>
      <c r="DM52" s="163">
        <v>1</v>
      </c>
      <c r="DN52" s="163">
        <v>1</v>
      </c>
      <c r="DO52" s="163">
        <v>1</v>
      </c>
      <c r="DP52" s="163">
        <v>1</v>
      </c>
      <c r="DQ52" s="163">
        <v>1</v>
      </c>
      <c r="DR52" s="163">
        <v>1</v>
      </c>
      <c r="DS52" s="163">
        <v>1</v>
      </c>
      <c r="DT52" s="163">
        <v>1</v>
      </c>
      <c r="DU52" s="163">
        <v>1</v>
      </c>
      <c r="DV52" s="163">
        <v>1</v>
      </c>
      <c r="DW52" s="163">
        <v>1</v>
      </c>
      <c r="DX52" s="163">
        <v>1</v>
      </c>
      <c r="DY52" s="163">
        <v>1</v>
      </c>
      <c r="DZ52" s="163">
        <v>1</v>
      </c>
      <c r="EA52" s="163">
        <v>1</v>
      </c>
      <c r="EB52" s="163">
        <v>1</v>
      </c>
      <c r="EC52" s="163">
        <v>1</v>
      </c>
      <c r="ED52" s="163">
        <v>1</v>
      </c>
      <c r="EE52" s="163">
        <v>1</v>
      </c>
      <c r="EF52" s="163">
        <v>1</v>
      </c>
      <c r="EG52" s="163">
        <v>1</v>
      </c>
      <c r="EH52" s="163">
        <v>1</v>
      </c>
      <c r="EI52" s="163">
        <v>1</v>
      </c>
      <c r="EJ52" s="163">
        <v>1</v>
      </c>
      <c r="EK52" s="163">
        <v>1</v>
      </c>
      <c r="EL52" s="163">
        <v>1</v>
      </c>
    </row>
    <row r="53" spans="2:142" ht="28.8" hidden="1" outlineLevel="2" x14ac:dyDescent="0.3">
      <c r="B53" s="29"/>
      <c r="C53" s="30"/>
      <c r="D53" s="30"/>
      <c r="E53" s="52" t="s">
        <v>58</v>
      </c>
      <c r="F53" s="33">
        <v>30</v>
      </c>
      <c r="G53" s="162">
        <v>45560</v>
      </c>
      <c r="H53" s="162">
        <v>45601</v>
      </c>
      <c r="I53" s="33">
        <f t="shared" si="171"/>
        <v>30</v>
      </c>
      <c r="J53" s="35">
        <v>0.13</v>
      </c>
      <c r="K53" s="53"/>
      <c r="L53" s="127">
        <v>0</v>
      </c>
      <c r="M53" s="127">
        <v>0</v>
      </c>
      <c r="N53" s="127">
        <v>0</v>
      </c>
      <c r="O53" s="127">
        <v>1.3079019073569481E-2</v>
      </c>
      <c r="P53" s="127">
        <v>2.6158038147138962E-2</v>
      </c>
      <c r="Q53" s="127">
        <v>3.2697547683923703E-2</v>
      </c>
      <c r="R53" s="127">
        <v>3.9237057220708443E-2</v>
      </c>
      <c r="S53" s="127">
        <v>6.2534059945504081E-2</v>
      </c>
      <c r="T53" s="127">
        <v>8.5831062670299718E-2</v>
      </c>
      <c r="U53" s="127">
        <v>0.34573941045330692</v>
      </c>
      <c r="V53" s="127">
        <v>0.63325563325563328</v>
      </c>
      <c r="W53" s="127">
        <v>0.83974358974358965</v>
      </c>
      <c r="X53" s="127">
        <v>0.8504273504273504</v>
      </c>
      <c r="Y53" s="127">
        <v>0.86111111111111116</v>
      </c>
      <c r="Z53" s="127">
        <v>1</v>
      </c>
      <c r="AA53" s="127">
        <v>1</v>
      </c>
      <c r="AB53" s="127">
        <v>1</v>
      </c>
      <c r="AC53" s="127">
        <v>1</v>
      </c>
      <c r="AD53" s="127">
        <v>1</v>
      </c>
      <c r="AE53" s="127">
        <v>1</v>
      </c>
      <c r="AF53" s="127">
        <v>1</v>
      </c>
      <c r="AG53" s="127">
        <v>1</v>
      </c>
      <c r="AH53" s="127">
        <v>1</v>
      </c>
      <c r="AI53" s="127">
        <v>1</v>
      </c>
      <c r="AJ53" s="127">
        <v>1</v>
      </c>
      <c r="AK53" s="127">
        <v>1</v>
      </c>
      <c r="AL53" s="127">
        <v>1</v>
      </c>
      <c r="AM53" s="127">
        <v>1</v>
      </c>
      <c r="AN53" s="127">
        <v>1</v>
      </c>
      <c r="AO53" s="127">
        <v>1</v>
      </c>
      <c r="AP53" s="127">
        <v>1</v>
      </c>
      <c r="AQ53" s="127">
        <v>1</v>
      </c>
      <c r="AR53" s="127">
        <v>1</v>
      </c>
      <c r="AS53" s="127">
        <v>1</v>
      </c>
      <c r="AT53" s="127">
        <v>1</v>
      </c>
      <c r="AU53" s="127">
        <v>1</v>
      </c>
      <c r="AV53" s="127">
        <v>1</v>
      </c>
      <c r="AW53" s="127">
        <v>1</v>
      </c>
      <c r="AX53" s="127">
        <v>1</v>
      </c>
      <c r="AY53" s="127">
        <v>1</v>
      </c>
      <c r="AZ53" s="127">
        <v>1</v>
      </c>
      <c r="BA53" s="127">
        <v>1</v>
      </c>
      <c r="BB53" s="127">
        <v>1</v>
      </c>
      <c r="BC53" s="127">
        <v>1</v>
      </c>
      <c r="BD53" s="127">
        <v>1</v>
      </c>
      <c r="BE53" s="127">
        <v>1</v>
      </c>
      <c r="BF53" s="127">
        <v>1</v>
      </c>
      <c r="BG53" s="127">
        <v>1</v>
      </c>
      <c r="BH53" s="127">
        <v>1</v>
      </c>
      <c r="BI53" s="127">
        <v>1</v>
      </c>
      <c r="BJ53" s="127">
        <v>1</v>
      </c>
      <c r="BK53" s="127">
        <v>1</v>
      </c>
      <c r="BL53" s="127">
        <v>1</v>
      </c>
      <c r="BM53" s="127">
        <v>1</v>
      </c>
      <c r="BN53" s="127">
        <v>1</v>
      </c>
      <c r="BO53" s="127">
        <v>1</v>
      </c>
      <c r="BP53" s="127">
        <v>1</v>
      </c>
      <c r="BQ53" s="127">
        <v>1</v>
      </c>
      <c r="BR53" s="163">
        <v>1</v>
      </c>
      <c r="BS53" s="163">
        <v>1</v>
      </c>
      <c r="BT53" s="163">
        <v>1</v>
      </c>
      <c r="BU53" s="163">
        <v>1</v>
      </c>
      <c r="BV53" s="163">
        <v>1</v>
      </c>
      <c r="BW53" s="163">
        <v>1</v>
      </c>
      <c r="BX53" s="163">
        <v>1</v>
      </c>
      <c r="BY53" s="163">
        <v>1</v>
      </c>
      <c r="BZ53" s="163">
        <v>1</v>
      </c>
      <c r="CA53" s="163">
        <v>1</v>
      </c>
      <c r="CB53" s="163">
        <v>1</v>
      </c>
      <c r="CC53" s="163">
        <v>1</v>
      </c>
      <c r="CD53" s="163">
        <v>1</v>
      </c>
      <c r="CE53" s="163">
        <v>1</v>
      </c>
      <c r="CF53" s="163">
        <v>1</v>
      </c>
      <c r="CG53" s="163">
        <v>1</v>
      </c>
      <c r="CH53" s="163">
        <v>1</v>
      </c>
      <c r="CI53" s="163">
        <v>1</v>
      </c>
      <c r="CJ53" s="163">
        <v>1</v>
      </c>
      <c r="CK53" s="163">
        <v>1</v>
      </c>
      <c r="CL53" s="163">
        <v>1</v>
      </c>
      <c r="CM53" s="163">
        <v>1</v>
      </c>
      <c r="CN53" s="163">
        <v>1</v>
      </c>
      <c r="CO53" s="163">
        <v>1</v>
      </c>
      <c r="CP53" s="163">
        <v>1</v>
      </c>
      <c r="CQ53" s="163">
        <v>1</v>
      </c>
      <c r="CR53" s="163">
        <v>1</v>
      </c>
      <c r="CS53" s="163">
        <v>1</v>
      </c>
      <c r="CT53" s="163">
        <v>1</v>
      </c>
      <c r="CU53" s="163">
        <v>1</v>
      </c>
      <c r="CV53" s="163">
        <v>1</v>
      </c>
      <c r="CW53" s="163">
        <v>1</v>
      </c>
      <c r="CX53" s="163">
        <v>1</v>
      </c>
      <c r="CY53" s="163">
        <v>1</v>
      </c>
      <c r="CZ53" s="163">
        <v>1</v>
      </c>
      <c r="DA53" s="163">
        <v>1</v>
      </c>
      <c r="DB53" s="163">
        <v>1</v>
      </c>
      <c r="DC53" s="163">
        <v>1</v>
      </c>
      <c r="DD53" s="163">
        <v>1</v>
      </c>
      <c r="DE53" s="163">
        <v>1</v>
      </c>
      <c r="DF53" s="163">
        <v>1</v>
      </c>
      <c r="DG53" s="163">
        <v>1</v>
      </c>
      <c r="DH53" s="347">
        <v>1</v>
      </c>
      <c r="DI53" s="163">
        <v>1</v>
      </c>
      <c r="DJ53" s="163">
        <v>1</v>
      </c>
      <c r="DK53" s="163">
        <v>1</v>
      </c>
      <c r="DL53" s="163">
        <v>1</v>
      </c>
      <c r="DM53" s="163">
        <v>1</v>
      </c>
      <c r="DN53" s="163">
        <v>1</v>
      </c>
      <c r="DO53" s="163">
        <v>1</v>
      </c>
      <c r="DP53" s="163">
        <v>1</v>
      </c>
      <c r="DQ53" s="163">
        <v>1</v>
      </c>
      <c r="DR53" s="163">
        <v>1</v>
      </c>
      <c r="DS53" s="163">
        <v>1</v>
      </c>
      <c r="DT53" s="163">
        <v>1</v>
      </c>
      <c r="DU53" s="163">
        <v>1</v>
      </c>
      <c r="DV53" s="163">
        <v>1</v>
      </c>
      <c r="DW53" s="163">
        <v>1</v>
      </c>
      <c r="DX53" s="163">
        <v>1</v>
      </c>
      <c r="DY53" s="163">
        <v>1</v>
      </c>
      <c r="DZ53" s="163">
        <v>1</v>
      </c>
      <c r="EA53" s="163">
        <v>1</v>
      </c>
      <c r="EB53" s="163">
        <v>1</v>
      </c>
      <c r="EC53" s="163">
        <v>1</v>
      </c>
      <c r="ED53" s="163">
        <v>1</v>
      </c>
      <c r="EE53" s="163">
        <v>1</v>
      </c>
      <c r="EF53" s="163">
        <v>1</v>
      </c>
      <c r="EG53" s="163">
        <v>1</v>
      </c>
      <c r="EH53" s="163">
        <v>1</v>
      </c>
      <c r="EI53" s="163">
        <v>1</v>
      </c>
      <c r="EJ53" s="163">
        <v>1</v>
      </c>
      <c r="EK53" s="163">
        <v>1</v>
      </c>
      <c r="EL53" s="163">
        <v>1</v>
      </c>
    </row>
    <row r="54" spans="2:142" hidden="1" outlineLevel="2" x14ac:dyDescent="0.3">
      <c r="B54" s="29"/>
      <c r="C54" s="30"/>
      <c r="D54" s="30"/>
      <c r="E54" s="52" t="s">
        <v>59</v>
      </c>
      <c r="F54" s="33">
        <v>5</v>
      </c>
      <c r="G54" s="162">
        <v>45698</v>
      </c>
      <c r="H54" s="162">
        <v>45702</v>
      </c>
      <c r="I54" s="33">
        <f t="shared" si="171"/>
        <v>5</v>
      </c>
      <c r="J54" s="35">
        <v>0.13300000000000001</v>
      </c>
      <c r="K54" s="53"/>
      <c r="L54" s="127">
        <v>0</v>
      </c>
      <c r="M54" s="127">
        <v>0</v>
      </c>
      <c r="N54" s="127">
        <v>0</v>
      </c>
      <c r="O54" s="127">
        <v>0</v>
      </c>
      <c r="P54" s="127">
        <v>0</v>
      </c>
      <c r="Q54" s="127">
        <v>0</v>
      </c>
      <c r="R54" s="127">
        <v>0</v>
      </c>
      <c r="S54" s="127">
        <v>2.2727272727272728E-2</v>
      </c>
      <c r="T54" s="127">
        <v>4.5454545454545456E-2</v>
      </c>
      <c r="U54" s="127">
        <v>6.8181818181818177E-2</v>
      </c>
      <c r="V54" s="127">
        <v>9.0909090909090912E-2</v>
      </c>
      <c r="W54" s="127">
        <v>0.11363636363636363</v>
      </c>
      <c r="X54" s="127">
        <v>0.13636363636363635</v>
      </c>
      <c r="Y54" s="127">
        <v>0.15909090909090909</v>
      </c>
      <c r="Z54" s="127">
        <v>0.15909090909090909</v>
      </c>
      <c r="AA54" s="127">
        <v>0.15909090909090909</v>
      </c>
      <c r="AB54" s="127">
        <v>0.15909090909090909</v>
      </c>
      <c r="AC54" s="127">
        <v>0.15909090909090909</v>
      </c>
      <c r="AD54" s="127">
        <v>0.37727272727272726</v>
      </c>
      <c r="AE54" s="127">
        <v>0.70909090909090899</v>
      </c>
      <c r="AF54" s="127">
        <v>0.90909090909090906</v>
      </c>
      <c r="AG54" s="127">
        <v>0.95</v>
      </c>
      <c r="AH54" s="127">
        <v>1</v>
      </c>
      <c r="AI54" s="127">
        <v>1</v>
      </c>
      <c r="AJ54" s="127">
        <v>1</v>
      </c>
      <c r="AK54" s="127">
        <v>1</v>
      </c>
      <c r="AL54" s="127">
        <v>1</v>
      </c>
      <c r="AM54" s="127">
        <v>1</v>
      </c>
      <c r="AN54" s="127">
        <v>1</v>
      </c>
      <c r="AO54" s="127">
        <v>1</v>
      </c>
      <c r="AP54" s="127">
        <v>1</v>
      </c>
      <c r="AQ54" s="127">
        <v>1</v>
      </c>
      <c r="AR54" s="127">
        <v>1</v>
      </c>
      <c r="AS54" s="127">
        <v>1</v>
      </c>
      <c r="AT54" s="127">
        <v>1</v>
      </c>
      <c r="AU54" s="127">
        <v>1</v>
      </c>
      <c r="AV54" s="127">
        <v>1</v>
      </c>
      <c r="AW54" s="127">
        <v>1</v>
      </c>
      <c r="AX54" s="127">
        <v>1</v>
      </c>
      <c r="AY54" s="127">
        <v>1</v>
      </c>
      <c r="AZ54" s="127">
        <v>1</v>
      </c>
      <c r="BA54" s="127">
        <v>1</v>
      </c>
      <c r="BB54" s="127">
        <v>1</v>
      </c>
      <c r="BC54" s="127">
        <v>1</v>
      </c>
      <c r="BD54" s="127">
        <v>1</v>
      </c>
      <c r="BE54" s="127">
        <v>1</v>
      </c>
      <c r="BF54" s="127">
        <v>1</v>
      </c>
      <c r="BG54" s="127">
        <v>1</v>
      </c>
      <c r="BH54" s="127">
        <v>1</v>
      </c>
      <c r="BI54" s="127">
        <v>1</v>
      </c>
      <c r="BJ54" s="127">
        <v>1</v>
      </c>
      <c r="BK54" s="127">
        <v>1</v>
      </c>
      <c r="BL54" s="127">
        <v>1</v>
      </c>
      <c r="BM54" s="127">
        <v>1</v>
      </c>
      <c r="BN54" s="127">
        <v>1</v>
      </c>
      <c r="BO54" s="127">
        <v>1</v>
      </c>
      <c r="BP54" s="127">
        <v>1</v>
      </c>
      <c r="BQ54" s="127">
        <v>1</v>
      </c>
      <c r="BR54" s="163">
        <v>1</v>
      </c>
      <c r="BS54" s="163">
        <v>1</v>
      </c>
      <c r="BT54" s="163">
        <v>1</v>
      </c>
      <c r="BU54" s="163">
        <v>1</v>
      </c>
      <c r="BV54" s="163">
        <v>1</v>
      </c>
      <c r="BW54" s="163">
        <v>1</v>
      </c>
      <c r="BX54" s="163">
        <v>1</v>
      </c>
      <c r="BY54" s="163">
        <v>1</v>
      </c>
      <c r="BZ54" s="163">
        <v>1</v>
      </c>
      <c r="CA54" s="163">
        <v>1</v>
      </c>
      <c r="CB54" s="163">
        <v>1</v>
      </c>
      <c r="CC54" s="163">
        <v>1</v>
      </c>
      <c r="CD54" s="163">
        <v>1</v>
      </c>
      <c r="CE54" s="163">
        <v>1</v>
      </c>
      <c r="CF54" s="163">
        <v>1</v>
      </c>
      <c r="CG54" s="163">
        <v>1</v>
      </c>
      <c r="CH54" s="163">
        <v>1</v>
      </c>
      <c r="CI54" s="163">
        <v>1</v>
      </c>
      <c r="CJ54" s="163">
        <v>1</v>
      </c>
      <c r="CK54" s="163">
        <v>1</v>
      </c>
      <c r="CL54" s="163">
        <v>1</v>
      </c>
      <c r="CM54" s="163">
        <v>1</v>
      </c>
      <c r="CN54" s="163">
        <v>1</v>
      </c>
      <c r="CO54" s="163">
        <v>1</v>
      </c>
      <c r="CP54" s="163">
        <v>1</v>
      </c>
      <c r="CQ54" s="163">
        <v>1</v>
      </c>
      <c r="CR54" s="163">
        <v>1</v>
      </c>
      <c r="CS54" s="163">
        <v>1</v>
      </c>
      <c r="CT54" s="163">
        <v>1</v>
      </c>
      <c r="CU54" s="163">
        <v>1</v>
      </c>
      <c r="CV54" s="163">
        <v>1</v>
      </c>
      <c r="CW54" s="163">
        <v>1</v>
      </c>
      <c r="CX54" s="163">
        <v>1</v>
      </c>
      <c r="CY54" s="163">
        <v>1</v>
      </c>
      <c r="CZ54" s="163">
        <v>1</v>
      </c>
      <c r="DA54" s="163">
        <v>1</v>
      </c>
      <c r="DB54" s="163">
        <v>1</v>
      </c>
      <c r="DC54" s="163">
        <v>1</v>
      </c>
      <c r="DD54" s="163">
        <v>1</v>
      </c>
      <c r="DE54" s="163">
        <v>1</v>
      </c>
      <c r="DF54" s="163">
        <v>1</v>
      </c>
      <c r="DG54" s="163">
        <v>1</v>
      </c>
      <c r="DH54" s="347">
        <v>1</v>
      </c>
      <c r="DI54" s="163">
        <v>1</v>
      </c>
      <c r="DJ54" s="163">
        <v>1</v>
      </c>
      <c r="DK54" s="163">
        <v>1</v>
      </c>
      <c r="DL54" s="163">
        <v>1</v>
      </c>
      <c r="DM54" s="163">
        <v>1</v>
      </c>
      <c r="DN54" s="163">
        <v>1</v>
      </c>
      <c r="DO54" s="163">
        <v>1</v>
      </c>
      <c r="DP54" s="163">
        <v>1</v>
      </c>
      <c r="DQ54" s="163">
        <v>1</v>
      </c>
      <c r="DR54" s="163">
        <v>1</v>
      </c>
      <c r="DS54" s="163">
        <v>1</v>
      </c>
      <c r="DT54" s="163">
        <v>1</v>
      </c>
      <c r="DU54" s="163">
        <v>1</v>
      </c>
      <c r="DV54" s="163">
        <v>1</v>
      </c>
      <c r="DW54" s="163">
        <v>1</v>
      </c>
      <c r="DX54" s="163">
        <v>1</v>
      </c>
      <c r="DY54" s="163">
        <v>1</v>
      </c>
      <c r="DZ54" s="163">
        <v>1</v>
      </c>
      <c r="EA54" s="163">
        <v>1</v>
      </c>
      <c r="EB54" s="163">
        <v>1</v>
      </c>
      <c r="EC54" s="163">
        <v>1</v>
      </c>
      <c r="ED54" s="163">
        <v>1</v>
      </c>
      <c r="EE54" s="163">
        <v>1</v>
      </c>
      <c r="EF54" s="163">
        <v>1</v>
      </c>
      <c r="EG54" s="163">
        <v>1</v>
      </c>
      <c r="EH54" s="163">
        <v>1</v>
      </c>
      <c r="EI54" s="163">
        <v>1</v>
      </c>
      <c r="EJ54" s="163">
        <v>1</v>
      </c>
      <c r="EK54" s="163">
        <v>1</v>
      </c>
      <c r="EL54" s="163">
        <v>1</v>
      </c>
    </row>
    <row r="55" spans="2:142" hidden="1" outlineLevel="2" x14ac:dyDescent="0.3">
      <c r="B55" s="29"/>
      <c r="C55" s="30"/>
      <c r="D55" s="30"/>
      <c r="E55" s="52" t="s">
        <v>60</v>
      </c>
      <c r="F55" s="33">
        <v>20</v>
      </c>
      <c r="G55" s="162">
        <v>45721</v>
      </c>
      <c r="H55" s="162">
        <v>45749</v>
      </c>
      <c r="I55" s="33">
        <f t="shared" si="171"/>
        <v>20</v>
      </c>
      <c r="J55" s="35">
        <v>0.20300000000000001</v>
      </c>
      <c r="K55" s="53"/>
      <c r="L55" s="127">
        <v>0</v>
      </c>
      <c r="M55" s="127">
        <v>0</v>
      </c>
      <c r="N55" s="127">
        <v>0</v>
      </c>
      <c r="O55" s="127">
        <v>0</v>
      </c>
      <c r="P55" s="127">
        <v>0</v>
      </c>
      <c r="Q55" s="127">
        <v>0</v>
      </c>
      <c r="R55" s="127">
        <v>0</v>
      </c>
      <c r="S55" s="127">
        <v>2.2727272727272728E-2</v>
      </c>
      <c r="T55" s="127">
        <v>4.5454545454545456E-2</v>
      </c>
      <c r="U55" s="127">
        <v>6.8181818181818177E-2</v>
      </c>
      <c r="V55" s="127">
        <v>9.0909090909090912E-2</v>
      </c>
      <c r="W55" s="127">
        <v>0.11363636363636363</v>
      </c>
      <c r="X55" s="127">
        <v>0.13636363636363635</v>
      </c>
      <c r="Y55" s="127">
        <v>0.15909090909090909</v>
      </c>
      <c r="Z55" s="127">
        <v>0.15909090909090909</v>
      </c>
      <c r="AA55" s="127">
        <v>0.15909090909090909</v>
      </c>
      <c r="AB55" s="127">
        <v>0.15909090909090909</v>
      </c>
      <c r="AC55" s="127">
        <v>0.15909090909090909</v>
      </c>
      <c r="AD55" s="127">
        <v>0.15909090909090909</v>
      </c>
      <c r="AE55" s="127">
        <v>0.15909090909090909</v>
      </c>
      <c r="AF55" s="127">
        <v>0.18672727272727274</v>
      </c>
      <c r="AG55" s="127">
        <v>0.29090909090909089</v>
      </c>
      <c r="AH55" s="127">
        <v>0.4</v>
      </c>
      <c r="AI55" s="127">
        <v>0.4</v>
      </c>
      <c r="AJ55" s="127">
        <v>0.4</v>
      </c>
      <c r="AK55" s="127">
        <v>0.4</v>
      </c>
      <c r="AL55" s="127">
        <v>0.4</v>
      </c>
      <c r="AM55" s="127">
        <v>0.4</v>
      </c>
      <c r="AN55" s="127">
        <v>0.60000000000000009</v>
      </c>
      <c r="AO55" s="127">
        <v>0.9563636363636363</v>
      </c>
      <c r="AP55" s="127">
        <v>0.96076363636363626</v>
      </c>
      <c r="AQ55" s="127">
        <v>0.96516363636363622</v>
      </c>
      <c r="AR55" s="127">
        <v>0.96956363636363618</v>
      </c>
      <c r="AS55" s="127">
        <v>0.97396363636363614</v>
      </c>
      <c r="AT55" s="127">
        <v>0.9783636363636361</v>
      </c>
      <c r="AU55" s="127">
        <v>0.98276363636363606</v>
      </c>
      <c r="AV55" s="127">
        <v>0.98716363636363602</v>
      </c>
      <c r="AW55" s="127">
        <v>0.99156363636363598</v>
      </c>
      <c r="AX55" s="127">
        <v>0.99596363636363594</v>
      </c>
      <c r="AY55" s="127">
        <v>1.0003636363636359</v>
      </c>
      <c r="AZ55" s="127">
        <v>1</v>
      </c>
      <c r="BA55" s="127">
        <v>1</v>
      </c>
      <c r="BB55" s="127">
        <v>1</v>
      </c>
      <c r="BC55" s="127">
        <v>1</v>
      </c>
      <c r="BD55" s="127">
        <v>1</v>
      </c>
      <c r="BE55" s="127">
        <v>1</v>
      </c>
      <c r="BF55" s="127">
        <v>1</v>
      </c>
      <c r="BG55" s="127">
        <v>1</v>
      </c>
      <c r="BH55" s="127">
        <v>1</v>
      </c>
      <c r="BI55" s="127">
        <v>1</v>
      </c>
      <c r="BJ55" s="127">
        <v>1</v>
      </c>
      <c r="BK55" s="127">
        <v>1</v>
      </c>
      <c r="BL55" s="127">
        <v>1</v>
      </c>
      <c r="BM55" s="127">
        <v>1</v>
      </c>
      <c r="BN55" s="127">
        <v>1</v>
      </c>
      <c r="BO55" s="127">
        <v>1</v>
      </c>
      <c r="BP55" s="127">
        <v>1</v>
      </c>
      <c r="BQ55" s="127">
        <v>1</v>
      </c>
      <c r="BR55" s="163">
        <v>1</v>
      </c>
      <c r="BS55" s="163">
        <v>1</v>
      </c>
      <c r="BT55" s="163">
        <v>1</v>
      </c>
      <c r="BU55" s="163">
        <v>1</v>
      </c>
      <c r="BV55" s="163">
        <v>1</v>
      </c>
      <c r="BW55" s="163">
        <v>1</v>
      </c>
      <c r="BX55" s="163">
        <v>1</v>
      </c>
      <c r="BY55" s="163">
        <v>1</v>
      </c>
      <c r="BZ55" s="163">
        <v>1</v>
      </c>
      <c r="CA55" s="163">
        <v>1</v>
      </c>
      <c r="CB55" s="163">
        <v>1</v>
      </c>
      <c r="CC55" s="163">
        <v>1</v>
      </c>
      <c r="CD55" s="163">
        <v>1</v>
      </c>
      <c r="CE55" s="163">
        <v>1</v>
      </c>
      <c r="CF55" s="163">
        <v>1</v>
      </c>
      <c r="CG55" s="163">
        <v>1</v>
      </c>
      <c r="CH55" s="163">
        <v>1</v>
      </c>
      <c r="CI55" s="163">
        <v>1</v>
      </c>
      <c r="CJ55" s="163">
        <v>1</v>
      </c>
      <c r="CK55" s="163">
        <v>1</v>
      </c>
      <c r="CL55" s="163">
        <v>1</v>
      </c>
      <c r="CM55" s="163">
        <v>1</v>
      </c>
      <c r="CN55" s="163">
        <v>1</v>
      </c>
      <c r="CO55" s="163">
        <v>1</v>
      </c>
      <c r="CP55" s="163">
        <v>1</v>
      </c>
      <c r="CQ55" s="163">
        <v>1</v>
      </c>
      <c r="CR55" s="163">
        <v>1</v>
      </c>
      <c r="CS55" s="163">
        <v>1</v>
      </c>
      <c r="CT55" s="163">
        <v>1</v>
      </c>
      <c r="CU55" s="163">
        <v>1</v>
      </c>
      <c r="CV55" s="163">
        <v>1</v>
      </c>
      <c r="CW55" s="163">
        <v>1</v>
      </c>
      <c r="CX55" s="163">
        <v>1</v>
      </c>
      <c r="CY55" s="163">
        <v>1</v>
      </c>
      <c r="CZ55" s="163">
        <v>1</v>
      </c>
      <c r="DA55" s="163">
        <v>1</v>
      </c>
      <c r="DB55" s="163">
        <v>1</v>
      </c>
      <c r="DC55" s="163">
        <v>1</v>
      </c>
      <c r="DD55" s="163">
        <v>1</v>
      </c>
      <c r="DE55" s="163">
        <v>1</v>
      </c>
      <c r="DF55" s="163">
        <v>1</v>
      </c>
      <c r="DG55" s="163">
        <v>1</v>
      </c>
      <c r="DH55" s="347">
        <v>1</v>
      </c>
      <c r="DI55" s="163">
        <v>1</v>
      </c>
      <c r="DJ55" s="163">
        <v>1</v>
      </c>
      <c r="DK55" s="163">
        <v>1</v>
      </c>
      <c r="DL55" s="163">
        <v>1</v>
      </c>
      <c r="DM55" s="163">
        <v>1</v>
      </c>
      <c r="DN55" s="163">
        <v>1</v>
      </c>
      <c r="DO55" s="163">
        <v>1</v>
      </c>
      <c r="DP55" s="163">
        <v>1</v>
      </c>
      <c r="DQ55" s="163">
        <v>1</v>
      </c>
      <c r="DR55" s="163">
        <v>1</v>
      </c>
      <c r="DS55" s="163">
        <v>1</v>
      </c>
      <c r="DT55" s="163">
        <v>1</v>
      </c>
      <c r="DU55" s="163">
        <v>1</v>
      </c>
      <c r="DV55" s="163">
        <v>1</v>
      </c>
      <c r="DW55" s="163">
        <v>1</v>
      </c>
      <c r="DX55" s="163">
        <v>1</v>
      </c>
      <c r="DY55" s="163">
        <v>1</v>
      </c>
      <c r="DZ55" s="163">
        <v>1</v>
      </c>
      <c r="EA55" s="163">
        <v>1</v>
      </c>
      <c r="EB55" s="163">
        <v>1</v>
      </c>
      <c r="EC55" s="163">
        <v>1</v>
      </c>
      <c r="ED55" s="163">
        <v>1</v>
      </c>
      <c r="EE55" s="163">
        <v>1</v>
      </c>
      <c r="EF55" s="163">
        <v>1</v>
      </c>
      <c r="EG55" s="163">
        <v>1</v>
      </c>
      <c r="EH55" s="163">
        <v>1</v>
      </c>
      <c r="EI55" s="163">
        <v>1</v>
      </c>
      <c r="EJ55" s="163">
        <v>1</v>
      </c>
      <c r="EK55" s="163">
        <v>1</v>
      </c>
      <c r="EL55" s="163">
        <v>1</v>
      </c>
    </row>
    <row r="56" spans="2:142" hidden="1" outlineLevel="2" x14ac:dyDescent="0.3">
      <c r="B56" s="29"/>
      <c r="C56" s="30"/>
      <c r="D56" s="30"/>
      <c r="E56" s="52" t="s">
        <v>61</v>
      </c>
      <c r="F56" s="33">
        <v>30</v>
      </c>
      <c r="G56" s="162">
        <v>45581</v>
      </c>
      <c r="H56" s="162">
        <v>45622</v>
      </c>
      <c r="I56" s="33">
        <f>+F56</f>
        <v>30</v>
      </c>
      <c r="J56" s="35">
        <v>6.7000000000000004E-2</v>
      </c>
      <c r="K56" s="55"/>
      <c r="L56" s="127">
        <v>0</v>
      </c>
      <c r="M56" s="127">
        <v>0</v>
      </c>
      <c r="N56" s="127">
        <v>1.0643015521064302E-3</v>
      </c>
      <c r="O56" s="127">
        <v>1.7738359201773836E-3</v>
      </c>
      <c r="P56" s="127">
        <v>2.8381374722838137E-3</v>
      </c>
      <c r="Q56" s="127">
        <v>3.5476718403547672E-3</v>
      </c>
      <c r="R56" s="127">
        <v>5.3215077605321508E-3</v>
      </c>
      <c r="S56" s="127">
        <v>1.5410199556541019E-2</v>
      </c>
      <c r="T56" s="127">
        <v>0.770509977827051</v>
      </c>
      <c r="U56" s="127">
        <v>0.85864745011086474</v>
      </c>
      <c r="V56" s="127">
        <v>0.78</v>
      </c>
      <c r="W56" s="127">
        <v>0.78749999999999998</v>
      </c>
      <c r="X56" s="127">
        <v>0.79500000000000004</v>
      </c>
      <c r="Y56" s="127">
        <v>0.80249999999999999</v>
      </c>
      <c r="Z56" s="127">
        <v>0.80249999999999999</v>
      </c>
      <c r="AA56" s="127">
        <v>0.80249999999999999</v>
      </c>
      <c r="AB56" s="127">
        <v>0.80249999999999999</v>
      </c>
      <c r="AC56" s="127">
        <v>0.80249999999999999</v>
      </c>
      <c r="AD56" s="127">
        <v>0.80249999999999999</v>
      </c>
      <c r="AE56" s="127">
        <v>0.80249999999999999</v>
      </c>
      <c r="AF56" s="127">
        <v>0.80249999999999999</v>
      </c>
      <c r="AG56" s="127">
        <v>0.80249999999999999</v>
      </c>
      <c r="AH56" s="127">
        <v>0.80249999999999999</v>
      </c>
      <c r="AI56" s="127">
        <v>0.80249999999999999</v>
      </c>
      <c r="AJ56" s="127">
        <v>0.84250000000000003</v>
      </c>
      <c r="AK56" s="127">
        <v>0.96000000000000008</v>
      </c>
      <c r="AL56" s="127">
        <v>0.96000000000000008</v>
      </c>
      <c r="AM56" s="127">
        <v>0.96000000000000008</v>
      </c>
      <c r="AN56" s="127">
        <v>0.97</v>
      </c>
      <c r="AO56" s="127">
        <v>0.98000000000000009</v>
      </c>
      <c r="AP56" s="127">
        <v>0.98670000000000013</v>
      </c>
      <c r="AQ56" s="127">
        <v>0.99340000000000017</v>
      </c>
      <c r="AR56" s="127">
        <v>1.0001000000000002</v>
      </c>
      <c r="AS56" s="127">
        <v>1</v>
      </c>
      <c r="AT56" s="127">
        <v>1</v>
      </c>
      <c r="AU56" s="127">
        <v>1</v>
      </c>
      <c r="AV56" s="127">
        <v>1</v>
      </c>
      <c r="AW56" s="127">
        <v>1</v>
      </c>
      <c r="AX56" s="127">
        <v>1</v>
      </c>
      <c r="AY56" s="127">
        <v>1</v>
      </c>
      <c r="AZ56" s="127">
        <v>1</v>
      </c>
      <c r="BA56" s="127">
        <v>1</v>
      </c>
      <c r="BB56" s="127">
        <v>1</v>
      </c>
      <c r="BC56" s="127">
        <v>1</v>
      </c>
      <c r="BD56" s="127">
        <v>1</v>
      </c>
      <c r="BE56" s="127">
        <v>1</v>
      </c>
      <c r="BF56" s="127">
        <v>1</v>
      </c>
      <c r="BG56" s="127">
        <v>1</v>
      </c>
      <c r="BH56" s="127">
        <v>1</v>
      </c>
      <c r="BI56" s="127">
        <v>1</v>
      </c>
      <c r="BJ56" s="127">
        <v>1</v>
      </c>
      <c r="BK56" s="127">
        <v>1</v>
      </c>
      <c r="BL56" s="127">
        <v>1</v>
      </c>
      <c r="BM56" s="127">
        <v>1</v>
      </c>
      <c r="BN56" s="127">
        <v>1</v>
      </c>
      <c r="BO56" s="127">
        <v>1</v>
      </c>
      <c r="BP56" s="127">
        <v>1</v>
      </c>
      <c r="BQ56" s="127">
        <v>1</v>
      </c>
      <c r="BR56" s="163">
        <v>1</v>
      </c>
      <c r="BS56" s="163">
        <v>1</v>
      </c>
      <c r="BT56" s="163">
        <v>1</v>
      </c>
      <c r="BU56" s="163">
        <v>1</v>
      </c>
      <c r="BV56" s="163">
        <v>1</v>
      </c>
      <c r="BW56" s="163">
        <v>1</v>
      </c>
      <c r="BX56" s="163">
        <v>1</v>
      </c>
      <c r="BY56" s="163">
        <v>1</v>
      </c>
      <c r="BZ56" s="163">
        <v>1</v>
      </c>
      <c r="CA56" s="163">
        <v>1</v>
      </c>
      <c r="CB56" s="163">
        <v>1</v>
      </c>
      <c r="CC56" s="163">
        <v>1</v>
      </c>
      <c r="CD56" s="163">
        <v>1</v>
      </c>
      <c r="CE56" s="163">
        <v>1</v>
      </c>
      <c r="CF56" s="163">
        <v>1</v>
      </c>
      <c r="CG56" s="163">
        <v>1</v>
      </c>
      <c r="CH56" s="163">
        <v>1</v>
      </c>
      <c r="CI56" s="163">
        <v>1</v>
      </c>
      <c r="CJ56" s="163">
        <v>1</v>
      </c>
      <c r="CK56" s="163">
        <v>1</v>
      </c>
      <c r="CL56" s="163">
        <v>1</v>
      </c>
      <c r="CM56" s="163">
        <v>1</v>
      </c>
      <c r="CN56" s="163">
        <v>1</v>
      </c>
      <c r="CO56" s="163">
        <v>1</v>
      </c>
      <c r="CP56" s="163">
        <v>1</v>
      </c>
      <c r="CQ56" s="163">
        <v>1</v>
      </c>
      <c r="CR56" s="163">
        <v>1</v>
      </c>
      <c r="CS56" s="163">
        <v>1</v>
      </c>
      <c r="CT56" s="163">
        <v>1</v>
      </c>
      <c r="CU56" s="163">
        <v>1</v>
      </c>
      <c r="CV56" s="163">
        <v>1</v>
      </c>
      <c r="CW56" s="163">
        <v>1</v>
      </c>
      <c r="CX56" s="163">
        <v>1</v>
      </c>
      <c r="CY56" s="163">
        <v>1</v>
      </c>
      <c r="CZ56" s="163">
        <v>1</v>
      </c>
      <c r="DA56" s="163">
        <v>1</v>
      </c>
      <c r="DB56" s="163">
        <v>1</v>
      </c>
      <c r="DC56" s="163">
        <v>1</v>
      </c>
      <c r="DD56" s="163">
        <v>1</v>
      </c>
      <c r="DE56" s="163">
        <v>1</v>
      </c>
      <c r="DF56" s="163">
        <v>1</v>
      </c>
      <c r="DG56" s="163">
        <v>1</v>
      </c>
      <c r="DH56" s="347">
        <v>1</v>
      </c>
      <c r="DI56" s="163">
        <v>1</v>
      </c>
      <c r="DJ56" s="163">
        <v>1</v>
      </c>
      <c r="DK56" s="163">
        <v>1</v>
      </c>
      <c r="DL56" s="163">
        <v>1</v>
      </c>
      <c r="DM56" s="163">
        <v>1</v>
      </c>
      <c r="DN56" s="163">
        <v>1</v>
      </c>
      <c r="DO56" s="163">
        <v>1</v>
      </c>
      <c r="DP56" s="163">
        <v>1</v>
      </c>
      <c r="DQ56" s="163">
        <v>1</v>
      </c>
      <c r="DR56" s="163">
        <v>1</v>
      </c>
      <c r="DS56" s="163">
        <v>1</v>
      </c>
      <c r="DT56" s="163">
        <v>1</v>
      </c>
      <c r="DU56" s="163">
        <v>1</v>
      </c>
      <c r="DV56" s="163">
        <v>1</v>
      </c>
      <c r="DW56" s="163">
        <v>1</v>
      </c>
      <c r="DX56" s="163">
        <v>1</v>
      </c>
      <c r="DY56" s="163">
        <v>1</v>
      </c>
      <c r="DZ56" s="163">
        <v>1</v>
      </c>
      <c r="EA56" s="163">
        <v>1</v>
      </c>
      <c r="EB56" s="163">
        <v>1</v>
      </c>
      <c r="EC56" s="163">
        <v>1</v>
      </c>
      <c r="ED56" s="163">
        <v>1</v>
      </c>
      <c r="EE56" s="163">
        <v>1</v>
      </c>
      <c r="EF56" s="163">
        <v>1</v>
      </c>
      <c r="EG56" s="163">
        <v>1</v>
      </c>
      <c r="EH56" s="163">
        <v>1</v>
      </c>
      <c r="EI56" s="163">
        <v>1</v>
      </c>
      <c r="EJ56" s="163">
        <v>1</v>
      </c>
      <c r="EK56" s="163">
        <v>1</v>
      </c>
      <c r="EL56" s="163">
        <v>1</v>
      </c>
    </row>
    <row r="57" spans="2:142" ht="28.8" hidden="1" outlineLevel="2" x14ac:dyDescent="0.3">
      <c r="B57" s="29"/>
      <c r="C57" s="30"/>
      <c r="D57" s="30"/>
      <c r="E57" s="52" t="s">
        <v>62</v>
      </c>
      <c r="F57" s="33"/>
      <c r="G57" s="162"/>
      <c r="H57" s="162"/>
      <c r="I57" s="33">
        <f>+F57</f>
        <v>0</v>
      </c>
      <c r="J57" s="35">
        <v>6.7000000000000004E-2</v>
      </c>
      <c r="K57" s="53"/>
      <c r="L57" s="127">
        <v>0</v>
      </c>
      <c r="M57" s="127">
        <v>1.3400335008375208E-3</v>
      </c>
      <c r="N57" s="127">
        <v>4.0201005025125624E-3</v>
      </c>
      <c r="O57" s="127">
        <v>6.3651591289782247E-2</v>
      </c>
      <c r="P57" s="127">
        <v>0.12730318257956449</v>
      </c>
      <c r="Q57" s="127">
        <v>0.16147403685092127</v>
      </c>
      <c r="R57" s="127">
        <v>0.25494137353433838</v>
      </c>
      <c r="S57" s="127">
        <v>0.32654941373534341</v>
      </c>
      <c r="T57" s="127">
        <v>0.59547738693467345</v>
      </c>
      <c r="U57" s="127">
        <v>0.60175879396984921</v>
      </c>
      <c r="V57" s="127">
        <v>0.74204355108877718</v>
      </c>
      <c r="W57" s="127">
        <v>0.77763819095477382</v>
      </c>
      <c r="X57" s="127">
        <v>0.82328308207705192</v>
      </c>
      <c r="Y57" s="127">
        <v>0.89824120603015079</v>
      </c>
      <c r="Z57" s="127">
        <v>0.99999999999999978</v>
      </c>
      <c r="AA57" s="127">
        <v>0.99999999999999978</v>
      </c>
      <c r="AB57" s="127">
        <v>0.99999999999999978</v>
      </c>
      <c r="AC57" s="127">
        <v>0.99999999999999978</v>
      </c>
      <c r="AD57" s="127">
        <v>0.99999999999999978</v>
      </c>
      <c r="AE57" s="127">
        <v>0.99999999999999978</v>
      </c>
      <c r="AF57" s="127">
        <v>0.99999999999999978</v>
      </c>
      <c r="AG57" s="127">
        <v>0.99999999999999978</v>
      </c>
      <c r="AH57" s="127">
        <v>0.99999999999999978</v>
      </c>
      <c r="AI57" s="127">
        <v>0.99999999999999978</v>
      </c>
      <c r="AJ57" s="127">
        <v>0.99999999999999978</v>
      </c>
      <c r="AK57" s="127">
        <v>0.99999999999999978</v>
      </c>
      <c r="AL57" s="127">
        <v>0.99999999999999978</v>
      </c>
      <c r="AM57" s="127">
        <v>0.99999999999999978</v>
      </c>
      <c r="AN57" s="127">
        <v>0.99999999999999978</v>
      </c>
      <c r="AO57" s="127">
        <v>0.99999999999999978</v>
      </c>
      <c r="AP57" s="127">
        <v>1</v>
      </c>
      <c r="AQ57" s="127">
        <v>1</v>
      </c>
      <c r="AR57" s="127">
        <v>1</v>
      </c>
      <c r="AS57" s="127">
        <v>1</v>
      </c>
      <c r="AT57" s="127">
        <v>1</v>
      </c>
      <c r="AU57" s="127">
        <v>1</v>
      </c>
      <c r="AV57" s="127">
        <v>1</v>
      </c>
      <c r="AW57" s="127">
        <v>1</v>
      </c>
      <c r="AX57" s="127">
        <v>1</v>
      </c>
      <c r="AY57" s="127">
        <v>1</v>
      </c>
      <c r="AZ57" s="127">
        <v>1</v>
      </c>
      <c r="BA57" s="127">
        <v>1</v>
      </c>
      <c r="BB57" s="127">
        <v>1</v>
      </c>
      <c r="BC57" s="127">
        <v>1</v>
      </c>
      <c r="BD57" s="127">
        <v>1</v>
      </c>
      <c r="BE57" s="127">
        <v>1</v>
      </c>
      <c r="BF57" s="127">
        <v>1</v>
      </c>
      <c r="BG57" s="127">
        <v>1</v>
      </c>
      <c r="BH57" s="127">
        <v>1</v>
      </c>
      <c r="BI57" s="127">
        <v>1</v>
      </c>
      <c r="BJ57" s="127">
        <v>1</v>
      </c>
      <c r="BK57" s="127">
        <v>1</v>
      </c>
      <c r="BL57" s="127">
        <v>1</v>
      </c>
      <c r="BM57" s="127">
        <v>1</v>
      </c>
      <c r="BN57" s="127">
        <v>1</v>
      </c>
      <c r="BO57" s="127">
        <v>1</v>
      </c>
      <c r="BP57" s="127">
        <v>1</v>
      </c>
      <c r="BQ57" s="127">
        <v>1</v>
      </c>
      <c r="BR57" s="163">
        <v>1</v>
      </c>
      <c r="BS57" s="163">
        <v>1</v>
      </c>
      <c r="BT57" s="163">
        <v>1</v>
      </c>
      <c r="BU57" s="163">
        <v>1</v>
      </c>
      <c r="BV57" s="163">
        <v>1</v>
      </c>
      <c r="BW57" s="163">
        <v>1</v>
      </c>
      <c r="BX57" s="163">
        <v>1</v>
      </c>
      <c r="BY57" s="163">
        <v>1</v>
      </c>
      <c r="BZ57" s="163">
        <v>1</v>
      </c>
      <c r="CA57" s="163">
        <v>1</v>
      </c>
      <c r="CB57" s="163">
        <v>1</v>
      </c>
      <c r="CC57" s="163">
        <v>1</v>
      </c>
      <c r="CD57" s="163">
        <v>1</v>
      </c>
      <c r="CE57" s="163">
        <v>1</v>
      </c>
      <c r="CF57" s="163">
        <v>1</v>
      </c>
      <c r="CG57" s="163">
        <v>1</v>
      </c>
      <c r="CH57" s="163">
        <v>1</v>
      </c>
      <c r="CI57" s="163">
        <v>1</v>
      </c>
      <c r="CJ57" s="163">
        <v>1</v>
      </c>
      <c r="CK57" s="163">
        <v>1</v>
      </c>
      <c r="CL57" s="163">
        <v>1</v>
      </c>
      <c r="CM57" s="163">
        <v>1</v>
      </c>
      <c r="CN57" s="163">
        <v>1</v>
      </c>
      <c r="CO57" s="163">
        <v>1</v>
      </c>
      <c r="CP57" s="163">
        <v>1</v>
      </c>
      <c r="CQ57" s="163">
        <v>1</v>
      </c>
      <c r="CR57" s="163">
        <v>1</v>
      </c>
      <c r="CS57" s="163">
        <v>1</v>
      </c>
      <c r="CT57" s="163">
        <v>1</v>
      </c>
      <c r="CU57" s="163">
        <v>1</v>
      </c>
      <c r="CV57" s="163">
        <v>1</v>
      </c>
      <c r="CW57" s="163">
        <v>1</v>
      </c>
      <c r="CX57" s="163">
        <v>1</v>
      </c>
      <c r="CY57" s="163">
        <v>1</v>
      </c>
      <c r="CZ57" s="163">
        <v>1</v>
      </c>
      <c r="DA57" s="163">
        <v>1</v>
      </c>
      <c r="DB57" s="163">
        <v>1</v>
      </c>
      <c r="DC57" s="163">
        <v>1</v>
      </c>
      <c r="DD57" s="163">
        <v>1</v>
      </c>
      <c r="DE57" s="163">
        <v>1</v>
      </c>
      <c r="DF57" s="163">
        <v>1</v>
      </c>
      <c r="DG57" s="163">
        <v>1</v>
      </c>
      <c r="DH57" s="347">
        <v>1</v>
      </c>
      <c r="DI57" s="163">
        <v>1</v>
      </c>
      <c r="DJ57" s="163">
        <v>1</v>
      </c>
      <c r="DK57" s="163">
        <v>1</v>
      </c>
      <c r="DL57" s="163">
        <v>1</v>
      </c>
      <c r="DM57" s="163">
        <v>1</v>
      </c>
      <c r="DN57" s="163">
        <v>1</v>
      </c>
      <c r="DO57" s="163">
        <v>1</v>
      </c>
      <c r="DP57" s="163">
        <v>1</v>
      </c>
      <c r="DQ57" s="163">
        <v>1</v>
      </c>
      <c r="DR57" s="163">
        <v>1</v>
      </c>
      <c r="DS57" s="163">
        <v>1</v>
      </c>
      <c r="DT57" s="163">
        <v>1</v>
      </c>
      <c r="DU57" s="163">
        <v>1</v>
      </c>
      <c r="DV57" s="163">
        <v>1</v>
      </c>
      <c r="DW57" s="163">
        <v>1</v>
      </c>
      <c r="DX57" s="163">
        <v>1</v>
      </c>
      <c r="DY57" s="163">
        <v>1</v>
      </c>
      <c r="DZ57" s="163">
        <v>1</v>
      </c>
      <c r="EA57" s="163">
        <v>1</v>
      </c>
      <c r="EB57" s="163">
        <v>1</v>
      </c>
      <c r="EC57" s="163">
        <v>1</v>
      </c>
      <c r="ED57" s="163">
        <v>1</v>
      </c>
      <c r="EE57" s="163">
        <v>1</v>
      </c>
      <c r="EF57" s="163">
        <v>1</v>
      </c>
      <c r="EG57" s="163">
        <v>1</v>
      </c>
      <c r="EH57" s="163">
        <v>1</v>
      </c>
      <c r="EI57" s="163">
        <v>1</v>
      </c>
      <c r="EJ57" s="163">
        <v>1</v>
      </c>
      <c r="EK57" s="163">
        <v>1</v>
      </c>
      <c r="EL57" s="163">
        <v>1</v>
      </c>
    </row>
    <row r="58" spans="2:142" ht="15" hidden="1" outlineLevel="1" collapsed="1" x14ac:dyDescent="0.3">
      <c r="B58" s="22"/>
      <c r="C58" s="23"/>
      <c r="D58" s="23" t="s">
        <v>63</v>
      </c>
      <c r="E58" s="50"/>
      <c r="F58" s="26">
        <v>106</v>
      </c>
      <c r="G58" s="160">
        <v>45576</v>
      </c>
      <c r="H58" s="160">
        <v>45756</v>
      </c>
      <c r="I58" s="26">
        <f>+SUM(I59:I71)</f>
        <v>500</v>
      </c>
      <c r="J58" s="28">
        <v>9.3701133352485519E-2</v>
      </c>
      <c r="K58" s="51"/>
      <c r="L58" s="28">
        <f>+SUMPRODUCT($J$59:$J$71,L59:L71)</f>
        <v>0</v>
      </c>
      <c r="M58" s="28">
        <f t="shared" ref="M58:BU58" si="172">+SUMPRODUCT($J$59:$J$71,M59:M71)</f>
        <v>0</v>
      </c>
      <c r="N58" s="28">
        <f t="shared" si="172"/>
        <v>0</v>
      </c>
      <c r="O58" s="28">
        <f t="shared" si="172"/>
        <v>0</v>
      </c>
      <c r="P58" s="28">
        <f t="shared" si="172"/>
        <v>0</v>
      </c>
      <c r="Q58" s="28">
        <f t="shared" si="172"/>
        <v>0</v>
      </c>
      <c r="R58" s="28">
        <f t="shared" si="172"/>
        <v>0</v>
      </c>
      <c r="S58" s="28">
        <f t="shared" si="172"/>
        <v>0</v>
      </c>
      <c r="T58" s="28">
        <f t="shared" si="172"/>
        <v>0</v>
      </c>
      <c r="U58" s="28">
        <f t="shared" si="172"/>
        <v>0</v>
      </c>
      <c r="V58" s="28">
        <f t="shared" si="172"/>
        <v>1.0640394088669951E-2</v>
      </c>
      <c r="W58" s="28">
        <f t="shared" si="172"/>
        <v>1.5546798029556651E-2</v>
      </c>
      <c r="X58" s="28">
        <f t="shared" si="172"/>
        <v>2.8480788177339903E-2</v>
      </c>
      <c r="Y58" s="28">
        <f t="shared" si="172"/>
        <v>3.712665571975917E-2</v>
      </c>
      <c r="Z58" s="28">
        <f t="shared" si="172"/>
        <v>5.0091472359058566E-2</v>
      </c>
      <c r="AA58" s="28">
        <f t="shared" si="172"/>
        <v>7.8190607553366182E-2</v>
      </c>
      <c r="AB58" s="28">
        <f t="shared" si="172"/>
        <v>9.0715413956509949E-2</v>
      </c>
      <c r="AC58" s="28">
        <f t="shared" si="172"/>
        <v>0.10745476612941796</v>
      </c>
      <c r="AD58" s="28">
        <f t="shared" si="172"/>
        <v>0.12754312286774436</v>
      </c>
      <c r="AE58" s="28">
        <f t="shared" si="172"/>
        <v>0.16211811564398107</v>
      </c>
      <c r="AF58" s="28">
        <f t="shared" si="172"/>
        <v>0.19573400214421222</v>
      </c>
      <c r="AG58" s="28">
        <f t="shared" si="172"/>
        <v>0.22375707773367132</v>
      </c>
      <c r="AH58" s="28">
        <f t="shared" si="172"/>
        <v>0.2726243533086623</v>
      </c>
      <c r="AI58" s="28">
        <f t="shared" si="172"/>
        <v>0.29726693757413347</v>
      </c>
      <c r="AJ58" s="28">
        <f t="shared" si="172"/>
        <v>0.31094027149321268</v>
      </c>
      <c r="AK58" s="28">
        <f t="shared" si="172"/>
        <v>0.32849290076000531</v>
      </c>
      <c r="AL58" s="28">
        <f t="shared" si="172"/>
        <v>0.32849290076000531</v>
      </c>
      <c r="AM58" s="28">
        <f t="shared" si="172"/>
        <v>0.32849290076000531</v>
      </c>
      <c r="AN58" s="28">
        <f t="shared" si="172"/>
        <v>0.33318430347493744</v>
      </c>
      <c r="AO58" s="28">
        <f t="shared" si="172"/>
        <v>0.34159041866186357</v>
      </c>
      <c r="AP58" s="28">
        <f t="shared" si="172"/>
        <v>0.34951441866186356</v>
      </c>
      <c r="AQ58" s="28">
        <f t="shared" si="172"/>
        <v>0.35743841866186354</v>
      </c>
      <c r="AR58" s="28">
        <f t="shared" si="172"/>
        <v>0.36536241866186353</v>
      </c>
      <c r="AS58" s="28">
        <f t="shared" si="172"/>
        <v>0.37328641866186357</v>
      </c>
      <c r="AT58" s="28">
        <f t="shared" si="172"/>
        <v>0.38121041866186356</v>
      </c>
      <c r="AU58" s="28">
        <f t="shared" si="172"/>
        <v>0.42911841866186362</v>
      </c>
      <c r="AV58" s="28">
        <f t="shared" si="172"/>
        <v>0.47684918789263292</v>
      </c>
      <c r="AW58" s="28">
        <f t="shared" si="172"/>
        <v>0.52461318789263289</v>
      </c>
      <c r="AX58" s="28">
        <f t="shared" si="172"/>
        <v>0.57110635294117662</v>
      </c>
      <c r="AY58" s="28">
        <f t="shared" si="172"/>
        <v>0.61714235294117659</v>
      </c>
      <c r="AZ58" s="28">
        <f t="shared" si="172"/>
        <v>0.66848435294117647</v>
      </c>
      <c r="BA58" s="28">
        <f t="shared" si="172"/>
        <v>0.71703600000000001</v>
      </c>
      <c r="BB58" s="28">
        <f t="shared" si="172"/>
        <v>0.76559400000000011</v>
      </c>
      <c r="BC58" s="28">
        <f t="shared" si="172"/>
        <v>0.81415199999999999</v>
      </c>
      <c r="BD58" s="28">
        <f t="shared" si="172"/>
        <v>0.86271000000000009</v>
      </c>
      <c r="BE58" s="28">
        <f t="shared" si="172"/>
        <v>0.91126800000000019</v>
      </c>
      <c r="BF58" s="28">
        <f t="shared" si="172"/>
        <v>0.95982600000000029</v>
      </c>
      <c r="BG58" s="28">
        <f t="shared" si="172"/>
        <v>0.97333199999999997</v>
      </c>
      <c r="BH58" s="28">
        <f t="shared" si="172"/>
        <v>0.98666399999999987</v>
      </c>
      <c r="BI58" s="28">
        <f t="shared" si="172"/>
        <v>1</v>
      </c>
      <c r="BJ58" s="28">
        <f t="shared" si="172"/>
        <v>1</v>
      </c>
      <c r="BK58" s="28">
        <f t="shared" si="172"/>
        <v>1</v>
      </c>
      <c r="BL58" s="28">
        <f t="shared" si="172"/>
        <v>1</v>
      </c>
      <c r="BM58" s="28">
        <f t="shared" si="172"/>
        <v>1</v>
      </c>
      <c r="BN58" s="28">
        <f t="shared" si="172"/>
        <v>1</v>
      </c>
      <c r="BO58" s="28">
        <f t="shared" si="172"/>
        <v>1</v>
      </c>
      <c r="BP58" s="28">
        <f t="shared" si="172"/>
        <v>1</v>
      </c>
      <c r="BQ58" s="28">
        <f t="shared" si="172"/>
        <v>1</v>
      </c>
      <c r="BR58" s="161">
        <f t="shared" si="172"/>
        <v>1</v>
      </c>
      <c r="BS58" s="161">
        <f t="shared" si="172"/>
        <v>1</v>
      </c>
      <c r="BT58" s="161">
        <f t="shared" si="172"/>
        <v>1</v>
      </c>
      <c r="BU58" s="161">
        <f t="shared" si="172"/>
        <v>1</v>
      </c>
      <c r="BV58" s="161">
        <f t="shared" ref="BV58:CL58" si="173">+SUMPRODUCT($J$59:$J$71,BV59:BV71)</f>
        <v>1</v>
      </c>
      <c r="BW58" s="161">
        <f t="shared" si="173"/>
        <v>1</v>
      </c>
      <c r="BX58" s="161">
        <f t="shared" si="173"/>
        <v>1</v>
      </c>
      <c r="BY58" s="161">
        <f t="shared" si="173"/>
        <v>1</v>
      </c>
      <c r="BZ58" s="161">
        <f t="shared" si="173"/>
        <v>1</v>
      </c>
      <c r="CA58" s="161">
        <f t="shared" si="173"/>
        <v>1</v>
      </c>
      <c r="CB58" s="161">
        <f t="shared" si="173"/>
        <v>1</v>
      </c>
      <c r="CC58" s="161">
        <f t="shared" si="173"/>
        <v>1</v>
      </c>
      <c r="CD58" s="161">
        <f t="shared" si="173"/>
        <v>1</v>
      </c>
      <c r="CE58" s="161">
        <f t="shared" si="173"/>
        <v>1</v>
      </c>
      <c r="CF58" s="161">
        <f t="shared" si="173"/>
        <v>1</v>
      </c>
      <c r="CG58" s="161">
        <f t="shared" si="173"/>
        <v>1</v>
      </c>
      <c r="CH58" s="161">
        <f t="shared" si="173"/>
        <v>1</v>
      </c>
      <c r="CI58" s="161">
        <f t="shared" si="173"/>
        <v>1</v>
      </c>
      <c r="CJ58" s="161">
        <f t="shared" si="173"/>
        <v>1</v>
      </c>
      <c r="CK58" s="161">
        <f t="shared" si="173"/>
        <v>1</v>
      </c>
      <c r="CL58" s="161">
        <f t="shared" si="173"/>
        <v>1</v>
      </c>
      <c r="CM58" s="161">
        <f t="shared" ref="CM58:CN58" si="174">+SUMPRODUCT($J$59:$J$71,CM59:CM71)</f>
        <v>1</v>
      </c>
      <c r="CN58" s="161">
        <f t="shared" si="174"/>
        <v>1</v>
      </c>
      <c r="CO58" s="161">
        <f t="shared" ref="CO58" si="175">+SUMPRODUCT($J$59:$J$71,CO59:CO71)</f>
        <v>1</v>
      </c>
      <c r="CP58" s="161">
        <f t="shared" ref="CP58:CV58" si="176">+SUMPRODUCT($J$59:$J$71,CP59:CP71)</f>
        <v>1</v>
      </c>
      <c r="CQ58" s="161">
        <f t="shared" si="176"/>
        <v>1</v>
      </c>
      <c r="CR58" s="161">
        <f t="shared" si="176"/>
        <v>1</v>
      </c>
      <c r="CS58" s="161">
        <f t="shared" si="176"/>
        <v>1</v>
      </c>
      <c r="CT58" s="161">
        <f t="shared" si="176"/>
        <v>1</v>
      </c>
      <c r="CU58" s="161">
        <f t="shared" si="176"/>
        <v>1</v>
      </c>
      <c r="CV58" s="161">
        <f t="shared" si="176"/>
        <v>1</v>
      </c>
      <c r="CW58" s="161">
        <f t="shared" ref="CW58:CY58" si="177">+SUMPRODUCT($J$59:$J$71,CW59:CW71)</f>
        <v>1</v>
      </c>
      <c r="CX58" s="161">
        <f t="shared" si="177"/>
        <v>1</v>
      </c>
      <c r="CY58" s="161">
        <f t="shared" si="177"/>
        <v>1</v>
      </c>
      <c r="CZ58" s="161">
        <f t="shared" ref="CZ58:DA58" si="178">+SUMPRODUCT($J$59:$J$71,CZ59:CZ71)</f>
        <v>1</v>
      </c>
      <c r="DA58" s="161">
        <f t="shared" si="178"/>
        <v>1</v>
      </c>
      <c r="DB58" s="161">
        <f t="shared" ref="DB58:DC58" si="179">+SUMPRODUCT($J$59:$J$71,DB59:DB71)</f>
        <v>1</v>
      </c>
      <c r="DC58" s="161">
        <f t="shared" si="179"/>
        <v>1</v>
      </c>
      <c r="DD58" s="161">
        <f t="shared" ref="DD58:DE58" si="180">+SUMPRODUCT($J$59:$J$71,DD59:DD71)</f>
        <v>1</v>
      </c>
      <c r="DE58" s="161">
        <f t="shared" si="180"/>
        <v>1</v>
      </c>
      <c r="DF58" s="161">
        <f t="shared" ref="DF58:DG58" si="181">+SUMPRODUCT($J$59:$J$71,DF59:DF71)</f>
        <v>1</v>
      </c>
      <c r="DG58" s="161">
        <f t="shared" si="181"/>
        <v>1</v>
      </c>
      <c r="DH58" s="346">
        <f t="shared" ref="DH58:EL58" si="182">+SUMPRODUCT($J$59:$J$71,DH59:DH71)</f>
        <v>1</v>
      </c>
      <c r="DI58" s="161">
        <f t="shared" si="182"/>
        <v>1</v>
      </c>
      <c r="DJ58" s="161">
        <f t="shared" si="182"/>
        <v>1</v>
      </c>
      <c r="DK58" s="161">
        <f t="shared" si="182"/>
        <v>1</v>
      </c>
      <c r="DL58" s="161">
        <f t="shared" si="182"/>
        <v>1</v>
      </c>
      <c r="DM58" s="161">
        <f t="shared" si="182"/>
        <v>1</v>
      </c>
      <c r="DN58" s="161">
        <f t="shared" si="182"/>
        <v>1</v>
      </c>
      <c r="DO58" s="161">
        <f t="shared" si="182"/>
        <v>1</v>
      </c>
      <c r="DP58" s="161">
        <f t="shared" si="182"/>
        <v>1</v>
      </c>
      <c r="DQ58" s="161">
        <f t="shared" si="182"/>
        <v>1</v>
      </c>
      <c r="DR58" s="161">
        <f t="shared" si="182"/>
        <v>1</v>
      </c>
      <c r="DS58" s="161">
        <f t="shared" si="182"/>
        <v>1</v>
      </c>
      <c r="DT58" s="161">
        <f t="shared" si="182"/>
        <v>1</v>
      </c>
      <c r="DU58" s="161">
        <f t="shared" si="182"/>
        <v>1</v>
      </c>
      <c r="DV58" s="161">
        <f t="shared" si="182"/>
        <v>1</v>
      </c>
      <c r="DW58" s="161">
        <f t="shared" si="182"/>
        <v>1</v>
      </c>
      <c r="DX58" s="161">
        <f t="shared" si="182"/>
        <v>1</v>
      </c>
      <c r="DY58" s="161">
        <f t="shared" si="182"/>
        <v>1</v>
      </c>
      <c r="DZ58" s="161">
        <f t="shared" si="182"/>
        <v>1</v>
      </c>
      <c r="EA58" s="161">
        <f t="shared" si="182"/>
        <v>1</v>
      </c>
      <c r="EB58" s="161">
        <f t="shared" si="182"/>
        <v>1</v>
      </c>
      <c r="EC58" s="161">
        <f t="shared" si="182"/>
        <v>1</v>
      </c>
      <c r="ED58" s="161">
        <f t="shared" si="182"/>
        <v>1</v>
      </c>
      <c r="EE58" s="161">
        <f t="shared" si="182"/>
        <v>1</v>
      </c>
      <c r="EF58" s="161">
        <f t="shared" si="182"/>
        <v>1</v>
      </c>
      <c r="EG58" s="161">
        <f t="shared" si="182"/>
        <v>1</v>
      </c>
      <c r="EH58" s="161">
        <f t="shared" si="182"/>
        <v>1</v>
      </c>
      <c r="EI58" s="161">
        <f t="shared" si="182"/>
        <v>1</v>
      </c>
      <c r="EJ58" s="161">
        <f t="shared" si="182"/>
        <v>1</v>
      </c>
      <c r="EK58" s="161">
        <f t="shared" si="182"/>
        <v>1</v>
      </c>
      <c r="EL58" s="161">
        <f t="shared" si="182"/>
        <v>1</v>
      </c>
    </row>
    <row r="59" spans="2:142" hidden="1" outlineLevel="2" x14ac:dyDescent="0.3">
      <c r="B59" s="29"/>
      <c r="C59" s="30"/>
      <c r="D59" s="30"/>
      <c r="E59" s="52" t="s">
        <v>64</v>
      </c>
      <c r="F59" s="33">
        <v>30</v>
      </c>
      <c r="G59" s="162">
        <v>45576</v>
      </c>
      <c r="H59" s="162">
        <v>45617</v>
      </c>
      <c r="I59" s="33">
        <f>+F59</f>
        <v>30</v>
      </c>
      <c r="J59" s="35">
        <v>0.06</v>
      </c>
      <c r="K59" s="53"/>
      <c r="L59" s="127">
        <v>0</v>
      </c>
      <c r="M59" s="127">
        <v>0</v>
      </c>
      <c r="N59" s="127">
        <v>0</v>
      </c>
      <c r="O59" s="127">
        <v>0</v>
      </c>
      <c r="P59" s="127">
        <v>0</v>
      </c>
      <c r="Q59" s="127">
        <v>0</v>
      </c>
      <c r="R59" s="127">
        <v>0</v>
      </c>
      <c r="S59" s="127">
        <v>0</v>
      </c>
      <c r="T59" s="127">
        <v>0</v>
      </c>
      <c r="U59" s="127">
        <v>0</v>
      </c>
      <c r="V59" s="127">
        <v>0</v>
      </c>
      <c r="W59" s="127">
        <v>0</v>
      </c>
      <c r="X59" s="127">
        <v>0</v>
      </c>
      <c r="Y59" s="127">
        <v>0</v>
      </c>
      <c r="Z59" s="127">
        <v>0</v>
      </c>
      <c r="AA59" s="127">
        <v>0</v>
      </c>
      <c r="AB59" s="127">
        <v>4.7785194174757278E-3</v>
      </c>
      <c r="AC59" s="127">
        <v>4.8847087378640783E-2</v>
      </c>
      <c r="AD59" s="127">
        <v>0.12238319174757284</v>
      </c>
      <c r="AE59" s="127">
        <v>0.16990291262135923</v>
      </c>
      <c r="AF59" s="127">
        <v>0.21140776699029126</v>
      </c>
      <c r="AG59" s="127">
        <v>0.24253640776699031</v>
      </c>
      <c r="AH59" s="127">
        <v>0.33592233009708738</v>
      </c>
      <c r="AI59" s="127">
        <v>0.46043689320388348</v>
      </c>
      <c r="AJ59" s="127">
        <v>0.6</v>
      </c>
      <c r="AK59" s="127">
        <v>0.82014563106796112</v>
      </c>
      <c r="AL59" s="127">
        <v>0.82014563106796112</v>
      </c>
      <c r="AM59" s="127">
        <v>0.82014563106796112</v>
      </c>
      <c r="AN59" s="127">
        <v>0.82014563106796112</v>
      </c>
      <c r="AO59" s="127">
        <v>0.83398058252427176</v>
      </c>
      <c r="AP59" s="127">
        <v>0.8547805825242718</v>
      </c>
      <c r="AQ59" s="127">
        <v>0.87558058252427184</v>
      </c>
      <c r="AR59" s="127">
        <v>0.89638058252427188</v>
      </c>
      <c r="AS59" s="127">
        <v>0.91718058252427193</v>
      </c>
      <c r="AT59" s="127">
        <v>0.93798058252427197</v>
      </c>
      <c r="AU59" s="127">
        <v>0.95878058252427201</v>
      </c>
      <c r="AV59" s="127">
        <v>0.97958058252427205</v>
      </c>
      <c r="AW59" s="127">
        <v>1.000380582524272</v>
      </c>
      <c r="AX59" s="127">
        <v>1</v>
      </c>
      <c r="AY59" s="127">
        <v>1</v>
      </c>
      <c r="AZ59" s="127">
        <v>1</v>
      </c>
      <c r="BA59" s="127">
        <v>1</v>
      </c>
      <c r="BB59" s="127">
        <v>1</v>
      </c>
      <c r="BC59" s="127">
        <v>1</v>
      </c>
      <c r="BD59" s="127">
        <v>1</v>
      </c>
      <c r="BE59" s="127">
        <v>1</v>
      </c>
      <c r="BF59" s="127">
        <v>1</v>
      </c>
      <c r="BG59" s="127">
        <v>1</v>
      </c>
      <c r="BH59" s="127">
        <v>1</v>
      </c>
      <c r="BI59" s="127">
        <v>1</v>
      </c>
      <c r="BJ59" s="127">
        <v>1</v>
      </c>
      <c r="BK59" s="127">
        <v>1</v>
      </c>
      <c r="BL59" s="127">
        <v>1</v>
      </c>
      <c r="BM59" s="127">
        <v>1</v>
      </c>
      <c r="BN59" s="127">
        <v>1</v>
      </c>
      <c r="BO59" s="127">
        <v>1</v>
      </c>
      <c r="BP59" s="127">
        <v>1</v>
      </c>
      <c r="BQ59" s="127">
        <v>1</v>
      </c>
      <c r="BR59" s="163">
        <v>1</v>
      </c>
      <c r="BS59" s="163">
        <v>1</v>
      </c>
      <c r="BT59" s="163">
        <v>1</v>
      </c>
      <c r="BU59" s="163">
        <v>1</v>
      </c>
      <c r="BV59" s="163">
        <v>1</v>
      </c>
      <c r="BW59" s="163">
        <v>1</v>
      </c>
      <c r="BX59" s="163">
        <v>1</v>
      </c>
      <c r="BY59" s="163">
        <v>1</v>
      </c>
      <c r="BZ59" s="163">
        <v>1</v>
      </c>
      <c r="CA59" s="163">
        <v>1</v>
      </c>
      <c r="CB59" s="163">
        <v>1</v>
      </c>
      <c r="CC59" s="163">
        <v>1</v>
      </c>
      <c r="CD59" s="163">
        <v>1</v>
      </c>
      <c r="CE59" s="163">
        <v>1</v>
      </c>
      <c r="CF59" s="163">
        <v>1</v>
      </c>
      <c r="CG59" s="163">
        <v>1</v>
      </c>
      <c r="CH59" s="163">
        <v>1</v>
      </c>
      <c r="CI59" s="163">
        <v>1</v>
      </c>
      <c r="CJ59" s="163">
        <v>1</v>
      </c>
      <c r="CK59" s="163">
        <v>1</v>
      </c>
      <c r="CL59" s="163">
        <v>1</v>
      </c>
      <c r="CM59" s="163">
        <v>1</v>
      </c>
      <c r="CN59" s="163">
        <v>1</v>
      </c>
      <c r="CO59" s="163">
        <v>1</v>
      </c>
      <c r="CP59" s="163">
        <v>1</v>
      </c>
      <c r="CQ59" s="163">
        <v>1</v>
      </c>
      <c r="CR59" s="163">
        <v>1</v>
      </c>
      <c r="CS59" s="163">
        <v>1</v>
      </c>
      <c r="CT59" s="163">
        <v>1</v>
      </c>
      <c r="CU59" s="163">
        <v>1</v>
      </c>
      <c r="CV59" s="163">
        <v>1</v>
      </c>
      <c r="CW59" s="163">
        <v>1</v>
      </c>
      <c r="CX59" s="163">
        <v>1</v>
      </c>
      <c r="CY59" s="163">
        <v>1</v>
      </c>
      <c r="CZ59" s="163">
        <v>1</v>
      </c>
      <c r="DA59" s="163">
        <v>1</v>
      </c>
      <c r="DB59" s="163">
        <v>1</v>
      </c>
      <c r="DC59" s="163">
        <v>1</v>
      </c>
      <c r="DD59" s="163">
        <v>1</v>
      </c>
      <c r="DE59" s="163">
        <v>1</v>
      </c>
      <c r="DF59" s="163">
        <v>1</v>
      </c>
      <c r="DG59" s="163">
        <v>1</v>
      </c>
      <c r="DH59" s="347">
        <v>1</v>
      </c>
      <c r="DI59" s="163">
        <v>1</v>
      </c>
      <c r="DJ59" s="163">
        <v>1</v>
      </c>
      <c r="DK59" s="163">
        <v>1</v>
      </c>
      <c r="DL59" s="163">
        <v>1</v>
      </c>
      <c r="DM59" s="163">
        <v>1</v>
      </c>
      <c r="DN59" s="163">
        <v>1</v>
      </c>
      <c r="DO59" s="163">
        <v>1</v>
      </c>
      <c r="DP59" s="163">
        <v>1</v>
      </c>
      <c r="DQ59" s="163">
        <v>1</v>
      </c>
      <c r="DR59" s="163">
        <v>1</v>
      </c>
      <c r="DS59" s="163">
        <v>1</v>
      </c>
      <c r="DT59" s="163">
        <v>1</v>
      </c>
      <c r="DU59" s="163">
        <v>1</v>
      </c>
      <c r="DV59" s="163">
        <v>1</v>
      </c>
      <c r="DW59" s="163">
        <v>1</v>
      </c>
      <c r="DX59" s="163">
        <v>1</v>
      </c>
      <c r="DY59" s="163">
        <v>1</v>
      </c>
      <c r="DZ59" s="163">
        <v>1</v>
      </c>
      <c r="EA59" s="163">
        <v>1</v>
      </c>
      <c r="EB59" s="163">
        <v>1</v>
      </c>
      <c r="EC59" s="163">
        <v>1</v>
      </c>
      <c r="ED59" s="163">
        <v>1</v>
      </c>
      <c r="EE59" s="163">
        <v>1</v>
      </c>
      <c r="EF59" s="163">
        <v>1</v>
      </c>
      <c r="EG59" s="163">
        <v>1</v>
      </c>
      <c r="EH59" s="163">
        <v>1</v>
      </c>
      <c r="EI59" s="163">
        <v>1</v>
      </c>
      <c r="EJ59" s="163">
        <v>1</v>
      </c>
      <c r="EK59" s="163">
        <v>1</v>
      </c>
      <c r="EL59" s="163">
        <v>1</v>
      </c>
    </row>
    <row r="60" spans="2:142" hidden="1" outlineLevel="2" x14ac:dyDescent="0.3">
      <c r="B60" s="29"/>
      <c r="C60" s="30"/>
      <c r="D60" s="30"/>
      <c r="E60" s="52" t="s">
        <v>65</v>
      </c>
      <c r="F60" s="33">
        <v>10</v>
      </c>
      <c r="G60" s="162">
        <v>45743</v>
      </c>
      <c r="H60" s="162">
        <v>45756</v>
      </c>
      <c r="I60" s="33">
        <f t="shared" ref="I60:I71" si="183">+F60</f>
        <v>10</v>
      </c>
      <c r="J60" s="35">
        <v>0.02</v>
      </c>
      <c r="K60" s="53"/>
      <c r="L60" s="127">
        <v>0</v>
      </c>
      <c r="M60" s="127">
        <v>0</v>
      </c>
      <c r="N60" s="127">
        <v>0</v>
      </c>
      <c r="O60" s="127">
        <v>0</v>
      </c>
      <c r="P60" s="127">
        <v>0</v>
      </c>
      <c r="Q60" s="127">
        <v>0</v>
      </c>
      <c r="R60" s="127">
        <v>0</v>
      </c>
      <c r="S60" s="127">
        <v>0</v>
      </c>
      <c r="T60" s="127">
        <v>0</v>
      </c>
      <c r="U60" s="127">
        <v>0</v>
      </c>
      <c r="V60" s="127">
        <v>0</v>
      </c>
      <c r="W60" s="127">
        <v>0</v>
      </c>
      <c r="X60" s="127">
        <v>0</v>
      </c>
      <c r="Y60" s="127">
        <v>0</v>
      </c>
      <c r="Z60" s="127">
        <v>0</v>
      </c>
      <c r="AA60" s="127">
        <v>0</v>
      </c>
      <c r="AB60" s="127">
        <v>0</v>
      </c>
      <c r="AC60" s="127">
        <v>0</v>
      </c>
      <c r="AD60" s="127">
        <v>0</v>
      </c>
      <c r="AE60" s="127">
        <v>0</v>
      </c>
      <c r="AF60" s="127">
        <v>0</v>
      </c>
      <c r="AG60" s="127">
        <v>0</v>
      </c>
      <c r="AH60" s="127">
        <v>0</v>
      </c>
      <c r="AI60" s="127">
        <v>0</v>
      </c>
      <c r="AJ60" s="127">
        <v>0</v>
      </c>
      <c r="AK60" s="127">
        <v>0</v>
      </c>
      <c r="AL60" s="127">
        <v>0</v>
      </c>
      <c r="AM60" s="127">
        <v>0</v>
      </c>
      <c r="AN60" s="127">
        <v>0</v>
      </c>
      <c r="AO60" s="127">
        <v>0</v>
      </c>
      <c r="AP60" s="127">
        <v>0</v>
      </c>
      <c r="AQ60" s="127">
        <v>0</v>
      </c>
      <c r="AR60" s="127">
        <v>0</v>
      </c>
      <c r="AS60" s="127">
        <v>0</v>
      </c>
      <c r="AT60" s="127">
        <v>0</v>
      </c>
      <c r="AU60" s="127">
        <v>0</v>
      </c>
      <c r="AV60" s="127">
        <v>0</v>
      </c>
      <c r="AW60" s="127">
        <v>0</v>
      </c>
      <c r="AX60" s="127">
        <v>0</v>
      </c>
      <c r="AY60" s="127">
        <v>0</v>
      </c>
      <c r="AZ60" s="127">
        <v>0</v>
      </c>
      <c r="BA60" s="127">
        <v>0</v>
      </c>
      <c r="BB60" s="127">
        <v>0</v>
      </c>
      <c r="BC60" s="127">
        <v>0</v>
      </c>
      <c r="BD60" s="127">
        <v>0</v>
      </c>
      <c r="BE60" s="127">
        <v>0</v>
      </c>
      <c r="BF60" s="127">
        <v>0</v>
      </c>
      <c r="BG60" s="127">
        <v>0.33329999999999999</v>
      </c>
      <c r="BH60" s="127">
        <v>0.66659999999999997</v>
      </c>
      <c r="BI60" s="127">
        <v>1</v>
      </c>
      <c r="BJ60" s="127">
        <v>1</v>
      </c>
      <c r="BK60" s="127">
        <v>1</v>
      </c>
      <c r="BL60" s="127">
        <v>1</v>
      </c>
      <c r="BM60" s="127">
        <v>1</v>
      </c>
      <c r="BN60" s="127">
        <v>1</v>
      </c>
      <c r="BO60" s="127">
        <v>1</v>
      </c>
      <c r="BP60" s="127">
        <v>1</v>
      </c>
      <c r="BQ60" s="127">
        <v>1</v>
      </c>
      <c r="BR60" s="163">
        <v>1</v>
      </c>
      <c r="BS60" s="163">
        <v>1</v>
      </c>
      <c r="BT60" s="163">
        <v>1</v>
      </c>
      <c r="BU60" s="163">
        <v>1</v>
      </c>
      <c r="BV60" s="163">
        <v>1</v>
      </c>
      <c r="BW60" s="163">
        <v>1</v>
      </c>
      <c r="BX60" s="163">
        <v>1</v>
      </c>
      <c r="BY60" s="163">
        <v>1</v>
      </c>
      <c r="BZ60" s="163">
        <v>1</v>
      </c>
      <c r="CA60" s="163">
        <v>1</v>
      </c>
      <c r="CB60" s="163">
        <v>1</v>
      </c>
      <c r="CC60" s="163">
        <v>1</v>
      </c>
      <c r="CD60" s="163">
        <v>1</v>
      </c>
      <c r="CE60" s="163">
        <v>1</v>
      </c>
      <c r="CF60" s="163">
        <v>1</v>
      </c>
      <c r="CG60" s="163">
        <v>1</v>
      </c>
      <c r="CH60" s="163">
        <v>1</v>
      </c>
      <c r="CI60" s="163">
        <v>1</v>
      </c>
      <c r="CJ60" s="163">
        <v>1</v>
      </c>
      <c r="CK60" s="163">
        <v>1</v>
      </c>
      <c r="CL60" s="163">
        <v>1</v>
      </c>
      <c r="CM60" s="163">
        <v>1</v>
      </c>
      <c r="CN60" s="163">
        <v>1</v>
      </c>
      <c r="CO60" s="163">
        <v>1</v>
      </c>
      <c r="CP60" s="163">
        <v>1</v>
      </c>
      <c r="CQ60" s="163">
        <v>1</v>
      </c>
      <c r="CR60" s="163">
        <v>1</v>
      </c>
      <c r="CS60" s="163">
        <v>1</v>
      </c>
      <c r="CT60" s="163">
        <v>1</v>
      </c>
      <c r="CU60" s="163">
        <v>1</v>
      </c>
      <c r="CV60" s="163">
        <v>1</v>
      </c>
      <c r="CW60" s="163">
        <v>1</v>
      </c>
      <c r="CX60" s="163">
        <v>1</v>
      </c>
      <c r="CY60" s="163">
        <v>1</v>
      </c>
      <c r="CZ60" s="163">
        <v>1</v>
      </c>
      <c r="DA60" s="163">
        <v>1</v>
      </c>
      <c r="DB60" s="163">
        <v>1</v>
      </c>
      <c r="DC60" s="163">
        <v>1</v>
      </c>
      <c r="DD60" s="163">
        <v>1</v>
      </c>
      <c r="DE60" s="163">
        <v>1</v>
      </c>
      <c r="DF60" s="163">
        <v>1</v>
      </c>
      <c r="DG60" s="163">
        <v>1</v>
      </c>
      <c r="DH60" s="347">
        <v>1</v>
      </c>
      <c r="DI60" s="163">
        <v>1</v>
      </c>
      <c r="DJ60" s="163">
        <v>1</v>
      </c>
      <c r="DK60" s="163">
        <v>1</v>
      </c>
      <c r="DL60" s="163">
        <v>1</v>
      </c>
      <c r="DM60" s="163">
        <v>1</v>
      </c>
      <c r="DN60" s="163">
        <v>1</v>
      </c>
      <c r="DO60" s="163">
        <v>1</v>
      </c>
      <c r="DP60" s="163">
        <v>1</v>
      </c>
      <c r="DQ60" s="163">
        <v>1</v>
      </c>
      <c r="DR60" s="163">
        <v>1</v>
      </c>
      <c r="DS60" s="163">
        <v>1</v>
      </c>
      <c r="DT60" s="163">
        <v>1</v>
      </c>
      <c r="DU60" s="163">
        <v>1</v>
      </c>
      <c r="DV60" s="163">
        <v>1</v>
      </c>
      <c r="DW60" s="163">
        <v>1</v>
      </c>
      <c r="DX60" s="163">
        <v>1</v>
      </c>
      <c r="DY60" s="163">
        <v>1</v>
      </c>
      <c r="DZ60" s="163">
        <v>1</v>
      </c>
      <c r="EA60" s="163">
        <v>1</v>
      </c>
      <c r="EB60" s="163">
        <v>1</v>
      </c>
      <c r="EC60" s="163">
        <v>1</v>
      </c>
      <c r="ED60" s="163">
        <v>1</v>
      </c>
      <c r="EE60" s="163">
        <v>1</v>
      </c>
      <c r="EF60" s="163">
        <v>1</v>
      </c>
      <c r="EG60" s="163">
        <v>1</v>
      </c>
      <c r="EH60" s="163">
        <v>1</v>
      </c>
      <c r="EI60" s="163">
        <v>1</v>
      </c>
      <c r="EJ60" s="163">
        <v>1</v>
      </c>
      <c r="EK60" s="163">
        <v>1</v>
      </c>
      <c r="EL60" s="163">
        <v>1</v>
      </c>
    </row>
    <row r="61" spans="2:142" hidden="1" outlineLevel="2" x14ac:dyDescent="0.3">
      <c r="B61" s="29"/>
      <c r="C61" s="30"/>
      <c r="D61" s="30"/>
      <c r="E61" s="52" t="s">
        <v>66</v>
      </c>
      <c r="F61" s="33">
        <v>40</v>
      </c>
      <c r="G61" s="162">
        <v>45590</v>
      </c>
      <c r="H61" s="162">
        <v>45673</v>
      </c>
      <c r="I61" s="33">
        <f t="shared" si="183"/>
        <v>40</v>
      </c>
      <c r="J61" s="35">
        <v>0.08</v>
      </c>
      <c r="K61" s="53"/>
      <c r="L61" s="127">
        <v>0</v>
      </c>
      <c r="M61" s="127">
        <v>0</v>
      </c>
      <c r="N61" s="127">
        <v>0</v>
      </c>
      <c r="O61" s="127">
        <v>0</v>
      </c>
      <c r="P61" s="127">
        <v>0</v>
      </c>
      <c r="Q61" s="127">
        <v>0</v>
      </c>
      <c r="R61" s="127">
        <v>0</v>
      </c>
      <c r="S61" s="127">
        <v>0</v>
      </c>
      <c r="T61" s="127">
        <v>0</v>
      </c>
      <c r="U61" s="127">
        <v>0</v>
      </c>
      <c r="V61" s="127">
        <v>0.13300492610837439</v>
      </c>
      <c r="W61" s="127">
        <v>0.19433497536945812</v>
      </c>
      <c r="X61" s="127">
        <v>0.3560098522167488</v>
      </c>
      <c r="Y61" s="127">
        <v>0.46408319649698965</v>
      </c>
      <c r="Z61" s="127">
        <v>0.62614340448823202</v>
      </c>
      <c r="AA61" s="127">
        <v>0.93452545155993438</v>
      </c>
      <c r="AB61" s="127">
        <v>0.93452545155993438</v>
      </c>
      <c r="AC61" s="127">
        <v>0.93452545155993438</v>
      </c>
      <c r="AD61" s="127">
        <v>0.93452545155993438</v>
      </c>
      <c r="AE61" s="127">
        <v>0.93452545155993438</v>
      </c>
      <c r="AF61" s="127">
        <v>0.93452545155993438</v>
      </c>
      <c r="AG61" s="127">
        <v>0.93452545155993438</v>
      </c>
      <c r="AH61" s="127">
        <v>0.95000000000000018</v>
      </c>
      <c r="AI61" s="127">
        <v>0.95000000000000018</v>
      </c>
      <c r="AJ61" s="127">
        <v>0.95000000000000018</v>
      </c>
      <c r="AK61" s="127">
        <v>0.95000000000000018</v>
      </c>
      <c r="AL61" s="127">
        <v>0.95000000000000018</v>
      </c>
      <c r="AM61" s="127">
        <v>0.95000000000000018</v>
      </c>
      <c r="AN61" s="127">
        <v>0.95000000000000018</v>
      </c>
      <c r="AO61" s="127">
        <v>0.95000000000000018</v>
      </c>
      <c r="AP61" s="127">
        <v>0.95560000000000023</v>
      </c>
      <c r="AQ61" s="127">
        <v>0.96120000000000028</v>
      </c>
      <c r="AR61" s="127">
        <v>0.96680000000000033</v>
      </c>
      <c r="AS61" s="127">
        <v>0.97240000000000038</v>
      </c>
      <c r="AT61" s="127">
        <v>0.97800000000000042</v>
      </c>
      <c r="AU61" s="127">
        <v>0.98360000000000047</v>
      </c>
      <c r="AV61" s="127">
        <v>0.98920000000000052</v>
      </c>
      <c r="AW61" s="127">
        <v>0.99480000000000057</v>
      </c>
      <c r="AX61" s="127">
        <v>1.0004000000000006</v>
      </c>
      <c r="AY61" s="127">
        <v>1</v>
      </c>
      <c r="AZ61" s="127">
        <v>1</v>
      </c>
      <c r="BA61" s="127">
        <v>1</v>
      </c>
      <c r="BB61" s="127">
        <v>1</v>
      </c>
      <c r="BC61" s="127">
        <v>1</v>
      </c>
      <c r="BD61" s="127">
        <v>1</v>
      </c>
      <c r="BE61" s="127">
        <v>1</v>
      </c>
      <c r="BF61" s="127">
        <v>1</v>
      </c>
      <c r="BG61" s="127">
        <v>1</v>
      </c>
      <c r="BH61" s="127">
        <v>1</v>
      </c>
      <c r="BI61" s="127">
        <v>1</v>
      </c>
      <c r="BJ61" s="127">
        <v>1</v>
      </c>
      <c r="BK61" s="127">
        <v>1</v>
      </c>
      <c r="BL61" s="127">
        <v>1</v>
      </c>
      <c r="BM61" s="127">
        <v>1</v>
      </c>
      <c r="BN61" s="127">
        <v>1</v>
      </c>
      <c r="BO61" s="127">
        <v>1</v>
      </c>
      <c r="BP61" s="127">
        <v>1</v>
      </c>
      <c r="BQ61" s="127">
        <v>1</v>
      </c>
      <c r="BR61" s="163">
        <v>1</v>
      </c>
      <c r="BS61" s="163">
        <v>1</v>
      </c>
      <c r="BT61" s="163">
        <v>1</v>
      </c>
      <c r="BU61" s="163">
        <v>1</v>
      </c>
      <c r="BV61" s="163">
        <v>1</v>
      </c>
      <c r="BW61" s="163">
        <v>1</v>
      </c>
      <c r="BX61" s="163">
        <v>1</v>
      </c>
      <c r="BY61" s="163">
        <v>1</v>
      </c>
      <c r="BZ61" s="163">
        <v>1</v>
      </c>
      <c r="CA61" s="163">
        <v>1</v>
      </c>
      <c r="CB61" s="163">
        <v>1</v>
      </c>
      <c r="CC61" s="163">
        <v>1</v>
      </c>
      <c r="CD61" s="163">
        <v>1</v>
      </c>
      <c r="CE61" s="163">
        <v>1</v>
      </c>
      <c r="CF61" s="163">
        <v>1</v>
      </c>
      <c r="CG61" s="163">
        <v>1</v>
      </c>
      <c r="CH61" s="163">
        <v>1</v>
      </c>
      <c r="CI61" s="163">
        <v>1</v>
      </c>
      <c r="CJ61" s="163">
        <v>1</v>
      </c>
      <c r="CK61" s="163">
        <v>1</v>
      </c>
      <c r="CL61" s="163">
        <v>1</v>
      </c>
      <c r="CM61" s="163">
        <v>1</v>
      </c>
      <c r="CN61" s="163">
        <v>1</v>
      </c>
      <c r="CO61" s="163">
        <v>1</v>
      </c>
      <c r="CP61" s="163">
        <v>1</v>
      </c>
      <c r="CQ61" s="163">
        <v>1</v>
      </c>
      <c r="CR61" s="163">
        <v>1</v>
      </c>
      <c r="CS61" s="163">
        <v>1</v>
      </c>
      <c r="CT61" s="163">
        <v>1</v>
      </c>
      <c r="CU61" s="163">
        <v>1</v>
      </c>
      <c r="CV61" s="163">
        <v>1</v>
      </c>
      <c r="CW61" s="163">
        <v>1</v>
      </c>
      <c r="CX61" s="163">
        <v>1</v>
      </c>
      <c r="CY61" s="163">
        <v>1</v>
      </c>
      <c r="CZ61" s="163">
        <v>1</v>
      </c>
      <c r="DA61" s="163">
        <v>1</v>
      </c>
      <c r="DB61" s="163">
        <v>1</v>
      </c>
      <c r="DC61" s="163">
        <v>1</v>
      </c>
      <c r="DD61" s="163">
        <v>1</v>
      </c>
      <c r="DE61" s="163">
        <v>1</v>
      </c>
      <c r="DF61" s="163">
        <v>1</v>
      </c>
      <c r="DG61" s="163">
        <v>1</v>
      </c>
      <c r="DH61" s="347">
        <v>1</v>
      </c>
      <c r="DI61" s="163">
        <v>1</v>
      </c>
      <c r="DJ61" s="163">
        <v>1</v>
      </c>
      <c r="DK61" s="163">
        <v>1</v>
      </c>
      <c r="DL61" s="163">
        <v>1</v>
      </c>
      <c r="DM61" s="163">
        <v>1</v>
      </c>
      <c r="DN61" s="163">
        <v>1</v>
      </c>
      <c r="DO61" s="163">
        <v>1</v>
      </c>
      <c r="DP61" s="163">
        <v>1</v>
      </c>
      <c r="DQ61" s="163">
        <v>1</v>
      </c>
      <c r="DR61" s="163">
        <v>1</v>
      </c>
      <c r="DS61" s="163">
        <v>1</v>
      </c>
      <c r="DT61" s="163">
        <v>1</v>
      </c>
      <c r="DU61" s="163">
        <v>1</v>
      </c>
      <c r="DV61" s="163">
        <v>1</v>
      </c>
      <c r="DW61" s="163">
        <v>1</v>
      </c>
      <c r="DX61" s="163">
        <v>1</v>
      </c>
      <c r="DY61" s="163">
        <v>1</v>
      </c>
      <c r="DZ61" s="163">
        <v>1</v>
      </c>
      <c r="EA61" s="163">
        <v>1</v>
      </c>
      <c r="EB61" s="163">
        <v>1</v>
      </c>
      <c r="EC61" s="163">
        <v>1</v>
      </c>
      <c r="ED61" s="163">
        <v>1</v>
      </c>
      <c r="EE61" s="163">
        <v>1</v>
      </c>
      <c r="EF61" s="163">
        <v>1</v>
      </c>
      <c r="EG61" s="163">
        <v>1</v>
      </c>
      <c r="EH61" s="163">
        <v>1</v>
      </c>
      <c r="EI61" s="163">
        <v>1</v>
      </c>
      <c r="EJ61" s="163">
        <v>1</v>
      </c>
      <c r="EK61" s="163">
        <v>1</v>
      </c>
      <c r="EL61" s="163">
        <v>1</v>
      </c>
    </row>
    <row r="62" spans="2:142" hidden="1" outlineLevel="2" x14ac:dyDescent="0.3">
      <c r="B62" s="29"/>
      <c r="C62" s="30"/>
      <c r="D62" s="30"/>
      <c r="E62" s="52" t="s">
        <v>67</v>
      </c>
      <c r="F62" s="33">
        <v>30</v>
      </c>
      <c r="G62" s="162">
        <v>45583</v>
      </c>
      <c r="H62" s="162">
        <v>45624</v>
      </c>
      <c r="I62" s="33">
        <f t="shared" si="183"/>
        <v>30</v>
      </c>
      <c r="J62" s="35">
        <v>0.06</v>
      </c>
      <c r="K62" s="53"/>
      <c r="L62" s="127">
        <v>0</v>
      </c>
      <c r="M62" s="127">
        <v>0</v>
      </c>
      <c r="N62" s="127">
        <v>0</v>
      </c>
      <c r="O62" s="127">
        <v>0</v>
      </c>
      <c r="P62" s="127">
        <v>0</v>
      </c>
      <c r="Q62" s="127">
        <v>0</v>
      </c>
      <c r="R62" s="127">
        <v>0</v>
      </c>
      <c r="S62" s="127">
        <v>0</v>
      </c>
      <c r="T62" s="127">
        <v>0</v>
      </c>
      <c r="U62" s="127">
        <v>0</v>
      </c>
      <c r="V62" s="127">
        <v>0</v>
      </c>
      <c r="W62" s="127">
        <v>0</v>
      </c>
      <c r="X62" s="127">
        <v>0</v>
      </c>
      <c r="Y62" s="127">
        <v>0</v>
      </c>
      <c r="Z62" s="127">
        <v>0</v>
      </c>
      <c r="AA62" s="127">
        <v>0</v>
      </c>
      <c r="AB62" s="127">
        <v>0</v>
      </c>
      <c r="AC62" s="127">
        <v>0</v>
      </c>
      <c r="AD62" s="127">
        <v>0</v>
      </c>
      <c r="AE62" s="127">
        <v>0</v>
      </c>
      <c r="AF62" s="127">
        <v>0</v>
      </c>
      <c r="AG62" s="127">
        <v>0</v>
      </c>
      <c r="AH62" s="127">
        <v>2.3167420814479641E-2</v>
      </c>
      <c r="AI62" s="127">
        <v>0.12452488687782806</v>
      </c>
      <c r="AJ62" s="127">
        <v>0.21285067873303168</v>
      </c>
      <c r="AK62" s="127">
        <v>0.28524886877828054</v>
      </c>
      <c r="AL62" s="127">
        <v>0.28524886877828054</v>
      </c>
      <c r="AM62" s="127">
        <v>0.28524886877828054</v>
      </c>
      <c r="AN62" s="127">
        <v>0.36343891402714934</v>
      </c>
      <c r="AO62" s="127">
        <v>0.48970588235294116</v>
      </c>
      <c r="AP62" s="127">
        <v>0.53610588235294121</v>
      </c>
      <c r="AQ62" s="127">
        <v>0.58250588235294121</v>
      </c>
      <c r="AR62" s="127">
        <v>0.6289058823529412</v>
      </c>
      <c r="AS62" s="127">
        <v>0.6753058823529412</v>
      </c>
      <c r="AT62" s="127">
        <v>0.7217058823529412</v>
      </c>
      <c r="AU62" s="127">
        <v>0.76810588235294119</v>
      </c>
      <c r="AV62" s="127">
        <v>0.81450588235294119</v>
      </c>
      <c r="AW62" s="127">
        <v>0.86090588235294119</v>
      </c>
      <c r="AX62" s="127">
        <v>0.90730588235294118</v>
      </c>
      <c r="AY62" s="127">
        <v>0.95370588235294118</v>
      </c>
      <c r="AZ62" s="127">
        <v>1.0001058823529412</v>
      </c>
      <c r="BA62" s="127">
        <v>1</v>
      </c>
      <c r="BB62" s="127">
        <v>1</v>
      </c>
      <c r="BC62" s="127">
        <v>1</v>
      </c>
      <c r="BD62" s="127">
        <v>1</v>
      </c>
      <c r="BE62" s="127">
        <v>1</v>
      </c>
      <c r="BF62" s="127">
        <v>1</v>
      </c>
      <c r="BG62" s="127">
        <v>1</v>
      </c>
      <c r="BH62" s="127">
        <v>1</v>
      </c>
      <c r="BI62" s="127">
        <v>1</v>
      </c>
      <c r="BJ62" s="127">
        <v>1</v>
      </c>
      <c r="BK62" s="127">
        <v>1</v>
      </c>
      <c r="BL62" s="127">
        <v>1</v>
      </c>
      <c r="BM62" s="127">
        <v>1</v>
      </c>
      <c r="BN62" s="127">
        <v>1</v>
      </c>
      <c r="BO62" s="127">
        <v>1</v>
      </c>
      <c r="BP62" s="127">
        <v>1</v>
      </c>
      <c r="BQ62" s="127">
        <v>1</v>
      </c>
      <c r="BR62" s="163">
        <v>1</v>
      </c>
      <c r="BS62" s="163">
        <v>1</v>
      </c>
      <c r="BT62" s="163">
        <v>1</v>
      </c>
      <c r="BU62" s="163">
        <v>1</v>
      </c>
      <c r="BV62" s="163">
        <v>1</v>
      </c>
      <c r="BW62" s="163">
        <v>1</v>
      </c>
      <c r="BX62" s="163">
        <v>1</v>
      </c>
      <c r="BY62" s="163">
        <v>1</v>
      </c>
      <c r="BZ62" s="163">
        <v>1</v>
      </c>
      <c r="CA62" s="163">
        <v>1</v>
      </c>
      <c r="CB62" s="163">
        <v>1</v>
      </c>
      <c r="CC62" s="163">
        <v>1</v>
      </c>
      <c r="CD62" s="163">
        <v>1</v>
      </c>
      <c r="CE62" s="163">
        <v>1</v>
      </c>
      <c r="CF62" s="163">
        <v>1</v>
      </c>
      <c r="CG62" s="163">
        <v>1</v>
      </c>
      <c r="CH62" s="163">
        <v>1</v>
      </c>
      <c r="CI62" s="163">
        <v>1</v>
      </c>
      <c r="CJ62" s="163">
        <v>1</v>
      </c>
      <c r="CK62" s="163">
        <v>1</v>
      </c>
      <c r="CL62" s="163">
        <v>1</v>
      </c>
      <c r="CM62" s="163">
        <v>1</v>
      </c>
      <c r="CN62" s="163">
        <v>1</v>
      </c>
      <c r="CO62" s="163">
        <v>1</v>
      </c>
      <c r="CP62" s="163">
        <v>1</v>
      </c>
      <c r="CQ62" s="163">
        <v>1</v>
      </c>
      <c r="CR62" s="163">
        <v>1</v>
      </c>
      <c r="CS62" s="163">
        <v>1</v>
      </c>
      <c r="CT62" s="163">
        <v>1</v>
      </c>
      <c r="CU62" s="163">
        <v>1</v>
      </c>
      <c r="CV62" s="163">
        <v>1</v>
      </c>
      <c r="CW62" s="163">
        <v>1</v>
      </c>
      <c r="CX62" s="163">
        <v>1</v>
      </c>
      <c r="CY62" s="163">
        <v>1</v>
      </c>
      <c r="CZ62" s="163">
        <v>1</v>
      </c>
      <c r="DA62" s="163">
        <v>1</v>
      </c>
      <c r="DB62" s="163">
        <v>1</v>
      </c>
      <c r="DC62" s="163">
        <v>1</v>
      </c>
      <c r="DD62" s="163">
        <v>1</v>
      </c>
      <c r="DE62" s="163">
        <v>1</v>
      </c>
      <c r="DF62" s="163">
        <v>1</v>
      </c>
      <c r="DG62" s="163">
        <v>1</v>
      </c>
      <c r="DH62" s="347">
        <v>1</v>
      </c>
      <c r="DI62" s="163">
        <v>1</v>
      </c>
      <c r="DJ62" s="163">
        <v>1</v>
      </c>
      <c r="DK62" s="163">
        <v>1</v>
      </c>
      <c r="DL62" s="163">
        <v>1</v>
      </c>
      <c r="DM62" s="163">
        <v>1</v>
      </c>
      <c r="DN62" s="163">
        <v>1</v>
      </c>
      <c r="DO62" s="163">
        <v>1</v>
      </c>
      <c r="DP62" s="163">
        <v>1</v>
      </c>
      <c r="DQ62" s="163">
        <v>1</v>
      </c>
      <c r="DR62" s="163">
        <v>1</v>
      </c>
      <c r="DS62" s="163">
        <v>1</v>
      </c>
      <c r="DT62" s="163">
        <v>1</v>
      </c>
      <c r="DU62" s="163">
        <v>1</v>
      </c>
      <c r="DV62" s="163">
        <v>1</v>
      </c>
      <c r="DW62" s="163">
        <v>1</v>
      </c>
      <c r="DX62" s="163">
        <v>1</v>
      </c>
      <c r="DY62" s="163">
        <v>1</v>
      </c>
      <c r="DZ62" s="163">
        <v>1</v>
      </c>
      <c r="EA62" s="163">
        <v>1</v>
      </c>
      <c r="EB62" s="163">
        <v>1</v>
      </c>
      <c r="EC62" s="163">
        <v>1</v>
      </c>
      <c r="ED62" s="163">
        <v>1</v>
      </c>
      <c r="EE62" s="163">
        <v>1</v>
      </c>
      <c r="EF62" s="163">
        <v>1</v>
      </c>
      <c r="EG62" s="163">
        <v>1</v>
      </c>
      <c r="EH62" s="163">
        <v>1</v>
      </c>
      <c r="EI62" s="163">
        <v>1</v>
      </c>
      <c r="EJ62" s="163">
        <v>1</v>
      </c>
      <c r="EK62" s="163">
        <v>1</v>
      </c>
      <c r="EL62" s="163">
        <v>1</v>
      </c>
    </row>
    <row r="63" spans="2:142" hidden="1" outlineLevel="2" x14ac:dyDescent="0.3">
      <c r="B63" s="29"/>
      <c r="C63" s="30"/>
      <c r="D63" s="30"/>
      <c r="E63" s="52" t="s">
        <v>68</v>
      </c>
      <c r="F63" s="33">
        <v>30</v>
      </c>
      <c r="G63" s="162">
        <v>45625</v>
      </c>
      <c r="H63" s="162">
        <v>45694</v>
      </c>
      <c r="I63" s="33">
        <f t="shared" si="183"/>
        <v>30</v>
      </c>
      <c r="J63" s="35">
        <v>0.06</v>
      </c>
      <c r="K63" s="53"/>
      <c r="L63" s="127">
        <v>0</v>
      </c>
      <c r="M63" s="127">
        <v>0</v>
      </c>
      <c r="N63" s="127">
        <v>0</v>
      </c>
      <c r="O63" s="127">
        <v>0</v>
      </c>
      <c r="P63" s="127">
        <v>0</v>
      </c>
      <c r="Q63" s="127">
        <v>0</v>
      </c>
      <c r="R63" s="127">
        <v>0</v>
      </c>
      <c r="S63" s="127">
        <v>0</v>
      </c>
      <c r="T63" s="127">
        <v>0</v>
      </c>
      <c r="U63" s="127">
        <v>0</v>
      </c>
      <c r="V63" s="127">
        <v>0</v>
      </c>
      <c r="W63" s="127">
        <v>0</v>
      </c>
      <c r="X63" s="127">
        <v>0</v>
      </c>
      <c r="Y63" s="127">
        <v>0</v>
      </c>
      <c r="Z63" s="127">
        <v>0</v>
      </c>
      <c r="AA63" s="127">
        <v>0</v>
      </c>
      <c r="AB63" s="127">
        <v>0</v>
      </c>
      <c r="AC63" s="127">
        <v>0</v>
      </c>
      <c r="AD63" s="127">
        <v>0</v>
      </c>
      <c r="AE63" s="127">
        <v>0</v>
      </c>
      <c r="AF63" s="127">
        <v>0</v>
      </c>
      <c r="AG63" s="127">
        <v>0</v>
      </c>
      <c r="AH63" s="127">
        <v>0</v>
      </c>
      <c r="AI63" s="127">
        <v>0</v>
      </c>
      <c r="AJ63" s="127">
        <v>0</v>
      </c>
      <c r="AK63" s="127">
        <v>0</v>
      </c>
      <c r="AL63" s="127">
        <v>0</v>
      </c>
      <c r="AM63" s="127">
        <v>0</v>
      </c>
      <c r="AN63" s="127">
        <v>0</v>
      </c>
      <c r="AO63" s="127">
        <v>0</v>
      </c>
      <c r="AP63" s="127">
        <v>0</v>
      </c>
      <c r="AQ63" s="127">
        <v>0</v>
      </c>
      <c r="AR63" s="127">
        <v>0</v>
      </c>
      <c r="AS63" s="127">
        <v>0</v>
      </c>
      <c r="AT63" s="127">
        <v>0</v>
      </c>
      <c r="AU63" s="127">
        <v>0</v>
      </c>
      <c r="AV63" s="127">
        <v>0</v>
      </c>
      <c r="AW63" s="127">
        <v>0</v>
      </c>
      <c r="AX63" s="127">
        <v>0</v>
      </c>
      <c r="AY63" s="127">
        <v>0</v>
      </c>
      <c r="AZ63" s="127">
        <v>0.1429</v>
      </c>
      <c r="BA63" s="127">
        <v>0.2858</v>
      </c>
      <c r="BB63" s="127">
        <v>0.42869999999999997</v>
      </c>
      <c r="BC63" s="127">
        <v>0.5716</v>
      </c>
      <c r="BD63" s="127">
        <v>0.71450000000000002</v>
      </c>
      <c r="BE63" s="127">
        <v>0.85740000000000005</v>
      </c>
      <c r="BF63" s="127">
        <v>1.0003</v>
      </c>
      <c r="BG63" s="127">
        <v>1</v>
      </c>
      <c r="BH63" s="127">
        <v>1</v>
      </c>
      <c r="BI63" s="127">
        <v>1</v>
      </c>
      <c r="BJ63" s="127">
        <v>1</v>
      </c>
      <c r="BK63" s="127">
        <v>1</v>
      </c>
      <c r="BL63" s="127">
        <v>1</v>
      </c>
      <c r="BM63" s="127">
        <v>1</v>
      </c>
      <c r="BN63" s="127">
        <v>1</v>
      </c>
      <c r="BO63" s="127">
        <v>1</v>
      </c>
      <c r="BP63" s="127">
        <v>1</v>
      </c>
      <c r="BQ63" s="127">
        <v>1</v>
      </c>
      <c r="BR63" s="163">
        <v>1</v>
      </c>
      <c r="BS63" s="163">
        <v>1</v>
      </c>
      <c r="BT63" s="163">
        <v>1</v>
      </c>
      <c r="BU63" s="163">
        <v>1</v>
      </c>
      <c r="BV63" s="163">
        <v>1</v>
      </c>
      <c r="BW63" s="163">
        <v>1</v>
      </c>
      <c r="BX63" s="163">
        <v>1</v>
      </c>
      <c r="BY63" s="163">
        <v>1</v>
      </c>
      <c r="BZ63" s="163">
        <v>1</v>
      </c>
      <c r="CA63" s="163">
        <v>1</v>
      </c>
      <c r="CB63" s="163">
        <v>1</v>
      </c>
      <c r="CC63" s="163">
        <v>1</v>
      </c>
      <c r="CD63" s="163">
        <v>1</v>
      </c>
      <c r="CE63" s="163">
        <v>1</v>
      </c>
      <c r="CF63" s="163">
        <v>1</v>
      </c>
      <c r="CG63" s="163">
        <v>1</v>
      </c>
      <c r="CH63" s="163">
        <v>1</v>
      </c>
      <c r="CI63" s="163">
        <v>1</v>
      </c>
      <c r="CJ63" s="163">
        <v>1</v>
      </c>
      <c r="CK63" s="163">
        <v>1</v>
      </c>
      <c r="CL63" s="163">
        <v>1</v>
      </c>
      <c r="CM63" s="163">
        <v>1</v>
      </c>
      <c r="CN63" s="163">
        <v>1</v>
      </c>
      <c r="CO63" s="163">
        <v>1</v>
      </c>
      <c r="CP63" s="163">
        <v>1</v>
      </c>
      <c r="CQ63" s="163">
        <v>1</v>
      </c>
      <c r="CR63" s="163">
        <v>1</v>
      </c>
      <c r="CS63" s="163">
        <v>1</v>
      </c>
      <c r="CT63" s="163">
        <v>1</v>
      </c>
      <c r="CU63" s="163">
        <v>1</v>
      </c>
      <c r="CV63" s="163">
        <v>1</v>
      </c>
      <c r="CW63" s="163">
        <v>1</v>
      </c>
      <c r="CX63" s="163">
        <v>1</v>
      </c>
      <c r="CY63" s="163">
        <v>1</v>
      </c>
      <c r="CZ63" s="163">
        <v>1</v>
      </c>
      <c r="DA63" s="163">
        <v>1</v>
      </c>
      <c r="DB63" s="163">
        <v>1</v>
      </c>
      <c r="DC63" s="163">
        <v>1</v>
      </c>
      <c r="DD63" s="163">
        <v>1</v>
      </c>
      <c r="DE63" s="163">
        <v>1</v>
      </c>
      <c r="DF63" s="163">
        <v>1</v>
      </c>
      <c r="DG63" s="163">
        <v>1</v>
      </c>
      <c r="DH63" s="347">
        <v>1</v>
      </c>
      <c r="DI63" s="163">
        <v>1</v>
      </c>
      <c r="DJ63" s="163">
        <v>1</v>
      </c>
      <c r="DK63" s="163">
        <v>1</v>
      </c>
      <c r="DL63" s="163">
        <v>1</v>
      </c>
      <c r="DM63" s="163">
        <v>1</v>
      </c>
      <c r="DN63" s="163">
        <v>1</v>
      </c>
      <c r="DO63" s="163">
        <v>1</v>
      </c>
      <c r="DP63" s="163">
        <v>1</v>
      </c>
      <c r="DQ63" s="163">
        <v>1</v>
      </c>
      <c r="DR63" s="163">
        <v>1</v>
      </c>
      <c r="DS63" s="163">
        <v>1</v>
      </c>
      <c r="DT63" s="163">
        <v>1</v>
      </c>
      <c r="DU63" s="163">
        <v>1</v>
      </c>
      <c r="DV63" s="163">
        <v>1</v>
      </c>
      <c r="DW63" s="163">
        <v>1</v>
      </c>
      <c r="DX63" s="163">
        <v>1</v>
      </c>
      <c r="DY63" s="163">
        <v>1</v>
      </c>
      <c r="DZ63" s="163">
        <v>1</v>
      </c>
      <c r="EA63" s="163">
        <v>1</v>
      </c>
      <c r="EB63" s="163">
        <v>1</v>
      </c>
      <c r="EC63" s="163">
        <v>1</v>
      </c>
      <c r="ED63" s="163">
        <v>1</v>
      </c>
      <c r="EE63" s="163">
        <v>1</v>
      </c>
      <c r="EF63" s="163">
        <v>1</v>
      </c>
      <c r="EG63" s="163">
        <v>1</v>
      </c>
      <c r="EH63" s="163">
        <v>1</v>
      </c>
      <c r="EI63" s="163">
        <v>1</v>
      </c>
      <c r="EJ63" s="163">
        <v>1</v>
      </c>
      <c r="EK63" s="163">
        <v>1</v>
      </c>
      <c r="EL63" s="163">
        <v>1</v>
      </c>
    </row>
    <row r="64" spans="2:142" hidden="1" outlineLevel="2" x14ac:dyDescent="0.3">
      <c r="B64" s="29"/>
      <c r="C64" s="30"/>
      <c r="D64" s="30"/>
      <c r="E64" s="52" t="s">
        <v>69</v>
      </c>
      <c r="F64" s="33">
        <v>60</v>
      </c>
      <c r="G64" s="162">
        <v>45590</v>
      </c>
      <c r="H64" s="162">
        <v>45701</v>
      </c>
      <c r="I64" s="33">
        <f t="shared" si="183"/>
        <v>60</v>
      </c>
      <c r="J64" s="35">
        <v>0.12</v>
      </c>
      <c r="K64" s="53"/>
      <c r="L64" s="127">
        <v>0</v>
      </c>
      <c r="M64" s="127">
        <v>0</v>
      </c>
      <c r="N64" s="127">
        <v>0</v>
      </c>
      <c r="O64" s="127">
        <v>0</v>
      </c>
      <c r="P64" s="127">
        <v>0</v>
      </c>
      <c r="Q64" s="127">
        <v>0</v>
      </c>
      <c r="R64" s="127">
        <v>0</v>
      </c>
      <c r="S64" s="127">
        <v>0</v>
      </c>
      <c r="T64" s="127">
        <v>0</v>
      </c>
      <c r="U64" s="127">
        <v>0</v>
      </c>
      <c r="V64" s="127">
        <v>0</v>
      </c>
      <c r="W64" s="127">
        <v>0</v>
      </c>
      <c r="X64" s="127">
        <v>0</v>
      </c>
      <c r="Y64" s="127">
        <v>0</v>
      </c>
      <c r="Z64" s="127">
        <v>0</v>
      </c>
      <c r="AA64" s="127">
        <v>2.8571428571428574E-2</v>
      </c>
      <c r="AB64" s="127">
        <v>0.13055555555555556</v>
      </c>
      <c r="AC64" s="127">
        <v>0.24801587301587302</v>
      </c>
      <c r="AD64" s="127">
        <v>0.36865079365079367</v>
      </c>
      <c r="AE64" s="127">
        <v>0.63134920634920633</v>
      </c>
      <c r="AF64" s="127">
        <v>0.875</v>
      </c>
      <c r="AG64" s="127">
        <v>0.99285714285714288</v>
      </c>
      <c r="AH64" s="127">
        <v>0.99285714285714288</v>
      </c>
      <c r="AI64" s="127">
        <v>0.99307692307692319</v>
      </c>
      <c r="AJ64" s="127">
        <v>0.99307692307692319</v>
      </c>
      <c r="AK64" s="127">
        <v>0.99307692307692319</v>
      </c>
      <c r="AL64" s="127">
        <v>0.99307692307692319</v>
      </c>
      <c r="AM64" s="127">
        <v>0.99307692307692319</v>
      </c>
      <c r="AN64" s="127">
        <v>0.99307692307692319</v>
      </c>
      <c r="AO64" s="127">
        <v>0.99307692307692319</v>
      </c>
      <c r="AP64" s="127">
        <v>0.99427692307692317</v>
      </c>
      <c r="AQ64" s="127">
        <v>0.99547692307692315</v>
      </c>
      <c r="AR64" s="127">
        <v>0.99667692307692313</v>
      </c>
      <c r="AS64" s="127">
        <v>0.99787692307692311</v>
      </c>
      <c r="AT64" s="127">
        <v>0.99907692307692308</v>
      </c>
      <c r="AU64" s="127">
        <v>1.0002769230769231</v>
      </c>
      <c r="AV64" s="127">
        <v>1</v>
      </c>
      <c r="AW64" s="127">
        <v>1</v>
      </c>
      <c r="AX64" s="127">
        <v>1</v>
      </c>
      <c r="AY64" s="127">
        <v>1</v>
      </c>
      <c r="AZ64" s="127">
        <v>1</v>
      </c>
      <c r="BA64" s="127">
        <v>1</v>
      </c>
      <c r="BB64" s="127">
        <v>1</v>
      </c>
      <c r="BC64" s="127">
        <v>1</v>
      </c>
      <c r="BD64" s="127">
        <v>1</v>
      </c>
      <c r="BE64" s="127">
        <v>1</v>
      </c>
      <c r="BF64" s="127">
        <v>1</v>
      </c>
      <c r="BG64" s="127">
        <v>1</v>
      </c>
      <c r="BH64" s="127">
        <v>1</v>
      </c>
      <c r="BI64" s="127">
        <v>1</v>
      </c>
      <c r="BJ64" s="127">
        <v>1</v>
      </c>
      <c r="BK64" s="127">
        <v>1</v>
      </c>
      <c r="BL64" s="127">
        <v>1</v>
      </c>
      <c r="BM64" s="127">
        <v>1</v>
      </c>
      <c r="BN64" s="127">
        <v>1</v>
      </c>
      <c r="BO64" s="127">
        <v>1</v>
      </c>
      <c r="BP64" s="127">
        <v>1</v>
      </c>
      <c r="BQ64" s="127">
        <v>1</v>
      </c>
      <c r="BR64" s="163">
        <v>1</v>
      </c>
      <c r="BS64" s="163">
        <v>1</v>
      </c>
      <c r="BT64" s="163">
        <v>1</v>
      </c>
      <c r="BU64" s="163">
        <v>1</v>
      </c>
      <c r="BV64" s="163">
        <v>1</v>
      </c>
      <c r="BW64" s="163">
        <v>1</v>
      </c>
      <c r="BX64" s="163">
        <v>1</v>
      </c>
      <c r="BY64" s="163">
        <v>1</v>
      </c>
      <c r="BZ64" s="163">
        <v>1</v>
      </c>
      <c r="CA64" s="163">
        <v>1</v>
      </c>
      <c r="CB64" s="163">
        <v>1</v>
      </c>
      <c r="CC64" s="163">
        <v>1</v>
      </c>
      <c r="CD64" s="163">
        <v>1</v>
      </c>
      <c r="CE64" s="163">
        <v>1</v>
      </c>
      <c r="CF64" s="163">
        <v>1</v>
      </c>
      <c r="CG64" s="163">
        <v>1</v>
      </c>
      <c r="CH64" s="163">
        <v>1</v>
      </c>
      <c r="CI64" s="163">
        <v>1</v>
      </c>
      <c r="CJ64" s="163">
        <v>1</v>
      </c>
      <c r="CK64" s="163">
        <v>1</v>
      </c>
      <c r="CL64" s="163">
        <v>1</v>
      </c>
      <c r="CM64" s="163">
        <v>1</v>
      </c>
      <c r="CN64" s="163">
        <v>1</v>
      </c>
      <c r="CO64" s="163">
        <v>1</v>
      </c>
      <c r="CP64" s="163">
        <v>1</v>
      </c>
      <c r="CQ64" s="163">
        <v>1</v>
      </c>
      <c r="CR64" s="163">
        <v>1</v>
      </c>
      <c r="CS64" s="163">
        <v>1</v>
      </c>
      <c r="CT64" s="163">
        <v>1</v>
      </c>
      <c r="CU64" s="163">
        <v>1</v>
      </c>
      <c r="CV64" s="163">
        <v>1</v>
      </c>
      <c r="CW64" s="163">
        <v>1</v>
      </c>
      <c r="CX64" s="163">
        <v>1</v>
      </c>
      <c r="CY64" s="163">
        <v>1</v>
      </c>
      <c r="CZ64" s="163">
        <v>1</v>
      </c>
      <c r="DA64" s="163">
        <v>1</v>
      </c>
      <c r="DB64" s="163">
        <v>1</v>
      </c>
      <c r="DC64" s="163">
        <v>1</v>
      </c>
      <c r="DD64" s="163">
        <v>1</v>
      </c>
      <c r="DE64" s="163">
        <v>1</v>
      </c>
      <c r="DF64" s="163">
        <v>1</v>
      </c>
      <c r="DG64" s="163">
        <v>1</v>
      </c>
      <c r="DH64" s="347">
        <v>1</v>
      </c>
      <c r="DI64" s="163">
        <v>1</v>
      </c>
      <c r="DJ64" s="163">
        <v>1</v>
      </c>
      <c r="DK64" s="163">
        <v>1</v>
      </c>
      <c r="DL64" s="163">
        <v>1</v>
      </c>
      <c r="DM64" s="163">
        <v>1</v>
      </c>
      <c r="DN64" s="163">
        <v>1</v>
      </c>
      <c r="DO64" s="163">
        <v>1</v>
      </c>
      <c r="DP64" s="163">
        <v>1</v>
      </c>
      <c r="DQ64" s="163">
        <v>1</v>
      </c>
      <c r="DR64" s="163">
        <v>1</v>
      </c>
      <c r="DS64" s="163">
        <v>1</v>
      </c>
      <c r="DT64" s="163">
        <v>1</v>
      </c>
      <c r="DU64" s="163">
        <v>1</v>
      </c>
      <c r="DV64" s="163">
        <v>1</v>
      </c>
      <c r="DW64" s="163">
        <v>1</v>
      </c>
      <c r="DX64" s="163">
        <v>1</v>
      </c>
      <c r="DY64" s="163">
        <v>1</v>
      </c>
      <c r="DZ64" s="163">
        <v>1</v>
      </c>
      <c r="EA64" s="163">
        <v>1</v>
      </c>
      <c r="EB64" s="163">
        <v>1</v>
      </c>
      <c r="EC64" s="163">
        <v>1</v>
      </c>
      <c r="ED64" s="163">
        <v>1</v>
      </c>
      <c r="EE64" s="163">
        <v>1</v>
      </c>
      <c r="EF64" s="163">
        <v>1</v>
      </c>
      <c r="EG64" s="163">
        <v>1</v>
      </c>
      <c r="EH64" s="163">
        <v>1</v>
      </c>
      <c r="EI64" s="163">
        <v>1</v>
      </c>
      <c r="EJ64" s="163">
        <v>1</v>
      </c>
      <c r="EK64" s="163">
        <v>1</v>
      </c>
      <c r="EL64" s="163">
        <v>1</v>
      </c>
    </row>
    <row r="65" spans="2:142" hidden="1" outlineLevel="2" x14ac:dyDescent="0.3">
      <c r="B65" s="29"/>
      <c r="C65" s="30"/>
      <c r="D65" s="30"/>
      <c r="E65" s="52" t="s">
        <v>70</v>
      </c>
      <c r="F65" s="33">
        <v>20</v>
      </c>
      <c r="G65" s="162">
        <v>45618</v>
      </c>
      <c r="H65" s="162">
        <v>45673</v>
      </c>
      <c r="I65" s="33">
        <f t="shared" si="183"/>
        <v>20</v>
      </c>
      <c r="J65" s="35">
        <v>0.04</v>
      </c>
      <c r="K65" s="53"/>
      <c r="L65" s="127">
        <v>0</v>
      </c>
      <c r="M65" s="127">
        <v>0</v>
      </c>
      <c r="N65" s="127">
        <v>0</v>
      </c>
      <c r="O65" s="127">
        <v>0</v>
      </c>
      <c r="P65" s="127">
        <v>0</v>
      </c>
      <c r="Q65" s="127">
        <v>0</v>
      </c>
      <c r="R65" s="127">
        <v>0</v>
      </c>
      <c r="S65" s="127">
        <v>0</v>
      </c>
      <c r="T65" s="127">
        <v>0</v>
      </c>
      <c r="U65" s="127">
        <v>0</v>
      </c>
      <c r="V65" s="127">
        <v>0</v>
      </c>
      <c r="W65" s="127">
        <v>0</v>
      </c>
      <c r="X65" s="127">
        <v>0</v>
      </c>
      <c r="Y65" s="127">
        <v>0</v>
      </c>
      <c r="Z65" s="127">
        <v>0</v>
      </c>
      <c r="AA65" s="127">
        <v>0</v>
      </c>
      <c r="AB65" s="127">
        <v>0</v>
      </c>
      <c r="AC65" s="127">
        <v>0</v>
      </c>
      <c r="AD65" s="127">
        <v>0.03</v>
      </c>
      <c r="AE65" s="127">
        <v>3.4999999999999996E-2</v>
      </c>
      <c r="AF65" s="127">
        <v>4.0000000000000008E-2</v>
      </c>
      <c r="AG65" s="127">
        <v>4.5000000000000005E-2</v>
      </c>
      <c r="AH65" s="127">
        <v>0.80777777777777793</v>
      </c>
      <c r="AI65" s="127">
        <v>1</v>
      </c>
      <c r="AJ65" s="127">
        <v>1</v>
      </c>
      <c r="AK65" s="127">
        <v>1</v>
      </c>
      <c r="AL65" s="127">
        <v>1</v>
      </c>
      <c r="AM65" s="127">
        <v>1</v>
      </c>
      <c r="AN65" s="127">
        <v>1</v>
      </c>
      <c r="AO65" s="127">
        <v>1</v>
      </c>
      <c r="AP65" s="127">
        <v>1</v>
      </c>
      <c r="AQ65" s="127">
        <v>1</v>
      </c>
      <c r="AR65" s="127">
        <v>1</v>
      </c>
      <c r="AS65" s="127">
        <v>1</v>
      </c>
      <c r="AT65" s="127">
        <v>1</v>
      </c>
      <c r="AU65" s="127">
        <v>1</v>
      </c>
      <c r="AV65" s="127">
        <v>1</v>
      </c>
      <c r="AW65" s="127">
        <v>1</v>
      </c>
      <c r="AX65" s="127">
        <v>1</v>
      </c>
      <c r="AY65" s="127">
        <v>1</v>
      </c>
      <c r="AZ65" s="127">
        <v>1</v>
      </c>
      <c r="BA65" s="127">
        <v>1</v>
      </c>
      <c r="BB65" s="127">
        <v>1</v>
      </c>
      <c r="BC65" s="127">
        <v>1</v>
      </c>
      <c r="BD65" s="127">
        <v>1</v>
      </c>
      <c r="BE65" s="127">
        <v>1</v>
      </c>
      <c r="BF65" s="127">
        <v>1</v>
      </c>
      <c r="BG65" s="127">
        <v>1</v>
      </c>
      <c r="BH65" s="127">
        <v>1</v>
      </c>
      <c r="BI65" s="127">
        <v>1</v>
      </c>
      <c r="BJ65" s="127">
        <v>1</v>
      </c>
      <c r="BK65" s="127">
        <v>1</v>
      </c>
      <c r="BL65" s="127">
        <v>1</v>
      </c>
      <c r="BM65" s="127">
        <v>1</v>
      </c>
      <c r="BN65" s="127">
        <v>1</v>
      </c>
      <c r="BO65" s="127">
        <v>1</v>
      </c>
      <c r="BP65" s="127">
        <v>1</v>
      </c>
      <c r="BQ65" s="127">
        <v>1</v>
      </c>
      <c r="BR65" s="163">
        <v>1</v>
      </c>
      <c r="BS65" s="163">
        <v>1</v>
      </c>
      <c r="BT65" s="163">
        <v>1</v>
      </c>
      <c r="BU65" s="163">
        <v>1</v>
      </c>
      <c r="BV65" s="163">
        <v>1</v>
      </c>
      <c r="BW65" s="163">
        <v>1</v>
      </c>
      <c r="BX65" s="163">
        <v>1</v>
      </c>
      <c r="BY65" s="163">
        <v>1</v>
      </c>
      <c r="BZ65" s="163">
        <v>1</v>
      </c>
      <c r="CA65" s="163">
        <v>1</v>
      </c>
      <c r="CB65" s="163">
        <v>1</v>
      </c>
      <c r="CC65" s="163">
        <v>1</v>
      </c>
      <c r="CD65" s="163">
        <v>1</v>
      </c>
      <c r="CE65" s="163">
        <v>1</v>
      </c>
      <c r="CF65" s="163">
        <v>1</v>
      </c>
      <c r="CG65" s="163">
        <v>1</v>
      </c>
      <c r="CH65" s="163">
        <v>1</v>
      </c>
      <c r="CI65" s="163">
        <v>1</v>
      </c>
      <c r="CJ65" s="163">
        <v>1</v>
      </c>
      <c r="CK65" s="163">
        <v>1</v>
      </c>
      <c r="CL65" s="163">
        <v>1</v>
      </c>
      <c r="CM65" s="163">
        <v>1</v>
      </c>
      <c r="CN65" s="163">
        <v>1</v>
      </c>
      <c r="CO65" s="163">
        <v>1</v>
      </c>
      <c r="CP65" s="163">
        <v>1</v>
      </c>
      <c r="CQ65" s="163">
        <v>1</v>
      </c>
      <c r="CR65" s="163">
        <v>1</v>
      </c>
      <c r="CS65" s="163">
        <v>1</v>
      </c>
      <c r="CT65" s="163">
        <v>1</v>
      </c>
      <c r="CU65" s="163">
        <v>1</v>
      </c>
      <c r="CV65" s="163">
        <v>1</v>
      </c>
      <c r="CW65" s="163">
        <v>1</v>
      </c>
      <c r="CX65" s="163">
        <v>1</v>
      </c>
      <c r="CY65" s="163">
        <v>1</v>
      </c>
      <c r="CZ65" s="163">
        <v>1</v>
      </c>
      <c r="DA65" s="163">
        <v>1</v>
      </c>
      <c r="DB65" s="163">
        <v>1</v>
      </c>
      <c r="DC65" s="163">
        <v>1</v>
      </c>
      <c r="DD65" s="163">
        <v>1</v>
      </c>
      <c r="DE65" s="163">
        <v>1</v>
      </c>
      <c r="DF65" s="163">
        <v>1</v>
      </c>
      <c r="DG65" s="163">
        <v>1</v>
      </c>
      <c r="DH65" s="347">
        <v>1</v>
      </c>
      <c r="DI65" s="163">
        <v>1</v>
      </c>
      <c r="DJ65" s="163">
        <v>1</v>
      </c>
      <c r="DK65" s="163">
        <v>1</v>
      </c>
      <c r="DL65" s="163">
        <v>1</v>
      </c>
      <c r="DM65" s="163">
        <v>1</v>
      </c>
      <c r="DN65" s="163">
        <v>1</v>
      </c>
      <c r="DO65" s="163">
        <v>1</v>
      </c>
      <c r="DP65" s="163">
        <v>1</v>
      </c>
      <c r="DQ65" s="163">
        <v>1</v>
      </c>
      <c r="DR65" s="163">
        <v>1</v>
      </c>
      <c r="DS65" s="163">
        <v>1</v>
      </c>
      <c r="DT65" s="163">
        <v>1</v>
      </c>
      <c r="DU65" s="163">
        <v>1</v>
      </c>
      <c r="DV65" s="163">
        <v>1</v>
      </c>
      <c r="DW65" s="163">
        <v>1</v>
      </c>
      <c r="DX65" s="163">
        <v>1</v>
      </c>
      <c r="DY65" s="163">
        <v>1</v>
      </c>
      <c r="DZ65" s="163">
        <v>1</v>
      </c>
      <c r="EA65" s="163">
        <v>1</v>
      </c>
      <c r="EB65" s="163">
        <v>1</v>
      </c>
      <c r="EC65" s="163">
        <v>1</v>
      </c>
      <c r="ED65" s="163">
        <v>1</v>
      </c>
      <c r="EE65" s="163">
        <v>1</v>
      </c>
      <c r="EF65" s="163">
        <v>1</v>
      </c>
      <c r="EG65" s="163">
        <v>1</v>
      </c>
      <c r="EH65" s="163">
        <v>1</v>
      </c>
      <c r="EI65" s="163">
        <v>1</v>
      </c>
      <c r="EJ65" s="163">
        <v>1</v>
      </c>
      <c r="EK65" s="163">
        <v>1</v>
      </c>
      <c r="EL65" s="163">
        <v>1</v>
      </c>
    </row>
    <row r="66" spans="2:142" hidden="1" outlineLevel="2" x14ac:dyDescent="0.3">
      <c r="B66" s="29"/>
      <c r="C66" s="30"/>
      <c r="D66" s="30"/>
      <c r="E66" s="52" t="s">
        <v>71</v>
      </c>
      <c r="F66" s="33">
        <v>60</v>
      </c>
      <c r="G66" s="162">
        <v>45590</v>
      </c>
      <c r="H66" s="162">
        <v>45701</v>
      </c>
      <c r="I66" s="33">
        <f t="shared" si="183"/>
        <v>60</v>
      </c>
      <c r="J66" s="35">
        <v>0.12</v>
      </c>
      <c r="K66" s="53"/>
      <c r="L66" s="127">
        <v>0</v>
      </c>
      <c r="M66" s="127">
        <v>0</v>
      </c>
      <c r="N66" s="127">
        <v>0</v>
      </c>
      <c r="O66" s="127">
        <v>0</v>
      </c>
      <c r="P66" s="127">
        <v>0</v>
      </c>
      <c r="Q66" s="127">
        <v>0</v>
      </c>
      <c r="R66" s="127">
        <v>0</v>
      </c>
      <c r="S66" s="127">
        <v>0</v>
      </c>
      <c r="T66" s="127">
        <v>0</v>
      </c>
      <c r="U66" s="127">
        <v>0</v>
      </c>
      <c r="V66" s="127">
        <v>0</v>
      </c>
      <c r="W66" s="127">
        <v>0</v>
      </c>
      <c r="X66" s="127">
        <v>0</v>
      </c>
      <c r="Y66" s="127">
        <v>0</v>
      </c>
      <c r="Z66" s="127">
        <v>0</v>
      </c>
      <c r="AA66" s="127">
        <v>0</v>
      </c>
      <c r="AB66" s="127">
        <v>0</v>
      </c>
      <c r="AC66" s="127">
        <v>0</v>
      </c>
      <c r="AD66" s="127">
        <v>0</v>
      </c>
      <c r="AE66" s="127">
        <v>0</v>
      </c>
      <c r="AF66" s="127">
        <v>0</v>
      </c>
      <c r="AG66" s="127">
        <v>0</v>
      </c>
      <c r="AH66" s="127">
        <v>0</v>
      </c>
      <c r="AI66" s="127">
        <v>0</v>
      </c>
      <c r="AJ66" s="127">
        <v>0</v>
      </c>
      <c r="AK66" s="127">
        <v>0</v>
      </c>
      <c r="AL66" s="127">
        <v>0</v>
      </c>
      <c r="AM66" s="127">
        <v>0</v>
      </c>
      <c r="AN66" s="127">
        <v>0</v>
      </c>
      <c r="AO66" s="127">
        <v>0</v>
      </c>
      <c r="AP66" s="127">
        <v>0</v>
      </c>
      <c r="AQ66" s="127">
        <v>0</v>
      </c>
      <c r="AR66" s="127">
        <v>0</v>
      </c>
      <c r="AS66" s="127">
        <v>0</v>
      </c>
      <c r="AT66" s="127">
        <v>0</v>
      </c>
      <c r="AU66" s="127">
        <v>8.3299999999999999E-2</v>
      </c>
      <c r="AV66" s="127">
        <v>0.1666</v>
      </c>
      <c r="AW66" s="127">
        <v>0.24990000000000001</v>
      </c>
      <c r="AX66" s="127">
        <v>0.3332</v>
      </c>
      <c r="AY66" s="127">
        <v>0.41649999999999998</v>
      </c>
      <c r="AZ66" s="127">
        <v>0.49979999999999997</v>
      </c>
      <c r="BA66" s="127">
        <v>0.58309999999999995</v>
      </c>
      <c r="BB66" s="127">
        <v>0.66639999999999999</v>
      </c>
      <c r="BC66" s="127">
        <v>0.74970000000000003</v>
      </c>
      <c r="BD66" s="127">
        <v>0.83300000000000007</v>
      </c>
      <c r="BE66" s="127">
        <v>0.91630000000000011</v>
      </c>
      <c r="BF66" s="127">
        <v>0.99960000000000016</v>
      </c>
      <c r="BG66" s="127">
        <v>1</v>
      </c>
      <c r="BH66" s="127">
        <v>1</v>
      </c>
      <c r="BI66" s="127">
        <v>1</v>
      </c>
      <c r="BJ66" s="127">
        <v>1</v>
      </c>
      <c r="BK66" s="127">
        <v>1</v>
      </c>
      <c r="BL66" s="127">
        <v>1</v>
      </c>
      <c r="BM66" s="127">
        <v>1</v>
      </c>
      <c r="BN66" s="127">
        <v>1</v>
      </c>
      <c r="BO66" s="127">
        <v>1</v>
      </c>
      <c r="BP66" s="127">
        <v>1</v>
      </c>
      <c r="BQ66" s="127">
        <v>1</v>
      </c>
      <c r="BR66" s="163">
        <v>1</v>
      </c>
      <c r="BS66" s="163">
        <v>1</v>
      </c>
      <c r="BT66" s="163">
        <v>1</v>
      </c>
      <c r="BU66" s="163">
        <v>1</v>
      </c>
      <c r="BV66" s="163">
        <v>1</v>
      </c>
      <c r="BW66" s="163">
        <v>1</v>
      </c>
      <c r="BX66" s="163">
        <v>1</v>
      </c>
      <c r="BY66" s="163">
        <v>1</v>
      </c>
      <c r="BZ66" s="163">
        <v>1</v>
      </c>
      <c r="CA66" s="163">
        <v>1</v>
      </c>
      <c r="CB66" s="163">
        <v>1</v>
      </c>
      <c r="CC66" s="163">
        <v>1</v>
      </c>
      <c r="CD66" s="163">
        <v>1</v>
      </c>
      <c r="CE66" s="163">
        <v>1</v>
      </c>
      <c r="CF66" s="163">
        <v>1</v>
      </c>
      <c r="CG66" s="163">
        <v>1</v>
      </c>
      <c r="CH66" s="163">
        <v>1</v>
      </c>
      <c r="CI66" s="163">
        <v>1</v>
      </c>
      <c r="CJ66" s="163">
        <v>1</v>
      </c>
      <c r="CK66" s="163">
        <v>1</v>
      </c>
      <c r="CL66" s="163">
        <v>1</v>
      </c>
      <c r="CM66" s="163">
        <v>1</v>
      </c>
      <c r="CN66" s="163">
        <v>1</v>
      </c>
      <c r="CO66" s="163">
        <v>1</v>
      </c>
      <c r="CP66" s="163">
        <v>1</v>
      </c>
      <c r="CQ66" s="163">
        <v>1</v>
      </c>
      <c r="CR66" s="163">
        <v>1</v>
      </c>
      <c r="CS66" s="163">
        <v>1</v>
      </c>
      <c r="CT66" s="163">
        <v>1</v>
      </c>
      <c r="CU66" s="163">
        <v>1</v>
      </c>
      <c r="CV66" s="163">
        <v>1</v>
      </c>
      <c r="CW66" s="163">
        <v>1</v>
      </c>
      <c r="CX66" s="163">
        <v>1</v>
      </c>
      <c r="CY66" s="163">
        <v>1</v>
      </c>
      <c r="CZ66" s="163">
        <v>1</v>
      </c>
      <c r="DA66" s="163">
        <v>1</v>
      </c>
      <c r="DB66" s="163">
        <v>1</v>
      </c>
      <c r="DC66" s="163">
        <v>1</v>
      </c>
      <c r="DD66" s="163">
        <v>1</v>
      </c>
      <c r="DE66" s="163">
        <v>1</v>
      </c>
      <c r="DF66" s="163">
        <v>1</v>
      </c>
      <c r="DG66" s="163">
        <v>1</v>
      </c>
      <c r="DH66" s="347">
        <v>1</v>
      </c>
      <c r="DI66" s="163">
        <v>1</v>
      </c>
      <c r="DJ66" s="163">
        <v>1</v>
      </c>
      <c r="DK66" s="163">
        <v>1</v>
      </c>
      <c r="DL66" s="163">
        <v>1</v>
      </c>
      <c r="DM66" s="163">
        <v>1</v>
      </c>
      <c r="DN66" s="163">
        <v>1</v>
      </c>
      <c r="DO66" s="163">
        <v>1</v>
      </c>
      <c r="DP66" s="163">
        <v>1</v>
      </c>
      <c r="DQ66" s="163">
        <v>1</v>
      </c>
      <c r="DR66" s="163">
        <v>1</v>
      </c>
      <c r="DS66" s="163">
        <v>1</v>
      </c>
      <c r="DT66" s="163">
        <v>1</v>
      </c>
      <c r="DU66" s="163">
        <v>1</v>
      </c>
      <c r="DV66" s="163">
        <v>1</v>
      </c>
      <c r="DW66" s="163">
        <v>1</v>
      </c>
      <c r="DX66" s="163">
        <v>1</v>
      </c>
      <c r="DY66" s="163">
        <v>1</v>
      </c>
      <c r="DZ66" s="163">
        <v>1</v>
      </c>
      <c r="EA66" s="163">
        <v>1</v>
      </c>
      <c r="EB66" s="163">
        <v>1</v>
      </c>
      <c r="EC66" s="163">
        <v>1</v>
      </c>
      <c r="ED66" s="163">
        <v>1</v>
      </c>
      <c r="EE66" s="163">
        <v>1</v>
      </c>
      <c r="EF66" s="163">
        <v>1</v>
      </c>
      <c r="EG66" s="163">
        <v>1</v>
      </c>
      <c r="EH66" s="163">
        <v>1</v>
      </c>
      <c r="EI66" s="163">
        <v>1</v>
      </c>
      <c r="EJ66" s="163">
        <v>1</v>
      </c>
      <c r="EK66" s="163">
        <v>1</v>
      </c>
      <c r="EL66" s="163">
        <v>1</v>
      </c>
    </row>
    <row r="67" spans="2:142" hidden="1" outlineLevel="2" x14ac:dyDescent="0.3">
      <c r="B67" s="29"/>
      <c r="C67" s="30"/>
      <c r="D67" s="30"/>
      <c r="E67" s="52" t="s">
        <v>72</v>
      </c>
      <c r="F67" s="33">
        <v>60</v>
      </c>
      <c r="G67" s="162">
        <v>45590</v>
      </c>
      <c r="H67" s="162">
        <v>45701</v>
      </c>
      <c r="I67" s="33">
        <f t="shared" si="183"/>
        <v>60</v>
      </c>
      <c r="J67" s="35">
        <v>0.12</v>
      </c>
      <c r="K67" s="53"/>
      <c r="L67" s="127">
        <v>0</v>
      </c>
      <c r="M67" s="127">
        <v>0</v>
      </c>
      <c r="N67" s="127">
        <v>0</v>
      </c>
      <c r="O67" s="127">
        <v>0</v>
      </c>
      <c r="P67" s="127">
        <v>0</v>
      </c>
      <c r="Q67" s="127">
        <v>0</v>
      </c>
      <c r="R67" s="127">
        <v>0</v>
      </c>
      <c r="S67" s="127">
        <v>0</v>
      </c>
      <c r="T67" s="127">
        <v>0</v>
      </c>
      <c r="U67" s="127">
        <v>0</v>
      </c>
      <c r="V67" s="127">
        <v>0</v>
      </c>
      <c r="W67" s="127">
        <v>0</v>
      </c>
      <c r="X67" s="127">
        <v>0</v>
      </c>
      <c r="Y67" s="127">
        <v>0</v>
      </c>
      <c r="Z67" s="127">
        <v>0</v>
      </c>
      <c r="AA67" s="127">
        <v>0</v>
      </c>
      <c r="AB67" s="127">
        <v>0</v>
      </c>
      <c r="AC67" s="127">
        <v>0</v>
      </c>
      <c r="AD67" s="127">
        <v>0</v>
      </c>
      <c r="AE67" s="127">
        <v>0</v>
      </c>
      <c r="AF67" s="127">
        <v>0</v>
      </c>
      <c r="AG67" s="127">
        <v>0</v>
      </c>
      <c r="AH67" s="127">
        <v>0</v>
      </c>
      <c r="AI67" s="127">
        <v>0</v>
      </c>
      <c r="AJ67" s="127">
        <v>0</v>
      </c>
      <c r="AK67" s="127">
        <v>0</v>
      </c>
      <c r="AL67" s="127">
        <v>0</v>
      </c>
      <c r="AM67" s="127">
        <v>0</v>
      </c>
      <c r="AN67" s="127">
        <v>0</v>
      </c>
      <c r="AO67" s="127">
        <v>0</v>
      </c>
      <c r="AP67" s="127">
        <v>0</v>
      </c>
      <c r="AQ67" s="127">
        <v>0</v>
      </c>
      <c r="AR67" s="127">
        <v>0</v>
      </c>
      <c r="AS67" s="127">
        <v>0</v>
      </c>
      <c r="AT67" s="127">
        <v>0</v>
      </c>
      <c r="AU67" s="127">
        <v>8.3299999999999999E-2</v>
      </c>
      <c r="AV67" s="127">
        <v>0.1666</v>
      </c>
      <c r="AW67" s="127">
        <v>0.24990000000000001</v>
      </c>
      <c r="AX67" s="127">
        <v>0.3332</v>
      </c>
      <c r="AY67" s="127">
        <v>0.41649999999999998</v>
      </c>
      <c r="AZ67" s="127">
        <v>0.49979999999999997</v>
      </c>
      <c r="BA67" s="127">
        <v>0.58309999999999995</v>
      </c>
      <c r="BB67" s="127">
        <v>0.66639999999999999</v>
      </c>
      <c r="BC67" s="127">
        <v>0.74970000000000003</v>
      </c>
      <c r="BD67" s="127">
        <v>0.83300000000000007</v>
      </c>
      <c r="BE67" s="127">
        <v>0.91630000000000011</v>
      </c>
      <c r="BF67" s="127">
        <v>0.99960000000000016</v>
      </c>
      <c r="BG67" s="127">
        <v>1</v>
      </c>
      <c r="BH67" s="127">
        <v>1</v>
      </c>
      <c r="BI67" s="127">
        <v>1</v>
      </c>
      <c r="BJ67" s="127">
        <v>1</v>
      </c>
      <c r="BK67" s="127">
        <v>1</v>
      </c>
      <c r="BL67" s="127">
        <v>1</v>
      </c>
      <c r="BM67" s="127">
        <v>1</v>
      </c>
      <c r="BN67" s="127">
        <v>1</v>
      </c>
      <c r="BO67" s="127">
        <v>1</v>
      </c>
      <c r="BP67" s="127">
        <v>1</v>
      </c>
      <c r="BQ67" s="127">
        <v>1</v>
      </c>
      <c r="BR67" s="163">
        <v>1</v>
      </c>
      <c r="BS67" s="163">
        <v>1</v>
      </c>
      <c r="BT67" s="163">
        <v>1</v>
      </c>
      <c r="BU67" s="163">
        <v>1</v>
      </c>
      <c r="BV67" s="163">
        <v>1</v>
      </c>
      <c r="BW67" s="163">
        <v>1</v>
      </c>
      <c r="BX67" s="163">
        <v>1</v>
      </c>
      <c r="BY67" s="163">
        <v>1</v>
      </c>
      <c r="BZ67" s="163">
        <v>1</v>
      </c>
      <c r="CA67" s="163">
        <v>1</v>
      </c>
      <c r="CB67" s="163">
        <v>1</v>
      </c>
      <c r="CC67" s="163">
        <v>1</v>
      </c>
      <c r="CD67" s="163">
        <v>1</v>
      </c>
      <c r="CE67" s="163">
        <v>1</v>
      </c>
      <c r="CF67" s="163">
        <v>1</v>
      </c>
      <c r="CG67" s="163">
        <v>1</v>
      </c>
      <c r="CH67" s="163">
        <v>1</v>
      </c>
      <c r="CI67" s="163">
        <v>1</v>
      </c>
      <c r="CJ67" s="163">
        <v>1</v>
      </c>
      <c r="CK67" s="163">
        <v>1</v>
      </c>
      <c r="CL67" s="163">
        <v>1</v>
      </c>
      <c r="CM67" s="163">
        <v>1</v>
      </c>
      <c r="CN67" s="163">
        <v>1</v>
      </c>
      <c r="CO67" s="163">
        <v>1</v>
      </c>
      <c r="CP67" s="163">
        <v>1</v>
      </c>
      <c r="CQ67" s="163">
        <v>1</v>
      </c>
      <c r="CR67" s="163">
        <v>1</v>
      </c>
      <c r="CS67" s="163">
        <v>1</v>
      </c>
      <c r="CT67" s="163">
        <v>1</v>
      </c>
      <c r="CU67" s="163">
        <v>1</v>
      </c>
      <c r="CV67" s="163">
        <v>1</v>
      </c>
      <c r="CW67" s="163">
        <v>1</v>
      </c>
      <c r="CX67" s="163">
        <v>1</v>
      </c>
      <c r="CY67" s="163">
        <v>1</v>
      </c>
      <c r="CZ67" s="163">
        <v>1</v>
      </c>
      <c r="DA67" s="163">
        <v>1</v>
      </c>
      <c r="DB67" s="163">
        <v>1</v>
      </c>
      <c r="DC67" s="163">
        <v>1</v>
      </c>
      <c r="DD67" s="163">
        <v>1</v>
      </c>
      <c r="DE67" s="163">
        <v>1</v>
      </c>
      <c r="DF67" s="163">
        <v>1</v>
      </c>
      <c r="DG67" s="163">
        <v>1</v>
      </c>
      <c r="DH67" s="347">
        <v>1</v>
      </c>
      <c r="DI67" s="163">
        <v>1</v>
      </c>
      <c r="DJ67" s="163">
        <v>1</v>
      </c>
      <c r="DK67" s="163">
        <v>1</v>
      </c>
      <c r="DL67" s="163">
        <v>1</v>
      </c>
      <c r="DM67" s="163">
        <v>1</v>
      </c>
      <c r="DN67" s="163">
        <v>1</v>
      </c>
      <c r="DO67" s="163">
        <v>1</v>
      </c>
      <c r="DP67" s="163">
        <v>1</v>
      </c>
      <c r="DQ67" s="163">
        <v>1</v>
      </c>
      <c r="DR67" s="163">
        <v>1</v>
      </c>
      <c r="DS67" s="163">
        <v>1</v>
      </c>
      <c r="DT67" s="163">
        <v>1</v>
      </c>
      <c r="DU67" s="163">
        <v>1</v>
      </c>
      <c r="DV67" s="163">
        <v>1</v>
      </c>
      <c r="DW67" s="163">
        <v>1</v>
      </c>
      <c r="DX67" s="163">
        <v>1</v>
      </c>
      <c r="DY67" s="163">
        <v>1</v>
      </c>
      <c r="DZ67" s="163">
        <v>1</v>
      </c>
      <c r="EA67" s="163">
        <v>1</v>
      </c>
      <c r="EB67" s="163">
        <v>1</v>
      </c>
      <c r="EC67" s="163">
        <v>1</v>
      </c>
      <c r="ED67" s="163">
        <v>1</v>
      </c>
      <c r="EE67" s="163">
        <v>1</v>
      </c>
      <c r="EF67" s="163">
        <v>1</v>
      </c>
      <c r="EG67" s="163">
        <v>1</v>
      </c>
      <c r="EH67" s="163">
        <v>1</v>
      </c>
      <c r="EI67" s="163">
        <v>1</v>
      </c>
      <c r="EJ67" s="163">
        <v>1</v>
      </c>
      <c r="EK67" s="163">
        <v>1</v>
      </c>
      <c r="EL67" s="163">
        <v>1</v>
      </c>
    </row>
    <row r="68" spans="2:142" hidden="1" outlineLevel="2" x14ac:dyDescent="0.3">
      <c r="B68" s="29"/>
      <c r="C68" s="30"/>
      <c r="D68" s="30"/>
      <c r="E68" s="52" t="s">
        <v>73</v>
      </c>
      <c r="F68" s="33">
        <v>30</v>
      </c>
      <c r="G68" s="162">
        <v>45618</v>
      </c>
      <c r="H68" s="162">
        <v>45687</v>
      </c>
      <c r="I68" s="33">
        <f t="shared" si="183"/>
        <v>30</v>
      </c>
      <c r="J68" s="35">
        <v>0.06</v>
      </c>
      <c r="K68" s="53"/>
      <c r="L68" s="127">
        <v>0</v>
      </c>
      <c r="M68" s="127">
        <v>0</v>
      </c>
      <c r="N68" s="127">
        <v>0</v>
      </c>
      <c r="O68" s="127">
        <v>0</v>
      </c>
      <c r="P68" s="127">
        <v>0</v>
      </c>
      <c r="Q68" s="127">
        <v>0</v>
      </c>
      <c r="R68" s="127">
        <v>0</v>
      </c>
      <c r="S68" s="127">
        <v>0</v>
      </c>
      <c r="T68" s="127">
        <v>0</v>
      </c>
      <c r="U68" s="127">
        <v>0</v>
      </c>
      <c r="V68" s="127">
        <v>0</v>
      </c>
      <c r="W68" s="127">
        <v>0</v>
      </c>
      <c r="X68" s="127">
        <v>0</v>
      </c>
      <c r="Y68" s="127">
        <v>0</v>
      </c>
      <c r="Z68" s="127">
        <v>0</v>
      </c>
      <c r="AA68" s="127">
        <v>0</v>
      </c>
      <c r="AB68" s="127">
        <v>0</v>
      </c>
      <c r="AC68" s="127">
        <v>0</v>
      </c>
      <c r="AD68" s="127">
        <v>0</v>
      </c>
      <c r="AE68" s="127">
        <v>0</v>
      </c>
      <c r="AF68" s="127">
        <v>2.8125000000000001E-2</v>
      </c>
      <c r="AG68" s="127">
        <v>0.22500000000000001</v>
      </c>
      <c r="AH68" s="127">
        <v>0.39374999999999999</v>
      </c>
      <c r="AI68" s="127">
        <v>0.45</v>
      </c>
      <c r="AJ68" s="127">
        <v>0.45</v>
      </c>
      <c r="AK68" s="127">
        <v>0.45</v>
      </c>
      <c r="AL68" s="127">
        <v>0.45</v>
      </c>
      <c r="AM68" s="127">
        <v>0.45</v>
      </c>
      <c r="AN68" s="127">
        <v>0.45</v>
      </c>
      <c r="AO68" s="127">
        <v>0.45</v>
      </c>
      <c r="AP68" s="127">
        <v>0.505</v>
      </c>
      <c r="AQ68" s="127">
        <v>0.56000000000000005</v>
      </c>
      <c r="AR68" s="127">
        <v>0.6150000000000001</v>
      </c>
      <c r="AS68" s="127">
        <v>0.67000000000000015</v>
      </c>
      <c r="AT68" s="127">
        <v>0.7250000000000002</v>
      </c>
      <c r="AU68" s="127">
        <v>0.78000000000000025</v>
      </c>
      <c r="AV68" s="127">
        <v>0.8350000000000003</v>
      </c>
      <c r="AW68" s="127">
        <v>0.89000000000000035</v>
      </c>
      <c r="AX68" s="127">
        <v>0.9450000000000004</v>
      </c>
      <c r="AY68" s="127">
        <v>1.0000000000000004</v>
      </c>
      <c r="AZ68" s="127">
        <v>1</v>
      </c>
      <c r="BA68" s="127">
        <v>1</v>
      </c>
      <c r="BB68" s="127">
        <v>1</v>
      </c>
      <c r="BC68" s="127">
        <v>1</v>
      </c>
      <c r="BD68" s="127">
        <v>1</v>
      </c>
      <c r="BE68" s="127">
        <v>1</v>
      </c>
      <c r="BF68" s="127">
        <v>1</v>
      </c>
      <c r="BG68" s="127">
        <v>1</v>
      </c>
      <c r="BH68" s="127">
        <v>1</v>
      </c>
      <c r="BI68" s="127">
        <v>1</v>
      </c>
      <c r="BJ68" s="127">
        <v>1</v>
      </c>
      <c r="BK68" s="127">
        <v>1</v>
      </c>
      <c r="BL68" s="127">
        <v>1</v>
      </c>
      <c r="BM68" s="127">
        <v>1</v>
      </c>
      <c r="BN68" s="127">
        <v>1</v>
      </c>
      <c r="BO68" s="127">
        <v>1</v>
      </c>
      <c r="BP68" s="127">
        <v>1</v>
      </c>
      <c r="BQ68" s="127">
        <v>1</v>
      </c>
      <c r="BR68" s="163">
        <v>1</v>
      </c>
      <c r="BS68" s="163">
        <v>1</v>
      </c>
      <c r="BT68" s="163">
        <v>1</v>
      </c>
      <c r="BU68" s="163">
        <v>1</v>
      </c>
      <c r="BV68" s="163">
        <v>1</v>
      </c>
      <c r="BW68" s="163">
        <v>1</v>
      </c>
      <c r="BX68" s="163">
        <v>1</v>
      </c>
      <c r="BY68" s="163">
        <v>1</v>
      </c>
      <c r="BZ68" s="163">
        <v>1</v>
      </c>
      <c r="CA68" s="163">
        <v>1</v>
      </c>
      <c r="CB68" s="163">
        <v>1</v>
      </c>
      <c r="CC68" s="163">
        <v>1</v>
      </c>
      <c r="CD68" s="163">
        <v>1</v>
      </c>
      <c r="CE68" s="163">
        <v>1</v>
      </c>
      <c r="CF68" s="163">
        <v>1</v>
      </c>
      <c r="CG68" s="163">
        <v>1</v>
      </c>
      <c r="CH68" s="163">
        <v>1</v>
      </c>
      <c r="CI68" s="163">
        <v>1</v>
      </c>
      <c r="CJ68" s="163">
        <v>1</v>
      </c>
      <c r="CK68" s="163">
        <v>1</v>
      </c>
      <c r="CL68" s="163">
        <v>1</v>
      </c>
      <c r="CM68" s="163">
        <v>1</v>
      </c>
      <c r="CN68" s="163">
        <v>1</v>
      </c>
      <c r="CO68" s="163">
        <v>1</v>
      </c>
      <c r="CP68" s="163">
        <v>1</v>
      </c>
      <c r="CQ68" s="163">
        <v>1</v>
      </c>
      <c r="CR68" s="163">
        <v>1</v>
      </c>
      <c r="CS68" s="163">
        <v>1</v>
      </c>
      <c r="CT68" s="163">
        <v>1</v>
      </c>
      <c r="CU68" s="163">
        <v>1</v>
      </c>
      <c r="CV68" s="163">
        <v>1</v>
      </c>
      <c r="CW68" s="163">
        <v>1</v>
      </c>
      <c r="CX68" s="163">
        <v>1</v>
      </c>
      <c r="CY68" s="163">
        <v>1</v>
      </c>
      <c r="CZ68" s="163">
        <v>1</v>
      </c>
      <c r="DA68" s="163">
        <v>1</v>
      </c>
      <c r="DB68" s="163">
        <v>1</v>
      </c>
      <c r="DC68" s="163">
        <v>1</v>
      </c>
      <c r="DD68" s="163">
        <v>1</v>
      </c>
      <c r="DE68" s="163">
        <v>1</v>
      </c>
      <c r="DF68" s="163">
        <v>1</v>
      </c>
      <c r="DG68" s="163">
        <v>1</v>
      </c>
      <c r="DH68" s="347">
        <v>1</v>
      </c>
      <c r="DI68" s="163">
        <v>1</v>
      </c>
      <c r="DJ68" s="163">
        <v>1</v>
      </c>
      <c r="DK68" s="163">
        <v>1</v>
      </c>
      <c r="DL68" s="163">
        <v>1</v>
      </c>
      <c r="DM68" s="163">
        <v>1</v>
      </c>
      <c r="DN68" s="163">
        <v>1</v>
      </c>
      <c r="DO68" s="163">
        <v>1</v>
      </c>
      <c r="DP68" s="163">
        <v>1</v>
      </c>
      <c r="DQ68" s="163">
        <v>1</v>
      </c>
      <c r="DR68" s="163">
        <v>1</v>
      </c>
      <c r="DS68" s="163">
        <v>1</v>
      </c>
      <c r="DT68" s="163">
        <v>1</v>
      </c>
      <c r="DU68" s="163">
        <v>1</v>
      </c>
      <c r="DV68" s="163">
        <v>1</v>
      </c>
      <c r="DW68" s="163">
        <v>1</v>
      </c>
      <c r="DX68" s="163">
        <v>1</v>
      </c>
      <c r="DY68" s="163">
        <v>1</v>
      </c>
      <c r="DZ68" s="163">
        <v>1</v>
      </c>
      <c r="EA68" s="163">
        <v>1</v>
      </c>
      <c r="EB68" s="163">
        <v>1</v>
      </c>
      <c r="EC68" s="163">
        <v>1</v>
      </c>
      <c r="ED68" s="163">
        <v>1</v>
      </c>
      <c r="EE68" s="163">
        <v>1</v>
      </c>
      <c r="EF68" s="163">
        <v>1</v>
      </c>
      <c r="EG68" s="163">
        <v>1</v>
      </c>
      <c r="EH68" s="163">
        <v>1</v>
      </c>
      <c r="EI68" s="163">
        <v>1</v>
      </c>
      <c r="EJ68" s="163">
        <v>1</v>
      </c>
      <c r="EK68" s="163">
        <v>1</v>
      </c>
      <c r="EL68" s="163">
        <v>1</v>
      </c>
    </row>
    <row r="69" spans="2:142" hidden="1" outlineLevel="2" x14ac:dyDescent="0.3">
      <c r="B69" s="29"/>
      <c r="C69" s="30"/>
      <c r="D69" s="30"/>
      <c r="E69" s="52" t="s">
        <v>74</v>
      </c>
      <c r="F69" s="33">
        <v>60</v>
      </c>
      <c r="G69" s="162">
        <v>45590</v>
      </c>
      <c r="H69" s="162">
        <v>45701</v>
      </c>
      <c r="I69" s="33">
        <f t="shared" si="183"/>
        <v>60</v>
      </c>
      <c r="J69" s="35">
        <v>0.12</v>
      </c>
      <c r="K69" s="53"/>
      <c r="L69" s="127">
        <v>0</v>
      </c>
      <c r="M69" s="127">
        <v>0</v>
      </c>
      <c r="N69" s="127">
        <v>0</v>
      </c>
      <c r="O69" s="127">
        <v>0</v>
      </c>
      <c r="P69" s="127">
        <v>0</v>
      </c>
      <c r="Q69" s="127">
        <v>0</v>
      </c>
      <c r="R69" s="127">
        <v>0</v>
      </c>
      <c r="S69" s="127">
        <v>0</v>
      </c>
      <c r="T69" s="127">
        <v>0</v>
      </c>
      <c r="U69" s="127">
        <v>0</v>
      </c>
      <c r="V69" s="127">
        <v>0</v>
      </c>
      <c r="W69" s="127">
        <v>0</v>
      </c>
      <c r="X69" s="127">
        <v>0</v>
      </c>
      <c r="Y69" s="127">
        <v>0</v>
      </c>
      <c r="Z69" s="127">
        <v>0</v>
      </c>
      <c r="AA69" s="127">
        <v>0</v>
      </c>
      <c r="AB69" s="127">
        <v>0</v>
      </c>
      <c r="AC69" s="127">
        <v>0</v>
      </c>
      <c r="AD69" s="127">
        <v>0</v>
      </c>
      <c r="AE69" s="127">
        <v>0</v>
      </c>
      <c r="AF69" s="127">
        <v>0</v>
      </c>
      <c r="AG69" s="127">
        <v>0</v>
      </c>
      <c r="AH69" s="127">
        <v>0</v>
      </c>
      <c r="AI69" s="127">
        <v>0</v>
      </c>
      <c r="AJ69" s="127">
        <v>0</v>
      </c>
      <c r="AK69" s="127">
        <v>0</v>
      </c>
      <c r="AL69" s="127">
        <v>0</v>
      </c>
      <c r="AM69" s="127">
        <v>0</v>
      </c>
      <c r="AN69" s="127">
        <v>0</v>
      </c>
      <c r="AO69" s="127">
        <v>0</v>
      </c>
      <c r="AP69" s="127">
        <v>0</v>
      </c>
      <c r="AQ69" s="127">
        <v>0</v>
      </c>
      <c r="AR69" s="127">
        <v>0</v>
      </c>
      <c r="AS69" s="127">
        <v>0</v>
      </c>
      <c r="AT69" s="127">
        <v>0</v>
      </c>
      <c r="AU69" s="127">
        <v>8.3299999999999999E-2</v>
      </c>
      <c r="AV69" s="127">
        <v>0.1666</v>
      </c>
      <c r="AW69" s="127">
        <v>0.24990000000000001</v>
      </c>
      <c r="AX69" s="127">
        <v>0.3332</v>
      </c>
      <c r="AY69" s="127">
        <v>0.41649999999999998</v>
      </c>
      <c r="AZ69" s="127">
        <v>0.49979999999999997</v>
      </c>
      <c r="BA69" s="127">
        <v>0.58309999999999995</v>
      </c>
      <c r="BB69" s="127">
        <v>0.66639999999999999</v>
      </c>
      <c r="BC69" s="127">
        <v>0.74970000000000003</v>
      </c>
      <c r="BD69" s="127">
        <v>0.83300000000000007</v>
      </c>
      <c r="BE69" s="127">
        <v>0.91630000000000011</v>
      </c>
      <c r="BF69" s="127">
        <v>0.99960000000000016</v>
      </c>
      <c r="BG69" s="127">
        <v>1</v>
      </c>
      <c r="BH69" s="127">
        <v>1</v>
      </c>
      <c r="BI69" s="127">
        <v>1</v>
      </c>
      <c r="BJ69" s="127">
        <v>1</v>
      </c>
      <c r="BK69" s="127">
        <v>1</v>
      </c>
      <c r="BL69" s="127">
        <v>1</v>
      </c>
      <c r="BM69" s="127">
        <v>1</v>
      </c>
      <c r="BN69" s="127">
        <v>1</v>
      </c>
      <c r="BO69" s="127">
        <v>1</v>
      </c>
      <c r="BP69" s="127">
        <v>1</v>
      </c>
      <c r="BQ69" s="127">
        <v>1</v>
      </c>
      <c r="BR69" s="163">
        <v>1</v>
      </c>
      <c r="BS69" s="163">
        <v>1</v>
      </c>
      <c r="BT69" s="163">
        <v>1</v>
      </c>
      <c r="BU69" s="163">
        <v>1</v>
      </c>
      <c r="BV69" s="163">
        <v>1</v>
      </c>
      <c r="BW69" s="163">
        <v>1</v>
      </c>
      <c r="BX69" s="163">
        <v>1</v>
      </c>
      <c r="BY69" s="163">
        <v>1</v>
      </c>
      <c r="BZ69" s="163">
        <v>1</v>
      </c>
      <c r="CA69" s="163">
        <v>1</v>
      </c>
      <c r="CB69" s="163">
        <v>1</v>
      </c>
      <c r="CC69" s="163">
        <v>1</v>
      </c>
      <c r="CD69" s="163">
        <v>1</v>
      </c>
      <c r="CE69" s="163">
        <v>1</v>
      </c>
      <c r="CF69" s="163">
        <v>1</v>
      </c>
      <c r="CG69" s="163">
        <v>1</v>
      </c>
      <c r="CH69" s="163">
        <v>1</v>
      </c>
      <c r="CI69" s="163">
        <v>1</v>
      </c>
      <c r="CJ69" s="163">
        <v>1</v>
      </c>
      <c r="CK69" s="163">
        <v>1</v>
      </c>
      <c r="CL69" s="163">
        <v>1</v>
      </c>
      <c r="CM69" s="163">
        <v>1</v>
      </c>
      <c r="CN69" s="163">
        <v>1</v>
      </c>
      <c r="CO69" s="163">
        <v>1</v>
      </c>
      <c r="CP69" s="163">
        <v>1</v>
      </c>
      <c r="CQ69" s="163">
        <v>1</v>
      </c>
      <c r="CR69" s="163">
        <v>1</v>
      </c>
      <c r="CS69" s="163">
        <v>1</v>
      </c>
      <c r="CT69" s="163">
        <v>1</v>
      </c>
      <c r="CU69" s="163">
        <v>1</v>
      </c>
      <c r="CV69" s="163">
        <v>1</v>
      </c>
      <c r="CW69" s="163">
        <v>1</v>
      </c>
      <c r="CX69" s="163">
        <v>1</v>
      </c>
      <c r="CY69" s="163">
        <v>1</v>
      </c>
      <c r="CZ69" s="163">
        <v>1</v>
      </c>
      <c r="DA69" s="163">
        <v>1</v>
      </c>
      <c r="DB69" s="163">
        <v>1</v>
      </c>
      <c r="DC69" s="163">
        <v>1</v>
      </c>
      <c r="DD69" s="163">
        <v>1</v>
      </c>
      <c r="DE69" s="163">
        <v>1</v>
      </c>
      <c r="DF69" s="163">
        <v>1</v>
      </c>
      <c r="DG69" s="163">
        <v>1</v>
      </c>
      <c r="DH69" s="347">
        <v>1</v>
      </c>
      <c r="DI69" s="163">
        <v>1</v>
      </c>
      <c r="DJ69" s="163">
        <v>1</v>
      </c>
      <c r="DK69" s="163">
        <v>1</v>
      </c>
      <c r="DL69" s="163">
        <v>1</v>
      </c>
      <c r="DM69" s="163">
        <v>1</v>
      </c>
      <c r="DN69" s="163">
        <v>1</v>
      </c>
      <c r="DO69" s="163">
        <v>1</v>
      </c>
      <c r="DP69" s="163">
        <v>1</v>
      </c>
      <c r="DQ69" s="163">
        <v>1</v>
      </c>
      <c r="DR69" s="163">
        <v>1</v>
      </c>
      <c r="DS69" s="163">
        <v>1</v>
      </c>
      <c r="DT69" s="163">
        <v>1</v>
      </c>
      <c r="DU69" s="163">
        <v>1</v>
      </c>
      <c r="DV69" s="163">
        <v>1</v>
      </c>
      <c r="DW69" s="163">
        <v>1</v>
      </c>
      <c r="DX69" s="163">
        <v>1</v>
      </c>
      <c r="DY69" s="163">
        <v>1</v>
      </c>
      <c r="DZ69" s="163">
        <v>1</v>
      </c>
      <c r="EA69" s="163">
        <v>1</v>
      </c>
      <c r="EB69" s="163">
        <v>1</v>
      </c>
      <c r="EC69" s="163">
        <v>1</v>
      </c>
      <c r="ED69" s="163">
        <v>1</v>
      </c>
      <c r="EE69" s="163">
        <v>1</v>
      </c>
      <c r="EF69" s="163">
        <v>1</v>
      </c>
      <c r="EG69" s="163">
        <v>1</v>
      </c>
      <c r="EH69" s="163">
        <v>1</v>
      </c>
      <c r="EI69" s="163">
        <v>1</v>
      </c>
      <c r="EJ69" s="163">
        <v>1</v>
      </c>
      <c r="EK69" s="163">
        <v>1</v>
      </c>
      <c r="EL69" s="163">
        <v>1</v>
      </c>
    </row>
    <row r="70" spans="2:142" hidden="1" outlineLevel="2" x14ac:dyDescent="0.3">
      <c r="B70" s="29"/>
      <c r="C70" s="30"/>
      <c r="D70" s="30"/>
      <c r="E70" s="52" t="s">
        <v>75</v>
      </c>
      <c r="F70" s="33">
        <v>60</v>
      </c>
      <c r="G70" s="162">
        <v>45590</v>
      </c>
      <c r="H70" s="162">
        <v>45701</v>
      </c>
      <c r="I70" s="33">
        <f t="shared" si="183"/>
        <v>60</v>
      </c>
      <c r="J70" s="35">
        <v>0.12</v>
      </c>
      <c r="K70" s="53"/>
      <c r="L70" s="127">
        <v>0</v>
      </c>
      <c r="M70" s="127">
        <v>0</v>
      </c>
      <c r="N70" s="127">
        <v>0</v>
      </c>
      <c r="O70" s="127">
        <v>0</v>
      </c>
      <c r="P70" s="127">
        <v>0</v>
      </c>
      <c r="Q70" s="127">
        <v>0</v>
      </c>
      <c r="R70" s="127">
        <v>0</v>
      </c>
      <c r="S70" s="127">
        <v>0</v>
      </c>
      <c r="T70" s="127">
        <v>0</v>
      </c>
      <c r="U70" s="127">
        <v>0</v>
      </c>
      <c r="V70" s="127">
        <v>0</v>
      </c>
      <c r="W70" s="127">
        <v>0</v>
      </c>
      <c r="X70" s="127">
        <v>0</v>
      </c>
      <c r="Y70" s="127">
        <v>0</v>
      </c>
      <c r="Z70" s="127">
        <v>0</v>
      </c>
      <c r="AA70" s="127">
        <v>0</v>
      </c>
      <c r="AB70" s="127">
        <v>0</v>
      </c>
      <c r="AC70" s="127">
        <v>0</v>
      </c>
      <c r="AD70" s="127">
        <v>0</v>
      </c>
      <c r="AE70" s="127">
        <v>0</v>
      </c>
      <c r="AF70" s="127">
        <v>0</v>
      </c>
      <c r="AG70" s="127">
        <v>0</v>
      </c>
      <c r="AH70" s="127">
        <v>0</v>
      </c>
      <c r="AI70" s="127">
        <v>0</v>
      </c>
      <c r="AJ70" s="127">
        <v>0</v>
      </c>
      <c r="AK70" s="127">
        <v>0</v>
      </c>
      <c r="AL70" s="127">
        <v>0</v>
      </c>
      <c r="AM70" s="127">
        <v>0</v>
      </c>
      <c r="AN70" s="127">
        <v>0</v>
      </c>
      <c r="AO70" s="127">
        <v>0</v>
      </c>
      <c r="AP70" s="127">
        <v>0</v>
      </c>
      <c r="AQ70" s="127">
        <v>0</v>
      </c>
      <c r="AR70" s="127">
        <v>0</v>
      </c>
      <c r="AS70" s="127">
        <v>0</v>
      </c>
      <c r="AT70" s="127">
        <v>0</v>
      </c>
      <c r="AU70" s="127">
        <v>8.3299999999999999E-2</v>
      </c>
      <c r="AV70" s="127">
        <v>0.1666</v>
      </c>
      <c r="AW70" s="127">
        <v>0.24990000000000001</v>
      </c>
      <c r="AX70" s="127">
        <v>0.3332</v>
      </c>
      <c r="AY70" s="127">
        <v>0.41649999999999998</v>
      </c>
      <c r="AZ70" s="127">
        <v>0.49979999999999997</v>
      </c>
      <c r="BA70" s="127">
        <v>0.58309999999999995</v>
      </c>
      <c r="BB70" s="127">
        <v>0.66639999999999999</v>
      </c>
      <c r="BC70" s="127">
        <v>0.74970000000000003</v>
      </c>
      <c r="BD70" s="127">
        <v>0.83300000000000007</v>
      </c>
      <c r="BE70" s="127">
        <v>0.91630000000000011</v>
      </c>
      <c r="BF70" s="127">
        <v>0.99960000000000016</v>
      </c>
      <c r="BG70" s="127">
        <v>1</v>
      </c>
      <c r="BH70" s="127">
        <v>1</v>
      </c>
      <c r="BI70" s="127">
        <v>1</v>
      </c>
      <c r="BJ70" s="127">
        <v>1</v>
      </c>
      <c r="BK70" s="127">
        <v>1</v>
      </c>
      <c r="BL70" s="127">
        <v>1</v>
      </c>
      <c r="BM70" s="127">
        <v>1</v>
      </c>
      <c r="BN70" s="127">
        <v>1</v>
      </c>
      <c r="BO70" s="127">
        <v>1</v>
      </c>
      <c r="BP70" s="127">
        <v>1</v>
      </c>
      <c r="BQ70" s="127">
        <v>1</v>
      </c>
      <c r="BR70" s="163">
        <v>1</v>
      </c>
      <c r="BS70" s="163">
        <v>1</v>
      </c>
      <c r="BT70" s="163">
        <v>1</v>
      </c>
      <c r="BU70" s="163">
        <v>1</v>
      </c>
      <c r="BV70" s="163">
        <v>1</v>
      </c>
      <c r="BW70" s="163">
        <v>1</v>
      </c>
      <c r="BX70" s="163">
        <v>1</v>
      </c>
      <c r="BY70" s="163">
        <v>1</v>
      </c>
      <c r="BZ70" s="163">
        <v>1</v>
      </c>
      <c r="CA70" s="163">
        <v>1</v>
      </c>
      <c r="CB70" s="163">
        <v>1</v>
      </c>
      <c r="CC70" s="163">
        <v>1</v>
      </c>
      <c r="CD70" s="163">
        <v>1</v>
      </c>
      <c r="CE70" s="163">
        <v>1</v>
      </c>
      <c r="CF70" s="163">
        <v>1</v>
      </c>
      <c r="CG70" s="163">
        <v>1</v>
      </c>
      <c r="CH70" s="163">
        <v>1</v>
      </c>
      <c r="CI70" s="163">
        <v>1</v>
      </c>
      <c r="CJ70" s="163">
        <v>1</v>
      </c>
      <c r="CK70" s="163">
        <v>1</v>
      </c>
      <c r="CL70" s="163">
        <v>1</v>
      </c>
      <c r="CM70" s="163">
        <v>1</v>
      </c>
      <c r="CN70" s="163">
        <v>1</v>
      </c>
      <c r="CO70" s="163">
        <v>1</v>
      </c>
      <c r="CP70" s="163">
        <v>1</v>
      </c>
      <c r="CQ70" s="163">
        <v>1</v>
      </c>
      <c r="CR70" s="163">
        <v>1</v>
      </c>
      <c r="CS70" s="163">
        <v>1</v>
      </c>
      <c r="CT70" s="163">
        <v>1</v>
      </c>
      <c r="CU70" s="163">
        <v>1</v>
      </c>
      <c r="CV70" s="163">
        <v>1</v>
      </c>
      <c r="CW70" s="163">
        <v>1</v>
      </c>
      <c r="CX70" s="163">
        <v>1</v>
      </c>
      <c r="CY70" s="163">
        <v>1</v>
      </c>
      <c r="CZ70" s="163">
        <v>1</v>
      </c>
      <c r="DA70" s="163">
        <v>1</v>
      </c>
      <c r="DB70" s="163">
        <v>1</v>
      </c>
      <c r="DC70" s="163">
        <v>1</v>
      </c>
      <c r="DD70" s="163">
        <v>1</v>
      </c>
      <c r="DE70" s="163">
        <v>1</v>
      </c>
      <c r="DF70" s="163">
        <v>1</v>
      </c>
      <c r="DG70" s="163">
        <v>1</v>
      </c>
      <c r="DH70" s="347">
        <v>1</v>
      </c>
      <c r="DI70" s="163">
        <v>1</v>
      </c>
      <c r="DJ70" s="163">
        <v>1</v>
      </c>
      <c r="DK70" s="163">
        <v>1</v>
      </c>
      <c r="DL70" s="163">
        <v>1</v>
      </c>
      <c r="DM70" s="163">
        <v>1</v>
      </c>
      <c r="DN70" s="163">
        <v>1</v>
      </c>
      <c r="DO70" s="163">
        <v>1</v>
      </c>
      <c r="DP70" s="163">
        <v>1</v>
      </c>
      <c r="DQ70" s="163">
        <v>1</v>
      </c>
      <c r="DR70" s="163">
        <v>1</v>
      </c>
      <c r="DS70" s="163">
        <v>1</v>
      </c>
      <c r="DT70" s="163">
        <v>1</v>
      </c>
      <c r="DU70" s="163">
        <v>1</v>
      </c>
      <c r="DV70" s="163">
        <v>1</v>
      </c>
      <c r="DW70" s="163">
        <v>1</v>
      </c>
      <c r="DX70" s="163">
        <v>1</v>
      </c>
      <c r="DY70" s="163">
        <v>1</v>
      </c>
      <c r="DZ70" s="163">
        <v>1</v>
      </c>
      <c r="EA70" s="163">
        <v>1</v>
      </c>
      <c r="EB70" s="163">
        <v>1</v>
      </c>
      <c r="EC70" s="163">
        <v>1</v>
      </c>
      <c r="ED70" s="163">
        <v>1</v>
      </c>
      <c r="EE70" s="163">
        <v>1</v>
      </c>
      <c r="EF70" s="163">
        <v>1</v>
      </c>
      <c r="EG70" s="163">
        <v>1</v>
      </c>
      <c r="EH70" s="163">
        <v>1</v>
      </c>
      <c r="EI70" s="163">
        <v>1</v>
      </c>
      <c r="EJ70" s="163">
        <v>1</v>
      </c>
      <c r="EK70" s="163">
        <v>1</v>
      </c>
      <c r="EL70" s="163">
        <v>1</v>
      </c>
    </row>
    <row r="71" spans="2:142" hidden="1" outlineLevel="2" x14ac:dyDescent="0.3">
      <c r="B71" s="29"/>
      <c r="C71" s="30"/>
      <c r="D71" s="30"/>
      <c r="E71" s="52" t="s">
        <v>76</v>
      </c>
      <c r="F71" s="33">
        <v>10</v>
      </c>
      <c r="G71" s="162">
        <v>45674</v>
      </c>
      <c r="H71" s="162">
        <v>45687</v>
      </c>
      <c r="I71" s="33">
        <f t="shared" si="183"/>
        <v>10</v>
      </c>
      <c r="J71" s="35">
        <v>0.02</v>
      </c>
      <c r="K71" s="53"/>
      <c r="L71" s="127">
        <v>0</v>
      </c>
      <c r="M71" s="127">
        <v>0</v>
      </c>
      <c r="N71" s="127">
        <v>0</v>
      </c>
      <c r="O71" s="127">
        <v>0</v>
      </c>
      <c r="P71" s="127">
        <v>0</v>
      </c>
      <c r="Q71" s="127">
        <v>0</v>
      </c>
      <c r="R71" s="127">
        <v>0</v>
      </c>
      <c r="S71" s="127">
        <v>0</v>
      </c>
      <c r="T71" s="127">
        <v>0</v>
      </c>
      <c r="U71" s="127">
        <v>0</v>
      </c>
      <c r="V71" s="127">
        <v>0</v>
      </c>
      <c r="W71" s="127">
        <v>0</v>
      </c>
      <c r="X71" s="127">
        <v>0</v>
      </c>
      <c r="Y71" s="127">
        <v>0</v>
      </c>
      <c r="Z71" s="127">
        <v>0</v>
      </c>
      <c r="AA71" s="127">
        <v>0</v>
      </c>
      <c r="AB71" s="127">
        <v>0</v>
      </c>
      <c r="AC71" s="127">
        <v>0</v>
      </c>
      <c r="AD71" s="127">
        <v>0</v>
      </c>
      <c r="AE71" s="127">
        <v>0</v>
      </c>
      <c r="AF71" s="127">
        <v>0</v>
      </c>
      <c r="AG71" s="127">
        <v>0</v>
      </c>
      <c r="AH71" s="127">
        <v>0</v>
      </c>
      <c r="AI71" s="127">
        <v>0</v>
      </c>
      <c r="AJ71" s="127">
        <v>0</v>
      </c>
      <c r="AK71" s="127">
        <v>0</v>
      </c>
      <c r="AL71" s="127">
        <v>0</v>
      </c>
      <c r="AM71" s="127">
        <v>0</v>
      </c>
      <c r="AN71" s="127">
        <v>0</v>
      </c>
      <c r="AO71" s="127">
        <v>0</v>
      </c>
      <c r="AP71" s="127">
        <v>0</v>
      </c>
      <c r="AQ71" s="127">
        <v>0</v>
      </c>
      <c r="AR71" s="127">
        <v>0</v>
      </c>
      <c r="AS71" s="127">
        <v>0</v>
      </c>
      <c r="AT71" s="127">
        <v>0</v>
      </c>
      <c r="AU71" s="127">
        <v>0</v>
      </c>
      <c r="AV71" s="127">
        <v>0</v>
      </c>
      <c r="AW71" s="127">
        <v>0</v>
      </c>
      <c r="AX71" s="127">
        <v>0</v>
      </c>
      <c r="AY71" s="127">
        <v>0</v>
      </c>
      <c r="AZ71" s="127">
        <v>0</v>
      </c>
      <c r="BA71" s="127">
        <v>0</v>
      </c>
      <c r="BB71" s="127">
        <v>0</v>
      </c>
      <c r="BC71" s="127">
        <v>0</v>
      </c>
      <c r="BD71" s="127">
        <v>0</v>
      </c>
      <c r="BE71" s="127">
        <v>0</v>
      </c>
      <c r="BF71" s="127">
        <v>0</v>
      </c>
      <c r="BG71" s="127">
        <v>0.33329999999999999</v>
      </c>
      <c r="BH71" s="127">
        <v>0.66659999999999997</v>
      </c>
      <c r="BI71" s="127">
        <v>1</v>
      </c>
      <c r="BJ71" s="127">
        <v>1</v>
      </c>
      <c r="BK71" s="127">
        <v>1</v>
      </c>
      <c r="BL71" s="127">
        <v>1</v>
      </c>
      <c r="BM71" s="127">
        <v>1</v>
      </c>
      <c r="BN71" s="127">
        <v>1</v>
      </c>
      <c r="BO71" s="127">
        <v>1</v>
      </c>
      <c r="BP71" s="127">
        <v>1</v>
      </c>
      <c r="BQ71" s="127">
        <v>1</v>
      </c>
      <c r="BR71" s="163">
        <v>1</v>
      </c>
      <c r="BS71" s="163">
        <v>1</v>
      </c>
      <c r="BT71" s="163">
        <v>1</v>
      </c>
      <c r="BU71" s="163">
        <v>1</v>
      </c>
      <c r="BV71" s="163">
        <v>1</v>
      </c>
      <c r="BW71" s="163">
        <v>1</v>
      </c>
      <c r="BX71" s="163">
        <v>1</v>
      </c>
      <c r="BY71" s="163">
        <v>1</v>
      </c>
      <c r="BZ71" s="163">
        <v>1</v>
      </c>
      <c r="CA71" s="163">
        <v>1</v>
      </c>
      <c r="CB71" s="163">
        <v>1</v>
      </c>
      <c r="CC71" s="163">
        <v>1</v>
      </c>
      <c r="CD71" s="163">
        <v>1</v>
      </c>
      <c r="CE71" s="163">
        <v>1</v>
      </c>
      <c r="CF71" s="163">
        <v>1</v>
      </c>
      <c r="CG71" s="163">
        <v>1</v>
      </c>
      <c r="CH71" s="163">
        <v>1</v>
      </c>
      <c r="CI71" s="163">
        <v>1</v>
      </c>
      <c r="CJ71" s="163">
        <v>1</v>
      </c>
      <c r="CK71" s="163">
        <v>1</v>
      </c>
      <c r="CL71" s="163">
        <v>1</v>
      </c>
      <c r="CM71" s="163">
        <v>1</v>
      </c>
      <c r="CN71" s="163">
        <v>1</v>
      </c>
      <c r="CO71" s="163">
        <v>1</v>
      </c>
      <c r="CP71" s="163">
        <v>1</v>
      </c>
      <c r="CQ71" s="163">
        <v>1</v>
      </c>
      <c r="CR71" s="163">
        <v>1</v>
      </c>
      <c r="CS71" s="163">
        <v>1</v>
      </c>
      <c r="CT71" s="163">
        <v>1</v>
      </c>
      <c r="CU71" s="163">
        <v>1</v>
      </c>
      <c r="CV71" s="163">
        <v>1</v>
      </c>
      <c r="CW71" s="163">
        <v>1</v>
      </c>
      <c r="CX71" s="163">
        <v>1</v>
      </c>
      <c r="CY71" s="163">
        <v>1</v>
      </c>
      <c r="CZ71" s="163">
        <v>1</v>
      </c>
      <c r="DA71" s="163">
        <v>1</v>
      </c>
      <c r="DB71" s="163">
        <v>1</v>
      </c>
      <c r="DC71" s="163">
        <v>1</v>
      </c>
      <c r="DD71" s="163">
        <v>1</v>
      </c>
      <c r="DE71" s="163">
        <v>1</v>
      </c>
      <c r="DF71" s="163">
        <v>1</v>
      </c>
      <c r="DG71" s="163">
        <v>1</v>
      </c>
      <c r="DH71" s="347">
        <v>1</v>
      </c>
      <c r="DI71" s="163">
        <v>1</v>
      </c>
      <c r="DJ71" s="163">
        <v>1</v>
      </c>
      <c r="DK71" s="163">
        <v>1</v>
      </c>
      <c r="DL71" s="163">
        <v>1</v>
      </c>
      <c r="DM71" s="163">
        <v>1</v>
      </c>
      <c r="DN71" s="163">
        <v>1</v>
      </c>
      <c r="DO71" s="163">
        <v>1</v>
      </c>
      <c r="DP71" s="163">
        <v>1</v>
      </c>
      <c r="DQ71" s="163">
        <v>1</v>
      </c>
      <c r="DR71" s="163">
        <v>1</v>
      </c>
      <c r="DS71" s="163">
        <v>1</v>
      </c>
      <c r="DT71" s="163">
        <v>1</v>
      </c>
      <c r="DU71" s="163">
        <v>1</v>
      </c>
      <c r="DV71" s="163">
        <v>1</v>
      </c>
      <c r="DW71" s="163">
        <v>1</v>
      </c>
      <c r="DX71" s="163">
        <v>1</v>
      </c>
      <c r="DY71" s="163">
        <v>1</v>
      </c>
      <c r="DZ71" s="163">
        <v>1</v>
      </c>
      <c r="EA71" s="163">
        <v>1</v>
      </c>
      <c r="EB71" s="163">
        <v>1</v>
      </c>
      <c r="EC71" s="163">
        <v>1</v>
      </c>
      <c r="ED71" s="163">
        <v>1</v>
      </c>
      <c r="EE71" s="163">
        <v>1</v>
      </c>
      <c r="EF71" s="163">
        <v>1</v>
      </c>
      <c r="EG71" s="163">
        <v>1</v>
      </c>
      <c r="EH71" s="163">
        <v>1</v>
      </c>
      <c r="EI71" s="163">
        <v>1</v>
      </c>
      <c r="EJ71" s="163">
        <v>1</v>
      </c>
      <c r="EK71" s="163">
        <v>1</v>
      </c>
      <c r="EL71" s="163">
        <v>1</v>
      </c>
    </row>
    <row r="72" spans="2:142" ht="15" hidden="1" outlineLevel="1" collapsed="1" x14ac:dyDescent="0.3">
      <c r="B72" s="22"/>
      <c r="C72" s="23"/>
      <c r="D72" s="23" t="s">
        <v>77</v>
      </c>
      <c r="E72" s="50"/>
      <c r="F72" s="26">
        <v>40</v>
      </c>
      <c r="G72" s="160">
        <v>45534</v>
      </c>
      <c r="H72" s="160">
        <v>45589</v>
      </c>
      <c r="I72" s="26">
        <f>+I73</f>
        <v>40</v>
      </c>
      <c r="J72" s="28">
        <v>4.0203871063869114E-2</v>
      </c>
      <c r="K72" s="51"/>
      <c r="L72" s="28">
        <f>+L73*$J$73</f>
        <v>0</v>
      </c>
      <c r="M72" s="28">
        <f t="shared" ref="M72:CP72" si="184">+M73*$J$73</f>
        <v>0</v>
      </c>
      <c r="N72" s="28">
        <f t="shared" si="184"/>
        <v>0</v>
      </c>
      <c r="O72" s="28">
        <f t="shared" si="184"/>
        <v>0</v>
      </c>
      <c r="P72" s="28">
        <f t="shared" si="184"/>
        <v>0</v>
      </c>
      <c r="Q72" s="28">
        <f t="shared" si="184"/>
        <v>0</v>
      </c>
      <c r="R72" s="28">
        <f t="shared" si="184"/>
        <v>0</v>
      </c>
      <c r="S72" s="28">
        <f t="shared" si="184"/>
        <v>0</v>
      </c>
      <c r="T72" s="28">
        <f t="shared" si="184"/>
        <v>0</v>
      </c>
      <c r="U72" s="28">
        <f t="shared" si="184"/>
        <v>0</v>
      </c>
      <c r="V72" s="28">
        <f t="shared" si="184"/>
        <v>0</v>
      </c>
      <c r="W72" s="28">
        <f t="shared" si="184"/>
        <v>0</v>
      </c>
      <c r="X72" s="28">
        <f t="shared" si="184"/>
        <v>0.12</v>
      </c>
      <c r="Y72" s="28">
        <f t="shared" si="184"/>
        <v>0.25</v>
      </c>
      <c r="Z72" s="28">
        <f t="shared" si="184"/>
        <v>0.25</v>
      </c>
      <c r="AA72" s="28">
        <f t="shared" si="184"/>
        <v>0.25</v>
      </c>
      <c r="AB72" s="28">
        <f t="shared" si="184"/>
        <v>0.25</v>
      </c>
      <c r="AC72" s="28">
        <f t="shared" si="184"/>
        <v>0.25</v>
      </c>
      <c r="AD72" s="28">
        <f t="shared" si="184"/>
        <v>0.31687500000000002</v>
      </c>
      <c r="AE72" s="28">
        <f t="shared" si="184"/>
        <v>0.51218750000000002</v>
      </c>
      <c r="AF72" s="28">
        <f t="shared" si="184"/>
        <v>0.57437500000000008</v>
      </c>
      <c r="AG72" s="28">
        <f t="shared" si="184"/>
        <v>0.57999999999999996</v>
      </c>
      <c r="AH72" s="28">
        <f t="shared" si="184"/>
        <v>0.57999999999999996</v>
      </c>
      <c r="AI72" s="28">
        <f t="shared" si="184"/>
        <v>0.57999999999999996</v>
      </c>
      <c r="AJ72" s="28">
        <f t="shared" si="184"/>
        <v>0.62</v>
      </c>
      <c r="AK72" s="28">
        <f t="shared" si="184"/>
        <v>0.62</v>
      </c>
      <c r="AL72" s="28">
        <f t="shared" si="184"/>
        <v>0.62</v>
      </c>
      <c r="AM72" s="28">
        <f t="shared" si="184"/>
        <v>0.62</v>
      </c>
      <c r="AN72" s="28">
        <f t="shared" si="184"/>
        <v>0.65749999999999997</v>
      </c>
      <c r="AO72" s="28">
        <f t="shared" si="184"/>
        <v>0.76187500000000008</v>
      </c>
      <c r="AP72" s="28">
        <f t="shared" si="184"/>
        <v>0.78347500000000003</v>
      </c>
      <c r="AQ72" s="28">
        <f t="shared" si="184"/>
        <v>0.80507499999999999</v>
      </c>
      <c r="AR72" s="28">
        <f t="shared" si="184"/>
        <v>0.82667499999999994</v>
      </c>
      <c r="AS72" s="28">
        <f t="shared" si="184"/>
        <v>0.84827499999999989</v>
      </c>
      <c r="AT72" s="28">
        <f t="shared" si="184"/>
        <v>0.86987499999999984</v>
      </c>
      <c r="AU72" s="28">
        <f t="shared" si="184"/>
        <v>0.8914749999999998</v>
      </c>
      <c r="AV72" s="28">
        <f t="shared" si="184"/>
        <v>0.91307499999999975</v>
      </c>
      <c r="AW72" s="28">
        <f t="shared" si="184"/>
        <v>0.9346749999999997</v>
      </c>
      <c r="AX72" s="28">
        <f t="shared" si="184"/>
        <v>0.95627499999999965</v>
      </c>
      <c r="AY72" s="28">
        <f t="shared" si="184"/>
        <v>0.97787499999999961</v>
      </c>
      <c r="AZ72" s="28">
        <f t="shared" si="184"/>
        <v>1</v>
      </c>
      <c r="BA72" s="28">
        <f t="shared" si="184"/>
        <v>1</v>
      </c>
      <c r="BB72" s="28">
        <f t="shared" si="184"/>
        <v>1</v>
      </c>
      <c r="BC72" s="28">
        <f t="shared" si="184"/>
        <v>1</v>
      </c>
      <c r="BD72" s="28">
        <f t="shared" si="184"/>
        <v>1</v>
      </c>
      <c r="BE72" s="28">
        <f t="shared" si="184"/>
        <v>1</v>
      </c>
      <c r="BF72" s="28">
        <f t="shared" si="184"/>
        <v>1</v>
      </c>
      <c r="BG72" s="28">
        <f t="shared" si="184"/>
        <v>1</v>
      </c>
      <c r="BH72" s="28">
        <f t="shared" si="184"/>
        <v>1</v>
      </c>
      <c r="BI72" s="28">
        <f t="shared" si="184"/>
        <v>1</v>
      </c>
      <c r="BJ72" s="28">
        <f t="shared" si="184"/>
        <v>1</v>
      </c>
      <c r="BK72" s="28">
        <f t="shared" si="184"/>
        <v>1</v>
      </c>
      <c r="BL72" s="28">
        <f t="shared" si="184"/>
        <v>1</v>
      </c>
      <c r="BM72" s="28">
        <f t="shared" si="184"/>
        <v>1</v>
      </c>
      <c r="BN72" s="28">
        <f t="shared" si="184"/>
        <v>1</v>
      </c>
      <c r="BO72" s="28">
        <f t="shared" si="184"/>
        <v>1</v>
      </c>
      <c r="BP72" s="28">
        <f t="shared" si="184"/>
        <v>1</v>
      </c>
      <c r="BQ72" s="28">
        <f t="shared" si="184"/>
        <v>1</v>
      </c>
      <c r="BR72" s="161">
        <f t="shared" si="184"/>
        <v>1</v>
      </c>
      <c r="BS72" s="161">
        <f t="shared" si="184"/>
        <v>1</v>
      </c>
      <c r="BT72" s="161">
        <f t="shared" si="184"/>
        <v>1</v>
      </c>
      <c r="BU72" s="161">
        <f t="shared" si="184"/>
        <v>1</v>
      </c>
      <c r="BV72" s="161">
        <f t="shared" si="184"/>
        <v>1</v>
      </c>
      <c r="BW72" s="161">
        <f t="shared" si="184"/>
        <v>1</v>
      </c>
      <c r="BX72" s="161">
        <f t="shared" si="184"/>
        <v>1</v>
      </c>
      <c r="BY72" s="161">
        <f t="shared" si="184"/>
        <v>1</v>
      </c>
      <c r="BZ72" s="161">
        <f t="shared" si="184"/>
        <v>1</v>
      </c>
      <c r="CA72" s="161">
        <f t="shared" si="184"/>
        <v>1</v>
      </c>
      <c r="CB72" s="161">
        <f t="shared" si="184"/>
        <v>1</v>
      </c>
      <c r="CC72" s="161">
        <f t="shared" si="184"/>
        <v>1</v>
      </c>
      <c r="CD72" s="161">
        <f t="shared" si="184"/>
        <v>1</v>
      </c>
      <c r="CE72" s="161">
        <f t="shared" si="184"/>
        <v>1</v>
      </c>
      <c r="CF72" s="161">
        <f t="shared" si="184"/>
        <v>1</v>
      </c>
      <c r="CG72" s="161">
        <f t="shared" si="184"/>
        <v>1</v>
      </c>
      <c r="CH72" s="161">
        <f t="shared" si="184"/>
        <v>1</v>
      </c>
      <c r="CI72" s="161">
        <f t="shared" si="184"/>
        <v>1</v>
      </c>
      <c r="CJ72" s="161">
        <f t="shared" si="184"/>
        <v>1</v>
      </c>
      <c r="CK72" s="161">
        <f t="shared" si="184"/>
        <v>1</v>
      </c>
      <c r="CL72" s="161">
        <f t="shared" si="184"/>
        <v>1</v>
      </c>
      <c r="CM72" s="161">
        <f t="shared" si="184"/>
        <v>1</v>
      </c>
      <c r="CN72" s="161">
        <f t="shared" si="184"/>
        <v>1</v>
      </c>
      <c r="CO72" s="161">
        <f t="shared" si="184"/>
        <v>1</v>
      </c>
      <c r="CP72" s="161">
        <f t="shared" si="184"/>
        <v>1</v>
      </c>
      <c r="CQ72" s="161">
        <f t="shared" ref="CQ72:EL72" si="185">+CQ73*$J$73</f>
        <v>1</v>
      </c>
      <c r="CR72" s="161">
        <f t="shared" si="185"/>
        <v>1</v>
      </c>
      <c r="CS72" s="161">
        <f t="shared" si="185"/>
        <v>1</v>
      </c>
      <c r="CT72" s="161">
        <f t="shared" si="185"/>
        <v>1</v>
      </c>
      <c r="CU72" s="161">
        <f t="shared" si="185"/>
        <v>1</v>
      </c>
      <c r="CV72" s="161">
        <f t="shared" si="185"/>
        <v>1</v>
      </c>
      <c r="CW72" s="161">
        <f t="shared" si="185"/>
        <v>1</v>
      </c>
      <c r="CX72" s="161">
        <f t="shared" si="185"/>
        <v>1</v>
      </c>
      <c r="CY72" s="161">
        <f t="shared" si="185"/>
        <v>1</v>
      </c>
      <c r="CZ72" s="161">
        <f t="shared" si="185"/>
        <v>1</v>
      </c>
      <c r="DA72" s="161">
        <f t="shared" si="185"/>
        <v>1</v>
      </c>
      <c r="DB72" s="161">
        <f t="shared" si="185"/>
        <v>1</v>
      </c>
      <c r="DC72" s="161">
        <f t="shared" si="185"/>
        <v>1</v>
      </c>
      <c r="DD72" s="161">
        <f t="shared" si="185"/>
        <v>1</v>
      </c>
      <c r="DE72" s="161">
        <f t="shared" si="185"/>
        <v>1</v>
      </c>
      <c r="DF72" s="161">
        <f t="shared" si="185"/>
        <v>1</v>
      </c>
      <c r="DG72" s="161">
        <f t="shared" si="185"/>
        <v>1</v>
      </c>
      <c r="DH72" s="346">
        <f t="shared" si="185"/>
        <v>1</v>
      </c>
      <c r="DI72" s="161">
        <f t="shared" si="185"/>
        <v>1</v>
      </c>
      <c r="DJ72" s="161">
        <f t="shared" si="185"/>
        <v>1</v>
      </c>
      <c r="DK72" s="161">
        <f t="shared" si="185"/>
        <v>1</v>
      </c>
      <c r="DL72" s="161">
        <f t="shared" si="185"/>
        <v>1</v>
      </c>
      <c r="DM72" s="161">
        <f t="shared" si="185"/>
        <v>1</v>
      </c>
      <c r="DN72" s="161">
        <f t="shared" si="185"/>
        <v>1</v>
      </c>
      <c r="DO72" s="161">
        <f t="shared" si="185"/>
        <v>1</v>
      </c>
      <c r="DP72" s="161">
        <f t="shared" si="185"/>
        <v>1</v>
      </c>
      <c r="DQ72" s="161">
        <f t="shared" si="185"/>
        <v>1</v>
      </c>
      <c r="DR72" s="161">
        <f t="shared" si="185"/>
        <v>1</v>
      </c>
      <c r="DS72" s="161">
        <f t="shared" si="185"/>
        <v>1</v>
      </c>
      <c r="DT72" s="161">
        <f t="shared" si="185"/>
        <v>1</v>
      </c>
      <c r="DU72" s="161">
        <f t="shared" si="185"/>
        <v>1</v>
      </c>
      <c r="DV72" s="161">
        <f t="shared" si="185"/>
        <v>1</v>
      </c>
      <c r="DW72" s="161">
        <f t="shared" si="185"/>
        <v>1</v>
      </c>
      <c r="DX72" s="161">
        <f t="shared" si="185"/>
        <v>1</v>
      </c>
      <c r="DY72" s="161">
        <f t="shared" si="185"/>
        <v>1</v>
      </c>
      <c r="DZ72" s="161">
        <f t="shared" si="185"/>
        <v>1</v>
      </c>
      <c r="EA72" s="161">
        <f t="shared" si="185"/>
        <v>1</v>
      </c>
      <c r="EB72" s="161">
        <f t="shared" si="185"/>
        <v>1</v>
      </c>
      <c r="EC72" s="161">
        <f t="shared" si="185"/>
        <v>1</v>
      </c>
      <c r="ED72" s="161">
        <f t="shared" si="185"/>
        <v>1</v>
      </c>
      <c r="EE72" s="161">
        <f t="shared" si="185"/>
        <v>1</v>
      </c>
      <c r="EF72" s="161">
        <f t="shared" si="185"/>
        <v>1</v>
      </c>
      <c r="EG72" s="161">
        <f t="shared" si="185"/>
        <v>1</v>
      </c>
      <c r="EH72" s="161">
        <f t="shared" si="185"/>
        <v>1</v>
      </c>
      <c r="EI72" s="161">
        <f t="shared" si="185"/>
        <v>1</v>
      </c>
      <c r="EJ72" s="161">
        <f t="shared" si="185"/>
        <v>1</v>
      </c>
      <c r="EK72" s="161">
        <f t="shared" si="185"/>
        <v>1</v>
      </c>
      <c r="EL72" s="161">
        <f t="shared" si="185"/>
        <v>1</v>
      </c>
    </row>
    <row r="73" spans="2:142" hidden="1" outlineLevel="2" x14ac:dyDescent="0.3">
      <c r="B73" s="29"/>
      <c r="C73" s="30"/>
      <c r="D73" s="30"/>
      <c r="E73" s="52" t="s">
        <v>78</v>
      </c>
      <c r="F73" s="33">
        <v>40</v>
      </c>
      <c r="G73" s="162">
        <v>45534</v>
      </c>
      <c r="H73" s="162">
        <v>45589</v>
      </c>
      <c r="I73" s="33">
        <f>+F73</f>
        <v>40</v>
      </c>
      <c r="J73" s="35">
        <v>1</v>
      </c>
      <c r="K73" s="53"/>
      <c r="L73" s="127">
        <v>0</v>
      </c>
      <c r="M73" s="127">
        <v>0</v>
      </c>
      <c r="N73" s="127">
        <v>0</v>
      </c>
      <c r="O73" s="127">
        <v>0</v>
      </c>
      <c r="P73" s="127">
        <v>0</v>
      </c>
      <c r="Q73" s="127">
        <v>0</v>
      </c>
      <c r="R73" s="127">
        <v>0</v>
      </c>
      <c r="S73" s="127">
        <v>0</v>
      </c>
      <c r="T73" s="127">
        <v>0</v>
      </c>
      <c r="U73" s="127">
        <v>0</v>
      </c>
      <c r="V73" s="127">
        <v>0</v>
      </c>
      <c r="W73" s="127">
        <v>0</v>
      </c>
      <c r="X73" s="127">
        <v>0.12</v>
      </c>
      <c r="Y73" s="127">
        <v>0.25</v>
      </c>
      <c r="Z73" s="127">
        <v>0.25</v>
      </c>
      <c r="AA73" s="127">
        <v>0.25</v>
      </c>
      <c r="AB73" s="127">
        <v>0.25</v>
      </c>
      <c r="AC73" s="127">
        <v>0.25</v>
      </c>
      <c r="AD73" s="127">
        <v>0.31687500000000002</v>
      </c>
      <c r="AE73" s="127">
        <v>0.51218750000000002</v>
      </c>
      <c r="AF73" s="127">
        <v>0.57437500000000008</v>
      </c>
      <c r="AG73" s="127">
        <v>0.57999999999999996</v>
      </c>
      <c r="AH73" s="127">
        <v>0.57999999999999996</v>
      </c>
      <c r="AI73" s="127">
        <v>0.57999999999999996</v>
      </c>
      <c r="AJ73" s="127">
        <v>0.62</v>
      </c>
      <c r="AK73" s="127">
        <v>0.62</v>
      </c>
      <c r="AL73" s="127">
        <v>0.62</v>
      </c>
      <c r="AM73" s="127">
        <v>0.62</v>
      </c>
      <c r="AN73" s="127">
        <v>0.65749999999999997</v>
      </c>
      <c r="AO73" s="127">
        <v>0.76187500000000008</v>
      </c>
      <c r="AP73" s="127">
        <v>0.78347500000000003</v>
      </c>
      <c r="AQ73" s="127">
        <v>0.80507499999999999</v>
      </c>
      <c r="AR73" s="127">
        <v>0.82667499999999994</v>
      </c>
      <c r="AS73" s="127">
        <v>0.84827499999999989</v>
      </c>
      <c r="AT73" s="127">
        <v>0.86987499999999984</v>
      </c>
      <c r="AU73" s="127">
        <v>0.8914749999999998</v>
      </c>
      <c r="AV73" s="127">
        <v>0.91307499999999975</v>
      </c>
      <c r="AW73" s="127">
        <v>0.9346749999999997</v>
      </c>
      <c r="AX73" s="127">
        <v>0.95627499999999965</v>
      </c>
      <c r="AY73" s="127">
        <v>0.97787499999999961</v>
      </c>
      <c r="AZ73" s="127">
        <v>1</v>
      </c>
      <c r="BA73" s="127">
        <v>1</v>
      </c>
      <c r="BB73" s="127">
        <v>1</v>
      </c>
      <c r="BC73" s="127">
        <v>1</v>
      </c>
      <c r="BD73" s="127">
        <v>1</v>
      </c>
      <c r="BE73" s="127">
        <v>1</v>
      </c>
      <c r="BF73" s="127">
        <v>1</v>
      </c>
      <c r="BG73" s="127">
        <v>1</v>
      </c>
      <c r="BH73" s="127">
        <v>1</v>
      </c>
      <c r="BI73" s="127">
        <v>1</v>
      </c>
      <c r="BJ73" s="127">
        <v>1</v>
      </c>
      <c r="BK73" s="127">
        <v>1</v>
      </c>
      <c r="BL73" s="127">
        <v>1</v>
      </c>
      <c r="BM73" s="127">
        <v>1</v>
      </c>
      <c r="BN73" s="127">
        <v>1</v>
      </c>
      <c r="BO73" s="127">
        <v>1</v>
      </c>
      <c r="BP73" s="127">
        <v>1</v>
      </c>
      <c r="BQ73" s="127">
        <v>1</v>
      </c>
      <c r="BR73" s="163">
        <v>1</v>
      </c>
      <c r="BS73" s="163">
        <v>1</v>
      </c>
      <c r="BT73" s="163">
        <v>1</v>
      </c>
      <c r="BU73" s="163">
        <v>1</v>
      </c>
      <c r="BV73" s="163">
        <v>1</v>
      </c>
      <c r="BW73" s="163">
        <v>1</v>
      </c>
      <c r="BX73" s="163">
        <v>1</v>
      </c>
      <c r="BY73" s="163">
        <v>1</v>
      </c>
      <c r="BZ73" s="163">
        <v>1</v>
      </c>
      <c r="CA73" s="163">
        <v>1</v>
      </c>
      <c r="CB73" s="163">
        <v>1</v>
      </c>
      <c r="CC73" s="163">
        <v>1</v>
      </c>
      <c r="CD73" s="163">
        <v>1</v>
      </c>
      <c r="CE73" s="163">
        <v>1</v>
      </c>
      <c r="CF73" s="163">
        <v>1</v>
      </c>
      <c r="CG73" s="163">
        <v>1</v>
      </c>
      <c r="CH73" s="163">
        <v>1</v>
      </c>
      <c r="CI73" s="163">
        <v>1</v>
      </c>
      <c r="CJ73" s="163">
        <v>1</v>
      </c>
      <c r="CK73" s="163">
        <v>1</v>
      </c>
      <c r="CL73" s="163">
        <v>1</v>
      </c>
      <c r="CM73" s="163">
        <v>1</v>
      </c>
      <c r="CN73" s="163">
        <v>1</v>
      </c>
      <c r="CO73" s="163">
        <v>1</v>
      </c>
      <c r="CP73" s="163">
        <v>1</v>
      </c>
      <c r="CQ73" s="163">
        <v>1</v>
      </c>
      <c r="CR73" s="163">
        <v>1</v>
      </c>
      <c r="CS73" s="163">
        <v>1</v>
      </c>
      <c r="CT73" s="163">
        <v>1</v>
      </c>
      <c r="CU73" s="163">
        <v>1</v>
      </c>
      <c r="CV73" s="163">
        <v>1</v>
      </c>
      <c r="CW73" s="163">
        <v>1</v>
      </c>
      <c r="CX73" s="163">
        <v>1</v>
      </c>
      <c r="CY73" s="163">
        <v>1</v>
      </c>
      <c r="CZ73" s="163">
        <v>1</v>
      </c>
      <c r="DA73" s="163">
        <v>1</v>
      </c>
      <c r="DB73" s="163">
        <v>1</v>
      </c>
      <c r="DC73" s="163">
        <v>1</v>
      </c>
      <c r="DD73" s="163">
        <v>1</v>
      </c>
      <c r="DE73" s="163">
        <v>1</v>
      </c>
      <c r="DF73" s="163">
        <v>1</v>
      </c>
      <c r="DG73" s="163">
        <v>1</v>
      </c>
      <c r="DH73" s="347">
        <v>1</v>
      </c>
      <c r="DI73" s="163">
        <v>1</v>
      </c>
      <c r="DJ73" s="163">
        <v>1</v>
      </c>
      <c r="DK73" s="163">
        <v>1</v>
      </c>
      <c r="DL73" s="163">
        <v>1</v>
      </c>
      <c r="DM73" s="163">
        <v>1</v>
      </c>
      <c r="DN73" s="163">
        <v>1</v>
      </c>
      <c r="DO73" s="163">
        <v>1</v>
      </c>
      <c r="DP73" s="163">
        <v>1</v>
      </c>
      <c r="DQ73" s="163">
        <v>1</v>
      </c>
      <c r="DR73" s="163">
        <v>1</v>
      </c>
      <c r="DS73" s="163">
        <v>1</v>
      </c>
      <c r="DT73" s="163">
        <v>1</v>
      </c>
      <c r="DU73" s="163">
        <v>1</v>
      </c>
      <c r="DV73" s="163">
        <v>1</v>
      </c>
      <c r="DW73" s="163">
        <v>1</v>
      </c>
      <c r="DX73" s="163">
        <v>1</v>
      </c>
      <c r="DY73" s="163">
        <v>1</v>
      </c>
      <c r="DZ73" s="163">
        <v>1</v>
      </c>
      <c r="EA73" s="163">
        <v>1</v>
      </c>
      <c r="EB73" s="163">
        <v>1</v>
      </c>
      <c r="EC73" s="163">
        <v>1</v>
      </c>
      <c r="ED73" s="163">
        <v>1</v>
      </c>
      <c r="EE73" s="163">
        <v>1</v>
      </c>
      <c r="EF73" s="163">
        <v>1</v>
      </c>
      <c r="EG73" s="163">
        <v>1</v>
      </c>
      <c r="EH73" s="163">
        <v>1</v>
      </c>
      <c r="EI73" s="163">
        <v>1</v>
      </c>
      <c r="EJ73" s="163">
        <v>1</v>
      </c>
      <c r="EK73" s="163">
        <v>1</v>
      </c>
      <c r="EL73" s="163">
        <v>1</v>
      </c>
    </row>
    <row r="74" spans="2:142" ht="15" hidden="1" outlineLevel="1" collapsed="1" x14ac:dyDescent="0.3">
      <c r="B74" s="22"/>
      <c r="C74" s="23"/>
      <c r="D74" s="23" t="s">
        <v>79</v>
      </c>
      <c r="E74" s="50"/>
      <c r="F74" s="26">
        <v>60</v>
      </c>
      <c r="G74" s="160">
        <v>45741</v>
      </c>
      <c r="H74" s="160">
        <v>45828</v>
      </c>
      <c r="I74" s="26">
        <f>+SUM(I75:I77)</f>
        <v>60</v>
      </c>
      <c r="J74" s="28">
        <v>0.02</v>
      </c>
      <c r="K74" s="51"/>
      <c r="L74" s="28">
        <f>+SUMPRODUCT($J$75:$J$77,L75:L77)</f>
        <v>0</v>
      </c>
      <c r="M74" s="28">
        <f t="shared" ref="M74:BU74" si="186">+SUMPRODUCT($J$75:$J$77,M75:M77)</f>
        <v>0</v>
      </c>
      <c r="N74" s="28">
        <f t="shared" si="186"/>
        <v>0</v>
      </c>
      <c r="O74" s="28">
        <f t="shared" si="186"/>
        <v>0</v>
      </c>
      <c r="P74" s="28">
        <f t="shared" si="186"/>
        <v>0</v>
      </c>
      <c r="Q74" s="28">
        <f t="shared" si="186"/>
        <v>0</v>
      </c>
      <c r="R74" s="28">
        <f t="shared" si="186"/>
        <v>0</v>
      </c>
      <c r="S74" s="28">
        <f t="shared" si="186"/>
        <v>0</v>
      </c>
      <c r="T74" s="28">
        <f t="shared" si="186"/>
        <v>0</v>
      </c>
      <c r="U74" s="28">
        <f t="shared" si="186"/>
        <v>0</v>
      </c>
      <c r="V74" s="28">
        <f t="shared" si="186"/>
        <v>0</v>
      </c>
      <c r="W74" s="28">
        <f t="shared" si="186"/>
        <v>0</v>
      </c>
      <c r="X74" s="28">
        <f t="shared" si="186"/>
        <v>0</v>
      </c>
      <c r="Y74" s="28">
        <f t="shared" si="186"/>
        <v>0</v>
      </c>
      <c r="Z74" s="28">
        <f t="shared" si="186"/>
        <v>0</v>
      </c>
      <c r="AA74" s="28">
        <f t="shared" si="186"/>
        <v>0</v>
      </c>
      <c r="AB74" s="28">
        <f t="shared" si="186"/>
        <v>0</v>
      </c>
      <c r="AC74" s="28">
        <f t="shared" si="186"/>
        <v>0</v>
      </c>
      <c r="AD74" s="28">
        <f t="shared" si="186"/>
        <v>0</v>
      </c>
      <c r="AE74" s="28">
        <f t="shared" si="186"/>
        <v>0</v>
      </c>
      <c r="AF74" s="28">
        <f t="shared" si="186"/>
        <v>0</v>
      </c>
      <c r="AG74" s="28">
        <f t="shared" si="186"/>
        <v>0</v>
      </c>
      <c r="AH74" s="28">
        <f t="shared" si="186"/>
        <v>0</v>
      </c>
      <c r="AI74" s="28">
        <f t="shared" si="186"/>
        <v>0</v>
      </c>
      <c r="AJ74" s="28">
        <f t="shared" si="186"/>
        <v>0</v>
      </c>
      <c r="AK74" s="28">
        <f t="shared" si="186"/>
        <v>0</v>
      </c>
      <c r="AL74" s="28">
        <f t="shared" si="186"/>
        <v>0</v>
      </c>
      <c r="AM74" s="28">
        <f t="shared" si="186"/>
        <v>0</v>
      </c>
      <c r="AN74" s="28">
        <f t="shared" si="186"/>
        <v>0</v>
      </c>
      <c r="AO74" s="28">
        <f t="shared" si="186"/>
        <v>0</v>
      </c>
      <c r="AP74" s="28">
        <f t="shared" si="186"/>
        <v>0</v>
      </c>
      <c r="AQ74" s="28">
        <f t="shared" si="186"/>
        <v>0</v>
      </c>
      <c r="AR74" s="28">
        <f t="shared" si="186"/>
        <v>0</v>
      </c>
      <c r="AS74" s="28">
        <f t="shared" si="186"/>
        <v>0</v>
      </c>
      <c r="AT74" s="28">
        <f t="shared" si="186"/>
        <v>0</v>
      </c>
      <c r="AU74" s="28">
        <f t="shared" si="186"/>
        <v>0</v>
      </c>
      <c r="AV74" s="28">
        <f t="shared" si="186"/>
        <v>0</v>
      </c>
      <c r="AW74" s="28">
        <f t="shared" si="186"/>
        <v>0</v>
      </c>
      <c r="AX74" s="28">
        <f t="shared" si="186"/>
        <v>0</v>
      </c>
      <c r="AY74" s="28">
        <f t="shared" si="186"/>
        <v>0</v>
      </c>
      <c r="AZ74" s="28">
        <f t="shared" si="186"/>
        <v>0</v>
      </c>
      <c r="BA74" s="28">
        <f t="shared" si="186"/>
        <v>0</v>
      </c>
      <c r="BB74" s="28">
        <f t="shared" si="186"/>
        <v>0</v>
      </c>
      <c r="BC74" s="28">
        <f t="shared" si="186"/>
        <v>0</v>
      </c>
      <c r="BD74" s="28">
        <f t="shared" si="186"/>
        <v>0</v>
      </c>
      <c r="BE74" s="28">
        <f t="shared" si="186"/>
        <v>0</v>
      </c>
      <c r="BF74" s="28">
        <f t="shared" si="186"/>
        <v>0</v>
      </c>
      <c r="BG74" s="28">
        <f t="shared" si="186"/>
        <v>0</v>
      </c>
      <c r="BH74" s="28">
        <f t="shared" si="186"/>
        <v>0</v>
      </c>
      <c r="BI74" s="28">
        <f t="shared" si="186"/>
        <v>0</v>
      </c>
      <c r="BJ74" s="28">
        <f t="shared" si="186"/>
        <v>0</v>
      </c>
      <c r="BK74" s="28">
        <f t="shared" si="186"/>
        <v>0</v>
      </c>
      <c r="BL74" s="28">
        <f t="shared" si="186"/>
        <v>8.3324999999999996E-2</v>
      </c>
      <c r="BM74" s="28">
        <f t="shared" si="186"/>
        <v>0.16664999999999999</v>
      </c>
      <c r="BN74" s="28">
        <f t="shared" si="186"/>
        <v>0.249975</v>
      </c>
      <c r="BO74" s="28">
        <f t="shared" si="186"/>
        <v>0.33329999999999999</v>
      </c>
      <c r="BP74" s="28">
        <f t="shared" si="186"/>
        <v>0.8125</v>
      </c>
      <c r="BQ74" s="28">
        <f t="shared" si="186"/>
        <v>0.875</v>
      </c>
      <c r="BR74" s="161">
        <f t="shared" si="186"/>
        <v>0.9375</v>
      </c>
      <c r="BS74" s="161">
        <f t="shared" si="186"/>
        <v>1</v>
      </c>
      <c r="BT74" s="161">
        <f t="shared" si="186"/>
        <v>1</v>
      </c>
      <c r="BU74" s="161">
        <f t="shared" si="186"/>
        <v>1</v>
      </c>
      <c r="BV74" s="161">
        <f t="shared" ref="BV74:CL74" si="187">+SUMPRODUCT($J$75:$J$77,BV75:BV77)</f>
        <v>1</v>
      </c>
      <c r="BW74" s="161">
        <f t="shared" si="187"/>
        <v>1</v>
      </c>
      <c r="BX74" s="161">
        <f t="shared" si="187"/>
        <v>1</v>
      </c>
      <c r="BY74" s="161">
        <f t="shared" si="187"/>
        <v>1</v>
      </c>
      <c r="BZ74" s="161">
        <f t="shared" si="187"/>
        <v>1</v>
      </c>
      <c r="CA74" s="161">
        <f t="shared" si="187"/>
        <v>1</v>
      </c>
      <c r="CB74" s="161">
        <f t="shared" si="187"/>
        <v>1</v>
      </c>
      <c r="CC74" s="161">
        <f t="shared" si="187"/>
        <v>1</v>
      </c>
      <c r="CD74" s="161">
        <f t="shared" si="187"/>
        <v>1</v>
      </c>
      <c r="CE74" s="161">
        <f t="shared" si="187"/>
        <v>1</v>
      </c>
      <c r="CF74" s="161">
        <f t="shared" si="187"/>
        <v>1</v>
      </c>
      <c r="CG74" s="161">
        <f t="shared" si="187"/>
        <v>1</v>
      </c>
      <c r="CH74" s="161">
        <f t="shared" si="187"/>
        <v>1</v>
      </c>
      <c r="CI74" s="161">
        <f t="shared" si="187"/>
        <v>1</v>
      </c>
      <c r="CJ74" s="161">
        <f t="shared" si="187"/>
        <v>1</v>
      </c>
      <c r="CK74" s="161">
        <f t="shared" si="187"/>
        <v>1</v>
      </c>
      <c r="CL74" s="161">
        <f t="shared" si="187"/>
        <v>1</v>
      </c>
      <c r="CM74" s="161">
        <f t="shared" ref="CM74:CN74" si="188">+SUMPRODUCT($J$75:$J$77,CM75:CM77)</f>
        <v>1</v>
      </c>
      <c r="CN74" s="161">
        <f t="shared" si="188"/>
        <v>1</v>
      </c>
      <c r="CO74" s="161">
        <f t="shared" ref="CO74" si="189">+SUMPRODUCT($J$75:$J$77,CO75:CO77)</f>
        <v>1</v>
      </c>
      <c r="CP74" s="161">
        <f t="shared" ref="CP74:CV74" si="190">+SUMPRODUCT($J$75:$J$77,CP75:CP77)</f>
        <v>1</v>
      </c>
      <c r="CQ74" s="161">
        <f t="shared" si="190"/>
        <v>1</v>
      </c>
      <c r="CR74" s="161">
        <f t="shared" si="190"/>
        <v>1</v>
      </c>
      <c r="CS74" s="161">
        <f t="shared" si="190"/>
        <v>1</v>
      </c>
      <c r="CT74" s="161">
        <f t="shared" si="190"/>
        <v>1</v>
      </c>
      <c r="CU74" s="161">
        <f t="shared" si="190"/>
        <v>1</v>
      </c>
      <c r="CV74" s="161">
        <f t="shared" si="190"/>
        <v>1</v>
      </c>
      <c r="CW74" s="161">
        <f t="shared" ref="CW74:CY74" si="191">+SUMPRODUCT($J$75:$J$77,CW75:CW77)</f>
        <v>1</v>
      </c>
      <c r="CX74" s="161">
        <f t="shared" si="191"/>
        <v>1</v>
      </c>
      <c r="CY74" s="161">
        <f t="shared" si="191"/>
        <v>1</v>
      </c>
      <c r="CZ74" s="161">
        <f t="shared" ref="CZ74:DA74" si="192">+SUMPRODUCT($J$75:$J$77,CZ75:CZ77)</f>
        <v>1</v>
      </c>
      <c r="DA74" s="161">
        <f t="shared" si="192"/>
        <v>1</v>
      </c>
      <c r="DB74" s="161">
        <f t="shared" ref="DB74:DC74" si="193">+SUMPRODUCT($J$75:$J$77,DB75:DB77)</f>
        <v>1</v>
      </c>
      <c r="DC74" s="161">
        <f t="shared" si="193"/>
        <v>1</v>
      </c>
      <c r="DD74" s="161">
        <f t="shared" ref="DD74:DE74" si="194">+SUMPRODUCT($J$75:$J$77,DD75:DD77)</f>
        <v>1</v>
      </c>
      <c r="DE74" s="161">
        <f t="shared" si="194"/>
        <v>1</v>
      </c>
      <c r="DF74" s="161">
        <f t="shared" ref="DF74:DG74" si="195">+SUMPRODUCT($J$75:$J$77,DF75:DF77)</f>
        <v>1</v>
      </c>
      <c r="DG74" s="161">
        <f t="shared" si="195"/>
        <v>1</v>
      </c>
      <c r="DH74" s="346">
        <f t="shared" ref="DH74:EL74" si="196">+SUMPRODUCT($J$75:$J$77,DH75:DH77)</f>
        <v>1</v>
      </c>
      <c r="DI74" s="161">
        <f t="shared" si="196"/>
        <v>1</v>
      </c>
      <c r="DJ74" s="161">
        <f t="shared" si="196"/>
        <v>1</v>
      </c>
      <c r="DK74" s="161">
        <f t="shared" si="196"/>
        <v>1</v>
      </c>
      <c r="DL74" s="161">
        <f t="shared" si="196"/>
        <v>1</v>
      </c>
      <c r="DM74" s="161">
        <f t="shared" si="196"/>
        <v>1</v>
      </c>
      <c r="DN74" s="161">
        <f t="shared" si="196"/>
        <v>1</v>
      </c>
      <c r="DO74" s="161">
        <f t="shared" si="196"/>
        <v>1</v>
      </c>
      <c r="DP74" s="161">
        <f t="shared" si="196"/>
        <v>1</v>
      </c>
      <c r="DQ74" s="161">
        <f t="shared" si="196"/>
        <v>1</v>
      </c>
      <c r="DR74" s="161">
        <f t="shared" si="196"/>
        <v>1</v>
      </c>
      <c r="DS74" s="161">
        <f t="shared" si="196"/>
        <v>1</v>
      </c>
      <c r="DT74" s="161">
        <f t="shared" si="196"/>
        <v>1</v>
      </c>
      <c r="DU74" s="161">
        <f t="shared" si="196"/>
        <v>1</v>
      </c>
      <c r="DV74" s="161">
        <f t="shared" si="196"/>
        <v>1</v>
      </c>
      <c r="DW74" s="161">
        <f t="shared" si="196"/>
        <v>1</v>
      </c>
      <c r="DX74" s="161">
        <f t="shared" si="196"/>
        <v>1</v>
      </c>
      <c r="DY74" s="161">
        <f t="shared" si="196"/>
        <v>1</v>
      </c>
      <c r="DZ74" s="161">
        <f t="shared" si="196"/>
        <v>1</v>
      </c>
      <c r="EA74" s="161">
        <f t="shared" si="196"/>
        <v>1</v>
      </c>
      <c r="EB74" s="161">
        <f t="shared" si="196"/>
        <v>1</v>
      </c>
      <c r="EC74" s="161">
        <f t="shared" si="196"/>
        <v>1</v>
      </c>
      <c r="ED74" s="161">
        <f t="shared" si="196"/>
        <v>1</v>
      </c>
      <c r="EE74" s="161">
        <f t="shared" si="196"/>
        <v>1</v>
      </c>
      <c r="EF74" s="161">
        <f t="shared" si="196"/>
        <v>1</v>
      </c>
      <c r="EG74" s="161">
        <f t="shared" si="196"/>
        <v>1</v>
      </c>
      <c r="EH74" s="161">
        <f t="shared" si="196"/>
        <v>1</v>
      </c>
      <c r="EI74" s="161">
        <f t="shared" si="196"/>
        <v>1</v>
      </c>
      <c r="EJ74" s="161">
        <f t="shared" si="196"/>
        <v>1</v>
      </c>
      <c r="EK74" s="161">
        <f t="shared" si="196"/>
        <v>1</v>
      </c>
      <c r="EL74" s="161">
        <f t="shared" si="196"/>
        <v>1</v>
      </c>
    </row>
    <row r="75" spans="2:142" hidden="1" outlineLevel="2" x14ac:dyDescent="0.3">
      <c r="B75" s="29"/>
      <c r="C75" s="30"/>
      <c r="D75" s="30"/>
      <c r="E75" s="52" t="s">
        <v>80</v>
      </c>
      <c r="F75" s="33">
        <v>45</v>
      </c>
      <c r="G75" s="162">
        <v>45741</v>
      </c>
      <c r="H75" s="162">
        <v>45807</v>
      </c>
      <c r="I75" s="33">
        <f>+F75</f>
        <v>45</v>
      </c>
      <c r="J75" s="35">
        <v>0.75</v>
      </c>
      <c r="K75" s="53"/>
      <c r="L75" s="127">
        <v>0</v>
      </c>
      <c r="M75" s="127">
        <v>0</v>
      </c>
      <c r="N75" s="127">
        <v>0</v>
      </c>
      <c r="O75" s="127">
        <v>0</v>
      </c>
      <c r="P75" s="127">
        <v>0</v>
      </c>
      <c r="Q75" s="127">
        <v>0</v>
      </c>
      <c r="R75" s="127">
        <v>0</v>
      </c>
      <c r="S75" s="127">
        <v>0</v>
      </c>
      <c r="T75" s="127">
        <v>0</v>
      </c>
      <c r="U75" s="127">
        <v>0</v>
      </c>
      <c r="V75" s="127">
        <v>0</v>
      </c>
      <c r="W75" s="127">
        <v>0</v>
      </c>
      <c r="X75" s="127">
        <v>0</v>
      </c>
      <c r="Y75" s="127">
        <v>0</v>
      </c>
      <c r="Z75" s="127">
        <v>0</v>
      </c>
      <c r="AA75" s="127">
        <v>0</v>
      </c>
      <c r="AB75" s="127">
        <v>0</v>
      </c>
      <c r="AC75" s="127">
        <v>0</v>
      </c>
      <c r="AD75" s="127">
        <v>0</v>
      </c>
      <c r="AE75" s="127">
        <v>0</v>
      </c>
      <c r="AF75" s="127">
        <v>0</v>
      </c>
      <c r="AG75" s="127">
        <v>0</v>
      </c>
      <c r="AH75" s="127">
        <v>0</v>
      </c>
      <c r="AI75" s="127">
        <v>0</v>
      </c>
      <c r="AJ75" s="127">
        <v>0</v>
      </c>
      <c r="AK75" s="127">
        <v>0</v>
      </c>
      <c r="AL75" s="127">
        <v>0</v>
      </c>
      <c r="AM75" s="127">
        <v>0</v>
      </c>
      <c r="AN75" s="127">
        <v>0</v>
      </c>
      <c r="AO75" s="127">
        <v>0</v>
      </c>
      <c r="AP75" s="127">
        <v>0</v>
      </c>
      <c r="AQ75" s="127">
        <v>0</v>
      </c>
      <c r="AR75" s="127">
        <v>0</v>
      </c>
      <c r="AS75" s="127">
        <v>0</v>
      </c>
      <c r="AT75" s="127">
        <v>0</v>
      </c>
      <c r="AU75" s="127">
        <v>0</v>
      </c>
      <c r="AV75" s="127">
        <v>0</v>
      </c>
      <c r="AW75" s="127">
        <v>0</v>
      </c>
      <c r="AX75" s="127">
        <v>0</v>
      </c>
      <c r="AY75" s="127">
        <v>0</v>
      </c>
      <c r="AZ75" s="127">
        <v>0</v>
      </c>
      <c r="BA75" s="127">
        <v>0</v>
      </c>
      <c r="BB75" s="127">
        <v>0</v>
      </c>
      <c r="BC75" s="127">
        <v>0</v>
      </c>
      <c r="BD75" s="127">
        <v>0</v>
      </c>
      <c r="BE75" s="127">
        <v>0</v>
      </c>
      <c r="BF75" s="127">
        <v>0</v>
      </c>
      <c r="BG75" s="127">
        <v>0</v>
      </c>
      <c r="BH75" s="127">
        <v>0</v>
      </c>
      <c r="BI75" s="127">
        <v>0</v>
      </c>
      <c r="BJ75" s="127">
        <v>0</v>
      </c>
      <c r="BK75" s="127">
        <v>0</v>
      </c>
      <c r="BL75" s="127">
        <v>0.11109999999999999</v>
      </c>
      <c r="BM75" s="127">
        <v>0.22219999999999998</v>
      </c>
      <c r="BN75" s="127">
        <v>0.33329999999999999</v>
      </c>
      <c r="BO75" s="127">
        <v>0.44439999999999996</v>
      </c>
      <c r="BP75" s="127">
        <v>1</v>
      </c>
      <c r="BQ75" s="127">
        <v>1</v>
      </c>
      <c r="BR75" s="163">
        <v>1</v>
      </c>
      <c r="BS75" s="163">
        <v>1</v>
      </c>
      <c r="BT75" s="163">
        <v>1</v>
      </c>
      <c r="BU75" s="163">
        <v>1</v>
      </c>
      <c r="BV75" s="163">
        <v>1</v>
      </c>
      <c r="BW75" s="163">
        <v>1</v>
      </c>
      <c r="BX75" s="163">
        <v>1</v>
      </c>
      <c r="BY75" s="163">
        <v>1</v>
      </c>
      <c r="BZ75" s="163">
        <v>1</v>
      </c>
      <c r="CA75" s="163">
        <v>1</v>
      </c>
      <c r="CB75" s="163">
        <v>1</v>
      </c>
      <c r="CC75" s="163">
        <v>1</v>
      </c>
      <c r="CD75" s="163">
        <v>1</v>
      </c>
      <c r="CE75" s="163">
        <v>1</v>
      </c>
      <c r="CF75" s="163">
        <v>1</v>
      </c>
      <c r="CG75" s="163">
        <v>1</v>
      </c>
      <c r="CH75" s="163">
        <v>1</v>
      </c>
      <c r="CI75" s="163">
        <v>1</v>
      </c>
      <c r="CJ75" s="163">
        <v>1</v>
      </c>
      <c r="CK75" s="163">
        <v>1</v>
      </c>
      <c r="CL75" s="163">
        <v>1</v>
      </c>
      <c r="CM75" s="163">
        <v>1</v>
      </c>
      <c r="CN75" s="163">
        <v>1</v>
      </c>
      <c r="CO75" s="163">
        <v>1</v>
      </c>
      <c r="CP75" s="163">
        <v>1</v>
      </c>
      <c r="CQ75" s="163">
        <v>1</v>
      </c>
      <c r="CR75" s="163">
        <v>1</v>
      </c>
      <c r="CS75" s="163">
        <v>1</v>
      </c>
      <c r="CT75" s="163">
        <v>1</v>
      </c>
      <c r="CU75" s="163">
        <v>1</v>
      </c>
      <c r="CV75" s="163">
        <v>1</v>
      </c>
      <c r="CW75" s="163">
        <v>1</v>
      </c>
      <c r="CX75" s="163">
        <v>1</v>
      </c>
      <c r="CY75" s="163">
        <v>1</v>
      </c>
      <c r="CZ75" s="163">
        <v>1</v>
      </c>
      <c r="DA75" s="163">
        <v>1</v>
      </c>
      <c r="DB75" s="163">
        <v>1</v>
      </c>
      <c r="DC75" s="163">
        <v>1</v>
      </c>
      <c r="DD75" s="163">
        <v>1</v>
      </c>
      <c r="DE75" s="163">
        <v>1</v>
      </c>
      <c r="DF75" s="163">
        <v>1</v>
      </c>
      <c r="DG75" s="163">
        <v>1</v>
      </c>
      <c r="DH75" s="347">
        <v>1</v>
      </c>
      <c r="DI75" s="163">
        <v>1</v>
      </c>
      <c r="DJ75" s="163">
        <v>1</v>
      </c>
      <c r="DK75" s="163">
        <v>1</v>
      </c>
      <c r="DL75" s="163">
        <v>1</v>
      </c>
      <c r="DM75" s="163">
        <v>1</v>
      </c>
      <c r="DN75" s="163">
        <v>1</v>
      </c>
      <c r="DO75" s="163">
        <v>1</v>
      </c>
      <c r="DP75" s="163">
        <v>1</v>
      </c>
      <c r="DQ75" s="163">
        <v>1</v>
      </c>
      <c r="DR75" s="163">
        <v>1</v>
      </c>
      <c r="DS75" s="163">
        <v>1</v>
      </c>
      <c r="DT75" s="163">
        <v>1</v>
      </c>
      <c r="DU75" s="163">
        <v>1</v>
      </c>
      <c r="DV75" s="163">
        <v>1</v>
      </c>
      <c r="DW75" s="163">
        <v>1</v>
      </c>
      <c r="DX75" s="163">
        <v>1</v>
      </c>
      <c r="DY75" s="163">
        <v>1</v>
      </c>
      <c r="DZ75" s="163">
        <v>1</v>
      </c>
      <c r="EA75" s="163">
        <v>1</v>
      </c>
      <c r="EB75" s="163">
        <v>1</v>
      </c>
      <c r="EC75" s="163">
        <v>1</v>
      </c>
      <c r="ED75" s="163">
        <v>1</v>
      </c>
      <c r="EE75" s="163">
        <v>1</v>
      </c>
      <c r="EF75" s="163">
        <v>1</v>
      </c>
      <c r="EG75" s="163">
        <v>1</v>
      </c>
      <c r="EH75" s="163">
        <v>1</v>
      </c>
      <c r="EI75" s="163">
        <v>1</v>
      </c>
      <c r="EJ75" s="163">
        <v>1</v>
      </c>
      <c r="EK75" s="163">
        <v>1</v>
      </c>
      <c r="EL75" s="163">
        <v>1</v>
      </c>
    </row>
    <row r="76" spans="2:142" hidden="1" outlineLevel="2" x14ac:dyDescent="0.3">
      <c r="B76" s="29"/>
      <c r="C76" s="30"/>
      <c r="D76" s="30"/>
      <c r="E76" s="52" t="s">
        <v>81</v>
      </c>
      <c r="F76" s="33">
        <v>15</v>
      </c>
      <c r="G76" s="162">
        <v>45810</v>
      </c>
      <c r="H76" s="162">
        <v>45828</v>
      </c>
      <c r="I76" s="33">
        <f>+F76</f>
        <v>15</v>
      </c>
      <c r="J76" s="35">
        <v>0.25</v>
      </c>
      <c r="K76" s="53"/>
      <c r="L76" s="127">
        <v>0</v>
      </c>
      <c r="M76" s="127">
        <v>0</v>
      </c>
      <c r="N76" s="127">
        <v>0</v>
      </c>
      <c r="O76" s="127">
        <v>0</v>
      </c>
      <c r="P76" s="127">
        <v>0</v>
      </c>
      <c r="Q76" s="127">
        <v>0</v>
      </c>
      <c r="R76" s="127">
        <v>0</v>
      </c>
      <c r="S76" s="127">
        <v>0</v>
      </c>
      <c r="T76" s="127">
        <v>0</v>
      </c>
      <c r="U76" s="127">
        <v>0</v>
      </c>
      <c r="V76" s="127">
        <v>0</v>
      </c>
      <c r="W76" s="127">
        <v>0</v>
      </c>
      <c r="X76" s="127">
        <v>0</v>
      </c>
      <c r="Y76" s="127">
        <v>0</v>
      </c>
      <c r="Z76" s="127">
        <v>0</v>
      </c>
      <c r="AA76" s="127">
        <v>0</v>
      </c>
      <c r="AB76" s="127">
        <v>0</v>
      </c>
      <c r="AC76" s="127">
        <v>0</v>
      </c>
      <c r="AD76" s="127">
        <v>0</v>
      </c>
      <c r="AE76" s="127">
        <v>0</v>
      </c>
      <c r="AF76" s="127">
        <v>0</v>
      </c>
      <c r="AG76" s="127">
        <v>0</v>
      </c>
      <c r="AH76" s="127">
        <v>0</v>
      </c>
      <c r="AI76" s="127">
        <v>0</v>
      </c>
      <c r="AJ76" s="127">
        <v>0</v>
      </c>
      <c r="AK76" s="127">
        <v>0</v>
      </c>
      <c r="AL76" s="127">
        <v>0</v>
      </c>
      <c r="AM76" s="127">
        <v>0</v>
      </c>
      <c r="AN76" s="127">
        <v>0</v>
      </c>
      <c r="AO76" s="127">
        <v>0</v>
      </c>
      <c r="AP76" s="127">
        <v>0</v>
      </c>
      <c r="AQ76" s="127">
        <v>0</v>
      </c>
      <c r="AR76" s="127">
        <v>0</v>
      </c>
      <c r="AS76" s="127">
        <v>0</v>
      </c>
      <c r="AT76" s="127">
        <v>0</v>
      </c>
      <c r="AU76" s="127">
        <v>0</v>
      </c>
      <c r="AV76" s="127">
        <v>0</v>
      </c>
      <c r="AW76" s="127">
        <v>0</v>
      </c>
      <c r="AX76" s="127">
        <v>0</v>
      </c>
      <c r="AY76" s="127">
        <v>0</v>
      </c>
      <c r="AZ76" s="127">
        <v>0</v>
      </c>
      <c r="BA76" s="127">
        <v>0</v>
      </c>
      <c r="BB76" s="127">
        <v>0</v>
      </c>
      <c r="BC76" s="127">
        <v>0</v>
      </c>
      <c r="BD76" s="127">
        <v>0</v>
      </c>
      <c r="BE76" s="127">
        <v>0</v>
      </c>
      <c r="BF76" s="127">
        <v>0</v>
      </c>
      <c r="BG76" s="127">
        <v>0</v>
      </c>
      <c r="BH76" s="127">
        <v>0</v>
      </c>
      <c r="BI76" s="127">
        <v>0</v>
      </c>
      <c r="BJ76" s="127">
        <v>0</v>
      </c>
      <c r="BK76" s="127">
        <v>0</v>
      </c>
      <c r="BL76" s="127">
        <v>0</v>
      </c>
      <c r="BM76" s="127">
        <v>0</v>
      </c>
      <c r="BN76" s="127">
        <v>0</v>
      </c>
      <c r="BO76" s="127">
        <v>0</v>
      </c>
      <c r="BP76" s="127">
        <v>0.25</v>
      </c>
      <c r="BQ76" s="127">
        <v>0.5</v>
      </c>
      <c r="BR76" s="163">
        <v>0.75</v>
      </c>
      <c r="BS76" s="163">
        <v>1</v>
      </c>
      <c r="BT76" s="163">
        <v>1</v>
      </c>
      <c r="BU76" s="163">
        <v>1</v>
      </c>
      <c r="BV76" s="163">
        <v>1</v>
      </c>
      <c r="BW76" s="163">
        <v>1</v>
      </c>
      <c r="BX76" s="163">
        <v>1</v>
      </c>
      <c r="BY76" s="163">
        <v>1</v>
      </c>
      <c r="BZ76" s="163">
        <v>1</v>
      </c>
      <c r="CA76" s="163">
        <v>1</v>
      </c>
      <c r="CB76" s="163">
        <v>1</v>
      </c>
      <c r="CC76" s="163">
        <v>1</v>
      </c>
      <c r="CD76" s="163">
        <v>1</v>
      </c>
      <c r="CE76" s="163">
        <v>1</v>
      </c>
      <c r="CF76" s="163">
        <v>1</v>
      </c>
      <c r="CG76" s="163">
        <v>1</v>
      </c>
      <c r="CH76" s="163">
        <v>1</v>
      </c>
      <c r="CI76" s="163">
        <v>1</v>
      </c>
      <c r="CJ76" s="163">
        <v>1</v>
      </c>
      <c r="CK76" s="163">
        <v>1</v>
      </c>
      <c r="CL76" s="163">
        <v>1</v>
      </c>
      <c r="CM76" s="163">
        <v>1</v>
      </c>
      <c r="CN76" s="163">
        <v>1</v>
      </c>
      <c r="CO76" s="163">
        <v>1</v>
      </c>
      <c r="CP76" s="163">
        <v>1</v>
      </c>
      <c r="CQ76" s="163">
        <v>1</v>
      </c>
      <c r="CR76" s="163">
        <v>1</v>
      </c>
      <c r="CS76" s="163">
        <v>1</v>
      </c>
      <c r="CT76" s="163">
        <v>1</v>
      </c>
      <c r="CU76" s="163">
        <v>1</v>
      </c>
      <c r="CV76" s="163">
        <v>1</v>
      </c>
      <c r="CW76" s="163">
        <v>1</v>
      </c>
      <c r="CX76" s="163">
        <v>1</v>
      </c>
      <c r="CY76" s="163">
        <v>1</v>
      </c>
      <c r="CZ76" s="163">
        <v>1</v>
      </c>
      <c r="DA76" s="163">
        <v>1</v>
      </c>
      <c r="DB76" s="163">
        <v>1</v>
      </c>
      <c r="DC76" s="163">
        <v>1</v>
      </c>
      <c r="DD76" s="163">
        <v>1</v>
      </c>
      <c r="DE76" s="163">
        <v>1</v>
      </c>
      <c r="DF76" s="163">
        <v>1</v>
      </c>
      <c r="DG76" s="163">
        <v>1</v>
      </c>
      <c r="DH76" s="347">
        <v>1</v>
      </c>
      <c r="DI76" s="163">
        <v>1</v>
      </c>
      <c r="DJ76" s="163">
        <v>1</v>
      </c>
      <c r="DK76" s="163">
        <v>1</v>
      </c>
      <c r="DL76" s="163">
        <v>1</v>
      </c>
      <c r="DM76" s="163">
        <v>1</v>
      </c>
      <c r="DN76" s="163">
        <v>1</v>
      </c>
      <c r="DO76" s="163">
        <v>1</v>
      </c>
      <c r="DP76" s="163">
        <v>1</v>
      </c>
      <c r="DQ76" s="163">
        <v>1</v>
      </c>
      <c r="DR76" s="163">
        <v>1</v>
      </c>
      <c r="DS76" s="163">
        <v>1</v>
      </c>
      <c r="DT76" s="163">
        <v>1</v>
      </c>
      <c r="DU76" s="163">
        <v>1</v>
      </c>
      <c r="DV76" s="163">
        <v>1</v>
      </c>
      <c r="DW76" s="163">
        <v>1</v>
      </c>
      <c r="DX76" s="163">
        <v>1</v>
      </c>
      <c r="DY76" s="163">
        <v>1</v>
      </c>
      <c r="DZ76" s="163">
        <v>1</v>
      </c>
      <c r="EA76" s="163">
        <v>1</v>
      </c>
      <c r="EB76" s="163">
        <v>1</v>
      </c>
      <c r="EC76" s="163">
        <v>1</v>
      </c>
      <c r="ED76" s="163">
        <v>1</v>
      </c>
      <c r="EE76" s="163">
        <v>1</v>
      </c>
      <c r="EF76" s="163">
        <v>1</v>
      </c>
      <c r="EG76" s="163">
        <v>1</v>
      </c>
      <c r="EH76" s="163">
        <v>1</v>
      </c>
      <c r="EI76" s="163">
        <v>1</v>
      </c>
      <c r="EJ76" s="163">
        <v>1</v>
      </c>
      <c r="EK76" s="163">
        <v>1</v>
      </c>
      <c r="EL76" s="163">
        <v>1</v>
      </c>
    </row>
    <row r="77" spans="2:142" hidden="1" outlineLevel="2" x14ac:dyDescent="0.3">
      <c r="B77" s="29"/>
      <c r="C77" s="30"/>
      <c r="D77" s="30"/>
      <c r="E77" s="52" t="s">
        <v>82</v>
      </c>
      <c r="F77" s="33">
        <v>0</v>
      </c>
      <c r="G77" s="162">
        <v>45828</v>
      </c>
      <c r="H77" s="162">
        <v>45828</v>
      </c>
      <c r="I77" s="33">
        <f>+F77</f>
        <v>0</v>
      </c>
      <c r="J77" s="35">
        <v>1E-119</v>
      </c>
      <c r="K77" s="53"/>
      <c r="L77" s="127">
        <v>0</v>
      </c>
      <c r="M77" s="127">
        <v>0</v>
      </c>
      <c r="N77" s="127">
        <v>0</v>
      </c>
      <c r="O77" s="127">
        <v>0</v>
      </c>
      <c r="P77" s="127">
        <v>0</v>
      </c>
      <c r="Q77" s="127">
        <v>0</v>
      </c>
      <c r="R77" s="127">
        <v>0</v>
      </c>
      <c r="S77" s="127">
        <v>0</v>
      </c>
      <c r="T77" s="127">
        <v>0</v>
      </c>
      <c r="U77" s="127">
        <v>0</v>
      </c>
      <c r="V77" s="127">
        <v>0</v>
      </c>
      <c r="W77" s="127">
        <v>0</v>
      </c>
      <c r="X77" s="127">
        <v>0</v>
      </c>
      <c r="Y77" s="127">
        <v>0</v>
      </c>
      <c r="Z77" s="127">
        <v>0</v>
      </c>
      <c r="AA77" s="127">
        <v>0</v>
      </c>
      <c r="AB77" s="127">
        <v>0</v>
      </c>
      <c r="AC77" s="127">
        <v>0</v>
      </c>
      <c r="AD77" s="127">
        <v>0</v>
      </c>
      <c r="AE77" s="127">
        <v>0</v>
      </c>
      <c r="AF77" s="127">
        <v>0</v>
      </c>
      <c r="AG77" s="127">
        <v>0</v>
      </c>
      <c r="AH77" s="127">
        <v>0</v>
      </c>
      <c r="AI77" s="127">
        <v>0</v>
      </c>
      <c r="AJ77" s="127">
        <v>0</v>
      </c>
      <c r="AK77" s="127">
        <v>0</v>
      </c>
      <c r="AL77" s="127">
        <v>0</v>
      </c>
      <c r="AM77" s="127">
        <v>0</v>
      </c>
      <c r="AN77" s="127">
        <v>0</v>
      </c>
      <c r="AO77" s="127">
        <v>0</v>
      </c>
      <c r="AP77" s="127">
        <v>0</v>
      </c>
      <c r="AQ77" s="127">
        <v>0</v>
      </c>
      <c r="AR77" s="127">
        <v>0</v>
      </c>
      <c r="AS77" s="127">
        <v>0</v>
      </c>
      <c r="AT77" s="127">
        <v>0</v>
      </c>
      <c r="AU77" s="127">
        <v>0</v>
      </c>
      <c r="AV77" s="127">
        <v>0</v>
      </c>
      <c r="AW77" s="127">
        <v>0</v>
      </c>
      <c r="AX77" s="127">
        <v>0</v>
      </c>
      <c r="AY77" s="127">
        <v>0</v>
      </c>
      <c r="AZ77" s="127">
        <v>0</v>
      </c>
      <c r="BA77" s="127">
        <v>0</v>
      </c>
      <c r="BB77" s="127">
        <v>0</v>
      </c>
      <c r="BC77" s="127">
        <v>0</v>
      </c>
      <c r="BD77" s="127">
        <v>0</v>
      </c>
      <c r="BE77" s="127">
        <v>0</v>
      </c>
      <c r="BF77" s="127">
        <v>0</v>
      </c>
      <c r="BG77" s="127">
        <v>0</v>
      </c>
      <c r="BH77" s="127">
        <v>0</v>
      </c>
      <c r="BI77" s="127">
        <v>0</v>
      </c>
      <c r="BJ77" s="127">
        <v>0</v>
      </c>
      <c r="BK77" s="127">
        <v>0</v>
      </c>
      <c r="BL77" s="127">
        <v>0</v>
      </c>
      <c r="BM77" s="127">
        <v>0</v>
      </c>
      <c r="BN77" s="127">
        <v>0</v>
      </c>
      <c r="BO77" s="127">
        <v>0</v>
      </c>
      <c r="BP77" s="127">
        <v>0</v>
      </c>
      <c r="BQ77" s="127">
        <v>0</v>
      </c>
      <c r="BR77" s="163">
        <v>0</v>
      </c>
      <c r="BS77" s="163">
        <v>1</v>
      </c>
      <c r="BT77" s="163">
        <v>1</v>
      </c>
      <c r="BU77" s="163">
        <v>1</v>
      </c>
      <c r="BV77" s="163">
        <v>1</v>
      </c>
      <c r="BW77" s="163">
        <v>1</v>
      </c>
      <c r="BX77" s="163">
        <v>1</v>
      </c>
      <c r="BY77" s="163">
        <v>1</v>
      </c>
      <c r="BZ77" s="163">
        <v>1</v>
      </c>
      <c r="CA77" s="163">
        <v>1</v>
      </c>
      <c r="CB77" s="163">
        <v>1</v>
      </c>
      <c r="CC77" s="163">
        <v>1</v>
      </c>
      <c r="CD77" s="163">
        <v>1</v>
      </c>
      <c r="CE77" s="163">
        <v>1</v>
      </c>
      <c r="CF77" s="163">
        <v>1</v>
      </c>
      <c r="CG77" s="163">
        <v>1</v>
      </c>
      <c r="CH77" s="163">
        <v>1</v>
      </c>
      <c r="CI77" s="163">
        <v>1</v>
      </c>
      <c r="CJ77" s="163">
        <v>1</v>
      </c>
      <c r="CK77" s="163">
        <v>1</v>
      </c>
      <c r="CL77" s="163">
        <v>1</v>
      </c>
      <c r="CM77" s="163">
        <v>1</v>
      </c>
      <c r="CN77" s="163">
        <v>1</v>
      </c>
      <c r="CO77" s="163">
        <v>1</v>
      </c>
      <c r="CP77" s="163">
        <v>1</v>
      </c>
      <c r="CQ77" s="163">
        <v>1</v>
      </c>
      <c r="CR77" s="163">
        <v>1</v>
      </c>
      <c r="CS77" s="163">
        <v>1</v>
      </c>
      <c r="CT77" s="163">
        <v>1</v>
      </c>
      <c r="CU77" s="163">
        <v>1</v>
      </c>
      <c r="CV77" s="163">
        <v>1</v>
      </c>
      <c r="CW77" s="163">
        <v>1</v>
      </c>
      <c r="CX77" s="163">
        <v>1</v>
      </c>
      <c r="CY77" s="163">
        <v>1</v>
      </c>
      <c r="CZ77" s="163">
        <v>1</v>
      </c>
      <c r="DA77" s="163">
        <v>1</v>
      </c>
      <c r="DB77" s="163">
        <v>1</v>
      </c>
      <c r="DC77" s="163">
        <v>1</v>
      </c>
      <c r="DD77" s="163">
        <v>1</v>
      </c>
      <c r="DE77" s="163">
        <v>1</v>
      </c>
      <c r="DF77" s="163">
        <v>1</v>
      </c>
      <c r="DG77" s="163">
        <v>1</v>
      </c>
      <c r="DH77" s="347">
        <v>1</v>
      </c>
      <c r="DI77" s="163">
        <v>1</v>
      </c>
      <c r="DJ77" s="163">
        <v>1</v>
      </c>
      <c r="DK77" s="163">
        <v>1</v>
      </c>
      <c r="DL77" s="163">
        <v>1</v>
      </c>
      <c r="DM77" s="163">
        <v>1</v>
      </c>
      <c r="DN77" s="163">
        <v>1</v>
      </c>
      <c r="DO77" s="163">
        <v>1</v>
      </c>
      <c r="DP77" s="163">
        <v>1</v>
      </c>
      <c r="DQ77" s="163">
        <v>1</v>
      </c>
      <c r="DR77" s="163">
        <v>1</v>
      </c>
      <c r="DS77" s="163">
        <v>1</v>
      </c>
      <c r="DT77" s="163">
        <v>1</v>
      </c>
      <c r="DU77" s="163">
        <v>1</v>
      </c>
      <c r="DV77" s="163">
        <v>1</v>
      </c>
      <c r="DW77" s="163">
        <v>1</v>
      </c>
      <c r="DX77" s="163">
        <v>1</v>
      </c>
      <c r="DY77" s="163">
        <v>1</v>
      </c>
      <c r="DZ77" s="163">
        <v>1</v>
      </c>
      <c r="EA77" s="163">
        <v>1</v>
      </c>
      <c r="EB77" s="163">
        <v>1</v>
      </c>
      <c r="EC77" s="163">
        <v>1</v>
      </c>
      <c r="ED77" s="163">
        <v>1</v>
      </c>
      <c r="EE77" s="163">
        <v>1</v>
      </c>
      <c r="EF77" s="163">
        <v>1</v>
      </c>
      <c r="EG77" s="163">
        <v>1</v>
      </c>
      <c r="EH77" s="163">
        <v>1</v>
      </c>
      <c r="EI77" s="163">
        <v>1</v>
      </c>
      <c r="EJ77" s="163">
        <v>1</v>
      </c>
      <c r="EK77" s="163">
        <v>1</v>
      </c>
      <c r="EL77" s="163">
        <v>1</v>
      </c>
    </row>
    <row r="78" spans="2:142" ht="16.8" collapsed="1" x14ac:dyDescent="0.3">
      <c r="B78" s="15"/>
      <c r="C78" s="16" t="s">
        <v>83</v>
      </c>
      <c r="D78" s="16"/>
      <c r="E78" s="48"/>
      <c r="F78" s="19">
        <v>226</v>
      </c>
      <c r="G78" s="158">
        <v>45482</v>
      </c>
      <c r="H78" s="158">
        <v>45835</v>
      </c>
      <c r="I78" s="19">
        <f>+I79+I86+I88+I98+I103+I105+I108+I111+I114+I118+I122+I129+I133+I137</f>
        <v>788</v>
      </c>
      <c r="J78" s="21">
        <v>0.22717450583622398</v>
      </c>
      <c r="K78" s="49"/>
      <c r="L78" s="21">
        <f t="shared" ref="L78:BR78" si="197">+L79*$J$79+L86*$J$86+L88*$J$88+L98*$J$98+L103*$J$103+L105*$J$105+L108*$J$108+L111*$J$111+L114*$J$114+L118*$J$118+L122*$J$122+L129*$J$129+L133*$J$133+L137*$J$137</f>
        <v>3.8654704075202371E-4</v>
      </c>
      <c r="M78" s="21">
        <f t="shared" si="197"/>
        <v>1.1044201164343546E-3</v>
      </c>
      <c r="N78" s="21">
        <f t="shared" si="197"/>
        <v>2.2088402328687084E-3</v>
      </c>
      <c r="O78" s="21">
        <f t="shared" si="197"/>
        <v>3.3132603493030619E-3</v>
      </c>
      <c r="P78" s="21">
        <f t="shared" si="197"/>
        <v>4.4176804657374159E-3</v>
      </c>
      <c r="Q78" s="21">
        <f t="shared" si="197"/>
        <v>5.5221005821717694E-3</v>
      </c>
      <c r="R78" s="21">
        <f t="shared" si="197"/>
        <v>6.6265206986061229E-3</v>
      </c>
      <c r="S78" s="21">
        <f t="shared" si="197"/>
        <v>7.7309408150404739E-3</v>
      </c>
      <c r="T78" s="21">
        <f t="shared" si="197"/>
        <v>7.7309408150404739E-3</v>
      </c>
      <c r="U78" s="21">
        <f t="shared" si="197"/>
        <v>7.7309408150404739E-3</v>
      </c>
      <c r="V78" s="21">
        <f t="shared" si="197"/>
        <v>8.0260057501054093E-3</v>
      </c>
      <c r="W78" s="21">
        <f t="shared" si="197"/>
        <v>8.1815901656898237E-3</v>
      </c>
      <c r="X78" s="21">
        <f t="shared" si="197"/>
        <v>8.9309408150404744E-3</v>
      </c>
      <c r="Y78" s="21">
        <f t="shared" si="197"/>
        <v>9.1724992565989146E-3</v>
      </c>
      <c r="Z78" s="21">
        <f t="shared" si="197"/>
        <v>1.8928632012731671E-2</v>
      </c>
      <c r="AA78" s="21">
        <f t="shared" si="197"/>
        <v>3.8400954149000667E-2</v>
      </c>
      <c r="AB78" s="21">
        <f t="shared" si="197"/>
        <v>4.4702668979919952E-2</v>
      </c>
      <c r="AC78" s="21">
        <f t="shared" si="197"/>
        <v>5.5313087732436629E-2</v>
      </c>
      <c r="AD78" s="21">
        <f t="shared" si="197"/>
        <v>6.8803102157292434E-2</v>
      </c>
      <c r="AE78" s="21">
        <f t="shared" si="197"/>
        <v>6.8952348118972759E-2</v>
      </c>
      <c r="AF78" s="21">
        <f t="shared" si="197"/>
        <v>9.5041160318944828E-2</v>
      </c>
      <c r="AG78" s="21">
        <f t="shared" si="197"/>
        <v>0.11245788117977362</v>
      </c>
      <c r="AH78" s="21">
        <f t="shared" si="197"/>
        <v>0.12214423775431114</v>
      </c>
      <c r="AI78" s="21">
        <f t="shared" si="197"/>
        <v>0.13185370072593064</v>
      </c>
      <c r="AJ78" s="21">
        <f t="shared" si="197"/>
        <v>0.13937179730138774</v>
      </c>
      <c r="AK78" s="21">
        <f t="shared" si="197"/>
        <v>0.15658811120818394</v>
      </c>
      <c r="AL78" s="21">
        <f t="shared" si="197"/>
        <v>0.15658811120818394</v>
      </c>
      <c r="AM78" s="21">
        <f t="shared" si="197"/>
        <v>0.15658811120818394</v>
      </c>
      <c r="AN78" s="21">
        <f t="shared" si="197"/>
        <v>0.15923541629530386</v>
      </c>
      <c r="AO78" s="21">
        <f t="shared" si="197"/>
        <v>0.16268374680960657</v>
      </c>
      <c r="AP78" s="21">
        <f t="shared" si="197"/>
        <v>0.17237104853572022</v>
      </c>
      <c r="AQ78" s="21">
        <f t="shared" si="197"/>
        <v>0.1821578475696207</v>
      </c>
      <c r="AR78" s="21">
        <f t="shared" si="197"/>
        <v>0.19194464660352123</v>
      </c>
      <c r="AS78" s="21">
        <f t="shared" si="197"/>
        <v>0.20173144563742165</v>
      </c>
      <c r="AT78" s="21">
        <f t="shared" si="197"/>
        <v>0.21151824467132216</v>
      </c>
      <c r="AU78" s="21">
        <f t="shared" si="197"/>
        <v>0.22130504370522266</v>
      </c>
      <c r="AV78" s="21">
        <f t="shared" si="197"/>
        <v>0.23109184273912317</v>
      </c>
      <c r="AW78" s="21">
        <f t="shared" si="197"/>
        <v>0.24879714098308081</v>
      </c>
      <c r="AX78" s="21">
        <f t="shared" si="197"/>
        <v>0.26650243922703853</v>
      </c>
      <c r="AY78" s="21">
        <f t="shared" si="197"/>
        <v>0.2842077374709962</v>
      </c>
      <c r="AZ78" s="21">
        <f t="shared" si="197"/>
        <v>0.3064747780183929</v>
      </c>
      <c r="BA78" s="21">
        <f t="shared" si="197"/>
        <v>0.34891861241479671</v>
      </c>
      <c r="BB78" s="21">
        <f t="shared" si="197"/>
        <v>0.44280057339882928</v>
      </c>
      <c r="BC78" s="21">
        <f t="shared" si="197"/>
        <v>0.5337265929898819</v>
      </c>
      <c r="BD78" s="21">
        <f t="shared" si="197"/>
        <v>0.61719490519184295</v>
      </c>
      <c r="BE78" s="21">
        <f t="shared" si="197"/>
        <v>0.69737857466157449</v>
      </c>
      <c r="BF78" s="21">
        <f t="shared" si="197"/>
        <v>0.77615608749433707</v>
      </c>
      <c r="BG78" s="21">
        <f t="shared" si="197"/>
        <v>0.80187737987337226</v>
      </c>
      <c r="BH78" s="21">
        <f t="shared" si="197"/>
        <v>0.8279218726738683</v>
      </c>
      <c r="BI78" s="21">
        <f t="shared" si="197"/>
        <v>0.85670618967312251</v>
      </c>
      <c r="BJ78" s="21">
        <f t="shared" si="197"/>
        <v>0.89114941605275533</v>
      </c>
      <c r="BK78" s="21">
        <f t="shared" si="197"/>
        <v>0.91155203837958931</v>
      </c>
      <c r="BL78" s="21">
        <f t="shared" si="197"/>
        <v>0.92616283590075088</v>
      </c>
      <c r="BM78" s="21">
        <f t="shared" si="197"/>
        <v>0.94285831831854272</v>
      </c>
      <c r="BN78" s="21">
        <f t="shared" si="197"/>
        <v>0.95676787611830205</v>
      </c>
      <c r="BO78" s="21">
        <f t="shared" si="197"/>
        <v>0.96450329431219295</v>
      </c>
      <c r="BP78" s="21">
        <f t="shared" si="197"/>
        <v>0.97225164715609613</v>
      </c>
      <c r="BQ78" s="21">
        <f t="shared" si="197"/>
        <v>0.97999999999999932</v>
      </c>
      <c r="BR78" s="159">
        <f t="shared" si="197"/>
        <v>0.98727272727272664</v>
      </c>
      <c r="BS78" s="159">
        <f t="shared" ref="BS78:CL78" si="198">+BS79*$J$79+BS86*$J$86+BS88*$J$88+BS98*$J$98+BS103*$J$103+BS105*$J$105+BS108*$J$108+BS111*$J$111+BS114*$J$114+BS118*$J$118+BS122*$J$122+BS129*$J$129+BS133*$J$133+BS137*$J$137</f>
        <v>0.99999999999999933</v>
      </c>
      <c r="BT78" s="159">
        <f t="shared" si="198"/>
        <v>0.99999999999999933</v>
      </c>
      <c r="BU78" s="159">
        <f t="shared" si="198"/>
        <v>0.99999999999999933</v>
      </c>
      <c r="BV78" s="159">
        <f t="shared" si="198"/>
        <v>0.99999999999999933</v>
      </c>
      <c r="BW78" s="159">
        <f t="shared" si="198"/>
        <v>0.99999999999999933</v>
      </c>
      <c r="BX78" s="159">
        <f t="shared" si="198"/>
        <v>0.99999999999999933</v>
      </c>
      <c r="BY78" s="159">
        <f t="shared" si="198"/>
        <v>0.99999999999999933</v>
      </c>
      <c r="BZ78" s="159">
        <f t="shared" si="198"/>
        <v>0.99999999999999933</v>
      </c>
      <c r="CA78" s="159">
        <f t="shared" si="198"/>
        <v>0.99999999999999933</v>
      </c>
      <c r="CB78" s="159">
        <f t="shared" si="198"/>
        <v>0.99999999999999933</v>
      </c>
      <c r="CC78" s="159">
        <f t="shared" si="198"/>
        <v>0.99999999999999933</v>
      </c>
      <c r="CD78" s="159">
        <f t="shared" si="198"/>
        <v>0.99999999999999933</v>
      </c>
      <c r="CE78" s="159">
        <f t="shared" si="198"/>
        <v>0.99999999999999933</v>
      </c>
      <c r="CF78" s="159">
        <f t="shared" si="198"/>
        <v>0.99999999999999933</v>
      </c>
      <c r="CG78" s="159">
        <f t="shared" si="198"/>
        <v>0.99999999999999933</v>
      </c>
      <c r="CH78" s="159">
        <f t="shared" si="198"/>
        <v>0.99999999999999933</v>
      </c>
      <c r="CI78" s="159">
        <f t="shared" si="198"/>
        <v>0.99999999999999933</v>
      </c>
      <c r="CJ78" s="159">
        <f t="shared" si="198"/>
        <v>0.99999999999999933</v>
      </c>
      <c r="CK78" s="159">
        <f t="shared" si="198"/>
        <v>0.99999999999999933</v>
      </c>
      <c r="CL78" s="159">
        <f t="shared" si="198"/>
        <v>0.99999999999999933</v>
      </c>
      <c r="CM78" s="159">
        <f t="shared" ref="CM78:CN78" si="199">+CM79*$J$79+CM86*$J$86+CM88*$J$88+CM98*$J$98+CM103*$J$103+CM105*$J$105+CM108*$J$108+CM111*$J$111+CM114*$J$114+CM118*$J$118+CM122*$J$122+CM129*$J$129+CM133*$J$133+CM137*$J$137</f>
        <v>0.99999999999999933</v>
      </c>
      <c r="CN78" s="159">
        <f t="shared" si="199"/>
        <v>0.99999999999999933</v>
      </c>
      <c r="CO78" s="159">
        <f t="shared" ref="CO78" si="200">+CO79*$J$79+CO86*$J$86+CO88*$J$88+CO98*$J$98+CO103*$J$103+CO105*$J$105+CO108*$J$108+CO111*$J$111+CO114*$J$114+CO118*$J$118+CO122*$J$122+CO129*$J$129+CO133*$J$133+CO137*$J$137</f>
        <v>0.99999999999999933</v>
      </c>
      <c r="CP78" s="159">
        <f t="shared" ref="CP78:CV78" si="201">+CP79*$J$79+CP86*$J$86+CP88*$J$88+CP98*$J$98+CP103*$J$103+CP105*$J$105+CP108*$J$108+CP111*$J$111+CP114*$J$114+CP118*$J$118+CP122*$J$122+CP129*$J$129+CP133*$J$133+CP137*$J$137</f>
        <v>0.99999999999999933</v>
      </c>
      <c r="CQ78" s="159">
        <f t="shared" si="201"/>
        <v>0.99999999999999933</v>
      </c>
      <c r="CR78" s="159">
        <f t="shared" si="201"/>
        <v>0.99999999999999933</v>
      </c>
      <c r="CS78" s="159">
        <f t="shared" si="201"/>
        <v>0.99999999999999933</v>
      </c>
      <c r="CT78" s="159">
        <f t="shared" si="201"/>
        <v>0.99999999999999933</v>
      </c>
      <c r="CU78" s="159">
        <f t="shared" si="201"/>
        <v>0.99999999999999933</v>
      </c>
      <c r="CV78" s="159">
        <f t="shared" si="201"/>
        <v>0.99999999999999933</v>
      </c>
      <c r="CW78" s="159">
        <f t="shared" ref="CW78:CY78" si="202">+CW79*$J$79+CW86*$J$86+CW88*$J$88+CW98*$J$98+CW103*$J$103+CW105*$J$105+CW108*$J$108+CW111*$J$111+CW114*$J$114+CW118*$J$118+CW122*$J$122+CW129*$J$129+CW133*$J$133+CW137*$J$137</f>
        <v>0.99999999999999933</v>
      </c>
      <c r="CX78" s="159">
        <f t="shared" si="202"/>
        <v>0.99999999999999933</v>
      </c>
      <c r="CY78" s="159">
        <f t="shared" si="202"/>
        <v>0.99999999999999933</v>
      </c>
      <c r="CZ78" s="159">
        <f t="shared" ref="CZ78:DA78" si="203">+CZ79*$J$79+CZ86*$J$86+CZ88*$J$88+CZ98*$J$98+CZ103*$J$103+CZ105*$J$105+CZ108*$J$108+CZ111*$J$111+CZ114*$J$114+CZ118*$J$118+CZ122*$J$122+CZ129*$J$129+CZ133*$J$133+CZ137*$J$137</f>
        <v>0.99999999999999933</v>
      </c>
      <c r="DA78" s="159">
        <f t="shared" si="203"/>
        <v>0.99999999999999933</v>
      </c>
      <c r="DB78" s="159">
        <f t="shared" ref="DB78:DC78" si="204">+DB79*$J$79+DB86*$J$86+DB88*$J$88+DB98*$J$98+DB103*$J$103+DB105*$J$105+DB108*$J$108+DB111*$J$111+DB114*$J$114+DB118*$J$118+DB122*$J$122+DB129*$J$129+DB133*$J$133+DB137*$J$137</f>
        <v>0.99999999999999933</v>
      </c>
      <c r="DC78" s="159">
        <f t="shared" si="204"/>
        <v>0.99999999999999933</v>
      </c>
      <c r="DD78" s="159">
        <f t="shared" ref="DD78:DE78" si="205">+DD79*$J$79+DD86*$J$86+DD88*$J$88+DD98*$J$98+DD103*$J$103+DD105*$J$105+DD108*$J$108+DD111*$J$111+DD114*$J$114+DD118*$J$118+DD122*$J$122+DD129*$J$129+DD133*$J$133+DD137*$J$137</f>
        <v>0.99999999999999933</v>
      </c>
      <c r="DE78" s="159">
        <f t="shared" si="205"/>
        <v>0.99999999999999933</v>
      </c>
      <c r="DF78" s="159">
        <f t="shared" ref="DF78:DG78" si="206">+DF79*$J$79+DF86*$J$86+DF88*$J$88+DF98*$J$98+DF103*$J$103+DF105*$J$105+DF108*$J$108+DF111*$J$111+DF114*$J$114+DF118*$J$118+DF122*$J$122+DF129*$J$129+DF133*$J$133+DF137*$J$137</f>
        <v>0.99999999999999933</v>
      </c>
      <c r="DG78" s="159">
        <f t="shared" si="206"/>
        <v>0.99999999999999933</v>
      </c>
      <c r="DH78" s="345">
        <f t="shared" ref="DH78:EL78" si="207">+DH79*$J$79+DH86*$J$86+DH88*$J$88+DH98*$J$98+DH103*$J$103+DH105*$J$105+DH108*$J$108+DH111*$J$111+DH114*$J$114+DH118*$J$118+DH122*$J$122+DH129*$J$129+DH133*$J$133+DH137*$J$137</f>
        <v>0.99999999999999933</v>
      </c>
      <c r="DI78" s="159">
        <f t="shared" si="207"/>
        <v>0.99999999999999933</v>
      </c>
      <c r="DJ78" s="159">
        <f t="shared" si="207"/>
        <v>0.99999999999999933</v>
      </c>
      <c r="DK78" s="159">
        <f t="shared" si="207"/>
        <v>0.99999999999999933</v>
      </c>
      <c r="DL78" s="159">
        <f t="shared" si="207"/>
        <v>0.99999999999999933</v>
      </c>
      <c r="DM78" s="159">
        <f t="shared" si="207"/>
        <v>0.99999999999999933</v>
      </c>
      <c r="DN78" s="159">
        <f t="shared" si="207"/>
        <v>0.99999999999999933</v>
      </c>
      <c r="DO78" s="159">
        <f t="shared" si="207"/>
        <v>0.99999999999999933</v>
      </c>
      <c r="DP78" s="159">
        <f t="shared" si="207"/>
        <v>0.99999999999999933</v>
      </c>
      <c r="DQ78" s="159">
        <f t="shared" si="207"/>
        <v>0.99999999999999933</v>
      </c>
      <c r="DR78" s="159">
        <f t="shared" si="207"/>
        <v>0.99999999999999933</v>
      </c>
      <c r="DS78" s="159">
        <f t="shared" si="207"/>
        <v>0.99999999999999933</v>
      </c>
      <c r="DT78" s="159">
        <f t="shared" si="207"/>
        <v>0.99999999999999933</v>
      </c>
      <c r="DU78" s="159">
        <f t="shared" si="207"/>
        <v>0.99999999999999933</v>
      </c>
      <c r="DV78" s="159">
        <f t="shared" si="207"/>
        <v>0.99999999999999933</v>
      </c>
      <c r="DW78" s="159">
        <f t="shared" si="207"/>
        <v>0.99999999999999933</v>
      </c>
      <c r="DX78" s="159">
        <f t="shared" si="207"/>
        <v>0.99999999999999933</v>
      </c>
      <c r="DY78" s="159">
        <f t="shared" si="207"/>
        <v>0.99999999999999933</v>
      </c>
      <c r="DZ78" s="159">
        <f t="shared" si="207"/>
        <v>0.99999999999999933</v>
      </c>
      <c r="EA78" s="159">
        <f t="shared" si="207"/>
        <v>0.99999999999999933</v>
      </c>
      <c r="EB78" s="159">
        <f t="shared" si="207"/>
        <v>0.99999999999999933</v>
      </c>
      <c r="EC78" s="159">
        <f t="shared" si="207"/>
        <v>0.99999999999999933</v>
      </c>
      <c r="ED78" s="159">
        <f t="shared" si="207"/>
        <v>0.99999999999999933</v>
      </c>
      <c r="EE78" s="159">
        <f t="shared" si="207"/>
        <v>0.99999999999999933</v>
      </c>
      <c r="EF78" s="159">
        <f t="shared" si="207"/>
        <v>0.99999999999999933</v>
      </c>
      <c r="EG78" s="159">
        <f t="shared" si="207"/>
        <v>0.99999999999999933</v>
      </c>
      <c r="EH78" s="159">
        <f t="shared" si="207"/>
        <v>0.99999999999999933</v>
      </c>
      <c r="EI78" s="159">
        <f t="shared" si="207"/>
        <v>0.99999999999999933</v>
      </c>
      <c r="EJ78" s="159">
        <f t="shared" si="207"/>
        <v>0.99999999999999933</v>
      </c>
      <c r="EK78" s="159">
        <f t="shared" si="207"/>
        <v>0.99999999999999933</v>
      </c>
      <c r="EL78" s="159">
        <f t="shared" si="207"/>
        <v>0.99999999999999933</v>
      </c>
    </row>
    <row r="79" spans="2:142" ht="15" hidden="1" outlineLevel="1" collapsed="1" x14ac:dyDescent="0.3">
      <c r="B79" s="22"/>
      <c r="C79" s="23"/>
      <c r="D79" s="23" t="s">
        <v>13</v>
      </c>
      <c r="E79" s="50"/>
      <c r="F79" s="26">
        <v>101</v>
      </c>
      <c r="G79" s="160">
        <v>45506</v>
      </c>
      <c r="H79" s="160">
        <v>45674</v>
      </c>
      <c r="I79" s="26">
        <f>+SUM(I80:I85)</f>
        <v>77</v>
      </c>
      <c r="J79" s="28">
        <v>0.02</v>
      </c>
      <c r="K79" s="51"/>
      <c r="L79" s="28">
        <f>+SUMPRODUCT($J$80:$J$85,L80:L85)</f>
        <v>0</v>
      </c>
      <c r="M79" s="28">
        <f t="shared" ref="M79:BR79" si="208">+SUMPRODUCT($J$80:$J$85,M80:M85)</f>
        <v>0</v>
      </c>
      <c r="N79" s="28">
        <f t="shared" si="208"/>
        <v>0</v>
      </c>
      <c r="O79" s="28">
        <f t="shared" si="208"/>
        <v>0</v>
      </c>
      <c r="P79" s="28">
        <f t="shared" si="208"/>
        <v>0</v>
      </c>
      <c r="Q79" s="28">
        <f t="shared" si="208"/>
        <v>0</v>
      </c>
      <c r="R79" s="28">
        <f t="shared" si="208"/>
        <v>0</v>
      </c>
      <c r="S79" s="28">
        <f t="shared" si="208"/>
        <v>0</v>
      </c>
      <c r="T79" s="28">
        <f t="shared" si="208"/>
        <v>0</v>
      </c>
      <c r="U79" s="28">
        <f t="shared" si="208"/>
        <v>0</v>
      </c>
      <c r="V79" s="28">
        <f t="shared" si="208"/>
        <v>1.4753246753246754E-2</v>
      </c>
      <c r="W79" s="28">
        <f t="shared" si="208"/>
        <v>2.2532467532467529E-2</v>
      </c>
      <c r="X79" s="28">
        <f t="shared" si="208"/>
        <v>6.0000000000000005E-2</v>
      </c>
      <c r="Y79" s="28">
        <f t="shared" si="208"/>
        <v>7.2077922077922074E-2</v>
      </c>
      <c r="Z79" s="28">
        <f t="shared" si="208"/>
        <v>0.55988455988455987</v>
      </c>
      <c r="AA79" s="28">
        <f t="shared" si="208"/>
        <v>0.55988455988455987</v>
      </c>
      <c r="AB79" s="28">
        <f t="shared" si="208"/>
        <v>0.59018759018759015</v>
      </c>
      <c r="AC79" s="28">
        <f t="shared" si="208"/>
        <v>0.61038961038961037</v>
      </c>
      <c r="AD79" s="28">
        <f t="shared" si="208"/>
        <v>0.87012987012987009</v>
      </c>
      <c r="AE79" s="28">
        <f t="shared" si="208"/>
        <v>0.87012987012987009</v>
      </c>
      <c r="AF79" s="28">
        <f t="shared" si="208"/>
        <v>0.87012987012987009</v>
      </c>
      <c r="AG79" s="28">
        <f t="shared" si="208"/>
        <v>0.87012987012987009</v>
      </c>
      <c r="AH79" s="28">
        <f t="shared" si="208"/>
        <v>0.87012987012987009</v>
      </c>
      <c r="AI79" s="28">
        <f t="shared" si="208"/>
        <v>0.87012987012987009</v>
      </c>
      <c r="AJ79" s="28">
        <f t="shared" si="208"/>
        <v>0.93506493506493504</v>
      </c>
      <c r="AK79" s="28">
        <f t="shared" si="208"/>
        <v>0.93506493506493504</v>
      </c>
      <c r="AL79" s="28">
        <f t="shared" si="208"/>
        <v>0.93506493506493504</v>
      </c>
      <c r="AM79" s="28">
        <f t="shared" si="208"/>
        <v>0.93506493506493504</v>
      </c>
      <c r="AN79" s="28">
        <f t="shared" si="208"/>
        <v>0.93506493506493504</v>
      </c>
      <c r="AO79" s="28">
        <f t="shared" si="208"/>
        <v>0.93506493506493504</v>
      </c>
      <c r="AP79" s="28">
        <f t="shared" si="208"/>
        <v>0.93506493506493504</v>
      </c>
      <c r="AQ79" s="28">
        <f t="shared" si="208"/>
        <v>0.93506493506493504</v>
      </c>
      <c r="AR79" s="28">
        <f t="shared" si="208"/>
        <v>0.93506493506493504</v>
      </c>
      <c r="AS79" s="28">
        <f t="shared" si="208"/>
        <v>0.93506493506493504</v>
      </c>
      <c r="AT79" s="28">
        <f t="shared" si="208"/>
        <v>0.93506493506493504</v>
      </c>
      <c r="AU79" s="28">
        <f t="shared" si="208"/>
        <v>0.93506493506493504</v>
      </c>
      <c r="AV79" s="28">
        <f t="shared" si="208"/>
        <v>0.93506493506493504</v>
      </c>
      <c r="AW79" s="28">
        <f t="shared" si="208"/>
        <v>0.93506493506493504</v>
      </c>
      <c r="AX79" s="28">
        <f t="shared" si="208"/>
        <v>0.93506493506493504</v>
      </c>
      <c r="AY79" s="28">
        <f t="shared" si="208"/>
        <v>0.93506493506493504</v>
      </c>
      <c r="AZ79" s="28">
        <f t="shared" si="208"/>
        <v>0.93506493506493504</v>
      </c>
      <c r="BA79" s="28">
        <f t="shared" si="208"/>
        <v>0.99999999999999989</v>
      </c>
      <c r="BB79" s="28">
        <f t="shared" si="208"/>
        <v>0.99999999999999989</v>
      </c>
      <c r="BC79" s="28">
        <f t="shared" si="208"/>
        <v>0.99999999999999989</v>
      </c>
      <c r="BD79" s="28">
        <f t="shared" si="208"/>
        <v>0.99999999999999989</v>
      </c>
      <c r="BE79" s="28">
        <f t="shared" si="208"/>
        <v>0.99999999999999989</v>
      </c>
      <c r="BF79" s="28">
        <f t="shared" si="208"/>
        <v>0.99999999999999989</v>
      </c>
      <c r="BG79" s="28">
        <f t="shared" si="208"/>
        <v>0.99999999999999989</v>
      </c>
      <c r="BH79" s="28">
        <f t="shared" si="208"/>
        <v>0.99999999999999989</v>
      </c>
      <c r="BI79" s="28">
        <f t="shared" si="208"/>
        <v>0.99999999999999989</v>
      </c>
      <c r="BJ79" s="28">
        <f t="shared" si="208"/>
        <v>0.99999999999999989</v>
      </c>
      <c r="BK79" s="28">
        <f t="shared" si="208"/>
        <v>0.99999999999999989</v>
      </c>
      <c r="BL79" s="28">
        <f t="shared" si="208"/>
        <v>0.99999999999999989</v>
      </c>
      <c r="BM79" s="28">
        <f t="shared" si="208"/>
        <v>0.99999999999999989</v>
      </c>
      <c r="BN79" s="28">
        <f t="shared" si="208"/>
        <v>0.99999999999999989</v>
      </c>
      <c r="BO79" s="28">
        <f t="shared" si="208"/>
        <v>0.99999999999999989</v>
      </c>
      <c r="BP79" s="28">
        <f t="shared" si="208"/>
        <v>0.99999999999999989</v>
      </c>
      <c r="BQ79" s="28">
        <f t="shared" si="208"/>
        <v>0.99999999999999989</v>
      </c>
      <c r="BR79" s="161">
        <f t="shared" si="208"/>
        <v>0.99999999999999989</v>
      </c>
      <c r="BS79" s="161">
        <f t="shared" ref="BS79:CL79" si="209">+SUMPRODUCT($J$80:$J$85,BS80:BS85)</f>
        <v>0.99999999999999989</v>
      </c>
      <c r="BT79" s="161">
        <f t="shared" si="209"/>
        <v>0.99999999999999989</v>
      </c>
      <c r="BU79" s="161">
        <f t="shared" si="209"/>
        <v>0.99999999999999989</v>
      </c>
      <c r="BV79" s="161">
        <f t="shared" si="209"/>
        <v>0.99999999999999989</v>
      </c>
      <c r="BW79" s="161">
        <f t="shared" si="209"/>
        <v>0.99999999999999989</v>
      </c>
      <c r="BX79" s="161">
        <f t="shared" si="209"/>
        <v>0.99999999999999989</v>
      </c>
      <c r="BY79" s="161">
        <f t="shared" si="209"/>
        <v>0.99999999999999989</v>
      </c>
      <c r="BZ79" s="161">
        <f t="shared" si="209"/>
        <v>0.99999999999999989</v>
      </c>
      <c r="CA79" s="161">
        <f t="shared" si="209"/>
        <v>0.99999999999999989</v>
      </c>
      <c r="CB79" s="161">
        <f t="shared" si="209"/>
        <v>0.99999999999999989</v>
      </c>
      <c r="CC79" s="161">
        <f t="shared" si="209"/>
        <v>0.99999999999999989</v>
      </c>
      <c r="CD79" s="161">
        <f t="shared" si="209"/>
        <v>0.99999999999999989</v>
      </c>
      <c r="CE79" s="161">
        <f t="shared" si="209"/>
        <v>0.99999999999999989</v>
      </c>
      <c r="CF79" s="161">
        <f t="shared" si="209"/>
        <v>0.99999999999999989</v>
      </c>
      <c r="CG79" s="161">
        <f t="shared" si="209"/>
        <v>0.99999999999999989</v>
      </c>
      <c r="CH79" s="161">
        <f t="shared" si="209"/>
        <v>0.99999999999999989</v>
      </c>
      <c r="CI79" s="161">
        <f t="shared" si="209"/>
        <v>0.99999999999999989</v>
      </c>
      <c r="CJ79" s="161">
        <f t="shared" si="209"/>
        <v>0.99999999999999989</v>
      </c>
      <c r="CK79" s="161">
        <f t="shared" si="209"/>
        <v>0.99999999999999989</v>
      </c>
      <c r="CL79" s="161">
        <f t="shared" si="209"/>
        <v>0.99999999999999989</v>
      </c>
      <c r="CM79" s="161">
        <f t="shared" ref="CM79:CN79" si="210">+SUMPRODUCT($J$80:$J$85,CM80:CM85)</f>
        <v>0.99999999999999989</v>
      </c>
      <c r="CN79" s="161">
        <f t="shared" si="210"/>
        <v>0.99999999999999989</v>
      </c>
      <c r="CO79" s="161">
        <f t="shared" ref="CO79" si="211">+SUMPRODUCT($J$80:$J$85,CO80:CO85)</f>
        <v>0.99999999999999989</v>
      </c>
      <c r="CP79" s="161">
        <f t="shared" ref="CP79:CV79" si="212">+SUMPRODUCT($J$80:$J$85,CP80:CP85)</f>
        <v>0.99999999999999989</v>
      </c>
      <c r="CQ79" s="161">
        <f t="shared" si="212"/>
        <v>0.99999999999999989</v>
      </c>
      <c r="CR79" s="161">
        <f t="shared" si="212"/>
        <v>0.99999999999999989</v>
      </c>
      <c r="CS79" s="161">
        <f t="shared" si="212"/>
        <v>0.99999999999999989</v>
      </c>
      <c r="CT79" s="161">
        <f t="shared" si="212"/>
        <v>0.99999999999999989</v>
      </c>
      <c r="CU79" s="161">
        <f t="shared" si="212"/>
        <v>0.99999999999999989</v>
      </c>
      <c r="CV79" s="161">
        <f t="shared" si="212"/>
        <v>0.99999999999999989</v>
      </c>
      <c r="CW79" s="161">
        <f t="shared" ref="CW79:CY79" si="213">+SUMPRODUCT($J$80:$J$85,CW80:CW85)</f>
        <v>0.99999999999999989</v>
      </c>
      <c r="CX79" s="161">
        <f t="shared" si="213"/>
        <v>0.99999999999999989</v>
      </c>
      <c r="CY79" s="161">
        <f t="shared" si="213"/>
        <v>0.99999999999999989</v>
      </c>
      <c r="CZ79" s="161">
        <f t="shared" ref="CZ79:DA79" si="214">+SUMPRODUCT($J$80:$J$85,CZ80:CZ85)</f>
        <v>0.99999999999999989</v>
      </c>
      <c r="DA79" s="161">
        <f t="shared" si="214"/>
        <v>0.99999999999999989</v>
      </c>
      <c r="DB79" s="161">
        <f t="shared" ref="DB79:DC79" si="215">+SUMPRODUCT($J$80:$J$85,DB80:DB85)</f>
        <v>0.99999999999999989</v>
      </c>
      <c r="DC79" s="161">
        <f t="shared" si="215"/>
        <v>0.99999999999999989</v>
      </c>
      <c r="DD79" s="161">
        <f t="shared" ref="DD79:DE79" si="216">+SUMPRODUCT($J$80:$J$85,DD80:DD85)</f>
        <v>0.99999999999999989</v>
      </c>
      <c r="DE79" s="161">
        <f t="shared" si="216"/>
        <v>0.99999999999999989</v>
      </c>
      <c r="DF79" s="161">
        <f t="shared" ref="DF79:DG79" si="217">+SUMPRODUCT($J$80:$J$85,DF80:DF85)</f>
        <v>0.99999999999999989</v>
      </c>
      <c r="DG79" s="161">
        <f t="shared" si="217"/>
        <v>0.99999999999999989</v>
      </c>
      <c r="DH79" s="346">
        <f t="shared" ref="DH79:EL79" si="218">+SUMPRODUCT($J$80:$J$85,DH80:DH85)</f>
        <v>0.99999999999999989</v>
      </c>
      <c r="DI79" s="161">
        <f t="shared" si="218"/>
        <v>0.99999999999999989</v>
      </c>
      <c r="DJ79" s="161">
        <f t="shared" si="218"/>
        <v>0.99999999999999989</v>
      </c>
      <c r="DK79" s="161">
        <f t="shared" si="218"/>
        <v>0.99999999999999989</v>
      </c>
      <c r="DL79" s="161">
        <f t="shared" si="218"/>
        <v>0.99999999999999989</v>
      </c>
      <c r="DM79" s="161">
        <f t="shared" si="218"/>
        <v>0.99999999999999989</v>
      </c>
      <c r="DN79" s="161">
        <f t="shared" si="218"/>
        <v>0.99999999999999989</v>
      </c>
      <c r="DO79" s="161">
        <f t="shared" si="218"/>
        <v>0.99999999999999989</v>
      </c>
      <c r="DP79" s="161">
        <f t="shared" si="218"/>
        <v>0.99999999999999989</v>
      </c>
      <c r="DQ79" s="161">
        <f t="shared" si="218"/>
        <v>0.99999999999999989</v>
      </c>
      <c r="DR79" s="161">
        <f t="shared" si="218"/>
        <v>0.99999999999999989</v>
      </c>
      <c r="DS79" s="161">
        <f t="shared" si="218"/>
        <v>0.99999999999999989</v>
      </c>
      <c r="DT79" s="161">
        <f t="shared" si="218"/>
        <v>0.99999999999999989</v>
      </c>
      <c r="DU79" s="161">
        <f t="shared" si="218"/>
        <v>0.99999999999999989</v>
      </c>
      <c r="DV79" s="161">
        <f t="shared" si="218"/>
        <v>0.99999999999999989</v>
      </c>
      <c r="DW79" s="161">
        <f t="shared" si="218"/>
        <v>0.99999999999999989</v>
      </c>
      <c r="DX79" s="161">
        <f t="shared" si="218"/>
        <v>0.99999999999999989</v>
      </c>
      <c r="DY79" s="161">
        <f t="shared" si="218"/>
        <v>0.99999999999999989</v>
      </c>
      <c r="DZ79" s="161">
        <f t="shared" si="218"/>
        <v>0.99999999999999989</v>
      </c>
      <c r="EA79" s="161">
        <f t="shared" si="218"/>
        <v>0.99999999999999989</v>
      </c>
      <c r="EB79" s="161">
        <f t="shared" si="218"/>
        <v>0.99999999999999989</v>
      </c>
      <c r="EC79" s="161">
        <f t="shared" si="218"/>
        <v>0.99999999999999989</v>
      </c>
      <c r="ED79" s="161">
        <f t="shared" si="218"/>
        <v>0.99999999999999989</v>
      </c>
      <c r="EE79" s="161">
        <f t="shared" si="218"/>
        <v>0.99999999999999989</v>
      </c>
      <c r="EF79" s="161">
        <f t="shared" si="218"/>
        <v>0.99999999999999989</v>
      </c>
      <c r="EG79" s="161">
        <f t="shared" si="218"/>
        <v>0.99999999999999989</v>
      </c>
      <c r="EH79" s="161">
        <f t="shared" si="218"/>
        <v>0.99999999999999989</v>
      </c>
      <c r="EI79" s="161">
        <f t="shared" si="218"/>
        <v>0.99999999999999989</v>
      </c>
      <c r="EJ79" s="161">
        <f t="shared" si="218"/>
        <v>0.99999999999999989</v>
      </c>
      <c r="EK79" s="161">
        <f t="shared" si="218"/>
        <v>0.99999999999999989</v>
      </c>
      <c r="EL79" s="161">
        <f t="shared" si="218"/>
        <v>0.99999999999999989</v>
      </c>
    </row>
    <row r="80" spans="2:142" hidden="1" outlineLevel="2" x14ac:dyDescent="0.3">
      <c r="B80" s="29"/>
      <c r="C80" s="30"/>
      <c r="D80" s="30"/>
      <c r="E80" s="52" t="s">
        <v>84</v>
      </c>
      <c r="F80" s="33">
        <v>7</v>
      </c>
      <c r="G80" s="162">
        <v>45534</v>
      </c>
      <c r="H80" s="162">
        <v>45544</v>
      </c>
      <c r="I80" s="33">
        <f t="shared" ref="I80:I85" si="219">+F80</f>
        <v>7</v>
      </c>
      <c r="J80" s="35">
        <v>9.0909090909090912E-2</v>
      </c>
      <c r="K80" s="53"/>
      <c r="L80" s="127">
        <v>0</v>
      </c>
      <c r="M80" s="127">
        <v>0</v>
      </c>
      <c r="N80" s="127">
        <v>0</v>
      </c>
      <c r="O80" s="127">
        <v>0</v>
      </c>
      <c r="P80" s="127">
        <v>0</v>
      </c>
      <c r="Q80" s="127">
        <v>0</v>
      </c>
      <c r="R80" s="127">
        <v>0</v>
      </c>
      <c r="S80" s="127">
        <v>0</v>
      </c>
      <c r="T80" s="127">
        <v>0</v>
      </c>
      <c r="U80" s="127">
        <v>0</v>
      </c>
      <c r="V80" s="127">
        <v>0</v>
      </c>
      <c r="W80" s="127">
        <v>0</v>
      </c>
      <c r="X80" s="127">
        <v>0</v>
      </c>
      <c r="Y80" s="127">
        <v>0</v>
      </c>
      <c r="Z80" s="127">
        <v>0.44444444444444442</v>
      </c>
      <c r="AA80" s="127">
        <v>0.44444444444444442</v>
      </c>
      <c r="AB80" s="127">
        <v>0.77777777777777779</v>
      </c>
      <c r="AC80" s="127">
        <v>1</v>
      </c>
      <c r="AD80" s="127">
        <v>1</v>
      </c>
      <c r="AE80" s="127">
        <v>1</v>
      </c>
      <c r="AF80" s="127">
        <v>1</v>
      </c>
      <c r="AG80" s="127">
        <v>1</v>
      </c>
      <c r="AH80" s="127">
        <v>1</v>
      </c>
      <c r="AI80" s="127">
        <v>1</v>
      </c>
      <c r="AJ80" s="127">
        <v>1</v>
      </c>
      <c r="AK80" s="127">
        <v>1</v>
      </c>
      <c r="AL80" s="127">
        <v>1</v>
      </c>
      <c r="AM80" s="127">
        <v>1</v>
      </c>
      <c r="AN80" s="127">
        <v>1</v>
      </c>
      <c r="AO80" s="127">
        <v>1</v>
      </c>
      <c r="AP80" s="127">
        <v>1</v>
      </c>
      <c r="AQ80" s="127">
        <v>1</v>
      </c>
      <c r="AR80" s="127">
        <v>1</v>
      </c>
      <c r="AS80" s="127">
        <v>1</v>
      </c>
      <c r="AT80" s="127">
        <v>1</v>
      </c>
      <c r="AU80" s="127">
        <v>1</v>
      </c>
      <c r="AV80" s="127">
        <v>1</v>
      </c>
      <c r="AW80" s="127">
        <v>1</v>
      </c>
      <c r="AX80" s="127">
        <v>1</v>
      </c>
      <c r="AY80" s="127">
        <v>1</v>
      </c>
      <c r="AZ80" s="127">
        <v>1</v>
      </c>
      <c r="BA80" s="127">
        <v>1</v>
      </c>
      <c r="BB80" s="127">
        <v>1</v>
      </c>
      <c r="BC80" s="127">
        <v>1</v>
      </c>
      <c r="BD80" s="127">
        <v>1</v>
      </c>
      <c r="BE80" s="127">
        <v>1</v>
      </c>
      <c r="BF80" s="127">
        <v>1</v>
      </c>
      <c r="BG80" s="127">
        <v>1</v>
      </c>
      <c r="BH80" s="127">
        <v>1</v>
      </c>
      <c r="BI80" s="127">
        <v>1</v>
      </c>
      <c r="BJ80" s="127">
        <v>1</v>
      </c>
      <c r="BK80" s="127">
        <v>1</v>
      </c>
      <c r="BL80" s="127">
        <v>1</v>
      </c>
      <c r="BM80" s="127">
        <v>1</v>
      </c>
      <c r="BN80" s="127">
        <v>1</v>
      </c>
      <c r="BO80" s="127">
        <v>1</v>
      </c>
      <c r="BP80" s="127">
        <v>1</v>
      </c>
      <c r="BQ80" s="127">
        <v>1</v>
      </c>
      <c r="BR80" s="163">
        <v>1</v>
      </c>
      <c r="BS80" s="163">
        <v>1</v>
      </c>
      <c r="BT80" s="163">
        <v>1</v>
      </c>
      <c r="BU80" s="163">
        <v>1</v>
      </c>
      <c r="BV80" s="163">
        <v>1</v>
      </c>
      <c r="BW80" s="163">
        <v>1</v>
      </c>
      <c r="BX80" s="163">
        <v>1</v>
      </c>
      <c r="BY80" s="163">
        <v>1</v>
      </c>
      <c r="BZ80" s="163">
        <v>1</v>
      </c>
      <c r="CA80" s="163">
        <v>1</v>
      </c>
      <c r="CB80" s="163">
        <v>1</v>
      </c>
      <c r="CC80" s="163">
        <v>1</v>
      </c>
      <c r="CD80" s="163">
        <v>1</v>
      </c>
      <c r="CE80" s="163">
        <v>1</v>
      </c>
      <c r="CF80" s="163">
        <v>1</v>
      </c>
      <c r="CG80" s="163">
        <v>1</v>
      </c>
      <c r="CH80" s="163">
        <v>1</v>
      </c>
      <c r="CI80" s="163">
        <v>1</v>
      </c>
      <c r="CJ80" s="163">
        <v>1</v>
      </c>
      <c r="CK80" s="163">
        <v>1</v>
      </c>
      <c r="CL80" s="163">
        <v>1</v>
      </c>
      <c r="CM80" s="163">
        <v>1</v>
      </c>
      <c r="CN80" s="163">
        <v>1</v>
      </c>
      <c r="CO80" s="163">
        <v>1</v>
      </c>
      <c r="CP80" s="163">
        <v>1</v>
      </c>
      <c r="CQ80" s="163">
        <v>1</v>
      </c>
      <c r="CR80" s="163">
        <v>1</v>
      </c>
      <c r="CS80" s="163">
        <v>1</v>
      </c>
      <c r="CT80" s="163">
        <v>1</v>
      </c>
      <c r="CU80" s="163">
        <v>1</v>
      </c>
      <c r="CV80" s="163">
        <v>1</v>
      </c>
      <c r="CW80" s="163">
        <v>1</v>
      </c>
      <c r="CX80" s="163">
        <v>1</v>
      </c>
      <c r="CY80" s="163">
        <v>1</v>
      </c>
      <c r="CZ80" s="163">
        <v>1</v>
      </c>
      <c r="DA80" s="163">
        <v>1</v>
      </c>
      <c r="DB80" s="163">
        <v>1</v>
      </c>
      <c r="DC80" s="163">
        <v>1</v>
      </c>
      <c r="DD80" s="163">
        <v>1</v>
      </c>
      <c r="DE80" s="163">
        <v>1</v>
      </c>
      <c r="DF80" s="163">
        <v>1</v>
      </c>
      <c r="DG80" s="163">
        <v>1</v>
      </c>
      <c r="DH80" s="347">
        <v>1</v>
      </c>
      <c r="DI80" s="163">
        <v>1</v>
      </c>
      <c r="DJ80" s="163">
        <v>1</v>
      </c>
      <c r="DK80" s="163">
        <v>1</v>
      </c>
      <c r="DL80" s="163">
        <v>1</v>
      </c>
      <c r="DM80" s="163">
        <v>1</v>
      </c>
      <c r="DN80" s="163">
        <v>1</v>
      </c>
      <c r="DO80" s="163">
        <v>1</v>
      </c>
      <c r="DP80" s="163">
        <v>1</v>
      </c>
      <c r="DQ80" s="163">
        <v>1</v>
      </c>
      <c r="DR80" s="163">
        <v>1</v>
      </c>
      <c r="DS80" s="163">
        <v>1</v>
      </c>
      <c r="DT80" s="163">
        <v>1</v>
      </c>
      <c r="DU80" s="163">
        <v>1</v>
      </c>
      <c r="DV80" s="163">
        <v>1</v>
      </c>
      <c r="DW80" s="163">
        <v>1</v>
      </c>
      <c r="DX80" s="163">
        <v>1</v>
      </c>
      <c r="DY80" s="163">
        <v>1</v>
      </c>
      <c r="DZ80" s="163">
        <v>1</v>
      </c>
      <c r="EA80" s="163">
        <v>1</v>
      </c>
      <c r="EB80" s="163">
        <v>1</v>
      </c>
      <c r="EC80" s="163">
        <v>1</v>
      </c>
      <c r="ED80" s="163">
        <v>1</v>
      </c>
      <c r="EE80" s="163">
        <v>1</v>
      </c>
      <c r="EF80" s="163">
        <v>1</v>
      </c>
      <c r="EG80" s="163">
        <v>1</v>
      </c>
      <c r="EH80" s="163">
        <v>1</v>
      </c>
      <c r="EI80" s="163">
        <v>1</v>
      </c>
      <c r="EJ80" s="163">
        <v>1</v>
      </c>
      <c r="EK80" s="163">
        <v>1</v>
      </c>
      <c r="EL80" s="163">
        <v>1</v>
      </c>
    </row>
    <row r="81" spans="2:142" hidden="1" outlineLevel="2" x14ac:dyDescent="0.3">
      <c r="B81" s="29"/>
      <c r="C81" s="30"/>
      <c r="D81" s="30"/>
      <c r="E81" s="52" t="s">
        <v>85</v>
      </c>
      <c r="F81" s="33">
        <v>5</v>
      </c>
      <c r="G81" s="162">
        <v>45545</v>
      </c>
      <c r="H81" s="162">
        <v>45551</v>
      </c>
      <c r="I81" s="33">
        <f t="shared" si="219"/>
        <v>5</v>
      </c>
      <c r="J81" s="35">
        <v>6.4935064935064929E-2</v>
      </c>
      <c r="K81" s="53"/>
      <c r="L81" s="127">
        <v>0</v>
      </c>
      <c r="M81" s="127">
        <v>0</v>
      </c>
      <c r="N81" s="127">
        <v>0</v>
      </c>
      <c r="O81" s="127">
        <v>0</v>
      </c>
      <c r="P81" s="127">
        <v>0</v>
      </c>
      <c r="Q81" s="127">
        <v>0</v>
      </c>
      <c r="R81" s="127">
        <v>0</v>
      </c>
      <c r="S81" s="127">
        <v>0</v>
      </c>
      <c r="T81" s="127">
        <v>0</v>
      </c>
      <c r="U81" s="127">
        <v>0</v>
      </c>
      <c r="V81" s="127">
        <v>0</v>
      </c>
      <c r="W81" s="127">
        <v>0</v>
      </c>
      <c r="X81" s="127">
        <v>0</v>
      </c>
      <c r="Y81" s="127">
        <v>0</v>
      </c>
      <c r="Z81" s="127">
        <v>0</v>
      </c>
      <c r="AA81" s="127">
        <v>0</v>
      </c>
      <c r="AB81" s="127">
        <v>0</v>
      </c>
      <c r="AC81" s="127">
        <v>0</v>
      </c>
      <c r="AD81" s="127">
        <v>0</v>
      </c>
      <c r="AE81" s="127">
        <v>0</v>
      </c>
      <c r="AF81" s="127">
        <v>0</v>
      </c>
      <c r="AG81" s="127">
        <v>0</v>
      </c>
      <c r="AH81" s="127">
        <v>0</v>
      </c>
      <c r="AI81" s="127">
        <v>0</v>
      </c>
      <c r="AJ81" s="127">
        <v>1</v>
      </c>
      <c r="AK81" s="127">
        <v>1</v>
      </c>
      <c r="AL81" s="127">
        <v>1</v>
      </c>
      <c r="AM81" s="127">
        <v>1</v>
      </c>
      <c r="AN81" s="127">
        <v>1</v>
      </c>
      <c r="AO81" s="127">
        <v>1</v>
      </c>
      <c r="AP81" s="127">
        <v>1</v>
      </c>
      <c r="AQ81" s="127">
        <v>1</v>
      </c>
      <c r="AR81" s="127">
        <v>1</v>
      </c>
      <c r="AS81" s="127">
        <v>1</v>
      </c>
      <c r="AT81" s="127">
        <v>1</v>
      </c>
      <c r="AU81" s="127">
        <v>1</v>
      </c>
      <c r="AV81" s="127">
        <v>1</v>
      </c>
      <c r="AW81" s="127">
        <v>1</v>
      </c>
      <c r="AX81" s="127">
        <v>1</v>
      </c>
      <c r="AY81" s="127">
        <v>1</v>
      </c>
      <c r="AZ81" s="127">
        <v>1</v>
      </c>
      <c r="BA81" s="127">
        <v>1</v>
      </c>
      <c r="BB81" s="127">
        <v>1</v>
      </c>
      <c r="BC81" s="127">
        <v>1</v>
      </c>
      <c r="BD81" s="127">
        <v>1</v>
      </c>
      <c r="BE81" s="127">
        <v>1</v>
      </c>
      <c r="BF81" s="127">
        <v>1</v>
      </c>
      <c r="BG81" s="127">
        <v>1</v>
      </c>
      <c r="BH81" s="127">
        <v>1</v>
      </c>
      <c r="BI81" s="127">
        <v>1</v>
      </c>
      <c r="BJ81" s="127">
        <v>1</v>
      </c>
      <c r="BK81" s="127">
        <v>1</v>
      </c>
      <c r="BL81" s="127">
        <v>1</v>
      </c>
      <c r="BM81" s="127">
        <v>1</v>
      </c>
      <c r="BN81" s="127">
        <v>1</v>
      </c>
      <c r="BO81" s="127">
        <v>1</v>
      </c>
      <c r="BP81" s="127">
        <v>1</v>
      </c>
      <c r="BQ81" s="127">
        <v>1</v>
      </c>
      <c r="BR81" s="163">
        <v>1</v>
      </c>
      <c r="BS81" s="163">
        <v>1</v>
      </c>
      <c r="BT81" s="163">
        <v>1</v>
      </c>
      <c r="BU81" s="163">
        <v>1</v>
      </c>
      <c r="BV81" s="163">
        <v>1</v>
      </c>
      <c r="BW81" s="163">
        <v>1</v>
      </c>
      <c r="BX81" s="163">
        <v>1</v>
      </c>
      <c r="BY81" s="163">
        <v>1</v>
      </c>
      <c r="BZ81" s="163">
        <v>1</v>
      </c>
      <c r="CA81" s="163">
        <v>1</v>
      </c>
      <c r="CB81" s="163">
        <v>1</v>
      </c>
      <c r="CC81" s="163">
        <v>1</v>
      </c>
      <c r="CD81" s="163">
        <v>1</v>
      </c>
      <c r="CE81" s="163">
        <v>1</v>
      </c>
      <c r="CF81" s="163">
        <v>1</v>
      </c>
      <c r="CG81" s="163">
        <v>1</v>
      </c>
      <c r="CH81" s="163">
        <v>1</v>
      </c>
      <c r="CI81" s="163">
        <v>1</v>
      </c>
      <c r="CJ81" s="163">
        <v>1</v>
      </c>
      <c r="CK81" s="163">
        <v>1</v>
      </c>
      <c r="CL81" s="163">
        <v>1</v>
      </c>
      <c r="CM81" s="163">
        <v>1</v>
      </c>
      <c r="CN81" s="163">
        <v>1</v>
      </c>
      <c r="CO81" s="163">
        <v>1</v>
      </c>
      <c r="CP81" s="163">
        <v>1</v>
      </c>
      <c r="CQ81" s="163">
        <v>1</v>
      </c>
      <c r="CR81" s="163">
        <v>1</v>
      </c>
      <c r="CS81" s="163">
        <v>1</v>
      </c>
      <c r="CT81" s="163">
        <v>1</v>
      </c>
      <c r="CU81" s="163">
        <v>1</v>
      </c>
      <c r="CV81" s="163">
        <v>1</v>
      </c>
      <c r="CW81" s="163">
        <v>1</v>
      </c>
      <c r="CX81" s="163">
        <v>1</v>
      </c>
      <c r="CY81" s="163">
        <v>1</v>
      </c>
      <c r="CZ81" s="163">
        <v>1</v>
      </c>
      <c r="DA81" s="163">
        <v>1</v>
      </c>
      <c r="DB81" s="163">
        <v>1</v>
      </c>
      <c r="DC81" s="163">
        <v>1</v>
      </c>
      <c r="DD81" s="163">
        <v>1</v>
      </c>
      <c r="DE81" s="163">
        <v>1</v>
      </c>
      <c r="DF81" s="163">
        <v>1</v>
      </c>
      <c r="DG81" s="163">
        <v>1</v>
      </c>
      <c r="DH81" s="347">
        <v>1</v>
      </c>
      <c r="DI81" s="163">
        <v>1</v>
      </c>
      <c r="DJ81" s="163">
        <v>1</v>
      </c>
      <c r="DK81" s="163">
        <v>1</v>
      </c>
      <c r="DL81" s="163">
        <v>1</v>
      </c>
      <c r="DM81" s="163">
        <v>1</v>
      </c>
      <c r="DN81" s="163">
        <v>1</v>
      </c>
      <c r="DO81" s="163">
        <v>1</v>
      </c>
      <c r="DP81" s="163">
        <v>1</v>
      </c>
      <c r="DQ81" s="163">
        <v>1</v>
      </c>
      <c r="DR81" s="163">
        <v>1</v>
      </c>
      <c r="DS81" s="163">
        <v>1</v>
      </c>
      <c r="DT81" s="163">
        <v>1</v>
      </c>
      <c r="DU81" s="163">
        <v>1</v>
      </c>
      <c r="DV81" s="163">
        <v>1</v>
      </c>
      <c r="DW81" s="163">
        <v>1</v>
      </c>
      <c r="DX81" s="163">
        <v>1</v>
      </c>
      <c r="DY81" s="163">
        <v>1</v>
      </c>
      <c r="DZ81" s="163">
        <v>1</v>
      </c>
      <c r="EA81" s="163">
        <v>1</v>
      </c>
      <c r="EB81" s="163">
        <v>1</v>
      </c>
      <c r="EC81" s="163">
        <v>1</v>
      </c>
      <c r="ED81" s="163">
        <v>1</v>
      </c>
      <c r="EE81" s="163">
        <v>1</v>
      </c>
      <c r="EF81" s="163">
        <v>1</v>
      </c>
      <c r="EG81" s="163">
        <v>1</v>
      </c>
      <c r="EH81" s="163">
        <v>1</v>
      </c>
      <c r="EI81" s="163">
        <v>1</v>
      </c>
      <c r="EJ81" s="163">
        <v>1</v>
      </c>
      <c r="EK81" s="163">
        <v>1</v>
      </c>
      <c r="EL81" s="163">
        <v>1</v>
      </c>
    </row>
    <row r="82" spans="2:142" hidden="1" outlineLevel="2" x14ac:dyDescent="0.3">
      <c r="B82" s="29"/>
      <c r="C82" s="30"/>
      <c r="D82" s="30"/>
      <c r="E82" s="52" t="s">
        <v>86</v>
      </c>
      <c r="F82" s="33">
        <v>5</v>
      </c>
      <c r="G82" s="162">
        <v>45670</v>
      </c>
      <c r="H82" s="162">
        <v>45674</v>
      </c>
      <c r="I82" s="33">
        <f t="shared" si="219"/>
        <v>5</v>
      </c>
      <c r="J82" s="35">
        <v>6.4935064935064929E-2</v>
      </c>
      <c r="K82" s="53"/>
      <c r="L82" s="127">
        <v>0</v>
      </c>
      <c r="M82" s="127">
        <v>0</v>
      </c>
      <c r="N82" s="127">
        <v>0</v>
      </c>
      <c r="O82" s="127">
        <v>0</v>
      </c>
      <c r="P82" s="127">
        <v>0</v>
      </c>
      <c r="Q82" s="127">
        <v>0</v>
      </c>
      <c r="R82" s="127">
        <v>0</v>
      </c>
      <c r="S82" s="127">
        <v>0</v>
      </c>
      <c r="T82" s="127">
        <v>0</v>
      </c>
      <c r="U82" s="127">
        <v>0</v>
      </c>
      <c r="V82" s="127">
        <v>0</v>
      </c>
      <c r="W82" s="127">
        <v>0</v>
      </c>
      <c r="X82" s="127">
        <v>0</v>
      </c>
      <c r="Y82" s="127">
        <v>0</v>
      </c>
      <c r="Z82" s="127">
        <v>0</v>
      </c>
      <c r="AA82" s="127">
        <v>0</v>
      </c>
      <c r="AB82" s="127">
        <v>0</v>
      </c>
      <c r="AC82" s="127">
        <v>0</v>
      </c>
      <c r="AD82" s="127">
        <v>0</v>
      </c>
      <c r="AE82" s="127">
        <v>0</v>
      </c>
      <c r="AF82" s="127">
        <v>0</v>
      </c>
      <c r="AG82" s="127">
        <v>0</v>
      </c>
      <c r="AH82" s="127">
        <v>0</v>
      </c>
      <c r="AI82" s="127">
        <v>0</v>
      </c>
      <c r="AJ82" s="127">
        <v>0</v>
      </c>
      <c r="AK82" s="127">
        <v>0</v>
      </c>
      <c r="AL82" s="127">
        <v>0</v>
      </c>
      <c r="AM82" s="127">
        <v>0</v>
      </c>
      <c r="AN82" s="127">
        <v>0</v>
      </c>
      <c r="AO82" s="127">
        <v>0</v>
      </c>
      <c r="AP82" s="127">
        <v>0</v>
      </c>
      <c r="AQ82" s="127">
        <v>0</v>
      </c>
      <c r="AR82" s="127">
        <v>0</v>
      </c>
      <c r="AS82" s="127">
        <v>0</v>
      </c>
      <c r="AT82" s="127">
        <v>0</v>
      </c>
      <c r="AU82" s="127">
        <v>0</v>
      </c>
      <c r="AV82" s="127">
        <v>0</v>
      </c>
      <c r="AW82" s="127">
        <v>0</v>
      </c>
      <c r="AX82" s="127">
        <v>0</v>
      </c>
      <c r="AY82" s="127">
        <v>0</v>
      </c>
      <c r="AZ82" s="127">
        <v>0</v>
      </c>
      <c r="BA82" s="127">
        <v>1</v>
      </c>
      <c r="BB82" s="127">
        <v>1</v>
      </c>
      <c r="BC82" s="127">
        <v>1</v>
      </c>
      <c r="BD82" s="127">
        <v>1</v>
      </c>
      <c r="BE82" s="127">
        <v>1</v>
      </c>
      <c r="BF82" s="127">
        <v>1</v>
      </c>
      <c r="BG82" s="127">
        <v>1</v>
      </c>
      <c r="BH82" s="127">
        <v>1</v>
      </c>
      <c r="BI82" s="127">
        <v>1</v>
      </c>
      <c r="BJ82" s="127">
        <v>1</v>
      </c>
      <c r="BK82" s="127">
        <v>1</v>
      </c>
      <c r="BL82" s="127">
        <v>1</v>
      </c>
      <c r="BM82" s="127">
        <v>1</v>
      </c>
      <c r="BN82" s="127">
        <v>1</v>
      </c>
      <c r="BO82" s="127">
        <v>1</v>
      </c>
      <c r="BP82" s="127">
        <v>1</v>
      </c>
      <c r="BQ82" s="127">
        <v>1</v>
      </c>
      <c r="BR82" s="163">
        <v>1</v>
      </c>
      <c r="BS82" s="163">
        <v>1</v>
      </c>
      <c r="BT82" s="163">
        <v>1</v>
      </c>
      <c r="BU82" s="163">
        <v>1</v>
      </c>
      <c r="BV82" s="163">
        <v>1</v>
      </c>
      <c r="BW82" s="163">
        <v>1</v>
      </c>
      <c r="BX82" s="163">
        <v>1</v>
      </c>
      <c r="BY82" s="163">
        <v>1</v>
      </c>
      <c r="BZ82" s="163">
        <v>1</v>
      </c>
      <c r="CA82" s="163">
        <v>1</v>
      </c>
      <c r="CB82" s="163">
        <v>1</v>
      </c>
      <c r="CC82" s="163">
        <v>1</v>
      </c>
      <c r="CD82" s="163">
        <v>1</v>
      </c>
      <c r="CE82" s="163">
        <v>1</v>
      </c>
      <c r="CF82" s="163">
        <v>1</v>
      </c>
      <c r="CG82" s="163">
        <v>1</v>
      </c>
      <c r="CH82" s="163">
        <v>1</v>
      </c>
      <c r="CI82" s="163">
        <v>1</v>
      </c>
      <c r="CJ82" s="163">
        <v>1</v>
      </c>
      <c r="CK82" s="163">
        <v>1</v>
      </c>
      <c r="CL82" s="163">
        <v>1</v>
      </c>
      <c r="CM82" s="163">
        <v>1</v>
      </c>
      <c r="CN82" s="163">
        <v>1</v>
      </c>
      <c r="CO82" s="163">
        <v>1</v>
      </c>
      <c r="CP82" s="163">
        <v>1</v>
      </c>
      <c r="CQ82" s="163">
        <v>1</v>
      </c>
      <c r="CR82" s="163">
        <v>1</v>
      </c>
      <c r="CS82" s="163">
        <v>1</v>
      </c>
      <c r="CT82" s="163">
        <v>1</v>
      </c>
      <c r="CU82" s="163">
        <v>1</v>
      </c>
      <c r="CV82" s="163">
        <v>1</v>
      </c>
      <c r="CW82" s="163">
        <v>1</v>
      </c>
      <c r="CX82" s="163">
        <v>1</v>
      </c>
      <c r="CY82" s="163">
        <v>1</v>
      </c>
      <c r="CZ82" s="163">
        <v>1</v>
      </c>
      <c r="DA82" s="163">
        <v>1</v>
      </c>
      <c r="DB82" s="163">
        <v>1</v>
      </c>
      <c r="DC82" s="163">
        <v>1</v>
      </c>
      <c r="DD82" s="163">
        <v>1</v>
      </c>
      <c r="DE82" s="163">
        <v>1</v>
      </c>
      <c r="DF82" s="163">
        <v>1</v>
      </c>
      <c r="DG82" s="163">
        <v>1</v>
      </c>
      <c r="DH82" s="347">
        <v>1</v>
      </c>
      <c r="DI82" s="163">
        <v>1</v>
      </c>
      <c r="DJ82" s="163">
        <v>1</v>
      </c>
      <c r="DK82" s="163">
        <v>1</v>
      </c>
      <c r="DL82" s="163">
        <v>1</v>
      </c>
      <c r="DM82" s="163">
        <v>1</v>
      </c>
      <c r="DN82" s="163">
        <v>1</v>
      </c>
      <c r="DO82" s="163">
        <v>1</v>
      </c>
      <c r="DP82" s="163">
        <v>1</v>
      </c>
      <c r="DQ82" s="163">
        <v>1</v>
      </c>
      <c r="DR82" s="163">
        <v>1</v>
      </c>
      <c r="DS82" s="163">
        <v>1</v>
      </c>
      <c r="DT82" s="163">
        <v>1</v>
      </c>
      <c r="DU82" s="163">
        <v>1</v>
      </c>
      <c r="DV82" s="163">
        <v>1</v>
      </c>
      <c r="DW82" s="163">
        <v>1</v>
      </c>
      <c r="DX82" s="163">
        <v>1</v>
      </c>
      <c r="DY82" s="163">
        <v>1</v>
      </c>
      <c r="DZ82" s="163">
        <v>1</v>
      </c>
      <c r="EA82" s="163">
        <v>1</v>
      </c>
      <c r="EB82" s="163">
        <v>1</v>
      </c>
      <c r="EC82" s="163">
        <v>1</v>
      </c>
      <c r="ED82" s="163">
        <v>1</v>
      </c>
      <c r="EE82" s="163">
        <v>1</v>
      </c>
      <c r="EF82" s="163">
        <v>1</v>
      </c>
      <c r="EG82" s="163">
        <v>1</v>
      </c>
      <c r="EH82" s="163">
        <v>1</v>
      </c>
      <c r="EI82" s="163">
        <v>1</v>
      </c>
      <c r="EJ82" s="163">
        <v>1</v>
      </c>
      <c r="EK82" s="163">
        <v>1</v>
      </c>
      <c r="EL82" s="163">
        <v>1</v>
      </c>
    </row>
    <row r="83" spans="2:142" hidden="1" outlineLevel="2" x14ac:dyDescent="0.3">
      <c r="B83" s="29"/>
      <c r="C83" s="30"/>
      <c r="D83" s="30"/>
      <c r="E83" s="52" t="s">
        <v>87</v>
      </c>
      <c r="F83" s="33">
        <v>20</v>
      </c>
      <c r="G83" s="162">
        <v>45506</v>
      </c>
      <c r="H83" s="162">
        <v>45533</v>
      </c>
      <c r="I83" s="33">
        <f t="shared" si="219"/>
        <v>20</v>
      </c>
      <c r="J83" s="35">
        <v>0.25974025974025972</v>
      </c>
      <c r="K83" s="53"/>
      <c r="L83" s="127">
        <v>0</v>
      </c>
      <c r="M83" s="127">
        <v>0</v>
      </c>
      <c r="N83" s="127">
        <v>0</v>
      </c>
      <c r="O83" s="127">
        <v>0</v>
      </c>
      <c r="P83" s="127">
        <v>0</v>
      </c>
      <c r="Q83" s="127">
        <v>0</v>
      </c>
      <c r="R83" s="127">
        <v>0</v>
      </c>
      <c r="S83" s="127">
        <v>0</v>
      </c>
      <c r="T83" s="127">
        <v>0</v>
      </c>
      <c r="U83" s="127">
        <v>0</v>
      </c>
      <c r="V83" s="127">
        <v>5.680000000000001E-2</v>
      </c>
      <c r="W83" s="127">
        <v>8.6749999999999994E-2</v>
      </c>
      <c r="X83" s="127">
        <v>0.23100000000000004</v>
      </c>
      <c r="Y83" s="127">
        <v>0.23749999999999999</v>
      </c>
      <c r="Z83" s="127">
        <v>1</v>
      </c>
      <c r="AA83" s="127">
        <v>1</v>
      </c>
      <c r="AB83" s="127">
        <v>1</v>
      </c>
      <c r="AC83" s="127">
        <v>1</v>
      </c>
      <c r="AD83" s="127">
        <v>1</v>
      </c>
      <c r="AE83" s="127">
        <v>1</v>
      </c>
      <c r="AF83" s="127">
        <v>1</v>
      </c>
      <c r="AG83" s="127">
        <v>1</v>
      </c>
      <c r="AH83" s="127">
        <v>1</v>
      </c>
      <c r="AI83" s="127">
        <v>1</v>
      </c>
      <c r="AJ83" s="127">
        <v>1</v>
      </c>
      <c r="AK83" s="127">
        <v>1</v>
      </c>
      <c r="AL83" s="127">
        <v>1</v>
      </c>
      <c r="AM83" s="127">
        <v>1</v>
      </c>
      <c r="AN83" s="127">
        <v>1</v>
      </c>
      <c r="AO83" s="127">
        <v>1</v>
      </c>
      <c r="AP83" s="127">
        <v>1</v>
      </c>
      <c r="AQ83" s="127">
        <v>1</v>
      </c>
      <c r="AR83" s="127">
        <v>1</v>
      </c>
      <c r="AS83" s="127">
        <v>1</v>
      </c>
      <c r="AT83" s="127">
        <v>1</v>
      </c>
      <c r="AU83" s="127">
        <v>1</v>
      </c>
      <c r="AV83" s="127">
        <v>1</v>
      </c>
      <c r="AW83" s="127">
        <v>1</v>
      </c>
      <c r="AX83" s="127">
        <v>1</v>
      </c>
      <c r="AY83" s="127">
        <v>1</v>
      </c>
      <c r="AZ83" s="127">
        <v>1</v>
      </c>
      <c r="BA83" s="127">
        <v>1</v>
      </c>
      <c r="BB83" s="127">
        <v>1</v>
      </c>
      <c r="BC83" s="127">
        <v>1</v>
      </c>
      <c r="BD83" s="127">
        <v>1</v>
      </c>
      <c r="BE83" s="127">
        <v>1</v>
      </c>
      <c r="BF83" s="127">
        <v>1</v>
      </c>
      <c r="BG83" s="127">
        <v>1</v>
      </c>
      <c r="BH83" s="127">
        <v>1</v>
      </c>
      <c r="BI83" s="127">
        <v>1</v>
      </c>
      <c r="BJ83" s="127">
        <v>1</v>
      </c>
      <c r="BK83" s="127">
        <v>1</v>
      </c>
      <c r="BL83" s="127">
        <v>1</v>
      </c>
      <c r="BM83" s="127">
        <v>1</v>
      </c>
      <c r="BN83" s="127">
        <v>1</v>
      </c>
      <c r="BO83" s="127">
        <v>1</v>
      </c>
      <c r="BP83" s="127">
        <v>1</v>
      </c>
      <c r="BQ83" s="127">
        <v>1</v>
      </c>
      <c r="BR83" s="163">
        <v>1</v>
      </c>
      <c r="BS83" s="163">
        <v>1</v>
      </c>
      <c r="BT83" s="163">
        <v>1</v>
      </c>
      <c r="BU83" s="163">
        <v>1</v>
      </c>
      <c r="BV83" s="163">
        <v>1</v>
      </c>
      <c r="BW83" s="163">
        <v>1</v>
      </c>
      <c r="BX83" s="163">
        <v>1</v>
      </c>
      <c r="BY83" s="163">
        <v>1</v>
      </c>
      <c r="BZ83" s="163">
        <v>1</v>
      </c>
      <c r="CA83" s="163">
        <v>1</v>
      </c>
      <c r="CB83" s="163">
        <v>1</v>
      </c>
      <c r="CC83" s="163">
        <v>1</v>
      </c>
      <c r="CD83" s="163">
        <v>1</v>
      </c>
      <c r="CE83" s="163">
        <v>1</v>
      </c>
      <c r="CF83" s="163">
        <v>1</v>
      </c>
      <c r="CG83" s="163">
        <v>1</v>
      </c>
      <c r="CH83" s="163">
        <v>1</v>
      </c>
      <c r="CI83" s="163">
        <v>1</v>
      </c>
      <c r="CJ83" s="163">
        <v>1</v>
      </c>
      <c r="CK83" s="163">
        <v>1</v>
      </c>
      <c r="CL83" s="163">
        <v>1</v>
      </c>
      <c r="CM83" s="163">
        <v>1</v>
      </c>
      <c r="CN83" s="163">
        <v>1</v>
      </c>
      <c r="CO83" s="163">
        <v>1</v>
      </c>
      <c r="CP83" s="163">
        <v>1</v>
      </c>
      <c r="CQ83" s="163">
        <v>1</v>
      </c>
      <c r="CR83" s="163">
        <v>1</v>
      </c>
      <c r="CS83" s="163">
        <v>1</v>
      </c>
      <c r="CT83" s="163">
        <v>1</v>
      </c>
      <c r="CU83" s="163">
        <v>1</v>
      </c>
      <c r="CV83" s="163">
        <v>1</v>
      </c>
      <c r="CW83" s="163">
        <v>1</v>
      </c>
      <c r="CX83" s="163">
        <v>1</v>
      </c>
      <c r="CY83" s="163">
        <v>1</v>
      </c>
      <c r="CZ83" s="163">
        <v>1</v>
      </c>
      <c r="DA83" s="163">
        <v>1</v>
      </c>
      <c r="DB83" s="163">
        <v>1</v>
      </c>
      <c r="DC83" s="163">
        <v>1</v>
      </c>
      <c r="DD83" s="163">
        <v>1</v>
      </c>
      <c r="DE83" s="163">
        <v>1</v>
      </c>
      <c r="DF83" s="163">
        <v>1</v>
      </c>
      <c r="DG83" s="163">
        <v>1</v>
      </c>
      <c r="DH83" s="347">
        <v>1</v>
      </c>
      <c r="DI83" s="163">
        <v>1</v>
      </c>
      <c r="DJ83" s="163">
        <v>1</v>
      </c>
      <c r="DK83" s="163">
        <v>1</v>
      </c>
      <c r="DL83" s="163">
        <v>1</v>
      </c>
      <c r="DM83" s="163">
        <v>1</v>
      </c>
      <c r="DN83" s="163">
        <v>1</v>
      </c>
      <c r="DO83" s="163">
        <v>1</v>
      </c>
      <c r="DP83" s="163">
        <v>1</v>
      </c>
      <c r="DQ83" s="163">
        <v>1</v>
      </c>
      <c r="DR83" s="163">
        <v>1</v>
      </c>
      <c r="DS83" s="163">
        <v>1</v>
      </c>
      <c r="DT83" s="163">
        <v>1</v>
      </c>
      <c r="DU83" s="163">
        <v>1</v>
      </c>
      <c r="DV83" s="163">
        <v>1</v>
      </c>
      <c r="DW83" s="163">
        <v>1</v>
      </c>
      <c r="DX83" s="163">
        <v>1</v>
      </c>
      <c r="DY83" s="163">
        <v>1</v>
      </c>
      <c r="DZ83" s="163">
        <v>1</v>
      </c>
      <c r="EA83" s="163">
        <v>1</v>
      </c>
      <c r="EB83" s="163">
        <v>1</v>
      </c>
      <c r="EC83" s="163">
        <v>1</v>
      </c>
      <c r="ED83" s="163">
        <v>1</v>
      </c>
      <c r="EE83" s="163">
        <v>1</v>
      </c>
      <c r="EF83" s="163">
        <v>1</v>
      </c>
      <c r="EG83" s="163">
        <v>1</v>
      </c>
      <c r="EH83" s="163">
        <v>1</v>
      </c>
      <c r="EI83" s="163">
        <v>1</v>
      </c>
      <c r="EJ83" s="163">
        <v>1</v>
      </c>
      <c r="EK83" s="163">
        <v>1</v>
      </c>
      <c r="EL83" s="163">
        <v>1</v>
      </c>
    </row>
    <row r="84" spans="2:142" hidden="1" outlineLevel="2" x14ac:dyDescent="0.3">
      <c r="B84" s="29"/>
      <c r="C84" s="30"/>
      <c r="D84" s="30"/>
      <c r="E84" s="52" t="s">
        <v>88</v>
      </c>
      <c r="F84" s="33">
        <v>20</v>
      </c>
      <c r="G84" s="162">
        <v>45614</v>
      </c>
      <c r="H84" s="162">
        <v>45639</v>
      </c>
      <c r="I84" s="33">
        <f t="shared" si="219"/>
        <v>20</v>
      </c>
      <c r="J84" s="35">
        <v>0.25974025974025972</v>
      </c>
      <c r="K84" s="53"/>
      <c r="L84" s="127">
        <v>0</v>
      </c>
      <c r="M84" s="127">
        <v>0</v>
      </c>
      <c r="N84" s="127">
        <v>0</v>
      </c>
      <c r="O84" s="127">
        <v>0</v>
      </c>
      <c r="P84" s="127">
        <v>0</v>
      </c>
      <c r="Q84" s="127">
        <v>0</v>
      </c>
      <c r="R84" s="127">
        <v>0</v>
      </c>
      <c r="S84" s="127">
        <v>0</v>
      </c>
      <c r="T84" s="127">
        <v>0</v>
      </c>
      <c r="U84" s="127">
        <v>0</v>
      </c>
      <c r="V84" s="127">
        <v>0</v>
      </c>
      <c r="W84" s="127">
        <v>0</v>
      </c>
      <c r="X84" s="127">
        <v>0</v>
      </c>
      <c r="Y84" s="127">
        <v>0</v>
      </c>
      <c r="Z84" s="127">
        <v>0</v>
      </c>
      <c r="AA84" s="127">
        <v>0</v>
      </c>
      <c r="AB84" s="127">
        <v>0</v>
      </c>
      <c r="AC84" s="127">
        <v>0</v>
      </c>
      <c r="AD84" s="127">
        <v>1</v>
      </c>
      <c r="AE84" s="127">
        <v>1</v>
      </c>
      <c r="AF84" s="127">
        <v>1</v>
      </c>
      <c r="AG84" s="127">
        <v>1</v>
      </c>
      <c r="AH84" s="127">
        <v>1</v>
      </c>
      <c r="AI84" s="127">
        <v>1</v>
      </c>
      <c r="AJ84" s="127">
        <v>1</v>
      </c>
      <c r="AK84" s="127">
        <v>1</v>
      </c>
      <c r="AL84" s="127">
        <v>1</v>
      </c>
      <c r="AM84" s="127">
        <v>1</v>
      </c>
      <c r="AN84" s="127">
        <v>1</v>
      </c>
      <c r="AO84" s="127">
        <v>1</v>
      </c>
      <c r="AP84" s="127">
        <v>1</v>
      </c>
      <c r="AQ84" s="127">
        <v>1</v>
      </c>
      <c r="AR84" s="127">
        <v>1</v>
      </c>
      <c r="AS84" s="127">
        <v>1</v>
      </c>
      <c r="AT84" s="127">
        <v>1</v>
      </c>
      <c r="AU84" s="127">
        <v>1</v>
      </c>
      <c r="AV84" s="127">
        <v>1</v>
      </c>
      <c r="AW84" s="127">
        <v>1</v>
      </c>
      <c r="AX84" s="127">
        <v>1</v>
      </c>
      <c r="AY84" s="127">
        <v>1</v>
      </c>
      <c r="AZ84" s="127">
        <v>1</v>
      </c>
      <c r="BA84" s="127">
        <v>1</v>
      </c>
      <c r="BB84" s="127">
        <v>1</v>
      </c>
      <c r="BC84" s="127">
        <v>1</v>
      </c>
      <c r="BD84" s="127">
        <v>1</v>
      </c>
      <c r="BE84" s="127">
        <v>1</v>
      </c>
      <c r="BF84" s="127">
        <v>1</v>
      </c>
      <c r="BG84" s="127">
        <v>1</v>
      </c>
      <c r="BH84" s="127">
        <v>1</v>
      </c>
      <c r="BI84" s="127">
        <v>1</v>
      </c>
      <c r="BJ84" s="127">
        <v>1</v>
      </c>
      <c r="BK84" s="127">
        <v>1</v>
      </c>
      <c r="BL84" s="127">
        <v>1</v>
      </c>
      <c r="BM84" s="127">
        <v>1</v>
      </c>
      <c r="BN84" s="127">
        <v>1</v>
      </c>
      <c r="BO84" s="127">
        <v>1</v>
      </c>
      <c r="BP84" s="127">
        <v>1</v>
      </c>
      <c r="BQ84" s="127">
        <v>1</v>
      </c>
      <c r="BR84" s="163">
        <v>1</v>
      </c>
      <c r="BS84" s="163">
        <v>1</v>
      </c>
      <c r="BT84" s="163">
        <v>1</v>
      </c>
      <c r="BU84" s="163">
        <v>1</v>
      </c>
      <c r="BV84" s="163">
        <v>1</v>
      </c>
      <c r="BW84" s="163">
        <v>1</v>
      </c>
      <c r="BX84" s="163">
        <v>1</v>
      </c>
      <c r="BY84" s="163">
        <v>1</v>
      </c>
      <c r="BZ84" s="163">
        <v>1</v>
      </c>
      <c r="CA84" s="163">
        <v>1</v>
      </c>
      <c r="CB84" s="163">
        <v>1</v>
      </c>
      <c r="CC84" s="163">
        <v>1</v>
      </c>
      <c r="CD84" s="163">
        <v>1</v>
      </c>
      <c r="CE84" s="163">
        <v>1</v>
      </c>
      <c r="CF84" s="163">
        <v>1</v>
      </c>
      <c r="CG84" s="163">
        <v>1</v>
      </c>
      <c r="CH84" s="163">
        <v>1</v>
      </c>
      <c r="CI84" s="163">
        <v>1</v>
      </c>
      <c r="CJ84" s="163">
        <v>1</v>
      </c>
      <c r="CK84" s="163">
        <v>1</v>
      </c>
      <c r="CL84" s="163">
        <v>1</v>
      </c>
      <c r="CM84" s="163">
        <v>1</v>
      </c>
      <c r="CN84" s="163">
        <v>1</v>
      </c>
      <c r="CO84" s="163">
        <v>1</v>
      </c>
      <c r="CP84" s="163">
        <v>1</v>
      </c>
      <c r="CQ84" s="163">
        <v>1</v>
      </c>
      <c r="CR84" s="163">
        <v>1</v>
      </c>
      <c r="CS84" s="163">
        <v>1</v>
      </c>
      <c r="CT84" s="163">
        <v>1</v>
      </c>
      <c r="CU84" s="163">
        <v>1</v>
      </c>
      <c r="CV84" s="163">
        <v>1</v>
      </c>
      <c r="CW84" s="163">
        <v>1</v>
      </c>
      <c r="CX84" s="163">
        <v>1</v>
      </c>
      <c r="CY84" s="163">
        <v>1</v>
      </c>
      <c r="CZ84" s="163">
        <v>1</v>
      </c>
      <c r="DA84" s="163">
        <v>1</v>
      </c>
      <c r="DB84" s="163">
        <v>1</v>
      </c>
      <c r="DC84" s="163">
        <v>1</v>
      </c>
      <c r="DD84" s="163">
        <v>1</v>
      </c>
      <c r="DE84" s="163">
        <v>1</v>
      </c>
      <c r="DF84" s="163">
        <v>1</v>
      </c>
      <c r="DG84" s="163">
        <v>1</v>
      </c>
      <c r="DH84" s="347">
        <v>1</v>
      </c>
      <c r="DI84" s="163">
        <v>1</v>
      </c>
      <c r="DJ84" s="163">
        <v>1</v>
      </c>
      <c r="DK84" s="163">
        <v>1</v>
      </c>
      <c r="DL84" s="163">
        <v>1</v>
      </c>
      <c r="DM84" s="163">
        <v>1</v>
      </c>
      <c r="DN84" s="163">
        <v>1</v>
      </c>
      <c r="DO84" s="163">
        <v>1</v>
      </c>
      <c r="DP84" s="163">
        <v>1</v>
      </c>
      <c r="DQ84" s="163">
        <v>1</v>
      </c>
      <c r="DR84" s="163">
        <v>1</v>
      </c>
      <c r="DS84" s="163">
        <v>1</v>
      </c>
      <c r="DT84" s="163">
        <v>1</v>
      </c>
      <c r="DU84" s="163">
        <v>1</v>
      </c>
      <c r="DV84" s="163">
        <v>1</v>
      </c>
      <c r="DW84" s="163">
        <v>1</v>
      </c>
      <c r="DX84" s="163">
        <v>1</v>
      </c>
      <c r="DY84" s="163">
        <v>1</v>
      </c>
      <c r="DZ84" s="163">
        <v>1</v>
      </c>
      <c r="EA84" s="163">
        <v>1</v>
      </c>
      <c r="EB84" s="163">
        <v>1</v>
      </c>
      <c r="EC84" s="163">
        <v>1</v>
      </c>
      <c r="ED84" s="163">
        <v>1</v>
      </c>
      <c r="EE84" s="163">
        <v>1</v>
      </c>
      <c r="EF84" s="163">
        <v>1</v>
      </c>
      <c r="EG84" s="163">
        <v>1</v>
      </c>
      <c r="EH84" s="163">
        <v>1</v>
      </c>
      <c r="EI84" s="163">
        <v>1</v>
      </c>
      <c r="EJ84" s="163">
        <v>1</v>
      </c>
      <c r="EK84" s="163">
        <v>1</v>
      </c>
      <c r="EL84" s="163">
        <v>1</v>
      </c>
    </row>
    <row r="85" spans="2:142" hidden="1" outlineLevel="2" x14ac:dyDescent="0.3">
      <c r="B85" s="29"/>
      <c r="C85" s="30"/>
      <c r="D85" s="30"/>
      <c r="E85" s="52" t="s">
        <v>89</v>
      </c>
      <c r="F85" s="33">
        <v>20</v>
      </c>
      <c r="G85" s="162">
        <v>45552</v>
      </c>
      <c r="H85" s="162">
        <v>45579</v>
      </c>
      <c r="I85" s="33">
        <f t="shared" si="219"/>
        <v>20</v>
      </c>
      <c r="J85" s="35">
        <v>0.25974025974025972</v>
      </c>
      <c r="K85" s="53"/>
      <c r="L85" s="127">
        <v>0</v>
      </c>
      <c r="M85" s="127">
        <v>0</v>
      </c>
      <c r="N85" s="127">
        <v>0</v>
      </c>
      <c r="O85" s="127">
        <v>0</v>
      </c>
      <c r="P85" s="127">
        <v>0</v>
      </c>
      <c r="Q85" s="127">
        <v>0</v>
      </c>
      <c r="R85" s="127">
        <v>0</v>
      </c>
      <c r="S85" s="127">
        <v>0</v>
      </c>
      <c r="T85" s="127">
        <v>0</v>
      </c>
      <c r="U85" s="127">
        <v>0</v>
      </c>
      <c r="V85" s="127">
        <v>0</v>
      </c>
      <c r="W85" s="127">
        <v>0</v>
      </c>
      <c r="X85" s="127">
        <v>0</v>
      </c>
      <c r="Y85" s="127">
        <v>0.04</v>
      </c>
      <c r="Z85" s="127">
        <v>1</v>
      </c>
      <c r="AA85" s="127">
        <v>1</v>
      </c>
      <c r="AB85" s="127">
        <v>1</v>
      </c>
      <c r="AC85" s="127">
        <v>1</v>
      </c>
      <c r="AD85" s="127">
        <v>1</v>
      </c>
      <c r="AE85" s="127">
        <v>1</v>
      </c>
      <c r="AF85" s="127">
        <v>1</v>
      </c>
      <c r="AG85" s="127">
        <v>1</v>
      </c>
      <c r="AH85" s="127">
        <v>1</v>
      </c>
      <c r="AI85" s="127">
        <v>1</v>
      </c>
      <c r="AJ85" s="127">
        <v>1</v>
      </c>
      <c r="AK85" s="127">
        <v>1</v>
      </c>
      <c r="AL85" s="127">
        <v>1</v>
      </c>
      <c r="AM85" s="127">
        <v>1</v>
      </c>
      <c r="AN85" s="127">
        <v>1</v>
      </c>
      <c r="AO85" s="127">
        <v>1</v>
      </c>
      <c r="AP85" s="127">
        <v>1</v>
      </c>
      <c r="AQ85" s="127">
        <v>1</v>
      </c>
      <c r="AR85" s="127">
        <v>1</v>
      </c>
      <c r="AS85" s="127">
        <v>1</v>
      </c>
      <c r="AT85" s="127">
        <v>1</v>
      </c>
      <c r="AU85" s="127">
        <v>1</v>
      </c>
      <c r="AV85" s="127">
        <v>1</v>
      </c>
      <c r="AW85" s="127">
        <v>1</v>
      </c>
      <c r="AX85" s="127">
        <v>1</v>
      </c>
      <c r="AY85" s="127">
        <v>1</v>
      </c>
      <c r="AZ85" s="127">
        <v>1</v>
      </c>
      <c r="BA85" s="127">
        <v>1</v>
      </c>
      <c r="BB85" s="127">
        <v>1</v>
      </c>
      <c r="BC85" s="127">
        <v>1</v>
      </c>
      <c r="BD85" s="127">
        <v>1</v>
      </c>
      <c r="BE85" s="127">
        <v>1</v>
      </c>
      <c r="BF85" s="127">
        <v>1</v>
      </c>
      <c r="BG85" s="127">
        <v>1</v>
      </c>
      <c r="BH85" s="127">
        <v>1</v>
      </c>
      <c r="BI85" s="127">
        <v>1</v>
      </c>
      <c r="BJ85" s="127">
        <v>1</v>
      </c>
      <c r="BK85" s="127">
        <v>1</v>
      </c>
      <c r="BL85" s="127">
        <v>1</v>
      </c>
      <c r="BM85" s="127">
        <v>1</v>
      </c>
      <c r="BN85" s="127">
        <v>1</v>
      </c>
      <c r="BO85" s="127">
        <v>1</v>
      </c>
      <c r="BP85" s="127">
        <v>1</v>
      </c>
      <c r="BQ85" s="127">
        <v>1</v>
      </c>
      <c r="BR85" s="163">
        <v>1</v>
      </c>
      <c r="BS85" s="163">
        <v>1</v>
      </c>
      <c r="BT85" s="163">
        <v>1</v>
      </c>
      <c r="BU85" s="163">
        <v>1</v>
      </c>
      <c r="BV85" s="163">
        <v>1</v>
      </c>
      <c r="BW85" s="163">
        <v>1</v>
      </c>
      <c r="BX85" s="163">
        <v>1</v>
      </c>
      <c r="BY85" s="163">
        <v>1</v>
      </c>
      <c r="BZ85" s="163">
        <v>1</v>
      </c>
      <c r="CA85" s="163">
        <v>1</v>
      </c>
      <c r="CB85" s="163">
        <v>1</v>
      </c>
      <c r="CC85" s="163">
        <v>1</v>
      </c>
      <c r="CD85" s="163">
        <v>1</v>
      </c>
      <c r="CE85" s="163">
        <v>1</v>
      </c>
      <c r="CF85" s="163">
        <v>1</v>
      </c>
      <c r="CG85" s="163">
        <v>1</v>
      </c>
      <c r="CH85" s="163">
        <v>1</v>
      </c>
      <c r="CI85" s="163">
        <v>1</v>
      </c>
      <c r="CJ85" s="163">
        <v>1</v>
      </c>
      <c r="CK85" s="163">
        <v>1</v>
      </c>
      <c r="CL85" s="163">
        <v>1</v>
      </c>
      <c r="CM85" s="163">
        <v>1</v>
      </c>
      <c r="CN85" s="163">
        <v>1</v>
      </c>
      <c r="CO85" s="163">
        <v>1</v>
      </c>
      <c r="CP85" s="163">
        <v>1</v>
      </c>
      <c r="CQ85" s="163">
        <v>1</v>
      </c>
      <c r="CR85" s="163">
        <v>1</v>
      </c>
      <c r="CS85" s="163">
        <v>1</v>
      </c>
      <c r="CT85" s="163">
        <v>1</v>
      </c>
      <c r="CU85" s="163">
        <v>1</v>
      </c>
      <c r="CV85" s="163">
        <v>1</v>
      </c>
      <c r="CW85" s="163">
        <v>1</v>
      </c>
      <c r="CX85" s="163">
        <v>1</v>
      </c>
      <c r="CY85" s="163">
        <v>1</v>
      </c>
      <c r="CZ85" s="163">
        <v>1</v>
      </c>
      <c r="DA85" s="163">
        <v>1</v>
      </c>
      <c r="DB85" s="163">
        <v>1</v>
      </c>
      <c r="DC85" s="163">
        <v>1</v>
      </c>
      <c r="DD85" s="163">
        <v>1</v>
      </c>
      <c r="DE85" s="163">
        <v>1</v>
      </c>
      <c r="DF85" s="163">
        <v>1</v>
      </c>
      <c r="DG85" s="163">
        <v>1</v>
      </c>
      <c r="DH85" s="347">
        <v>1</v>
      </c>
      <c r="DI85" s="163">
        <v>1</v>
      </c>
      <c r="DJ85" s="163">
        <v>1</v>
      </c>
      <c r="DK85" s="163">
        <v>1</v>
      </c>
      <c r="DL85" s="163">
        <v>1</v>
      </c>
      <c r="DM85" s="163">
        <v>1</v>
      </c>
      <c r="DN85" s="163">
        <v>1</v>
      </c>
      <c r="DO85" s="163">
        <v>1</v>
      </c>
      <c r="DP85" s="163">
        <v>1</v>
      </c>
      <c r="DQ85" s="163">
        <v>1</v>
      </c>
      <c r="DR85" s="163">
        <v>1</v>
      </c>
      <c r="DS85" s="163">
        <v>1</v>
      </c>
      <c r="DT85" s="163">
        <v>1</v>
      </c>
      <c r="DU85" s="163">
        <v>1</v>
      </c>
      <c r="DV85" s="163">
        <v>1</v>
      </c>
      <c r="DW85" s="163">
        <v>1</v>
      </c>
      <c r="DX85" s="163">
        <v>1</v>
      </c>
      <c r="DY85" s="163">
        <v>1</v>
      </c>
      <c r="DZ85" s="163">
        <v>1</v>
      </c>
      <c r="EA85" s="163">
        <v>1</v>
      </c>
      <c r="EB85" s="163">
        <v>1</v>
      </c>
      <c r="EC85" s="163">
        <v>1</v>
      </c>
      <c r="ED85" s="163">
        <v>1</v>
      </c>
      <c r="EE85" s="163">
        <v>1</v>
      </c>
      <c r="EF85" s="163">
        <v>1</v>
      </c>
      <c r="EG85" s="163">
        <v>1</v>
      </c>
      <c r="EH85" s="163">
        <v>1</v>
      </c>
      <c r="EI85" s="163">
        <v>1</v>
      </c>
      <c r="EJ85" s="163">
        <v>1</v>
      </c>
      <c r="EK85" s="163">
        <v>1</v>
      </c>
      <c r="EL85" s="163">
        <v>1</v>
      </c>
    </row>
    <row r="86" spans="2:142" ht="15" hidden="1" outlineLevel="1" collapsed="1" x14ac:dyDescent="0.3">
      <c r="B86" s="22"/>
      <c r="C86" s="23"/>
      <c r="D86" s="23" t="s">
        <v>90</v>
      </c>
      <c r="E86" s="50"/>
      <c r="F86" s="26">
        <v>40</v>
      </c>
      <c r="G86" s="160">
        <v>45677</v>
      </c>
      <c r="H86" s="160">
        <v>45734</v>
      </c>
      <c r="I86" s="26">
        <f>+I87</f>
        <v>40</v>
      </c>
      <c r="J86" s="28">
        <v>0.12778934594263763</v>
      </c>
      <c r="K86" s="51"/>
      <c r="L86" s="28">
        <f>+L87*$J$87</f>
        <v>0</v>
      </c>
      <c r="M86" s="28">
        <f t="shared" ref="M86:CP86" si="220">+M87*$J$87</f>
        <v>0</v>
      </c>
      <c r="N86" s="28">
        <f t="shared" si="220"/>
        <v>0</v>
      </c>
      <c r="O86" s="28">
        <f t="shared" si="220"/>
        <v>0</v>
      </c>
      <c r="P86" s="28">
        <f t="shared" si="220"/>
        <v>0</v>
      </c>
      <c r="Q86" s="28">
        <f t="shared" si="220"/>
        <v>0</v>
      </c>
      <c r="R86" s="28">
        <f t="shared" si="220"/>
        <v>0</v>
      </c>
      <c r="S86" s="28">
        <f t="shared" si="220"/>
        <v>0</v>
      </c>
      <c r="T86" s="28">
        <f t="shared" si="220"/>
        <v>0</v>
      </c>
      <c r="U86" s="28">
        <f t="shared" si="220"/>
        <v>0</v>
      </c>
      <c r="V86" s="28">
        <f t="shared" si="220"/>
        <v>0</v>
      </c>
      <c r="W86" s="28">
        <f t="shared" si="220"/>
        <v>0</v>
      </c>
      <c r="X86" s="28">
        <f t="shared" si="220"/>
        <v>0</v>
      </c>
      <c r="Y86" s="28">
        <f t="shared" si="220"/>
        <v>0</v>
      </c>
      <c r="Z86" s="28">
        <f t="shared" si="220"/>
        <v>0</v>
      </c>
      <c r="AA86" s="28">
        <f t="shared" si="220"/>
        <v>0</v>
      </c>
      <c r="AB86" s="28">
        <f t="shared" si="220"/>
        <v>0</v>
      </c>
      <c r="AC86" s="28">
        <f t="shared" si="220"/>
        <v>0</v>
      </c>
      <c r="AD86" s="28">
        <f t="shared" si="220"/>
        <v>0</v>
      </c>
      <c r="AE86" s="28">
        <f t="shared" si="220"/>
        <v>0</v>
      </c>
      <c r="AF86" s="28">
        <f t="shared" si="220"/>
        <v>0</v>
      </c>
      <c r="AG86" s="28">
        <f t="shared" si="220"/>
        <v>0</v>
      </c>
      <c r="AH86" s="28">
        <f t="shared" si="220"/>
        <v>0</v>
      </c>
      <c r="AI86" s="28">
        <f t="shared" si="220"/>
        <v>0</v>
      </c>
      <c r="AJ86" s="28">
        <f t="shared" si="220"/>
        <v>0</v>
      </c>
      <c r="AK86" s="28">
        <f t="shared" si="220"/>
        <v>0</v>
      </c>
      <c r="AL86" s="28">
        <f t="shared" si="220"/>
        <v>0</v>
      </c>
      <c r="AM86" s="28">
        <f t="shared" si="220"/>
        <v>0</v>
      </c>
      <c r="AN86" s="28">
        <f t="shared" si="220"/>
        <v>0</v>
      </c>
      <c r="AO86" s="28">
        <f t="shared" si="220"/>
        <v>0</v>
      </c>
      <c r="AP86" s="28">
        <f t="shared" si="220"/>
        <v>0</v>
      </c>
      <c r="AQ86" s="28">
        <f t="shared" si="220"/>
        <v>0</v>
      </c>
      <c r="AR86" s="28">
        <f t="shared" si="220"/>
        <v>0</v>
      </c>
      <c r="AS86" s="28">
        <f t="shared" si="220"/>
        <v>0</v>
      </c>
      <c r="AT86" s="28">
        <f t="shared" si="220"/>
        <v>0</v>
      </c>
      <c r="AU86" s="28">
        <f t="shared" si="220"/>
        <v>0</v>
      </c>
      <c r="AV86" s="28">
        <f t="shared" si="220"/>
        <v>0</v>
      </c>
      <c r="AW86" s="28">
        <f t="shared" si="220"/>
        <v>0</v>
      </c>
      <c r="AX86" s="28">
        <f t="shared" si="220"/>
        <v>0</v>
      </c>
      <c r="AY86" s="28">
        <f t="shared" si="220"/>
        <v>0</v>
      </c>
      <c r="AZ86" s="28">
        <f t="shared" si="220"/>
        <v>0</v>
      </c>
      <c r="BA86" s="28">
        <f t="shared" si="220"/>
        <v>0</v>
      </c>
      <c r="BB86" s="28">
        <f t="shared" si="220"/>
        <v>0.2</v>
      </c>
      <c r="BC86" s="28">
        <f t="shared" si="220"/>
        <v>0.4</v>
      </c>
      <c r="BD86" s="28">
        <f t="shared" si="220"/>
        <v>0.60000000000000009</v>
      </c>
      <c r="BE86" s="28">
        <f t="shared" si="220"/>
        <v>0.8</v>
      </c>
      <c r="BF86" s="28">
        <f t="shared" si="220"/>
        <v>1</v>
      </c>
      <c r="BG86" s="28">
        <f t="shared" si="220"/>
        <v>1</v>
      </c>
      <c r="BH86" s="28">
        <f t="shared" si="220"/>
        <v>1</v>
      </c>
      <c r="BI86" s="28">
        <f t="shared" si="220"/>
        <v>1</v>
      </c>
      <c r="BJ86" s="28">
        <f t="shared" si="220"/>
        <v>1</v>
      </c>
      <c r="BK86" s="28">
        <f t="shared" si="220"/>
        <v>1</v>
      </c>
      <c r="BL86" s="28">
        <f t="shared" si="220"/>
        <v>1</v>
      </c>
      <c r="BM86" s="28">
        <f t="shared" si="220"/>
        <v>1</v>
      </c>
      <c r="BN86" s="28">
        <f t="shared" si="220"/>
        <v>1</v>
      </c>
      <c r="BO86" s="28">
        <f t="shared" si="220"/>
        <v>1</v>
      </c>
      <c r="BP86" s="28">
        <f t="shared" si="220"/>
        <v>1</v>
      </c>
      <c r="BQ86" s="28">
        <f t="shared" si="220"/>
        <v>1</v>
      </c>
      <c r="BR86" s="161">
        <f t="shared" si="220"/>
        <v>1</v>
      </c>
      <c r="BS86" s="161">
        <f t="shared" si="220"/>
        <v>1</v>
      </c>
      <c r="BT86" s="161">
        <f t="shared" si="220"/>
        <v>1</v>
      </c>
      <c r="BU86" s="161">
        <f t="shared" si="220"/>
        <v>1</v>
      </c>
      <c r="BV86" s="161">
        <f t="shared" si="220"/>
        <v>1</v>
      </c>
      <c r="BW86" s="161">
        <f t="shared" si="220"/>
        <v>1</v>
      </c>
      <c r="BX86" s="161">
        <f t="shared" si="220"/>
        <v>1</v>
      </c>
      <c r="BY86" s="161">
        <f t="shared" si="220"/>
        <v>1</v>
      </c>
      <c r="BZ86" s="161">
        <f t="shared" si="220"/>
        <v>1</v>
      </c>
      <c r="CA86" s="161">
        <f t="shared" si="220"/>
        <v>1</v>
      </c>
      <c r="CB86" s="161">
        <f t="shared" si="220"/>
        <v>1</v>
      </c>
      <c r="CC86" s="161">
        <f t="shared" si="220"/>
        <v>1</v>
      </c>
      <c r="CD86" s="161">
        <f t="shared" si="220"/>
        <v>1</v>
      </c>
      <c r="CE86" s="161">
        <f t="shared" si="220"/>
        <v>1</v>
      </c>
      <c r="CF86" s="161">
        <f t="shared" si="220"/>
        <v>1</v>
      </c>
      <c r="CG86" s="161">
        <f t="shared" si="220"/>
        <v>1</v>
      </c>
      <c r="CH86" s="161">
        <f t="shared" si="220"/>
        <v>1</v>
      </c>
      <c r="CI86" s="161">
        <f t="shared" si="220"/>
        <v>1</v>
      </c>
      <c r="CJ86" s="161">
        <f t="shared" si="220"/>
        <v>1</v>
      </c>
      <c r="CK86" s="161">
        <f t="shared" si="220"/>
        <v>1</v>
      </c>
      <c r="CL86" s="161">
        <f t="shared" si="220"/>
        <v>1</v>
      </c>
      <c r="CM86" s="161">
        <f t="shared" si="220"/>
        <v>1</v>
      </c>
      <c r="CN86" s="161">
        <f t="shared" si="220"/>
        <v>1</v>
      </c>
      <c r="CO86" s="161">
        <f t="shared" si="220"/>
        <v>1</v>
      </c>
      <c r="CP86" s="161">
        <f t="shared" si="220"/>
        <v>1</v>
      </c>
      <c r="CQ86" s="161">
        <f t="shared" ref="CQ86:EL86" si="221">+CQ87*$J$87</f>
        <v>1</v>
      </c>
      <c r="CR86" s="161">
        <f t="shared" si="221"/>
        <v>1</v>
      </c>
      <c r="CS86" s="161">
        <f t="shared" si="221"/>
        <v>1</v>
      </c>
      <c r="CT86" s="161">
        <f t="shared" si="221"/>
        <v>1</v>
      </c>
      <c r="CU86" s="161">
        <f t="shared" si="221"/>
        <v>1</v>
      </c>
      <c r="CV86" s="161">
        <f t="shared" si="221"/>
        <v>1</v>
      </c>
      <c r="CW86" s="161">
        <f t="shared" si="221"/>
        <v>1</v>
      </c>
      <c r="CX86" s="161">
        <f t="shared" si="221"/>
        <v>1</v>
      </c>
      <c r="CY86" s="161">
        <f t="shared" si="221"/>
        <v>1</v>
      </c>
      <c r="CZ86" s="161">
        <f t="shared" si="221"/>
        <v>1</v>
      </c>
      <c r="DA86" s="161">
        <f t="shared" si="221"/>
        <v>1</v>
      </c>
      <c r="DB86" s="161">
        <f t="shared" si="221"/>
        <v>1</v>
      </c>
      <c r="DC86" s="161">
        <f t="shared" si="221"/>
        <v>1</v>
      </c>
      <c r="DD86" s="161">
        <f t="shared" si="221"/>
        <v>1</v>
      </c>
      <c r="DE86" s="161">
        <f t="shared" si="221"/>
        <v>1</v>
      </c>
      <c r="DF86" s="161">
        <f t="shared" si="221"/>
        <v>1</v>
      </c>
      <c r="DG86" s="161">
        <f t="shared" si="221"/>
        <v>1</v>
      </c>
      <c r="DH86" s="346">
        <f t="shared" si="221"/>
        <v>1</v>
      </c>
      <c r="DI86" s="161">
        <f t="shared" si="221"/>
        <v>1</v>
      </c>
      <c r="DJ86" s="161">
        <f t="shared" si="221"/>
        <v>1</v>
      </c>
      <c r="DK86" s="161">
        <f t="shared" si="221"/>
        <v>1</v>
      </c>
      <c r="DL86" s="161">
        <f t="shared" si="221"/>
        <v>1</v>
      </c>
      <c r="DM86" s="161">
        <f t="shared" si="221"/>
        <v>1</v>
      </c>
      <c r="DN86" s="161">
        <f t="shared" si="221"/>
        <v>1</v>
      </c>
      <c r="DO86" s="161">
        <f t="shared" si="221"/>
        <v>1</v>
      </c>
      <c r="DP86" s="161">
        <f t="shared" si="221"/>
        <v>1</v>
      </c>
      <c r="DQ86" s="161">
        <f t="shared" si="221"/>
        <v>1</v>
      </c>
      <c r="DR86" s="161">
        <f t="shared" si="221"/>
        <v>1</v>
      </c>
      <c r="DS86" s="161">
        <f t="shared" si="221"/>
        <v>1</v>
      </c>
      <c r="DT86" s="161">
        <f t="shared" si="221"/>
        <v>1</v>
      </c>
      <c r="DU86" s="161">
        <f t="shared" si="221"/>
        <v>1</v>
      </c>
      <c r="DV86" s="161">
        <f t="shared" si="221"/>
        <v>1</v>
      </c>
      <c r="DW86" s="161">
        <f t="shared" si="221"/>
        <v>1</v>
      </c>
      <c r="DX86" s="161">
        <f t="shared" si="221"/>
        <v>1</v>
      </c>
      <c r="DY86" s="161">
        <f t="shared" si="221"/>
        <v>1</v>
      </c>
      <c r="DZ86" s="161">
        <f t="shared" si="221"/>
        <v>1</v>
      </c>
      <c r="EA86" s="161">
        <f t="shared" si="221"/>
        <v>1</v>
      </c>
      <c r="EB86" s="161">
        <f t="shared" si="221"/>
        <v>1</v>
      </c>
      <c r="EC86" s="161">
        <f t="shared" si="221"/>
        <v>1</v>
      </c>
      <c r="ED86" s="161">
        <f t="shared" si="221"/>
        <v>1</v>
      </c>
      <c r="EE86" s="161">
        <f t="shared" si="221"/>
        <v>1</v>
      </c>
      <c r="EF86" s="161">
        <f t="shared" si="221"/>
        <v>1</v>
      </c>
      <c r="EG86" s="161">
        <f t="shared" si="221"/>
        <v>1</v>
      </c>
      <c r="EH86" s="161">
        <f t="shared" si="221"/>
        <v>1</v>
      </c>
      <c r="EI86" s="161">
        <f t="shared" si="221"/>
        <v>1</v>
      </c>
      <c r="EJ86" s="161">
        <f t="shared" si="221"/>
        <v>1</v>
      </c>
      <c r="EK86" s="161">
        <f t="shared" si="221"/>
        <v>1</v>
      </c>
      <c r="EL86" s="161">
        <f t="shared" si="221"/>
        <v>1</v>
      </c>
    </row>
    <row r="87" spans="2:142" hidden="1" outlineLevel="2" x14ac:dyDescent="0.3">
      <c r="B87" s="29"/>
      <c r="C87" s="30"/>
      <c r="D87" s="30"/>
      <c r="E87" s="52" t="s">
        <v>91</v>
      </c>
      <c r="F87" s="33">
        <v>40</v>
      </c>
      <c r="G87" s="162">
        <v>45677</v>
      </c>
      <c r="H87" s="162">
        <v>45734</v>
      </c>
      <c r="I87" s="33">
        <f>+F87</f>
        <v>40</v>
      </c>
      <c r="J87" s="35">
        <v>1</v>
      </c>
      <c r="K87" s="53"/>
      <c r="L87" s="127">
        <v>0</v>
      </c>
      <c r="M87" s="127">
        <v>0</v>
      </c>
      <c r="N87" s="127">
        <v>0</v>
      </c>
      <c r="O87" s="127">
        <v>0</v>
      </c>
      <c r="P87" s="127">
        <v>0</v>
      </c>
      <c r="Q87" s="127">
        <v>0</v>
      </c>
      <c r="R87" s="127">
        <v>0</v>
      </c>
      <c r="S87" s="127">
        <v>0</v>
      </c>
      <c r="T87" s="127">
        <v>0</v>
      </c>
      <c r="U87" s="127">
        <v>0</v>
      </c>
      <c r="V87" s="127">
        <v>0</v>
      </c>
      <c r="W87" s="127">
        <v>0</v>
      </c>
      <c r="X87" s="127">
        <v>0</v>
      </c>
      <c r="Y87" s="127">
        <v>0</v>
      </c>
      <c r="Z87" s="127">
        <v>0</v>
      </c>
      <c r="AA87" s="127">
        <v>0</v>
      </c>
      <c r="AB87" s="127">
        <v>0</v>
      </c>
      <c r="AC87" s="127">
        <v>0</v>
      </c>
      <c r="AD87" s="127">
        <v>0</v>
      </c>
      <c r="AE87" s="127">
        <v>0</v>
      </c>
      <c r="AF87" s="127">
        <v>0</v>
      </c>
      <c r="AG87" s="127">
        <v>0</v>
      </c>
      <c r="AH87" s="127">
        <v>0</v>
      </c>
      <c r="AI87" s="127">
        <v>0</v>
      </c>
      <c r="AJ87" s="127">
        <v>0</v>
      </c>
      <c r="AK87" s="127">
        <v>0</v>
      </c>
      <c r="AL87" s="127">
        <v>0</v>
      </c>
      <c r="AM87" s="127">
        <v>0</v>
      </c>
      <c r="AN87" s="127">
        <v>0</v>
      </c>
      <c r="AO87" s="127">
        <v>0</v>
      </c>
      <c r="AP87" s="127">
        <v>0</v>
      </c>
      <c r="AQ87" s="127">
        <v>0</v>
      </c>
      <c r="AR87" s="127">
        <v>0</v>
      </c>
      <c r="AS87" s="127">
        <v>0</v>
      </c>
      <c r="AT87" s="127">
        <v>0</v>
      </c>
      <c r="AU87" s="127">
        <v>0</v>
      </c>
      <c r="AV87" s="127">
        <v>0</v>
      </c>
      <c r="AW87" s="127">
        <v>0</v>
      </c>
      <c r="AX87" s="127">
        <v>0</v>
      </c>
      <c r="AY87" s="127">
        <v>0</v>
      </c>
      <c r="AZ87" s="127">
        <v>0</v>
      </c>
      <c r="BA87" s="127">
        <v>0</v>
      </c>
      <c r="BB87" s="127">
        <v>0.2</v>
      </c>
      <c r="BC87" s="127">
        <v>0.4</v>
      </c>
      <c r="BD87" s="127">
        <v>0.60000000000000009</v>
      </c>
      <c r="BE87" s="127">
        <v>0.8</v>
      </c>
      <c r="BF87" s="127">
        <v>1</v>
      </c>
      <c r="BG87" s="127">
        <v>1</v>
      </c>
      <c r="BH87" s="127">
        <v>1</v>
      </c>
      <c r="BI87" s="127">
        <v>1</v>
      </c>
      <c r="BJ87" s="127">
        <v>1</v>
      </c>
      <c r="BK87" s="127">
        <v>1</v>
      </c>
      <c r="BL87" s="127">
        <v>1</v>
      </c>
      <c r="BM87" s="127">
        <v>1</v>
      </c>
      <c r="BN87" s="127">
        <v>1</v>
      </c>
      <c r="BO87" s="127">
        <v>1</v>
      </c>
      <c r="BP87" s="127">
        <v>1</v>
      </c>
      <c r="BQ87" s="127">
        <v>1</v>
      </c>
      <c r="BR87" s="163">
        <v>1</v>
      </c>
      <c r="BS87" s="163">
        <v>1</v>
      </c>
      <c r="BT87" s="163">
        <v>1</v>
      </c>
      <c r="BU87" s="163">
        <v>1</v>
      </c>
      <c r="BV87" s="163">
        <v>1</v>
      </c>
      <c r="BW87" s="163">
        <v>1</v>
      </c>
      <c r="BX87" s="163">
        <v>1</v>
      </c>
      <c r="BY87" s="163">
        <v>1</v>
      </c>
      <c r="BZ87" s="163">
        <v>1</v>
      </c>
      <c r="CA87" s="163">
        <v>1</v>
      </c>
      <c r="CB87" s="163">
        <v>1</v>
      </c>
      <c r="CC87" s="163">
        <v>1</v>
      </c>
      <c r="CD87" s="163">
        <v>1</v>
      </c>
      <c r="CE87" s="163">
        <v>1</v>
      </c>
      <c r="CF87" s="163">
        <v>1</v>
      </c>
      <c r="CG87" s="163">
        <v>1</v>
      </c>
      <c r="CH87" s="163">
        <v>1</v>
      </c>
      <c r="CI87" s="163">
        <v>1</v>
      </c>
      <c r="CJ87" s="163">
        <v>1</v>
      </c>
      <c r="CK87" s="163">
        <v>1</v>
      </c>
      <c r="CL87" s="163">
        <v>1</v>
      </c>
      <c r="CM87" s="163">
        <v>1</v>
      </c>
      <c r="CN87" s="163">
        <v>1</v>
      </c>
      <c r="CO87" s="163">
        <v>1</v>
      </c>
      <c r="CP87" s="163">
        <v>1</v>
      </c>
      <c r="CQ87" s="163">
        <v>1</v>
      </c>
      <c r="CR87" s="163">
        <v>1</v>
      </c>
      <c r="CS87" s="163">
        <v>1</v>
      </c>
      <c r="CT87" s="163">
        <v>1</v>
      </c>
      <c r="CU87" s="163">
        <v>1</v>
      </c>
      <c r="CV87" s="163">
        <v>1</v>
      </c>
      <c r="CW87" s="163">
        <v>1</v>
      </c>
      <c r="CX87" s="163">
        <v>1</v>
      </c>
      <c r="CY87" s="163">
        <v>1</v>
      </c>
      <c r="CZ87" s="163">
        <v>1</v>
      </c>
      <c r="DA87" s="163">
        <v>1</v>
      </c>
      <c r="DB87" s="163">
        <v>1</v>
      </c>
      <c r="DC87" s="163">
        <v>1</v>
      </c>
      <c r="DD87" s="163">
        <v>1</v>
      </c>
      <c r="DE87" s="163">
        <v>1</v>
      </c>
      <c r="DF87" s="163">
        <v>1</v>
      </c>
      <c r="DG87" s="163">
        <v>1</v>
      </c>
      <c r="DH87" s="347">
        <v>1</v>
      </c>
      <c r="DI87" s="163">
        <v>1</v>
      </c>
      <c r="DJ87" s="163">
        <v>1</v>
      </c>
      <c r="DK87" s="163">
        <v>1</v>
      </c>
      <c r="DL87" s="163">
        <v>1</v>
      </c>
      <c r="DM87" s="163">
        <v>1</v>
      </c>
      <c r="DN87" s="163">
        <v>1</v>
      </c>
      <c r="DO87" s="163">
        <v>1</v>
      </c>
      <c r="DP87" s="163">
        <v>1</v>
      </c>
      <c r="DQ87" s="163">
        <v>1</v>
      </c>
      <c r="DR87" s="163">
        <v>1</v>
      </c>
      <c r="DS87" s="163">
        <v>1</v>
      </c>
      <c r="DT87" s="163">
        <v>1</v>
      </c>
      <c r="DU87" s="163">
        <v>1</v>
      </c>
      <c r="DV87" s="163">
        <v>1</v>
      </c>
      <c r="DW87" s="163">
        <v>1</v>
      </c>
      <c r="DX87" s="163">
        <v>1</v>
      </c>
      <c r="DY87" s="163">
        <v>1</v>
      </c>
      <c r="DZ87" s="163">
        <v>1</v>
      </c>
      <c r="EA87" s="163">
        <v>1</v>
      </c>
      <c r="EB87" s="163">
        <v>1</v>
      </c>
      <c r="EC87" s="163">
        <v>1</v>
      </c>
      <c r="ED87" s="163">
        <v>1</v>
      </c>
      <c r="EE87" s="163">
        <v>1</v>
      </c>
      <c r="EF87" s="163">
        <v>1</v>
      </c>
      <c r="EG87" s="163">
        <v>1</v>
      </c>
      <c r="EH87" s="163">
        <v>1</v>
      </c>
      <c r="EI87" s="163">
        <v>1</v>
      </c>
      <c r="EJ87" s="163">
        <v>1</v>
      </c>
      <c r="EK87" s="163">
        <v>1</v>
      </c>
      <c r="EL87" s="163">
        <v>1</v>
      </c>
    </row>
    <row r="88" spans="2:142" ht="15" hidden="1" outlineLevel="1" collapsed="1" x14ac:dyDescent="0.3">
      <c r="B88" s="22"/>
      <c r="C88" s="23"/>
      <c r="D88" s="23" t="s">
        <v>92</v>
      </c>
      <c r="E88" s="50"/>
      <c r="F88" s="26">
        <v>91</v>
      </c>
      <c r="G88" s="160">
        <v>45533</v>
      </c>
      <c r="H88" s="160">
        <v>45688</v>
      </c>
      <c r="I88" s="26">
        <f>+SUM(I89:I97)</f>
        <v>160</v>
      </c>
      <c r="J88" s="28">
        <v>0.155778577090152</v>
      </c>
      <c r="K88" s="51"/>
      <c r="L88" s="28">
        <f>+SUMPRODUCT($J$89:$J$97,L89:L97)</f>
        <v>0</v>
      </c>
      <c r="M88" s="28">
        <f t="shared" ref="M88:BP88" si="222">+SUMPRODUCT($J$89:$J$97,M89:M97)</f>
        <v>0</v>
      </c>
      <c r="N88" s="28">
        <f t="shared" si="222"/>
        <v>0</v>
      </c>
      <c r="O88" s="28">
        <f t="shared" si="222"/>
        <v>0</v>
      </c>
      <c r="P88" s="28">
        <f t="shared" si="222"/>
        <v>0</v>
      </c>
      <c r="Q88" s="28">
        <f t="shared" si="222"/>
        <v>0</v>
      </c>
      <c r="R88" s="28">
        <f t="shared" si="222"/>
        <v>0</v>
      </c>
      <c r="S88" s="28">
        <f t="shared" si="222"/>
        <v>0</v>
      </c>
      <c r="T88" s="28">
        <f t="shared" si="222"/>
        <v>0</v>
      </c>
      <c r="U88" s="28">
        <f t="shared" si="222"/>
        <v>0</v>
      </c>
      <c r="V88" s="28">
        <f t="shared" si="222"/>
        <v>0</v>
      </c>
      <c r="W88" s="28">
        <f t="shared" si="222"/>
        <v>0</v>
      </c>
      <c r="X88" s="28">
        <f t="shared" si="222"/>
        <v>0</v>
      </c>
      <c r="Y88" s="28">
        <f t="shared" si="222"/>
        <v>0</v>
      </c>
      <c r="Z88" s="28">
        <f t="shared" si="222"/>
        <v>1E-119</v>
      </c>
      <c r="AA88" s="28">
        <f t="shared" si="222"/>
        <v>0.125</v>
      </c>
      <c r="AB88" s="28">
        <f t="shared" si="222"/>
        <v>0.1615625</v>
      </c>
      <c r="AC88" s="28">
        <f t="shared" si="222"/>
        <v>0.21875</v>
      </c>
      <c r="AD88" s="28">
        <f t="shared" si="222"/>
        <v>0.27200000000000002</v>
      </c>
      <c r="AE88" s="28">
        <f t="shared" si="222"/>
        <v>0.27200000000000002</v>
      </c>
      <c r="AF88" s="28">
        <f t="shared" si="222"/>
        <v>0.37078125000000001</v>
      </c>
      <c r="AG88" s="28">
        <f t="shared" si="222"/>
        <v>0.37421875000000004</v>
      </c>
      <c r="AH88" s="28">
        <f t="shared" si="222"/>
        <v>0.39484375000000005</v>
      </c>
      <c r="AI88" s="28">
        <f t="shared" si="222"/>
        <v>0.40687499999999999</v>
      </c>
      <c r="AJ88" s="28">
        <f t="shared" si="222"/>
        <v>0.42303125000000003</v>
      </c>
      <c r="AK88" s="28">
        <f t="shared" si="222"/>
        <v>0.45831250000000001</v>
      </c>
      <c r="AL88" s="28">
        <f t="shared" si="222"/>
        <v>0.45831250000000001</v>
      </c>
      <c r="AM88" s="28">
        <f t="shared" si="222"/>
        <v>0.45831250000000001</v>
      </c>
      <c r="AN88" s="28">
        <f t="shared" si="222"/>
        <v>0.47034375000000006</v>
      </c>
      <c r="AO88" s="28">
        <f t="shared" si="222"/>
        <v>0.482375</v>
      </c>
      <c r="AP88" s="28">
        <f t="shared" si="222"/>
        <v>0.49986249999999999</v>
      </c>
      <c r="AQ88" s="28">
        <f t="shared" si="222"/>
        <v>0.51734999999999998</v>
      </c>
      <c r="AR88" s="28">
        <f t="shared" si="222"/>
        <v>0.53483750000000008</v>
      </c>
      <c r="AS88" s="28">
        <f t="shared" si="222"/>
        <v>0.55232499999999995</v>
      </c>
      <c r="AT88" s="28">
        <f t="shared" si="222"/>
        <v>0.56981249999999994</v>
      </c>
      <c r="AU88" s="28">
        <f t="shared" si="222"/>
        <v>0.58729999999999993</v>
      </c>
      <c r="AV88" s="28">
        <f t="shared" si="222"/>
        <v>0.60478749999999992</v>
      </c>
      <c r="AW88" s="28">
        <f t="shared" si="222"/>
        <v>0.62227499999999991</v>
      </c>
      <c r="AX88" s="28">
        <f t="shared" si="222"/>
        <v>0.6397624999999999</v>
      </c>
      <c r="AY88" s="28">
        <f t="shared" si="222"/>
        <v>0.65724999999999978</v>
      </c>
      <c r="AZ88" s="28">
        <f t="shared" si="222"/>
        <v>0.70848749999999971</v>
      </c>
      <c r="BA88" s="28">
        <f t="shared" si="222"/>
        <v>0.80138749999999981</v>
      </c>
      <c r="BB88" s="28">
        <f t="shared" si="222"/>
        <v>0.89082499999999998</v>
      </c>
      <c r="BC88" s="28">
        <f t="shared" si="222"/>
        <v>0.96625000000000005</v>
      </c>
      <c r="BD88" s="28">
        <f t="shared" si="222"/>
        <v>1</v>
      </c>
      <c r="BE88" s="28">
        <f t="shared" si="222"/>
        <v>1</v>
      </c>
      <c r="BF88" s="28">
        <f t="shared" si="222"/>
        <v>1</v>
      </c>
      <c r="BG88" s="28">
        <f t="shared" si="222"/>
        <v>1</v>
      </c>
      <c r="BH88" s="28">
        <f t="shared" si="222"/>
        <v>1</v>
      </c>
      <c r="BI88" s="28">
        <f t="shared" si="222"/>
        <v>1</v>
      </c>
      <c r="BJ88" s="28">
        <f t="shared" si="222"/>
        <v>1</v>
      </c>
      <c r="BK88" s="28">
        <f t="shared" si="222"/>
        <v>1</v>
      </c>
      <c r="BL88" s="28">
        <f t="shared" si="222"/>
        <v>1</v>
      </c>
      <c r="BM88" s="28">
        <f t="shared" si="222"/>
        <v>1</v>
      </c>
      <c r="BN88" s="28">
        <f t="shared" si="222"/>
        <v>1</v>
      </c>
      <c r="BO88" s="28">
        <f t="shared" si="222"/>
        <v>1</v>
      </c>
      <c r="BP88" s="28">
        <f t="shared" si="222"/>
        <v>1</v>
      </c>
      <c r="BQ88" s="28">
        <f t="shared" ref="BQ88:CL88" si="223">+SUMPRODUCT($J$89:$J$97,BQ89:BQ97)</f>
        <v>1</v>
      </c>
      <c r="BR88" s="161">
        <f t="shared" si="223"/>
        <v>1</v>
      </c>
      <c r="BS88" s="161">
        <f t="shared" si="223"/>
        <v>1</v>
      </c>
      <c r="BT88" s="161">
        <f t="shared" si="223"/>
        <v>1</v>
      </c>
      <c r="BU88" s="161">
        <f t="shared" si="223"/>
        <v>1</v>
      </c>
      <c r="BV88" s="161">
        <f t="shared" si="223"/>
        <v>1</v>
      </c>
      <c r="BW88" s="161">
        <f t="shared" si="223"/>
        <v>1</v>
      </c>
      <c r="BX88" s="161">
        <f t="shared" si="223"/>
        <v>1</v>
      </c>
      <c r="BY88" s="161">
        <f t="shared" si="223"/>
        <v>1</v>
      </c>
      <c r="BZ88" s="161">
        <f t="shared" si="223"/>
        <v>1</v>
      </c>
      <c r="CA88" s="161">
        <f t="shared" si="223"/>
        <v>1</v>
      </c>
      <c r="CB88" s="161">
        <f t="shared" si="223"/>
        <v>1</v>
      </c>
      <c r="CC88" s="161">
        <f t="shared" si="223"/>
        <v>1</v>
      </c>
      <c r="CD88" s="161">
        <f t="shared" si="223"/>
        <v>1</v>
      </c>
      <c r="CE88" s="161">
        <f t="shared" si="223"/>
        <v>1</v>
      </c>
      <c r="CF88" s="161">
        <f t="shared" si="223"/>
        <v>1</v>
      </c>
      <c r="CG88" s="161">
        <f t="shared" si="223"/>
        <v>1</v>
      </c>
      <c r="CH88" s="161">
        <f t="shared" si="223"/>
        <v>1</v>
      </c>
      <c r="CI88" s="161">
        <f t="shared" si="223"/>
        <v>1</v>
      </c>
      <c r="CJ88" s="161">
        <f t="shared" si="223"/>
        <v>1</v>
      </c>
      <c r="CK88" s="161">
        <f t="shared" si="223"/>
        <v>1</v>
      </c>
      <c r="CL88" s="161">
        <f t="shared" si="223"/>
        <v>1</v>
      </c>
      <c r="CM88" s="161">
        <f t="shared" ref="CM88:CN88" si="224">+SUMPRODUCT($J$89:$J$97,CM89:CM97)</f>
        <v>1</v>
      </c>
      <c r="CN88" s="161">
        <f t="shared" si="224"/>
        <v>1</v>
      </c>
      <c r="CO88" s="161">
        <f t="shared" ref="CO88" si="225">+SUMPRODUCT($J$89:$J$97,CO89:CO97)</f>
        <v>1</v>
      </c>
      <c r="CP88" s="161">
        <f t="shared" ref="CP88:CV88" si="226">+SUMPRODUCT($J$89:$J$97,CP89:CP97)</f>
        <v>1</v>
      </c>
      <c r="CQ88" s="161">
        <f t="shared" si="226"/>
        <v>1</v>
      </c>
      <c r="CR88" s="161">
        <f t="shared" si="226"/>
        <v>1</v>
      </c>
      <c r="CS88" s="161">
        <f t="shared" si="226"/>
        <v>1</v>
      </c>
      <c r="CT88" s="161">
        <f t="shared" si="226"/>
        <v>1</v>
      </c>
      <c r="CU88" s="161">
        <f t="shared" si="226"/>
        <v>1</v>
      </c>
      <c r="CV88" s="161">
        <f t="shared" si="226"/>
        <v>1</v>
      </c>
      <c r="CW88" s="161">
        <f t="shared" ref="CW88:CY88" si="227">+SUMPRODUCT($J$89:$J$97,CW89:CW97)</f>
        <v>1</v>
      </c>
      <c r="CX88" s="161">
        <f t="shared" si="227"/>
        <v>1</v>
      </c>
      <c r="CY88" s="161">
        <f t="shared" si="227"/>
        <v>1</v>
      </c>
      <c r="CZ88" s="161">
        <f t="shared" ref="CZ88:DA88" si="228">+SUMPRODUCT($J$89:$J$97,CZ89:CZ97)</f>
        <v>1</v>
      </c>
      <c r="DA88" s="161">
        <f t="shared" si="228"/>
        <v>1</v>
      </c>
      <c r="DB88" s="161">
        <f t="shared" ref="DB88:DC88" si="229">+SUMPRODUCT($J$89:$J$97,DB89:DB97)</f>
        <v>1</v>
      </c>
      <c r="DC88" s="161">
        <f t="shared" si="229"/>
        <v>1</v>
      </c>
      <c r="DD88" s="161">
        <f t="shared" ref="DD88:DE88" si="230">+SUMPRODUCT($J$89:$J$97,DD89:DD97)</f>
        <v>1</v>
      </c>
      <c r="DE88" s="161">
        <f t="shared" si="230"/>
        <v>1</v>
      </c>
      <c r="DF88" s="161">
        <f t="shared" ref="DF88:DG88" si="231">+SUMPRODUCT($J$89:$J$97,DF89:DF97)</f>
        <v>1</v>
      </c>
      <c r="DG88" s="161">
        <f t="shared" si="231"/>
        <v>1</v>
      </c>
      <c r="DH88" s="346">
        <f t="shared" ref="DH88:EL88" si="232">+SUMPRODUCT($J$89:$J$97,DH89:DH97)</f>
        <v>1</v>
      </c>
      <c r="DI88" s="161">
        <f t="shared" si="232"/>
        <v>1</v>
      </c>
      <c r="DJ88" s="161">
        <f t="shared" si="232"/>
        <v>1</v>
      </c>
      <c r="DK88" s="161">
        <f t="shared" si="232"/>
        <v>1</v>
      </c>
      <c r="DL88" s="161">
        <f t="shared" si="232"/>
        <v>1</v>
      </c>
      <c r="DM88" s="161">
        <f t="shared" si="232"/>
        <v>1</v>
      </c>
      <c r="DN88" s="161">
        <f t="shared" si="232"/>
        <v>1</v>
      </c>
      <c r="DO88" s="161">
        <f t="shared" si="232"/>
        <v>1</v>
      </c>
      <c r="DP88" s="161">
        <f t="shared" si="232"/>
        <v>1</v>
      </c>
      <c r="DQ88" s="161">
        <f t="shared" si="232"/>
        <v>1</v>
      </c>
      <c r="DR88" s="161">
        <f t="shared" si="232"/>
        <v>1</v>
      </c>
      <c r="DS88" s="161">
        <f t="shared" si="232"/>
        <v>1</v>
      </c>
      <c r="DT88" s="161">
        <f t="shared" si="232"/>
        <v>1</v>
      </c>
      <c r="DU88" s="161">
        <f t="shared" si="232"/>
        <v>1</v>
      </c>
      <c r="DV88" s="161">
        <f t="shared" si="232"/>
        <v>1</v>
      </c>
      <c r="DW88" s="161">
        <f t="shared" si="232"/>
        <v>1</v>
      </c>
      <c r="DX88" s="161">
        <f t="shared" si="232"/>
        <v>1</v>
      </c>
      <c r="DY88" s="161">
        <f t="shared" si="232"/>
        <v>1</v>
      </c>
      <c r="DZ88" s="161">
        <f t="shared" si="232"/>
        <v>1</v>
      </c>
      <c r="EA88" s="161">
        <f t="shared" si="232"/>
        <v>1</v>
      </c>
      <c r="EB88" s="161">
        <f t="shared" si="232"/>
        <v>1</v>
      </c>
      <c r="EC88" s="161">
        <f t="shared" si="232"/>
        <v>1</v>
      </c>
      <c r="ED88" s="161">
        <f t="shared" si="232"/>
        <v>1</v>
      </c>
      <c r="EE88" s="161">
        <f t="shared" si="232"/>
        <v>1</v>
      </c>
      <c r="EF88" s="161">
        <f t="shared" si="232"/>
        <v>1</v>
      </c>
      <c r="EG88" s="161">
        <f t="shared" si="232"/>
        <v>1</v>
      </c>
      <c r="EH88" s="161">
        <f t="shared" si="232"/>
        <v>1</v>
      </c>
      <c r="EI88" s="161">
        <f t="shared" si="232"/>
        <v>1</v>
      </c>
      <c r="EJ88" s="161">
        <f t="shared" si="232"/>
        <v>1</v>
      </c>
      <c r="EK88" s="161">
        <f t="shared" si="232"/>
        <v>1</v>
      </c>
      <c r="EL88" s="161">
        <f t="shared" si="232"/>
        <v>1</v>
      </c>
    </row>
    <row r="89" spans="2:142" hidden="1" outlineLevel="2" x14ac:dyDescent="0.3">
      <c r="B89" s="29"/>
      <c r="C89" s="30"/>
      <c r="D89" s="30"/>
      <c r="E89" s="52" t="s">
        <v>93</v>
      </c>
      <c r="F89" s="33">
        <v>30</v>
      </c>
      <c r="G89" s="162">
        <v>45566</v>
      </c>
      <c r="H89" s="162">
        <v>45607</v>
      </c>
      <c r="I89" s="33">
        <f>+F89</f>
        <v>30</v>
      </c>
      <c r="J89" s="35">
        <v>0.1875</v>
      </c>
      <c r="K89" s="53"/>
      <c r="L89" s="127">
        <v>0</v>
      </c>
      <c r="M89" s="127">
        <v>0</v>
      </c>
      <c r="N89" s="127">
        <v>0</v>
      </c>
      <c r="O89" s="127">
        <v>0</v>
      </c>
      <c r="P89" s="127">
        <v>0</v>
      </c>
      <c r="Q89" s="127">
        <v>0</v>
      </c>
      <c r="R89" s="127">
        <v>0</v>
      </c>
      <c r="S89" s="127">
        <v>0</v>
      </c>
      <c r="T89" s="127">
        <v>0</v>
      </c>
      <c r="U89" s="127">
        <v>0</v>
      </c>
      <c r="V89" s="127">
        <v>0</v>
      </c>
      <c r="W89" s="127">
        <v>0</v>
      </c>
      <c r="X89" s="127">
        <v>0</v>
      </c>
      <c r="Y89" s="127">
        <v>0</v>
      </c>
      <c r="Z89" s="127">
        <v>0</v>
      </c>
      <c r="AA89" s="127">
        <v>0</v>
      </c>
      <c r="AB89" s="127">
        <v>0</v>
      </c>
      <c r="AC89" s="127">
        <v>0</v>
      </c>
      <c r="AD89" s="127">
        <v>0</v>
      </c>
      <c r="AE89" s="127">
        <v>0</v>
      </c>
      <c r="AF89" s="127">
        <v>0</v>
      </c>
      <c r="AG89" s="127">
        <v>0</v>
      </c>
      <c r="AH89" s="127">
        <v>0</v>
      </c>
      <c r="AI89" s="127">
        <v>0</v>
      </c>
      <c r="AJ89" s="127">
        <v>0</v>
      </c>
      <c r="AK89" s="127">
        <v>0.10000000000000002</v>
      </c>
      <c r="AL89" s="127">
        <v>0.10000000000000002</v>
      </c>
      <c r="AM89" s="127">
        <v>0.10000000000000002</v>
      </c>
      <c r="AN89" s="127">
        <v>0.10000000000000002</v>
      </c>
      <c r="AO89" s="127">
        <v>0.10000000000000002</v>
      </c>
      <c r="AP89" s="127">
        <v>0.1</v>
      </c>
      <c r="AQ89" s="127">
        <v>0.1</v>
      </c>
      <c r="AR89" s="127">
        <v>0.1</v>
      </c>
      <c r="AS89" s="127">
        <v>0.1</v>
      </c>
      <c r="AT89" s="127">
        <v>0.1</v>
      </c>
      <c r="AU89" s="127">
        <v>0.1</v>
      </c>
      <c r="AV89" s="127">
        <v>0.1</v>
      </c>
      <c r="AW89" s="127">
        <v>0.1</v>
      </c>
      <c r="AX89" s="127">
        <v>0.1</v>
      </c>
      <c r="AY89" s="127">
        <v>0.1</v>
      </c>
      <c r="AZ89" s="127">
        <v>0.28000000000000003</v>
      </c>
      <c r="BA89" s="127">
        <v>0.46</v>
      </c>
      <c r="BB89" s="127">
        <v>0.64</v>
      </c>
      <c r="BC89" s="127">
        <v>0.82000000000000006</v>
      </c>
      <c r="BD89" s="127">
        <v>1</v>
      </c>
      <c r="BE89" s="127">
        <v>1</v>
      </c>
      <c r="BF89" s="127">
        <v>1</v>
      </c>
      <c r="BG89" s="127">
        <v>1</v>
      </c>
      <c r="BH89" s="127">
        <v>1</v>
      </c>
      <c r="BI89" s="127">
        <v>1</v>
      </c>
      <c r="BJ89" s="127">
        <v>1</v>
      </c>
      <c r="BK89" s="127">
        <v>1</v>
      </c>
      <c r="BL89" s="127">
        <v>1</v>
      </c>
      <c r="BM89" s="127">
        <v>1</v>
      </c>
      <c r="BN89" s="127">
        <v>1</v>
      </c>
      <c r="BO89" s="127">
        <v>1</v>
      </c>
      <c r="BP89" s="127">
        <v>1</v>
      </c>
      <c r="BQ89" s="127">
        <v>1</v>
      </c>
      <c r="BR89" s="163">
        <v>1</v>
      </c>
      <c r="BS89" s="163">
        <v>1</v>
      </c>
      <c r="BT89" s="163">
        <v>1</v>
      </c>
      <c r="BU89" s="163">
        <v>1</v>
      </c>
      <c r="BV89" s="163">
        <v>1</v>
      </c>
      <c r="BW89" s="163">
        <v>1</v>
      </c>
      <c r="BX89" s="163">
        <v>1</v>
      </c>
      <c r="BY89" s="163">
        <v>1</v>
      </c>
      <c r="BZ89" s="163">
        <v>1</v>
      </c>
      <c r="CA89" s="163">
        <v>1</v>
      </c>
      <c r="CB89" s="163">
        <v>1</v>
      </c>
      <c r="CC89" s="163">
        <v>1</v>
      </c>
      <c r="CD89" s="163">
        <v>1</v>
      </c>
      <c r="CE89" s="163">
        <v>1</v>
      </c>
      <c r="CF89" s="163">
        <v>1</v>
      </c>
      <c r="CG89" s="163">
        <v>1</v>
      </c>
      <c r="CH89" s="163">
        <v>1</v>
      </c>
      <c r="CI89" s="163">
        <v>1</v>
      </c>
      <c r="CJ89" s="163">
        <v>1</v>
      </c>
      <c r="CK89" s="163">
        <v>1</v>
      </c>
      <c r="CL89" s="163">
        <v>1</v>
      </c>
      <c r="CM89" s="163">
        <v>1</v>
      </c>
      <c r="CN89" s="163">
        <v>1</v>
      </c>
      <c r="CO89" s="163">
        <v>1</v>
      </c>
      <c r="CP89" s="163">
        <v>1</v>
      </c>
      <c r="CQ89" s="163">
        <v>1</v>
      </c>
      <c r="CR89" s="163">
        <v>1</v>
      </c>
      <c r="CS89" s="163">
        <v>1</v>
      </c>
      <c r="CT89" s="163">
        <v>1</v>
      </c>
      <c r="CU89" s="163">
        <v>1</v>
      </c>
      <c r="CV89" s="163">
        <v>1</v>
      </c>
      <c r="CW89" s="163">
        <v>1</v>
      </c>
      <c r="CX89" s="163">
        <v>1</v>
      </c>
      <c r="CY89" s="163">
        <v>1</v>
      </c>
      <c r="CZ89" s="163">
        <v>1</v>
      </c>
      <c r="DA89" s="163">
        <v>1</v>
      </c>
      <c r="DB89" s="163">
        <v>1</v>
      </c>
      <c r="DC89" s="163">
        <v>1</v>
      </c>
      <c r="DD89" s="163">
        <v>1</v>
      </c>
      <c r="DE89" s="163">
        <v>1</v>
      </c>
      <c r="DF89" s="163">
        <v>1</v>
      </c>
      <c r="DG89" s="163">
        <v>1</v>
      </c>
      <c r="DH89" s="347">
        <v>1</v>
      </c>
      <c r="DI89" s="163">
        <v>1</v>
      </c>
      <c r="DJ89" s="163">
        <v>1</v>
      </c>
      <c r="DK89" s="163">
        <v>1</v>
      </c>
      <c r="DL89" s="163">
        <v>1</v>
      </c>
      <c r="DM89" s="163">
        <v>1</v>
      </c>
      <c r="DN89" s="163">
        <v>1</v>
      </c>
      <c r="DO89" s="163">
        <v>1</v>
      </c>
      <c r="DP89" s="163">
        <v>1</v>
      </c>
      <c r="DQ89" s="163">
        <v>1</v>
      </c>
      <c r="DR89" s="163">
        <v>1</v>
      </c>
      <c r="DS89" s="163">
        <v>1</v>
      </c>
      <c r="DT89" s="163">
        <v>1</v>
      </c>
      <c r="DU89" s="163">
        <v>1</v>
      </c>
      <c r="DV89" s="163">
        <v>1</v>
      </c>
      <c r="DW89" s="163">
        <v>1</v>
      </c>
      <c r="DX89" s="163">
        <v>1</v>
      </c>
      <c r="DY89" s="163">
        <v>1</v>
      </c>
      <c r="DZ89" s="163">
        <v>1</v>
      </c>
      <c r="EA89" s="163">
        <v>1</v>
      </c>
      <c r="EB89" s="163">
        <v>1</v>
      </c>
      <c r="EC89" s="163">
        <v>1</v>
      </c>
      <c r="ED89" s="163">
        <v>1</v>
      </c>
      <c r="EE89" s="163">
        <v>1</v>
      </c>
      <c r="EF89" s="163">
        <v>1</v>
      </c>
      <c r="EG89" s="163">
        <v>1</v>
      </c>
      <c r="EH89" s="163">
        <v>1</v>
      </c>
      <c r="EI89" s="163">
        <v>1</v>
      </c>
      <c r="EJ89" s="163">
        <v>1</v>
      </c>
      <c r="EK89" s="163">
        <v>1</v>
      </c>
      <c r="EL89" s="163">
        <v>1</v>
      </c>
    </row>
    <row r="90" spans="2:142" hidden="1" outlineLevel="2" x14ac:dyDescent="0.3">
      <c r="B90" s="29"/>
      <c r="C90" s="30"/>
      <c r="D90" s="30"/>
      <c r="E90" s="52" t="s">
        <v>94</v>
      </c>
      <c r="F90" s="33">
        <v>10</v>
      </c>
      <c r="G90" s="162">
        <v>45608</v>
      </c>
      <c r="H90" s="162">
        <v>45621</v>
      </c>
      <c r="I90" s="33">
        <f t="shared" ref="I90:I97" si="233">+F90</f>
        <v>10</v>
      </c>
      <c r="J90" s="35">
        <v>6.25E-2</v>
      </c>
      <c r="K90" s="53"/>
      <c r="L90" s="127">
        <v>0</v>
      </c>
      <c r="M90" s="127">
        <v>0</v>
      </c>
      <c r="N90" s="127">
        <v>0</v>
      </c>
      <c r="O90" s="127">
        <v>0</v>
      </c>
      <c r="P90" s="127">
        <v>0</v>
      </c>
      <c r="Q90" s="127">
        <v>0</v>
      </c>
      <c r="R90" s="127">
        <v>0</v>
      </c>
      <c r="S90" s="127">
        <v>0</v>
      </c>
      <c r="T90" s="127">
        <v>0</v>
      </c>
      <c r="U90" s="127">
        <v>0</v>
      </c>
      <c r="V90" s="127">
        <v>0</v>
      </c>
      <c r="W90" s="127">
        <v>0</v>
      </c>
      <c r="X90" s="127">
        <v>0</v>
      </c>
      <c r="Y90" s="127">
        <v>0</v>
      </c>
      <c r="Z90" s="127">
        <v>0</v>
      </c>
      <c r="AA90" s="127">
        <v>0</v>
      </c>
      <c r="AB90" s="127">
        <v>0</v>
      </c>
      <c r="AC90" s="127">
        <v>0</v>
      </c>
      <c r="AD90" s="127">
        <v>0</v>
      </c>
      <c r="AE90" s="127">
        <v>0</v>
      </c>
      <c r="AF90" s="127">
        <v>1</v>
      </c>
      <c r="AG90" s="127">
        <v>1</v>
      </c>
      <c r="AH90" s="127">
        <v>1</v>
      </c>
      <c r="AI90" s="127">
        <v>1</v>
      </c>
      <c r="AJ90" s="127">
        <v>1</v>
      </c>
      <c r="AK90" s="127">
        <v>1</v>
      </c>
      <c r="AL90" s="127">
        <v>1</v>
      </c>
      <c r="AM90" s="127">
        <v>1</v>
      </c>
      <c r="AN90" s="127">
        <v>1</v>
      </c>
      <c r="AO90" s="127">
        <v>1</v>
      </c>
      <c r="AP90" s="127">
        <v>1</v>
      </c>
      <c r="AQ90" s="127">
        <v>1</v>
      </c>
      <c r="AR90" s="127">
        <v>1</v>
      </c>
      <c r="AS90" s="127">
        <v>1</v>
      </c>
      <c r="AT90" s="127">
        <v>1</v>
      </c>
      <c r="AU90" s="127">
        <v>1</v>
      </c>
      <c r="AV90" s="127">
        <v>1</v>
      </c>
      <c r="AW90" s="127">
        <v>1</v>
      </c>
      <c r="AX90" s="127">
        <v>1</v>
      </c>
      <c r="AY90" s="127">
        <v>1</v>
      </c>
      <c r="AZ90" s="127">
        <v>1</v>
      </c>
      <c r="BA90" s="127">
        <v>1</v>
      </c>
      <c r="BB90" s="127">
        <v>1</v>
      </c>
      <c r="BC90" s="127">
        <v>1</v>
      </c>
      <c r="BD90" s="127">
        <v>1</v>
      </c>
      <c r="BE90" s="127">
        <v>1</v>
      </c>
      <c r="BF90" s="127">
        <v>1</v>
      </c>
      <c r="BG90" s="127">
        <v>1</v>
      </c>
      <c r="BH90" s="127">
        <v>1</v>
      </c>
      <c r="BI90" s="127">
        <v>1</v>
      </c>
      <c r="BJ90" s="127">
        <v>1</v>
      </c>
      <c r="BK90" s="127">
        <v>1</v>
      </c>
      <c r="BL90" s="127">
        <v>1</v>
      </c>
      <c r="BM90" s="127">
        <v>1</v>
      </c>
      <c r="BN90" s="127">
        <v>1</v>
      </c>
      <c r="BO90" s="127">
        <v>1</v>
      </c>
      <c r="BP90" s="127">
        <v>1</v>
      </c>
      <c r="BQ90" s="127">
        <v>1</v>
      </c>
      <c r="BR90" s="163">
        <v>1</v>
      </c>
      <c r="BS90" s="163">
        <v>1</v>
      </c>
      <c r="BT90" s="163">
        <v>1</v>
      </c>
      <c r="BU90" s="163">
        <v>1</v>
      </c>
      <c r="BV90" s="163">
        <v>1</v>
      </c>
      <c r="BW90" s="163">
        <v>1</v>
      </c>
      <c r="BX90" s="163">
        <v>1</v>
      </c>
      <c r="BY90" s="163">
        <v>1</v>
      </c>
      <c r="BZ90" s="163">
        <v>1</v>
      </c>
      <c r="CA90" s="163">
        <v>1</v>
      </c>
      <c r="CB90" s="163">
        <v>1</v>
      </c>
      <c r="CC90" s="163">
        <v>1</v>
      </c>
      <c r="CD90" s="163">
        <v>1</v>
      </c>
      <c r="CE90" s="163">
        <v>1</v>
      </c>
      <c r="CF90" s="163">
        <v>1</v>
      </c>
      <c r="CG90" s="163">
        <v>1</v>
      </c>
      <c r="CH90" s="163">
        <v>1</v>
      </c>
      <c r="CI90" s="163">
        <v>1</v>
      </c>
      <c r="CJ90" s="163">
        <v>1</v>
      </c>
      <c r="CK90" s="163">
        <v>1</v>
      </c>
      <c r="CL90" s="163">
        <v>1</v>
      </c>
      <c r="CM90" s="163">
        <v>1</v>
      </c>
      <c r="CN90" s="163">
        <v>1</v>
      </c>
      <c r="CO90" s="163">
        <v>1</v>
      </c>
      <c r="CP90" s="163">
        <v>1</v>
      </c>
      <c r="CQ90" s="163">
        <v>1</v>
      </c>
      <c r="CR90" s="163">
        <v>1</v>
      </c>
      <c r="CS90" s="163">
        <v>1</v>
      </c>
      <c r="CT90" s="163">
        <v>1</v>
      </c>
      <c r="CU90" s="163">
        <v>1</v>
      </c>
      <c r="CV90" s="163">
        <v>1</v>
      </c>
      <c r="CW90" s="163">
        <v>1</v>
      </c>
      <c r="CX90" s="163">
        <v>1</v>
      </c>
      <c r="CY90" s="163">
        <v>1</v>
      </c>
      <c r="CZ90" s="163">
        <v>1</v>
      </c>
      <c r="DA90" s="163">
        <v>1</v>
      </c>
      <c r="DB90" s="163">
        <v>1</v>
      </c>
      <c r="DC90" s="163">
        <v>1</v>
      </c>
      <c r="DD90" s="163">
        <v>1</v>
      </c>
      <c r="DE90" s="163">
        <v>1</v>
      </c>
      <c r="DF90" s="163">
        <v>1</v>
      </c>
      <c r="DG90" s="163">
        <v>1</v>
      </c>
      <c r="DH90" s="347">
        <v>1</v>
      </c>
      <c r="DI90" s="163">
        <v>1</v>
      </c>
      <c r="DJ90" s="163">
        <v>1</v>
      </c>
      <c r="DK90" s="163">
        <v>1</v>
      </c>
      <c r="DL90" s="163">
        <v>1</v>
      </c>
      <c r="DM90" s="163">
        <v>1</v>
      </c>
      <c r="DN90" s="163">
        <v>1</v>
      </c>
      <c r="DO90" s="163">
        <v>1</v>
      </c>
      <c r="DP90" s="163">
        <v>1</v>
      </c>
      <c r="DQ90" s="163">
        <v>1</v>
      </c>
      <c r="DR90" s="163">
        <v>1</v>
      </c>
      <c r="DS90" s="163">
        <v>1</v>
      </c>
      <c r="DT90" s="163">
        <v>1</v>
      </c>
      <c r="DU90" s="163">
        <v>1</v>
      </c>
      <c r="DV90" s="163">
        <v>1</v>
      </c>
      <c r="DW90" s="163">
        <v>1</v>
      </c>
      <c r="DX90" s="163">
        <v>1</v>
      </c>
      <c r="DY90" s="163">
        <v>1</v>
      </c>
      <c r="DZ90" s="163">
        <v>1</v>
      </c>
      <c r="EA90" s="163">
        <v>1</v>
      </c>
      <c r="EB90" s="163">
        <v>1</v>
      </c>
      <c r="EC90" s="163">
        <v>1</v>
      </c>
      <c r="ED90" s="163">
        <v>1</v>
      </c>
      <c r="EE90" s="163">
        <v>1</v>
      </c>
      <c r="EF90" s="163">
        <v>1</v>
      </c>
      <c r="EG90" s="163">
        <v>1</v>
      </c>
      <c r="EH90" s="163">
        <v>1</v>
      </c>
      <c r="EI90" s="163">
        <v>1</v>
      </c>
      <c r="EJ90" s="163">
        <v>1</v>
      </c>
      <c r="EK90" s="163">
        <v>1</v>
      </c>
      <c r="EL90" s="163">
        <v>1</v>
      </c>
    </row>
    <row r="91" spans="2:142" hidden="1" outlineLevel="2" x14ac:dyDescent="0.3">
      <c r="B91" s="29"/>
      <c r="C91" s="30"/>
      <c r="D91" s="30"/>
      <c r="E91" s="52" t="s">
        <v>95</v>
      </c>
      <c r="F91" s="33">
        <v>10</v>
      </c>
      <c r="G91" s="162">
        <v>45552</v>
      </c>
      <c r="H91" s="162">
        <v>45565</v>
      </c>
      <c r="I91" s="33">
        <f t="shared" si="233"/>
        <v>10</v>
      </c>
      <c r="J91" s="35">
        <v>6.25E-2</v>
      </c>
      <c r="K91" s="53"/>
      <c r="L91" s="127">
        <v>0</v>
      </c>
      <c r="M91" s="127">
        <v>0</v>
      </c>
      <c r="N91" s="127">
        <v>0</v>
      </c>
      <c r="O91" s="127">
        <v>0</v>
      </c>
      <c r="P91" s="127">
        <v>0</v>
      </c>
      <c r="Q91" s="127">
        <v>0</v>
      </c>
      <c r="R91" s="127">
        <v>0</v>
      </c>
      <c r="S91" s="127">
        <v>0</v>
      </c>
      <c r="T91" s="127">
        <v>0</v>
      </c>
      <c r="U91" s="127">
        <v>0</v>
      </c>
      <c r="V91" s="127">
        <v>0</v>
      </c>
      <c r="W91" s="127">
        <v>0</v>
      </c>
      <c r="X91" s="127">
        <v>0</v>
      </c>
      <c r="Y91" s="127">
        <v>0</v>
      </c>
      <c r="Z91" s="127">
        <v>0</v>
      </c>
      <c r="AA91" s="127">
        <v>1</v>
      </c>
      <c r="AB91" s="127">
        <v>1</v>
      </c>
      <c r="AC91" s="127">
        <v>1</v>
      </c>
      <c r="AD91" s="127">
        <v>1</v>
      </c>
      <c r="AE91" s="127">
        <v>1</v>
      </c>
      <c r="AF91" s="127">
        <v>1</v>
      </c>
      <c r="AG91" s="127">
        <v>1</v>
      </c>
      <c r="AH91" s="127">
        <v>1</v>
      </c>
      <c r="AI91" s="127">
        <v>1</v>
      </c>
      <c r="AJ91" s="127">
        <v>1</v>
      </c>
      <c r="AK91" s="127">
        <v>1</v>
      </c>
      <c r="AL91" s="127">
        <v>1</v>
      </c>
      <c r="AM91" s="127">
        <v>1</v>
      </c>
      <c r="AN91" s="127">
        <v>1</v>
      </c>
      <c r="AO91" s="127">
        <v>1</v>
      </c>
      <c r="AP91" s="127">
        <v>1</v>
      </c>
      <c r="AQ91" s="127">
        <v>1</v>
      </c>
      <c r="AR91" s="127">
        <v>1</v>
      </c>
      <c r="AS91" s="127">
        <v>1</v>
      </c>
      <c r="AT91" s="127">
        <v>1</v>
      </c>
      <c r="AU91" s="127">
        <v>1</v>
      </c>
      <c r="AV91" s="127">
        <v>1</v>
      </c>
      <c r="AW91" s="127">
        <v>1</v>
      </c>
      <c r="AX91" s="127">
        <v>1</v>
      </c>
      <c r="AY91" s="127">
        <v>1</v>
      </c>
      <c r="AZ91" s="127">
        <v>1</v>
      </c>
      <c r="BA91" s="127">
        <v>1</v>
      </c>
      <c r="BB91" s="127">
        <v>1</v>
      </c>
      <c r="BC91" s="127">
        <v>1</v>
      </c>
      <c r="BD91" s="127">
        <v>1</v>
      </c>
      <c r="BE91" s="127">
        <v>1</v>
      </c>
      <c r="BF91" s="127">
        <v>1</v>
      </c>
      <c r="BG91" s="127">
        <v>1</v>
      </c>
      <c r="BH91" s="127">
        <v>1</v>
      </c>
      <c r="BI91" s="127">
        <v>1</v>
      </c>
      <c r="BJ91" s="127">
        <v>1</v>
      </c>
      <c r="BK91" s="127">
        <v>1</v>
      </c>
      <c r="BL91" s="127">
        <v>1</v>
      </c>
      <c r="BM91" s="127">
        <v>1</v>
      </c>
      <c r="BN91" s="127">
        <v>1</v>
      </c>
      <c r="BO91" s="127">
        <v>1</v>
      </c>
      <c r="BP91" s="127">
        <v>1</v>
      </c>
      <c r="BQ91" s="127">
        <v>1</v>
      </c>
      <c r="BR91" s="163">
        <v>1</v>
      </c>
      <c r="BS91" s="163">
        <v>1</v>
      </c>
      <c r="BT91" s="163">
        <v>1</v>
      </c>
      <c r="BU91" s="163">
        <v>1</v>
      </c>
      <c r="BV91" s="163">
        <v>1</v>
      </c>
      <c r="BW91" s="163">
        <v>1</v>
      </c>
      <c r="BX91" s="163">
        <v>1</v>
      </c>
      <c r="BY91" s="163">
        <v>1</v>
      </c>
      <c r="BZ91" s="163">
        <v>1</v>
      </c>
      <c r="CA91" s="163">
        <v>1</v>
      </c>
      <c r="CB91" s="163">
        <v>1</v>
      </c>
      <c r="CC91" s="163">
        <v>1</v>
      </c>
      <c r="CD91" s="163">
        <v>1</v>
      </c>
      <c r="CE91" s="163">
        <v>1</v>
      </c>
      <c r="CF91" s="163">
        <v>1</v>
      </c>
      <c r="CG91" s="163">
        <v>1</v>
      </c>
      <c r="CH91" s="163">
        <v>1</v>
      </c>
      <c r="CI91" s="163">
        <v>1</v>
      </c>
      <c r="CJ91" s="163">
        <v>1</v>
      </c>
      <c r="CK91" s="163">
        <v>1</v>
      </c>
      <c r="CL91" s="163">
        <v>1</v>
      </c>
      <c r="CM91" s="163">
        <v>1</v>
      </c>
      <c r="CN91" s="163">
        <v>1</v>
      </c>
      <c r="CO91" s="163">
        <v>1</v>
      </c>
      <c r="CP91" s="163">
        <v>1</v>
      </c>
      <c r="CQ91" s="163">
        <v>1</v>
      </c>
      <c r="CR91" s="163">
        <v>1</v>
      </c>
      <c r="CS91" s="163">
        <v>1</v>
      </c>
      <c r="CT91" s="163">
        <v>1</v>
      </c>
      <c r="CU91" s="163">
        <v>1</v>
      </c>
      <c r="CV91" s="163">
        <v>1</v>
      </c>
      <c r="CW91" s="163">
        <v>1</v>
      </c>
      <c r="CX91" s="163">
        <v>1</v>
      </c>
      <c r="CY91" s="163">
        <v>1</v>
      </c>
      <c r="CZ91" s="163">
        <v>1</v>
      </c>
      <c r="DA91" s="163">
        <v>1</v>
      </c>
      <c r="DB91" s="163">
        <v>1</v>
      </c>
      <c r="DC91" s="163">
        <v>1</v>
      </c>
      <c r="DD91" s="163">
        <v>1</v>
      </c>
      <c r="DE91" s="163">
        <v>1</v>
      </c>
      <c r="DF91" s="163">
        <v>1</v>
      </c>
      <c r="DG91" s="163">
        <v>1</v>
      </c>
      <c r="DH91" s="347">
        <v>1</v>
      </c>
      <c r="DI91" s="163">
        <v>1</v>
      </c>
      <c r="DJ91" s="163">
        <v>1</v>
      </c>
      <c r="DK91" s="163">
        <v>1</v>
      </c>
      <c r="DL91" s="163">
        <v>1</v>
      </c>
      <c r="DM91" s="163">
        <v>1</v>
      </c>
      <c r="DN91" s="163">
        <v>1</v>
      </c>
      <c r="DO91" s="163">
        <v>1</v>
      </c>
      <c r="DP91" s="163">
        <v>1</v>
      </c>
      <c r="DQ91" s="163">
        <v>1</v>
      </c>
      <c r="DR91" s="163">
        <v>1</v>
      </c>
      <c r="DS91" s="163">
        <v>1</v>
      </c>
      <c r="DT91" s="163">
        <v>1</v>
      </c>
      <c r="DU91" s="163">
        <v>1</v>
      </c>
      <c r="DV91" s="163">
        <v>1</v>
      </c>
      <c r="DW91" s="163">
        <v>1</v>
      </c>
      <c r="DX91" s="163">
        <v>1</v>
      </c>
      <c r="DY91" s="163">
        <v>1</v>
      </c>
      <c r="DZ91" s="163">
        <v>1</v>
      </c>
      <c r="EA91" s="163">
        <v>1</v>
      </c>
      <c r="EB91" s="163">
        <v>1</v>
      </c>
      <c r="EC91" s="163">
        <v>1</v>
      </c>
      <c r="ED91" s="163">
        <v>1</v>
      </c>
      <c r="EE91" s="163">
        <v>1</v>
      </c>
      <c r="EF91" s="163">
        <v>1</v>
      </c>
      <c r="EG91" s="163">
        <v>1</v>
      </c>
      <c r="EH91" s="163">
        <v>1</v>
      </c>
      <c r="EI91" s="163">
        <v>1</v>
      </c>
      <c r="EJ91" s="163">
        <v>1</v>
      </c>
      <c r="EK91" s="163">
        <v>1</v>
      </c>
      <c r="EL91" s="163">
        <v>1</v>
      </c>
    </row>
    <row r="92" spans="2:142" hidden="1" outlineLevel="2" x14ac:dyDescent="0.3">
      <c r="B92" s="29"/>
      <c r="C92" s="30"/>
      <c r="D92" s="30"/>
      <c r="E92" s="52" t="s">
        <v>96</v>
      </c>
      <c r="F92" s="33">
        <v>50</v>
      </c>
      <c r="G92" s="162">
        <v>45566</v>
      </c>
      <c r="H92" s="162">
        <v>45635</v>
      </c>
      <c r="I92" s="33">
        <f t="shared" si="233"/>
        <v>50</v>
      </c>
      <c r="J92" s="35">
        <v>0.3125</v>
      </c>
      <c r="K92" s="53"/>
      <c r="L92" s="127">
        <v>0</v>
      </c>
      <c r="M92" s="127">
        <v>0</v>
      </c>
      <c r="N92" s="127">
        <v>0</v>
      </c>
      <c r="O92" s="127">
        <v>0</v>
      </c>
      <c r="P92" s="127">
        <v>0</v>
      </c>
      <c r="Q92" s="127">
        <v>0</v>
      </c>
      <c r="R92" s="127">
        <v>0</v>
      </c>
      <c r="S92" s="127">
        <v>0</v>
      </c>
      <c r="T92" s="127">
        <v>0</v>
      </c>
      <c r="U92" s="127">
        <v>0</v>
      </c>
      <c r="V92" s="127">
        <v>0</v>
      </c>
      <c r="W92" s="127">
        <v>0</v>
      </c>
      <c r="X92" s="127">
        <v>0</v>
      </c>
      <c r="Y92" s="127">
        <v>0</v>
      </c>
      <c r="Z92" s="127">
        <v>0</v>
      </c>
      <c r="AA92" s="127">
        <v>0</v>
      </c>
      <c r="AB92" s="127">
        <v>2.7000000000000003E-2</v>
      </c>
      <c r="AC92" s="127">
        <v>0.12</v>
      </c>
      <c r="AD92" s="127">
        <v>0.23039999999999999</v>
      </c>
      <c r="AE92" s="127">
        <v>0.23039999999999999</v>
      </c>
      <c r="AF92" s="127">
        <v>0.31900000000000001</v>
      </c>
      <c r="AG92" s="127">
        <v>0.33</v>
      </c>
      <c r="AH92" s="127">
        <v>0.34099999999999997</v>
      </c>
      <c r="AI92" s="127">
        <v>0.35199999999999998</v>
      </c>
      <c r="AJ92" s="127">
        <v>0.37619999999999998</v>
      </c>
      <c r="AK92" s="127">
        <v>0.39560000000000001</v>
      </c>
      <c r="AL92" s="127">
        <v>0.39560000000000001</v>
      </c>
      <c r="AM92" s="127">
        <v>0.39560000000000001</v>
      </c>
      <c r="AN92" s="127">
        <v>0.40660000000000002</v>
      </c>
      <c r="AO92" s="127">
        <v>0.41759999999999997</v>
      </c>
      <c r="AP92" s="127">
        <v>0.46239999999999998</v>
      </c>
      <c r="AQ92" s="127">
        <v>0.50719999999999998</v>
      </c>
      <c r="AR92" s="127">
        <v>0.55200000000000005</v>
      </c>
      <c r="AS92" s="127">
        <v>0.5968</v>
      </c>
      <c r="AT92" s="127">
        <v>0.64159999999999995</v>
      </c>
      <c r="AU92" s="127">
        <v>0.6863999999999999</v>
      </c>
      <c r="AV92" s="127">
        <v>0.73119999999999985</v>
      </c>
      <c r="AW92" s="127">
        <v>0.7759999999999998</v>
      </c>
      <c r="AX92" s="127">
        <v>0.82079999999999975</v>
      </c>
      <c r="AY92" s="127">
        <v>0.8655999999999997</v>
      </c>
      <c r="AZ92" s="127">
        <v>0.91039999999999965</v>
      </c>
      <c r="BA92" s="127">
        <v>0.9551999999999996</v>
      </c>
      <c r="BB92" s="127">
        <v>0.99999999999999956</v>
      </c>
      <c r="BC92" s="127">
        <v>1</v>
      </c>
      <c r="BD92" s="127">
        <v>1</v>
      </c>
      <c r="BE92" s="127">
        <v>1</v>
      </c>
      <c r="BF92" s="127">
        <v>1</v>
      </c>
      <c r="BG92" s="127">
        <v>1</v>
      </c>
      <c r="BH92" s="127">
        <v>1</v>
      </c>
      <c r="BI92" s="127">
        <v>1</v>
      </c>
      <c r="BJ92" s="127">
        <v>1</v>
      </c>
      <c r="BK92" s="127">
        <v>1</v>
      </c>
      <c r="BL92" s="127">
        <v>1</v>
      </c>
      <c r="BM92" s="127">
        <v>1</v>
      </c>
      <c r="BN92" s="127">
        <v>1</v>
      </c>
      <c r="BO92" s="127">
        <v>1</v>
      </c>
      <c r="BP92" s="127">
        <v>1</v>
      </c>
      <c r="BQ92" s="127">
        <v>1</v>
      </c>
      <c r="BR92" s="163">
        <v>1</v>
      </c>
      <c r="BS92" s="163">
        <v>1</v>
      </c>
      <c r="BT92" s="163">
        <v>1</v>
      </c>
      <c r="BU92" s="163">
        <v>1</v>
      </c>
      <c r="BV92" s="163">
        <v>1</v>
      </c>
      <c r="BW92" s="163">
        <v>1</v>
      </c>
      <c r="BX92" s="163">
        <v>1</v>
      </c>
      <c r="BY92" s="163">
        <v>1</v>
      </c>
      <c r="BZ92" s="163">
        <v>1</v>
      </c>
      <c r="CA92" s="163">
        <v>1</v>
      </c>
      <c r="CB92" s="163">
        <v>1</v>
      </c>
      <c r="CC92" s="163">
        <v>1</v>
      </c>
      <c r="CD92" s="163">
        <v>1</v>
      </c>
      <c r="CE92" s="163">
        <v>1</v>
      </c>
      <c r="CF92" s="163">
        <v>1</v>
      </c>
      <c r="CG92" s="163">
        <v>1</v>
      </c>
      <c r="CH92" s="163">
        <v>1</v>
      </c>
      <c r="CI92" s="163">
        <v>1</v>
      </c>
      <c r="CJ92" s="163">
        <v>1</v>
      </c>
      <c r="CK92" s="163">
        <v>1</v>
      </c>
      <c r="CL92" s="163">
        <v>1</v>
      </c>
      <c r="CM92" s="163">
        <v>1</v>
      </c>
      <c r="CN92" s="163">
        <v>1</v>
      </c>
      <c r="CO92" s="163">
        <v>1</v>
      </c>
      <c r="CP92" s="163">
        <v>1</v>
      </c>
      <c r="CQ92" s="163">
        <v>1</v>
      </c>
      <c r="CR92" s="163">
        <v>1</v>
      </c>
      <c r="CS92" s="163">
        <v>1</v>
      </c>
      <c r="CT92" s="163">
        <v>1</v>
      </c>
      <c r="CU92" s="163">
        <v>1</v>
      </c>
      <c r="CV92" s="163">
        <v>1</v>
      </c>
      <c r="CW92" s="163">
        <v>1</v>
      </c>
      <c r="CX92" s="163">
        <v>1</v>
      </c>
      <c r="CY92" s="163">
        <v>1</v>
      </c>
      <c r="CZ92" s="163">
        <v>1</v>
      </c>
      <c r="DA92" s="163">
        <v>1</v>
      </c>
      <c r="DB92" s="163">
        <v>1</v>
      </c>
      <c r="DC92" s="163">
        <v>1</v>
      </c>
      <c r="DD92" s="163">
        <v>1</v>
      </c>
      <c r="DE92" s="163">
        <v>1</v>
      </c>
      <c r="DF92" s="163">
        <v>1</v>
      </c>
      <c r="DG92" s="163">
        <v>1</v>
      </c>
      <c r="DH92" s="347">
        <v>1</v>
      </c>
      <c r="DI92" s="163">
        <v>1</v>
      </c>
      <c r="DJ92" s="163">
        <v>1</v>
      </c>
      <c r="DK92" s="163">
        <v>1</v>
      </c>
      <c r="DL92" s="163">
        <v>1</v>
      </c>
      <c r="DM92" s="163">
        <v>1</v>
      </c>
      <c r="DN92" s="163">
        <v>1</v>
      </c>
      <c r="DO92" s="163">
        <v>1</v>
      </c>
      <c r="DP92" s="163">
        <v>1</v>
      </c>
      <c r="DQ92" s="163">
        <v>1</v>
      </c>
      <c r="DR92" s="163">
        <v>1</v>
      </c>
      <c r="DS92" s="163">
        <v>1</v>
      </c>
      <c r="DT92" s="163">
        <v>1</v>
      </c>
      <c r="DU92" s="163">
        <v>1</v>
      </c>
      <c r="DV92" s="163">
        <v>1</v>
      </c>
      <c r="DW92" s="163">
        <v>1</v>
      </c>
      <c r="DX92" s="163">
        <v>1</v>
      </c>
      <c r="DY92" s="163">
        <v>1</v>
      </c>
      <c r="DZ92" s="163">
        <v>1</v>
      </c>
      <c r="EA92" s="163">
        <v>1</v>
      </c>
      <c r="EB92" s="163">
        <v>1</v>
      </c>
      <c r="EC92" s="163">
        <v>1</v>
      </c>
      <c r="ED92" s="163">
        <v>1</v>
      </c>
      <c r="EE92" s="163">
        <v>1</v>
      </c>
      <c r="EF92" s="163">
        <v>1</v>
      </c>
      <c r="EG92" s="163">
        <v>1</v>
      </c>
      <c r="EH92" s="163">
        <v>1</v>
      </c>
      <c r="EI92" s="163">
        <v>1</v>
      </c>
      <c r="EJ92" s="163">
        <v>1</v>
      </c>
      <c r="EK92" s="163">
        <v>1</v>
      </c>
      <c r="EL92" s="163">
        <v>1</v>
      </c>
    </row>
    <row r="93" spans="2:142" hidden="1" outlineLevel="2" x14ac:dyDescent="0.3">
      <c r="B93" s="29"/>
      <c r="C93" s="30"/>
      <c r="D93" s="30"/>
      <c r="E93" s="52" t="s">
        <v>97</v>
      </c>
      <c r="F93" s="33">
        <v>10</v>
      </c>
      <c r="G93" s="162">
        <v>45636</v>
      </c>
      <c r="H93" s="162">
        <v>45677</v>
      </c>
      <c r="I93" s="33">
        <f t="shared" si="233"/>
        <v>10</v>
      </c>
      <c r="J93" s="35">
        <v>6.25E-2</v>
      </c>
      <c r="K93" s="53"/>
      <c r="L93" s="127">
        <v>0</v>
      </c>
      <c r="M93" s="127">
        <v>0</v>
      </c>
      <c r="N93" s="127">
        <v>0</v>
      </c>
      <c r="O93" s="127">
        <v>0</v>
      </c>
      <c r="P93" s="127">
        <v>0</v>
      </c>
      <c r="Q93" s="127">
        <v>0</v>
      </c>
      <c r="R93" s="127">
        <v>0</v>
      </c>
      <c r="S93" s="127">
        <v>0</v>
      </c>
      <c r="T93" s="127">
        <v>0</v>
      </c>
      <c r="U93" s="127">
        <v>0</v>
      </c>
      <c r="V93" s="127">
        <v>0</v>
      </c>
      <c r="W93" s="127">
        <v>0</v>
      </c>
      <c r="X93" s="127">
        <v>0</v>
      </c>
      <c r="Y93" s="127">
        <v>0</v>
      </c>
      <c r="Z93" s="127">
        <v>0</v>
      </c>
      <c r="AA93" s="127">
        <v>0</v>
      </c>
      <c r="AB93" s="127">
        <v>0</v>
      </c>
      <c r="AC93" s="127">
        <v>0</v>
      </c>
      <c r="AD93" s="127">
        <v>0</v>
      </c>
      <c r="AE93" s="127">
        <v>0</v>
      </c>
      <c r="AF93" s="127">
        <v>0</v>
      </c>
      <c r="AG93" s="127">
        <v>0</v>
      </c>
      <c r="AH93" s="127">
        <v>0</v>
      </c>
      <c r="AI93" s="127">
        <v>0</v>
      </c>
      <c r="AJ93" s="127">
        <v>0</v>
      </c>
      <c r="AK93" s="127">
        <v>0</v>
      </c>
      <c r="AL93" s="127">
        <v>0</v>
      </c>
      <c r="AM93" s="127">
        <v>0</v>
      </c>
      <c r="AN93" s="127">
        <v>0</v>
      </c>
      <c r="AO93" s="127">
        <v>0</v>
      </c>
      <c r="AP93" s="127">
        <v>0</v>
      </c>
      <c r="AQ93" s="127">
        <v>0</v>
      </c>
      <c r="AR93" s="127">
        <v>0</v>
      </c>
      <c r="AS93" s="127">
        <v>0</v>
      </c>
      <c r="AT93" s="127">
        <v>0</v>
      </c>
      <c r="AU93" s="127">
        <v>0</v>
      </c>
      <c r="AV93" s="127">
        <v>0</v>
      </c>
      <c r="AW93" s="127">
        <v>0</v>
      </c>
      <c r="AX93" s="127">
        <v>0</v>
      </c>
      <c r="AY93" s="127">
        <v>0</v>
      </c>
      <c r="AZ93" s="127">
        <v>0</v>
      </c>
      <c r="BA93" s="127">
        <v>0.33329999999999999</v>
      </c>
      <c r="BB93" s="127">
        <v>0.66659999999999997</v>
      </c>
      <c r="BC93" s="127">
        <v>1</v>
      </c>
      <c r="BD93" s="127">
        <v>1</v>
      </c>
      <c r="BE93" s="127">
        <v>1</v>
      </c>
      <c r="BF93" s="127">
        <v>1</v>
      </c>
      <c r="BG93" s="127">
        <v>1</v>
      </c>
      <c r="BH93" s="127">
        <v>1</v>
      </c>
      <c r="BI93" s="127">
        <v>1</v>
      </c>
      <c r="BJ93" s="127">
        <v>1</v>
      </c>
      <c r="BK93" s="127">
        <v>1</v>
      </c>
      <c r="BL93" s="127">
        <v>1</v>
      </c>
      <c r="BM93" s="127">
        <v>1</v>
      </c>
      <c r="BN93" s="127">
        <v>1</v>
      </c>
      <c r="BO93" s="127">
        <v>1</v>
      </c>
      <c r="BP93" s="127">
        <v>1</v>
      </c>
      <c r="BQ93" s="127">
        <v>1</v>
      </c>
      <c r="BR93" s="163">
        <v>1</v>
      </c>
      <c r="BS93" s="163">
        <v>1</v>
      </c>
      <c r="BT93" s="163">
        <v>1</v>
      </c>
      <c r="BU93" s="163">
        <v>1</v>
      </c>
      <c r="BV93" s="163">
        <v>1</v>
      </c>
      <c r="BW93" s="163">
        <v>1</v>
      </c>
      <c r="BX93" s="163">
        <v>1</v>
      </c>
      <c r="BY93" s="163">
        <v>1</v>
      </c>
      <c r="BZ93" s="163">
        <v>1</v>
      </c>
      <c r="CA93" s="163">
        <v>1</v>
      </c>
      <c r="CB93" s="163">
        <v>1</v>
      </c>
      <c r="CC93" s="163">
        <v>1</v>
      </c>
      <c r="CD93" s="163">
        <v>1</v>
      </c>
      <c r="CE93" s="163">
        <v>1</v>
      </c>
      <c r="CF93" s="163">
        <v>1</v>
      </c>
      <c r="CG93" s="163">
        <v>1</v>
      </c>
      <c r="CH93" s="163">
        <v>1</v>
      </c>
      <c r="CI93" s="163">
        <v>1</v>
      </c>
      <c r="CJ93" s="163">
        <v>1</v>
      </c>
      <c r="CK93" s="163">
        <v>1</v>
      </c>
      <c r="CL93" s="163">
        <v>1</v>
      </c>
      <c r="CM93" s="163">
        <v>1</v>
      </c>
      <c r="CN93" s="163">
        <v>1</v>
      </c>
      <c r="CO93" s="163">
        <v>1</v>
      </c>
      <c r="CP93" s="163">
        <v>1</v>
      </c>
      <c r="CQ93" s="163">
        <v>1</v>
      </c>
      <c r="CR93" s="163">
        <v>1</v>
      </c>
      <c r="CS93" s="163">
        <v>1</v>
      </c>
      <c r="CT93" s="163">
        <v>1</v>
      </c>
      <c r="CU93" s="163">
        <v>1</v>
      </c>
      <c r="CV93" s="163">
        <v>1</v>
      </c>
      <c r="CW93" s="163">
        <v>1</v>
      </c>
      <c r="CX93" s="163">
        <v>1</v>
      </c>
      <c r="CY93" s="163">
        <v>1</v>
      </c>
      <c r="CZ93" s="163">
        <v>1</v>
      </c>
      <c r="DA93" s="163">
        <v>1</v>
      </c>
      <c r="DB93" s="163">
        <v>1</v>
      </c>
      <c r="DC93" s="163">
        <v>1</v>
      </c>
      <c r="DD93" s="163">
        <v>1</v>
      </c>
      <c r="DE93" s="163">
        <v>1</v>
      </c>
      <c r="DF93" s="163">
        <v>1</v>
      </c>
      <c r="DG93" s="163">
        <v>1</v>
      </c>
      <c r="DH93" s="347">
        <v>1</v>
      </c>
      <c r="DI93" s="163">
        <v>1</v>
      </c>
      <c r="DJ93" s="163">
        <v>1</v>
      </c>
      <c r="DK93" s="163">
        <v>1</v>
      </c>
      <c r="DL93" s="163">
        <v>1</v>
      </c>
      <c r="DM93" s="163">
        <v>1</v>
      </c>
      <c r="DN93" s="163">
        <v>1</v>
      </c>
      <c r="DO93" s="163">
        <v>1</v>
      </c>
      <c r="DP93" s="163">
        <v>1</v>
      </c>
      <c r="DQ93" s="163">
        <v>1</v>
      </c>
      <c r="DR93" s="163">
        <v>1</v>
      </c>
      <c r="DS93" s="163">
        <v>1</v>
      </c>
      <c r="DT93" s="163">
        <v>1</v>
      </c>
      <c r="DU93" s="163">
        <v>1</v>
      </c>
      <c r="DV93" s="163">
        <v>1</v>
      </c>
      <c r="DW93" s="163">
        <v>1</v>
      </c>
      <c r="DX93" s="163">
        <v>1</v>
      </c>
      <c r="DY93" s="163">
        <v>1</v>
      </c>
      <c r="DZ93" s="163">
        <v>1</v>
      </c>
      <c r="EA93" s="163">
        <v>1</v>
      </c>
      <c r="EB93" s="163">
        <v>1</v>
      </c>
      <c r="EC93" s="163">
        <v>1</v>
      </c>
      <c r="ED93" s="163">
        <v>1</v>
      </c>
      <c r="EE93" s="163">
        <v>1</v>
      </c>
      <c r="EF93" s="163">
        <v>1</v>
      </c>
      <c r="EG93" s="163">
        <v>1</v>
      </c>
      <c r="EH93" s="163">
        <v>1</v>
      </c>
      <c r="EI93" s="163">
        <v>1</v>
      </c>
      <c r="EJ93" s="163">
        <v>1</v>
      </c>
      <c r="EK93" s="163">
        <v>1</v>
      </c>
      <c r="EL93" s="163">
        <v>1</v>
      </c>
    </row>
    <row r="94" spans="2:142" hidden="1" outlineLevel="2" x14ac:dyDescent="0.3">
      <c r="B94" s="29"/>
      <c r="C94" s="30"/>
      <c r="D94" s="30"/>
      <c r="E94" s="52" t="s">
        <v>98</v>
      </c>
      <c r="F94" s="33">
        <v>10</v>
      </c>
      <c r="G94" s="162">
        <v>45677</v>
      </c>
      <c r="H94" s="162">
        <v>45688</v>
      </c>
      <c r="I94" s="33">
        <f t="shared" si="233"/>
        <v>10</v>
      </c>
      <c r="J94" s="35">
        <v>6.25E-2</v>
      </c>
      <c r="K94" s="53"/>
      <c r="L94" s="127">
        <v>0</v>
      </c>
      <c r="M94" s="127">
        <v>0</v>
      </c>
      <c r="N94" s="127">
        <v>0</v>
      </c>
      <c r="O94" s="127">
        <v>0</v>
      </c>
      <c r="P94" s="127">
        <v>0</v>
      </c>
      <c r="Q94" s="127">
        <v>0</v>
      </c>
      <c r="R94" s="127">
        <v>0</v>
      </c>
      <c r="S94" s="127">
        <v>0</v>
      </c>
      <c r="T94" s="127">
        <v>0</v>
      </c>
      <c r="U94" s="127">
        <v>0</v>
      </c>
      <c r="V94" s="127">
        <v>0</v>
      </c>
      <c r="W94" s="127">
        <v>0</v>
      </c>
      <c r="X94" s="127">
        <v>0</v>
      </c>
      <c r="Y94" s="127">
        <v>0</v>
      </c>
      <c r="Z94" s="127">
        <v>0</v>
      </c>
      <c r="AA94" s="127">
        <v>1</v>
      </c>
      <c r="AB94" s="127">
        <v>1</v>
      </c>
      <c r="AC94" s="127">
        <v>1</v>
      </c>
      <c r="AD94" s="127">
        <v>1</v>
      </c>
      <c r="AE94" s="127">
        <v>1</v>
      </c>
      <c r="AF94" s="127">
        <v>1</v>
      </c>
      <c r="AG94" s="127">
        <v>1</v>
      </c>
      <c r="AH94" s="127">
        <v>1</v>
      </c>
      <c r="AI94" s="127">
        <v>1</v>
      </c>
      <c r="AJ94" s="127">
        <v>1</v>
      </c>
      <c r="AK94" s="127">
        <v>1</v>
      </c>
      <c r="AL94" s="127">
        <v>1</v>
      </c>
      <c r="AM94" s="127">
        <v>1</v>
      </c>
      <c r="AN94" s="127">
        <v>1</v>
      </c>
      <c r="AO94" s="127">
        <v>1</v>
      </c>
      <c r="AP94" s="127">
        <v>1</v>
      </c>
      <c r="AQ94" s="127">
        <v>1</v>
      </c>
      <c r="AR94" s="127">
        <v>1</v>
      </c>
      <c r="AS94" s="127">
        <v>1</v>
      </c>
      <c r="AT94" s="127">
        <v>1</v>
      </c>
      <c r="AU94" s="127">
        <v>1</v>
      </c>
      <c r="AV94" s="127">
        <v>1</v>
      </c>
      <c r="AW94" s="127">
        <v>1</v>
      </c>
      <c r="AX94" s="127">
        <v>1</v>
      </c>
      <c r="AY94" s="127">
        <v>1</v>
      </c>
      <c r="AZ94" s="127">
        <v>1</v>
      </c>
      <c r="BA94" s="127">
        <v>1</v>
      </c>
      <c r="BB94" s="127">
        <v>1</v>
      </c>
      <c r="BC94" s="127">
        <v>1</v>
      </c>
      <c r="BD94" s="127">
        <v>1</v>
      </c>
      <c r="BE94" s="127">
        <v>1</v>
      </c>
      <c r="BF94" s="127">
        <v>1</v>
      </c>
      <c r="BG94" s="127">
        <v>1</v>
      </c>
      <c r="BH94" s="127">
        <v>1</v>
      </c>
      <c r="BI94" s="127">
        <v>1</v>
      </c>
      <c r="BJ94" s="127">
        <v>1</v>
      </c>
      <c r="BK94" s="127">
        <v>1</v>
      </c>
      <c r="BL94" s="127">
        <v>1</v>
      </c>
      <c r="BM94" s="127">
        <v>1</v>
      </c>
      <c r="BN94" s="127">
        <v>1</v>
      </c>
      <c r="BO94" s="127">
        <v>1</v>
      </c>
      <c r="BP94" s="127">
        <v>1</v>
      </c>
      <c r="BQ94" s="127">
        <v>1</v>
      </c>
      <c r="BR94" s="163">
        <v>1</v>
      </c>
      <c r="BS94" s="163">
        <v>1</v>
      </c>
      <c r="BT94" s="163">
        <v>1</v>
      </c>
      <c r="BU94" s="163">
        <v>1</v>
      </c>
      <c r="BV94" s="163">
        <v>1</v>
      </c>
      <c r="BW94" s="163">
        <v>1</v>
      </c>
      <c r="BX94" s="163">
        <v>1</v>
      </c>
      <c r="BY94" s="163">
        <v>1</v>
      </c>
      <c r="BZ94" s="163">
        <v>1</v>
      </c>
      <c r="CA94" s="163">
        <v>1</v>
      </c>
      <c r="CB94" s="163">
        <v>1</v>
      </c>
      <c r="CC94" s="163">
        <v>1</v>
      </c>
      <c r="CD94" s="163">
        <v>1</v>
      </c>
      <c r="CE94" s="163">
        <v>1</v>
      </c>
      <c r="CF94" s="163">
        <v>1</v>
      </c>
      <c r="CG94" s="163">
        <v>1</v>
      </c>
      <c r="CH94" s="163">
        <v>1</v>
      </c>
      <c r="CI94" s="163">
        <v>1</v>
      </c>
      <c r="CJ94" s="163">
        <v>1</v>
      </c>
      <c r="CK94" s="163">
        <v>1</v>
      </c>
      <c r="CL94" s="163">
        <v>1</v>
      </c>
      <c r="CM94" s="163">
        <v>1</v>
      </c>
      <c r="CN94" s="163">
        <v>1</v>
      </c>
      <c r="CO94" s="163">
        <v>1</v>
      </c>
      <c r="CP94" s="163">
        <v>1</v>
      </c>
      <c r="CQ94" s="163">
        <v>1</v>
      </c>
      <c r="CR94" s="163">
        <v>1</v>
      </c>
      <c r="CS94" s="163">
        <v>1</v>
      </c>
      <c r="CT94" s="163">
        <v>1</v>
      </c>
      <c r="CU94" s="163">
        <v>1</v>
      </c>
      <c r="CV94" s="163">
        <v>1</v>
      </c>
      <c r="CW94" s="163">
        <v>1</v>
      </c>
      <c r="CX94" s="163">
        <v>1</v>
      </c>
      <c r="CY94" s="163">
        <v>1</v>
      </c>
      <c r="CZ94" s="163">
        <v>1</v>
      </c>
      <c r="DA94" s="163">
        <v>1</v>
      </c>
      <c r="DB94" s="163">
        <v>1</v>
      </c>
      <c r="DC94" s="163">
        <v>1</v>
      </c>
      <c r="DD94" s="163">
        <v>1</v>
      </c>
      <c r="DE94" s="163">
        <v>1</v>
      </c>
      <c r="DF94" s="163">
        <v>1</v>
      </c>
      <c r="DG94" s="163">
        <v>1</v>
      </c>
      <c r="DH94" s="347">
        <v>1</v>
      </c>
      <c r="DI94" s="163">
        <v>1</v>
      </c>
      <c r="DJ94" s="163">
        <v>1</v>
      </c>
      <c r="DK94" s="163">
        <v>1</v>
      </c>
      <c r="DL94" s="163">
        <v>1</v>
      </c>
      <c r="DM94" s="163">
        <v>1</v>
      </c>
      <c r="DN94" s="163">
        <v>1</v>
      </c>
      <c r="DO94" s="163">
        <v>1</v>
      </c>
      <c r="DP94" s="163">
        <v>1</v>
      </c>
      <c r="DQ94" s="163">
        <v>1</v>
      </c>
      <c r="DR94" s="163">
        <v>1</v>
      </c>
      <c r="DS94" s="163">
        <v>1</v>
      </c>
      <c r="DT94" s="163">
        <v>1</v>
      </c>
      <c r="DU94" s="163">
        <v>1</v>
      </c>
      <c r="DV94" s="163">
        <v>1</v>
      </c>
      <c r="DW94" s="163">
        <v>1</v>
      </c>
      <c r="DX94" s="163">
        <v>1</v>
      </c>
      <c r="DY94" s="163">
        <v>1</v>
      </c>
      <c r="DZ94" s="163">
        <v>1</v>
      </c>
      <c r="EA94" s="163">
        <v>1</v>
      </c>
      <c r="EB94" s="163">
        <v>1</v>
      </c>
      <c r="EC94" s="163">
        <v>1</v>
      </c>
      <c r="ED94" s="163">
        <v>1</v>
      </c>
      <c r="EE94" s="163">
        <v>1</v>
      </c>
      <c r="EF94" s="163">
        <v>1</v>
      </c>
      <c r="EG94" s="163">
        <v>1</v>
      </c>
      <c r="EH94" s="163">
        <v>1</v>
      </c>
      <c r="EI94" s="163">
        <v>1</v>
      </c>
      <c r="EJ94" s="163">
        <v>1</v>
      </c>
      <c r="EK94" s="163">
        <v>1</v>
      </c>
      <c r="EL94" s="163">
        <v>1</v>
      </c>
    </row>
    <row r="95" spans="2:142" hidden="1" outlineLevel="2" x14ac:dyDescent="0.3">
      <c r="B95" s="29"/>
      <c r="C95" s="30"/>
      <c r="D95" s="30"/>
      <c r="E95" s="52" t="s">
        <v>99</v>
      </c>
      <c r="F95" s="33">
        <v>30</v>
      </c>
      <c r="G95" s="162">
        <v>45566</v>
      </c>
      <c r="H95" s="162">
        <v>45607</v>
      </c>
      <c r="I95" s="33">
        <f t="shared" si="233"/>
        <v>30</v>
      </c>
      <c r="J95" s="35">
        <v>0.1875</v>
      </c>
      <c r="K95" s="53"/>
      <c r="L95" s="127">
        <v>0</v>
      </c>
      <c r="M95" s="127">
        <v>0</v>
      </c>
      <c r="N95" s="127">
        <v>0</v>
      </c>
      <c r="O95" s="127">
        <v>0</v>
      </c>
      <c r="P95" s="127">
        <v>0</v>
      </c>
      <c r="Q95" s="127">
        <v>0</v>
      </c>
      <c r="R95" s="127">
        <v>0</v>
      </c>
      <c r="S95" s="127">
        <v>0</v>
      </c>
      <c r="T95" s="127">
        <v>0</v>
      </c>
      <c r="U95" s="127">
        <v>0</v>
      </c>
      <c r="V95" s="127">
        <v>0</v>
      </c>
      <c r="W95" s="127">
        <v>0</v>
      </c>
      <c r="X95" s="127">
        <v>0</v>
      </c>
      <c r="Y95" s="127">
        <v>0</v>
      </c>
      <c r="Z95" s="127">
        <v>0</v>
      </c>
      <c r="AA95" s="127">
        <v>0</v>
      </c>
      <c r="AB95" s="127">
        <v>0.15</v>
      </c>
      <c r="AC95" s="127">
        <v>0.3</v>
      </c>
      <c r="AD95" s="127">
        <v>0.4</v>
      </c>
      <c r="AE95" s="127">
        <v>0.4</v>
      </c>
      <c r="AF95" s="127">
        <v>0.44583333333333336</v>
      </c>
      <c r="AG95" s="127">
        <v>0.44583333333333336</v>
      </c>
      <c r="AH95" s="127">
        <v>0.53750000000000009</v>
      </c>
      <c r="AI95" s="127">
        <v>0.58333333333333337</v>
      </c>
      <c r="AJ95" s="127">
        <v>0.62916666666666665</v>
      </c>
      <c r="AK95" s="127">
        <v>0.68500000000000005</v>
      </c>
      <c r="AL95" s="127">
        <v>0.68500000000000005</v>
      </c>
      <c r="AM95" s="127">
        <v>0.68500000000000005</v>
      </c>
      <c r="AN95" s="127">
        <v>0.73083333333333345</v>
      </c>
      <c r="AO95" s="127">
        <v>0.77666666666666673</v>
      </c>
      <c r="AP95" s="127">
        <v>0.79526666666666668</v>
      </c>
      <c r="AQ95" s="127">
        <v>0.81386666666666663</v>
      </c>
      <c r="AR95" s="127">
        <v>0.83246666666666658</v>
      </c>
      <c r="AS95" s="127">
        <v>0.85106666666666653</v>
      </c>
      <c r="AT95" s="127">
        <v>0.86966666666666648</v>
      </c>
      <c r="AU95" s="127">
        <v>0.88826666666666643</v>
      </c>
      <c r="AV95" s="127">
        <v>0.90686666666666638</v>
      </c>
      <c r="AW95" s="127">
        <v>0.92546666666666633</v>
      </c>
      <c r="AX95" s="127">
        <v>0.94406666666666628</v>
      </c>
      <c r="AY95" s="127">
        <v>0.96266666666666623</v>
      </c>
      <c r="AZ95" s="127">
        <v>0.98126666666666618</v>
      </c>
      <c r="BA95" s="127">
        <v>0.99986666666666613</v>
      </c>
      <c r="BB95" s="127">
        <v>1</v>
      </c>
      <c r="BC95" s="127">
        <v>1</v>
      </c>
      <c r="BD95" s="127">
        <v>1</v>
      </c>
      <c r="BE95" s="127">
        <v>1</v>
      </c>
      <c r="BF95" s="127">
        <v>1</v>
      </c>
      <c r="BG95" s="127">
        <v>1</v>
      </c>
      <c r="BH95" s="127">
        <v>1</v>
      </c>
      <c r="BI95" s="127">
        <v>1</v>
      </c>
      <c r="BJ95" s="127">
        <v>1</v>
      </c>
      <c r="BK95" s="127">
        <v>1</v>
      </c>
      <c r="BL95" s="127">
        <v>1</v>
      </c>
      <c r="BM95" s="127">
        <v>1</v>
      </c>
      <c r="BN95" s="127">
        <v>1</v>
      </c>
      <c r="BO95" s="127">
        <v>1</v>
      </c>
      <c r="BP95" s="127">
        <v>1</v>
      </c>
      <c r="BQ95" s="127">
        <v>1</v>
      </c>
      <c r="BR95" s="163">
        <v>1</v>
      </c>
      <c r="BS95" s="163">
        <v>1</v>
      </c>
      <c r="BT95" s="163">
        <v>1</v>
      </c>
      <c r="BU95" s="163">
        <v>1</v>
      </c>
      <c r="BV95" s="163">
        <v>1</v>
      </c>
      <c r="BW95" s="163">
        <v>1</v>
      </c>
      <c r="BX95" s="163">
        <v>1</v>
      </c>
      <c r="BY95" s="163">
        <v>1</v>
      </c>
      <c r="BZ95" s="163">
        <v>1</v>
      </c>
      <c r="CA95" s="163">
        <v>1</v>
      </c>
      <c r="CB95" s="163">
        <v>1</v>
      </c>
      <c r="CC95" s="163">
        <v>1</v>
      </c>
      <c r="CD95" s="163">
        <v>1</v>
      </c>
      <c r="CE95" s="163">
        <v>1</v>
      </c>
      <c r="CF95" s="163">
        <v>1</v>
      </c>
      <c r="CG95" s="163">
        <v>1</v>
      </c>
      <c r="CH95" s="163">
        <v>1</v>
      </c>
      <c r="CI95" s="163">
        <v>1</v>
      </c>
      <c r="CJ95" s="163">
        <v>1</v>
      </c>
      <c r="CK95" s="163">
        <v>1</v>
      </c>
      <c r="CL95" s="163">
        <v>1</v>
      </c>
      <c r="CM95" s="163">
        <v>1</v>
      </c>
      <c r="CN95" s="163">
        <v>1</v>
      </c>
      <c r="CO95" s="163">
        <v>1</v>
      </c>
      <c r="CP95" s="163">
        <v>1</v>
      </c>
      <c r="CQ95" s="163">
        <v>1</v>
      </c>
      <c r="CR95" s="163">
        <v>1</v>
      </c>
      <c r="CS95" s="163">
        <v>1</v>
      </c>
      <c r="CT95" s="163">
        <v>1</v>
      </c>
      <c r="CU95" s="163">
        <v>1</v>
      </c>
      <c r="CV95" s="163">
        <v>1</v>
      </c>
      <c r="CW95" s="163">
        <v>1</v>
      </c>
      <c r="CX95" s="163">
        <v>1</v>
      </c>
      <c r="CY95" s="163">
        <v>1</v>
      </c>
      <c r="CZ95" s="163">
        <v>1</v>
      </c>
      <c r="DA95" s="163">
        <v>1</v>
      </c>
      <c r="DB95" s="163">
        <v>1</v>
      </c>
      <c r="DC95" s="163">
        <v>1</v>
      </c>
      <c r="DD95" s="163">
        <v>1</v>
      </c>
      <c r="DE95" s="163">
        <v>1</v>
      </c>
      <c r="DF95" s="163">
        <v>1</v>
      </c>
      <c r="DG95" s="163">
        <v>1</v>
      </c>
      <c r="DH95" s="347">
        <v>1</v>
      </c>
      <c r="DI95" s="163">
        <v>1</v>
      </c>
      <c r="DJ95" s="163">
        <v>1</v>
      </c>
      <c r="DK95" s="163">
        <v>1</v>
      </c>
      <c r="DL95" s="163">
        <v>1</v>
      </c>
      <c r="DM95" s="163">
        <v>1</v>
      </c>
      <c r="DN95" s="163">
        <v>1</v>
      </c>
      <c r="DO95" s="163">
        <v>1</v>
      </c>
      <c r="DP95" s="163">
        <v>1</v>
      </c>
      <c r="DQ95" s="163">
        <v>1</v>
      </c>
      <c r="DR95" s="163">
        <v>1</v>
      </c>
      <c r="DS95" s="163">
        <v>1</v>
      </c>
      <c r="DT95" s="163">
        <v>1</v>
      </c>
      <c r="DU95" s="163">
        <v>1</v>
      </c>
      <c r="DV95" s="163">
        <v>1</v>
      </c>
      <c r="DW95" s="163">
        <v>1</v>
      </c>
      <c r="DX95" s="163">
        <v>1</v>
      </c>
      <c r="DY95" s="163">
        <v>1</v>
      </c>
      <c r="DZ95" s="163">
        <v>1</v>
      </c>
      <c r="EA95" s="163">
        <v>1</v>
      </c>
      <c r="EB95" s="163">
        <v>1</v>
      </c>
      <c r="EC95" s="163">
        <v>1</v>
      </c>
      <c r="ED95" s="163">
        <v>1</v>
      </c>
      <c r="EE95" s="163">
        <v>1</v>
      </c>
      <c r="EF95" s="163">
        <v>1</v>
      </c>
      <c r="EG95" s="163">
        <v>1</v>
      </c>
      <c r="EH95" s="163">
        <v>1</v>
      </c>
      <c r="EI95" s="163">
        <v>1</v>
      </c>
      <c r="EJ95" s="163">
        <v>1</v>
      </c>
      <c r="EK95" s="163">
        <v>1</v>
      </c>
      <c r="EL95" s="163">
        <v>1</v>
      </c>
    </row>
    <row r="96" spans="2:142" hidden="1" outlineLevel="2" x14ac:dyDescent="0.3">
      <c r="B96" s="29"/>
      <c r="C96" s="30"/>
      <c r="D96" s="30"/>
      <c r="E96" s="52" t="s">
        <v>100</v>
      </c>
      <c r="F96" s="33">
        <v>10</v>
      </c>
      <c r="G96" s="162">
        <v>45608</v>
      </c>
      <c r="H96" s="162">
        <v>45621</v>
      </c>
      <c r="I96" s="33">
        <f t="shared" si="233"/>
        <v>10</v>
      </c>
      <c r="J96" s="35">
        <v>6.25E-2</v>
      </c>
      <c r="K96" s="53"/>
      <c r="L96" s="127">
        <v>0</v>
      </c>
      <c r="M96" s="127">
        <v>0</v>
      </c>
      <c r="N96" s="127">
        <v>0</v>
      </c>
      <c r="O96" s="127">
        <v>0</v>
      </c>
      <c r="P96" s="127">
        <v>0</v>
      </c>
      <c r="Q96" s="127">
        <v>0</v>
      </c>
      <c r="R96" s="127">
        <v>0</v>
      </c>
      <c r="S96" s="127">
        <v>0</v>
      </c>
      <c r="T96" s="127">
        <v>0</v>
      </c>
      <c r="U96" s="127">
        <v>0</v>
      </c>
      <c r="V96" s="127">
        <v>0</v>
      </c>
      <c r="W96" s="127">
        <v>0</v>
      </c>
      <c r="X96" s="127">
        <v>0</v>
      </c>
      <c r="Y96" s="127">
        <v>0</v>
      </c>
      <c r="Z96" s="127">
        <v>0</v>
      </c>
      <c r="AA96" s="127">
        <v>0</v>
      </c>
      <c r="AB96" s="127">
        <v>0</v>
      </c>
      <c r="AC96" s="127">
        <v>0</v>
      </c>
      <c r="AD96" s="127">
        <v>0</v>
      </c>
      <c r="AE96" s="127">
        <v>0</v>
      </c>
      <c r="AF96" s="127">
        <v>0</v>
      </c>
      <c r="AG96" s="127">
        <v>0</v>
      </c>
      <c r="AH96" s="127">
        <v>0</v>
      </c>
      <c r="AI96" s="127">
        <v>0</v>
      </c>
      <c r="AJ96" s="127">
        <v>0</v>
      </c>
      <c r="AK96" s="127">
        <v>0</v>
      </c>
      <c r="AL96" s="127">
        <v>0</v>
      </c>
      <c r="AM96" s="127">
        <v>0</v>
      </c>
      <c r="AN96" s="127">
        <v>0</v>
      </c>
      <c r="AO96" s="127">
        <v>0</v>
      </c>
      <c r="AP96" s="127">
        <v>0</v>
      </c>
      <c r="AQ96" s="127">
        <v>0</v>
      </c>
      <c r="AR96" s="127">
        <v>0</v>
      </c>
      <c r="AS96" s="127">
        <v>0</v>
      </c>
      <c r="AT96" s="127">
        <v>0</v>
      </c>
      <c r="AU96" s="127">
        <v>0</v>
      </c>
      <c r="AV96" s="127">
        <v>0</v>
      </c>
      <c r="AW96" s="127">
        <v>0</v>
      </c>
      <c r="AX96" s="127">
        <v>0</v>
      </c>
      <c r="AY96" s="127">
        <v>0</v>
      </c>
      <c r="AZ96" s="127">
        <v>0</v>
      </c>
      <c r="BA96" s="127">
        <v>0.33329999999999999</v>
      </c>
      <c r="BB96" s="127">
        <v>0.66659999999999997</v>
      </c>
      <c r="BC96" s="127">
        <v>1</v>
      </c>
      <c r="BD96" s="127">
        <v>1</v>
      </c>
      <c r="BE96" s="127">
        <v>1</v>
      </c>
      <c r="BF96" s="127">
        <v>1</v>
      </c>
      <c r="BG96" s="127">
        <v>1</v>
      </c>
      <c r="BH96" s="127">
        <v>1</v>
      </c>
      <c r="BI96" s="127">
        <v>1</v>
      </c>
      <c r="BJ96" s="127">
        <v>1</v>
      </c>
      <c r="BK96" s="127">
        <v>1</v>
      </c>
      <c r="BL96" s="127">
        <v>1</v>
      </c>
      <c r="BM96" s="127">
        <v>1</v>
      </c>
      <c r="BN96" s="127">
        <v>1</v>
      </c>
      <c r="BO96" s="127">
        <v>1</v>
      </c>
      <c r="BP96" s="127">
        <v>1</v>
      </c>
      <c r="BQ96" s="127">
        <v>1</v>
      </c>
      <c r="BR96" s="163">
        <v>1</v>
      </c>
      <c r="BS96" s="163">
        <v>1</v>
      </c>
      <c r="BT96" s="163">
        <v>1</v>
      </c>
      <c r="BU96" s="163">
        <v>1</v>
      </c>
      <c r="BV96" s="163">
        <v>1</v>
      </c>
      <c r="BW96" s="163">
        <v>1</v>
      </c>
      <c r="BX96" s="163">
        <v>1</v>
      </c>
      <c r="BY96" s="163">
        <v>1</v>
      </c>
      <c r="BZ96" s="163">
        <v>1</v>
      </c>
      <c r="CA96" s="163">
        <v>1</v>
      </c>
      <c r="CB96" s="163">
        <v>1</v>
      </c>
      <c r="CC96" s="163">
        <v>1</v>
      </c>
      <c r="CD96" s="163">
        <v>1</v>
      </c>
      <c r="CE96" s="163">
        <v>1</v>
      </c>
      <c r="CF96" s="163">
        <v>1</v>
      </c>
      <c r="CG96" s="163">
        <v>1</v>
      </c>
      <c r="CH96" s="163">
        <v>1</v>
      </c>
      <c r="CI96" s="163">
        <v>1</v>
      </c>
      <c r="CJ96" s="163">
        <v>1</v>
      </c>
      <c r="CK96" s="163">
        <v>1</v>
      </c>
      <c r="CL96" s="163">
        <v>1</v>
      </c>
      <c r="CM96" s="163">
        <v>1</v>
      </c>
      <c r="CN96" s="163">
        <v>1</v>
      </c>
      <c r="CO96" s="163">
        <v>1</v>
      </c>
      <c r="CP96" s="163">
        <v>1</v>
      </c>
      <c r="CQ96" s="163">
        <v>1</v>
      </c>
      <c r="CR96" s="163">
        <v>1</v>
      </c>
      <c r="CS96" s="163">
        <v>1</v>
      </c>
      <c r="CT96" s="163">
        <v>1</v>
      </c>
      <c r="CU96" s="163">
        <v>1</v>
      </c>
      <c r="CV96" s="163">
        <v>1</v>
      </c>
      <c r="CW96" s="163">
        <v>1</v>
      </c>
      <c r="CX96" s="163">
        <v>1</v>
      </c>
      <c r="CY96" s="163">
        <v>1</v>
      </c>
      <c r="CZ96" s="163">
        <v>1</v>
      </c>
      <c r="DA96" s="163">
        <v>1</v>
      </c>
      <c r="DB96" s="163">
        <v>1</v>
      </c>
      <c r="DC96" s="163">
        <v>1</v>
      </c>
      <c r="DD96" s="163">
        <v>1</v>
      </c>
      <c r="DE96" s="163">
        <v>1</v>
      </c>
      <c r="DF96" s="163">
        <v>1</v>
      </c>
      <c r="DG96" s="163">
        <v>1</v>
      </c>
      <c r="DH96" s="347">
        <v>1</v>
      </c>
      <c r="DI96" s="163">
        <v>1</v>
      </c>
      <c r="DJ96" s="163">
        <v>1</v>
      </c>
      <c r="DK96" s="163">
        <v>1</v>
      </c>
      <c r="DL96" s="163">
        <v>1</v>
      </c>
      <c r="DM96" s="163">
        <v>1</v>
      </c>
      <c r="DN96" s="163">
        <v>1</v>
      </c>
      <c r="DO96" s="163">
        <v>1</v>
      </c>
      <c r="DP96" s="163">
        <v>1</v>
      </c>
      <c r="DQ96" s="163">
        <v>1</v>
      </c>
      <c r="DR96" s="163">
        <v>1</v>
      </c>
      <c r="DS96" s="163">
        <v>1</v>
      </c>
      <c r="DT96" s="163">
        <v>1</v>
      </c>
      <c r="DU96" s="163">
        <v>1</v>
      </c>
      <c r="DV96" s="163">
        <v>1</v>
      </c>
      <c r="DW96" s="163">
        <v>1</v>
      </c>
      <c r="DX96" s="163">
        <v>1</v>
      </c>
      <c r="DY96" s="163">
        <v>1</v>
      </c>
      <c r="DZ96" s="163">
        <v>1</v>
      </c>
      <c r="EA96" s="163">
        <v>1</v>
      </c>
      <c r="EB96" s="163">
        <v>1</v>
      </c>
      <c r="EC96" s="163">
        <v>1</v>
      </c>
      <c r="ED96" s="163">
        <v>1</v>
      </c>
      <c r="EE96" s="163">
        <v>1</v>
      </c>
      <c r="EF96" s="163">
        <v>1</v>
      </c>
      <c r="EG96" s="163">
        <v>1</v>
      </c>
      <c r="EH96" s="163">
        <v>1</v>
      </c>
      <c r="EI96" s="163">
        <v>1</v>
      </c>
      <c r="EJ96" s="163">
        <v>1</v>
      </c>
      <c r="EK96" s="163">
        <v>1</v>
      </c>
      <c r="EL96" s="163">
        <v>1</v>
      </c>
    </row>
    <row r="97" spans="2:142" hidden="1" outlineLevel="2" x14ac:dyDescent="0.3">
      <c r="B97" s="29"/>
      <c r="C97" s="30"/>
      <c r="D97" s="30"/>
      <c r="E97" s="52" t="s">
        <v>101</v>
      </c>
      <c r="F97" s="33">
        <v>0</v>
      </c>
      <c r="G97" s="162">
        <v>45533</v>
      </c>
      <c r="H97" s="162">
        <v>45533</v>
      </c>
      <c r="I97" s="33">
        <f t="shared" si="233"/>
        <v>0</v>
      </c>
      <c r="J97" s="35">
        <v>1E-119</v>
      </c>
      <c r="K97" s="53"/>
      <c r="L97" s="127">
        <v>0</v>
      </c>
      <c r="M97" s="127">
        <v>0</v>
      </c>
      <c r="N97" s="127">
        <v>0</v>
      </c>
      <c r="O97" s="127">
        <v>0</v>
      </c>
      <c r="P97" s="127">
        <v>0</v>
      </c>
      <c r="Q97" s="127">
        <v>0</v>
      </c>
      <c r="R97" s="127">
        <v>0</v>
      </c>
      <c r="S97" s="127">
        <v>0</v>
      </c>
      <c r="T97" s="127">
        <v>0</v>
      </c>
      <c r="U97" s="127">
        <v>0</v>
      </c>
      <c r="V97" s="127">
        <v>0</v>
      </c>
      <c r="W97" s="127">
        <v>0</v>
      </c>
      <c r="X97" s="127">
        <v>0</v>
      </c>
      <c r="Y97" s="127">
        <v>0</v>
      </c>
      <c r="Z97" s="127">
        <v>1</v>
      </c>
      <c r="AA97" s="127">
        <v>1</v>
      </c>
      <c r="AB97" s="127">
        <v>1</v>
      </c>
      <c r="AC97" s="127">
        <v>1</v>
      </c>
      <c r="AD97" s="127">
        <v>1</v>
      </c>
      <c r="AE97" s="127">
        <v>1</v>
      </c>
      <c r="AF97" s="127">
        <v>1</v>
      </c>
      <c r="AG97" s="127">
        <v>1</v>
      </c>
      <c r="AH97" s="127">
        <v>1</v>
      </c>
      <c r="AI97" s="127">
        <v>1</v>
      </c>
      <c r="AJ97" s="127">
        <v>1</v>
      </c>
      <c r="AK97" s="127">
        <v>1</v>
      </c>
      <c r="AL97" s="127">
        <v>1</v>
      </c>
      <c r="AM97" s="127">
        <v>1</v>
      </c>
      <c r="AN97" s="127">
        <v>1</v>
      </c>
      <c r="AO97" s="127">
        <v>1</v>
      </c>
      <c r="AP97" s="127">
        <v>1</v>
      </c>
      <c r="AQ97" s="127">
        <v>1</v>
      </c>
      <c r="AR97" s="127">
        <v>1</v>
      </c>
      <c r="AS97" s="127">
        <v>1</v>
      </c>
      <c r="AT97" s="127">
        <v>1</v>
      </c>
      <c r="AU97" s="127">
        <v>1</v>
      </c>
      <c r="AV97" s="127">
        <v>1</v>
      </c>
      <c r="AW97" s="127">
        <v>1</v>
      </c>
      <c r="AX97" s="127">
        <v>1</v>
      </c>
      <c r="AY97" s="127">
        <v>1</v>
      </c>
      <c r="AZ97" s="127">
        <v>1</v>
      </c>
      <c r="BA97" s="127">
        <v>1</v>
      </c>
      <c r="BB97" s="127">
        <v>1</v>
      </c>
      <c r="BC97" s="127">
        <v>1</v>
      </c>
      <c r="BD97" s="127">
        <v>1</v>
      </c>
      <c r="BE97" s="127">
        <v>1</v>
      </c>
      <c r="BF97" s="127">
        <v>1</v>
      </c>
      <c r="BG97" s="127">
        <v>1</v>
      </c>
      <c r="BH97" s="127">
        <v>1</v>
      </c>
      <c r="BI97" s="127">
        <v>1</v>
      </c>
      <c r="BJ97" s="127">
        <v>1</v>
      </c>
      <c r="BK97" s="127">
        <v>1</v>
      </c>
      <c r="BL97" s="127">
        <v>1</v>
      </c>
      <c r="BM97" s="127">
        <v>1</v>
      </c>
      <c r="BN97" s="127">
        <v>1</v>
      </c>
      <c r="BO97" s="127">
        <v>1</v>
      </c>
      <c r="BP97" s="127">
        <v>1</v>
      </c>
      <c r="BQ97" s="127">
        <v>1</v>
      </c>
      <c r="BR97" s="163">
        <v>1</v>
      </c>
      <c r="BS97" s="163">
        <v>1</v>
      </c>
      <c r="BT97" s="163">
        <v>1</v>
      </c>
      <c r="BU97" s="163">
        <v>1</v>
      </c>
      <c r="BV97" s="163">
        <v>1</v>
      </c>
      <c r="BW97" s="163">
        <v>1</v>
      </c>
      <c r="BX97" s="163">
        <v>1</v>
      </c>
      <c r="BY97" s="163">
        <v>1</v>
      </c>
      <c r="BZ97" s="163">
        <v>1</v>
      </c>
      <c r="CA97" s="163">
        <v>1</v>
      </c>
      <c r="CB97" s="163">
        <v>1</v>
      </c>
      <c r="CC97" s="163">
        <v>1</v>
      </c>
      <c r="CD97" s="163">
        <v>1</v>
      </c>
      <c r="CE97" s="163">
        <v>1</v>
      </c>
      <c r="CF97" s="163">
        <v>1</v>
      </c>
      <c r="CG97" s="163">
        <v>1</v>
      </c>
      <c r="CH97" s="163">
        <v>1</v>
      </c>
      <c r="CI97" s="163">
        <v>1</v>
      </c>
      <c r="CJ97" s="163">
        <v>1</v>
      </c>
      <c r="CK97" s="163">
        <v>1</v>
      </c>
      <c r="CL97" s="163">
        <v>1</v>
      </c>
      <c r="CM97" s="163">
        <v>1</v>
      </c>
      <c r="CN97" s="163">
        <v>1</v>
      </c>
      <c r="CO97" s="163">
        <v>1</v>
      </c>
      <c r="CP97" s="163">
        <v>1</v>
      </c>
      <c r="CQ97" s="163">
        <v>1</v>
      </c>
      <c r="CR97" s="163">
        <v>1</v>
      </c>
      <c r="CS97" s="163">
        <v>1</v>
      </c>
      <c r="CT97" s="163">
        <v>1</v>
      </c>
      <c r="CU97" s="163">
        <v>1</v>
      </c>
      <c r="CV97" s="163">
        <v>1</v>
      </c>
      <c r="CW97" s="163">
        <v>1</v>
      </c>
      <c r="CX97" s="163">
        <v>1</v>
      </c>
      <c r="CY97" s="163">
        <v>1</v>
      </c>
      <c r="CZ97" s="163">
        <v>1</v>
      </c>
      <c r="DA97" s="163">
        <v>1</v>
      </c>
      <c r="DB97" s="163">
        <v>1</v>
      </c>
      <c r="DC97" s="163">
        <v>1</v>
      </c>
      <c r="DD97" s="163">
        <v>1</v>
      </c>
      <c r="DE97" s="163">
        <v>1</v>
      </c>
      <c r="DF97" s="163">
        <v>1</v>
      </c>
      <c r="DG97" s="163">
        <v>1</v>
      </c>
      <c r="DH97" s="347">
        <v>1</v>
      </c>
      <c r="DI97" s="163">
        <v>1</v>
      </c>
      <c r="DJ97" s="163">
        <v>1</v>
      </c>
      <c r="DK97" s="163">
        <v>1</v>
      </c>
      <c r="DL97" s="163">
        <v>1</v>
      </c>
      <c r="DM97" s="163">
        <v>1</v>
      </c>
      <c r="DN97" s="163">
        <v>1</v>
      </c>
      <c r="DO97" s="163">
        <v>1</v>
      </c>
      <c r="DP97" s="163">
        <v>1</v>
      </c>
      <c r="DQ97" s="163">
        <v>1</v>
      </c>
      <c r="DR97" s="163">
        <v>1</v>
      </c>
      <c r="DS97" s="163">
        <v>1</v>
      </c>
      <c r="DT97" s="163">
        <v>1</v>
      </c>
      <c r="DU97" s="163">
        <v>1</v>
      </c>
      <c r="DV97" s="163">
        <v>1</v>
      </c>
      <c r="DW97" s="163">
        <v>1</v>
      </c>
      <c r="DX97" s="163">
        <v>1</v>
      </c>
      <c r="DY97" s="163">
        <v>1</v>
      </c>
      <c r="DZ97" s="163">
        <v>1</v>
      </c>
      <c r="EA97" s="163">
        <v>1</v>
      </c>
      <c r="EB97" s="163">
        <v>1</v>
      </c>
      <c r="EC97" s="163">
        <v>1</v>
      </c>
      <c r="ED97" s="163">
        <v>1</v>
      </c>
      <c r="EE97" s="163">
        <v>1</v>
      </c>
      <c r="EF97" s="163">
        <v>1</v>
      </c>
      <c r="EG97" s="163">
        <v>1</v>
      </c>
      <c r="EH97" s="163">
        <v>1</v>
      </c>
      <c r="EI97" s="163">
        <v>1</v>
      </c>
      <c r="EJ97" s="163">
        <v>1</v>
      </c>
      <c r="EK97" s="163">
        <v>1</v>
      </c>
      <c r="EL97" s="163">
        <v>1</v>
      </c>
    </row>
    <row r="98" spans="2:142" ht="15" hidden="1" outlineLevel="1" collapsed="1" x14ac:dyDescent="0.3">
      <c r="B98" s="22"/>
      <c r="C98" s="23"/>
      <c r="D98" s="23" t="s">
        <v>102</v>
      </c>
      <c r="E98" s="50"/>
      <c r="F98" s="26">
        <v>84</v>
      </c>
      <c r="G98" s="160">
        <v>45573</v>
      </c>
      <c r="H98" s="160">
        <v>45716</v>
      </c>
      <c r="I98" s="26">
        <f>+SUM(I99:I102)</f>
        <v>69</v>
      </c>
      <c r="J98" s="28">
        <v>2.9849192336063604E-2</v>
      </c>
      <c r="K98" s="51"/>
      <c r="L98" s="28">
        <f>+SUMPRODUCT($J$99:$J$102,L99:L102)</f>
        <v>0</v>
      </c>
      <c r="M98" s="28">
        <f t="shared" ref="M98:BU98" si="234">+SUMPRODUCT($J$99:$J$102,M99:M102)</f>
        <v>0</v>
      </c>
      <c r="N98" s="28">
        <f t="shared" si="234"/>
        <v>0</v>
      </c>
      <c r="O98" s="28">
        <f t="shared" si="234"/>
        <v>0</v>
      </c>
      <c r="P98" s="28">
        <f t="shared" si="234"/>
        <v>0</v>
      </c>
      <c r="Q98" s="28">
        <f t="shared" si="234"/>
        <v>0</v>
      </c>
      <c r="R98" s="28">
        <f t="shared" si="234"/>
        <v>0</v>
      </c>
      <c r="S98" s="28">
        <f t="shared" si="234"/>
        <v>0</v>
      </c>
      <c r="T98" s="28">
        <f t="shared" si="234"/>
        <v>0</v>
      </c>
      <c r="U98" s="28">
        <f t="shared" si="234"/>
        <v>0</v>
      </c>
      <c r="V98" s="28">
        <f t="shared" si="234"/>
        <v>0</v>
      </c>
      <c r="W98" s="28">
        <f t="shared" si="234"/>
        <v>0</v>
      </c>
      <c r="X98" s="28">
        <f t="shared" si="234"/>
        <v>0</v>
      </c>
      <c r="Y98" s="28">
        <f t="shared" si="234"/>
        <v>0</v>
      </c>
      <c r="Z98" s="28">
        <f t="shared" si="234"/>
        <v>0</v>
      </c>
      <c r="AA98" s="28">
        <f t="shared" si="234"/>
        <v>0</v>
      </c>
      <c r="AB98" s="28">
        <f t="shared" si="234"/>
        <v>0</v>
      </c>
      <c r="AC98" s="28">
        <f t="shared" si="234"/>
        <v>4.3478260869565216E-2</v>
      </c>
      <c r="AD98" s="28">
        <f t="shared" si="234"/>
        <v>4.3478260869565216E-2</v>
      </c>
      <c r="AE98" s="28">
        <f t="shared" si="234"/>
        <v>4.3478260869565216E-2</v>
      </c>
      <c r="AF98" s="28">
        <f t="shared" si="234"/>
        <v>0.16901108269394716</v>
      </c>
      <c r="AG98" s="28">
        <f t="shared" si="234"/>
        <v>0.51159420289855073</v>
      </c>
      <c r="AH98" s="28">
        <f t="shared" si="234"/>
        <v>0.61594202898550732</v>
      </c>
      <c r="AI98" s="28">
        <f t="shared" si="234"/>
        <v>0.69710144927536233</v>
      </c>
      <c r="AJ98" s="28">
        <f t="shared" si="234"/>
        <v>0.74347826086956526</v>
      </c>
      <c r="AK98" s="28">
        <f t="shared" si="234"/>
        <v>0.74347826086956526</v>
      </c>
      <c r="AL98" s="28">
        <f t="shared" si="234"/>
        <v>0.74347826086956526</v>
      </c>
      <c r="AM98" s="28">
        <f t="shared" si="234"/>
        <v>0.74347826086956526</v>
      </c>
      <c r="AN98" s="28">
        <f t="shared" si="234"/>
        <v>0.74347826086956526</v>
      </c>
      <c r="AO98" s="28">
        <f t="shared" si="234"/>
        <v>0.76086956521739135</v>
      </c>
      <c r="AP98" s="28">
        <f t="shared" si="234"/>
        <v>0.77173188405797111</v>
      </c>
      <c r="AQ98" s="28">
        <f t="shared" si="234"/>
        <v>0.78259420289855075</v>
      </c>
      <c r="AR98" s="28">
        <f t="shared" si="234"/>
        <v>0.7934565217391305</v>
      </c>
      <c r="AS98" s="28">
        <f t="shared" si="234"/>
        <v>0.80431884057971015</v>
      </c>
      <c r="AT98" s="28">
        <f t="shared" si="234"/>
        <v>0.8151811594202899</v>
      </c>
      <c r="AU98" s="28">
        <f t="shared" si="234"/>
        <v>0.82604347826086966</v>
      </c>
      <c r="AV98" s="28">
        <f t="shared" si="234"/>
        <v>0.8369057971014493</v>
      </c>
      <c r="AW98" s="28">
        <f t="shared" si="234"/>
        <v>0.84776811594202905</v>
      </c>
      <c r="AX98" s="28">
        <f t="shared" si="234"/>
        <v>0.8586304347826087</v>
      </c>
      <c r="AY98" s="28">
        <f t="shared" si="234"/>
        <v>0.86949275362318845</v>
      </c>
      <c r="AZ98" s="28">
        <f t="shared" si="234"/>
        <v>0.88035507246376821</v>
      </c>
      <c r="BA98" s="28">
        <f t="shared" si="234"/>
        <v>0.89121739130434796</v>
      </c>
      <c r="BB98" s="28">
        <f t="shared" si="234"/>
        <v>0.9020797101449276</v>
      </c>
      <c r="BC98" s="28">
        <f t="shared" si="234"/>
        <v>0.91294202898550725</v>
      </c>
      <c r="BD98" s="28">
        <f t="shared" si="234"/>
        <v>0.923804347826087</v>
      </c>
      <c r="BE98" s="28">
        <f t="shared" si="234"/>
        <v>0.93466666666666676</v>
      </c>
      <c r="BF98" s="28">
        <f t="shared" si="234"/>
        <v>0.94552898550724651</v>
      </c>
      <c r="BG98" s="28">
        <f t="shared" si="234"/>
        <v>0.95639130434782627</v>
      </c>
      <c r="BH98" s="28">
        <f t="shared" si="234"/>
        <v>0.96725362318840591</v>
      </c>
      <c r="BI98" s="28">
        <f t="shared" si="234"/>
        <v>0.97811594202898566</v>
      </c>
      <c r="BJ98" s="28">
        <f t="shared" si="234"/>
        <v>0.98897826086956531</v>
      </c>
      <c r="BK98" s="28">
        <f t="shared" si="234"/>
        <v>0.99984057971014517</v>
      </c>
      <c r="BL98" s="28">
        <f t="shared" si="234"/>
        <v>1</v>
      </c>
      <c r="BM98" s="28">
        <f t="shared" si="234"/>
        <v>1</v>
      </c>
      <c r="BN98" s="28">
        <f t="shared" si="234"/>
        <v>1</v>
      </c>
      <c r="BO98" s="28">
        <f t="shared" si="234"/>
        <v>1</v>
      </c>
      <c r="BP98" s="28">
        <f t="shared" si="234"/>
        <v>1</v>
      </c>
      <c r="BQ98" s="28">
        <f t="shared" si="234"/>
        <v>1</v>
      </c>
      <c r="BR98" s="161">
        <f t="shared" si="234"/>
        <v>1</v>
      </c>
      <c r="BS98" s="161">
        <f t="shared" si="234"/>
        <v>1</v>
      </c>
      <c r="BT98" s="161">
        <f t="shared" si="234"/>
        <v>1</v>
      </c>
      <c r="BU98" s="161">
        <f t="shared" si="234"/>
        <v>1</v>
      </c>
      <c r="BV98" s="161">
        <f t="shared" ref="BV98:CL98" si="235">+SUMPRODUCT($J$99:$J$102,BV99:BV102)</f>
        <v>1</v>
      </c>
      <c r="BW98" s="161">
        <f t="shared" si="235"/>
        <v>1</v>
      </c>
      <c r="BX98" s="161">
        <f t="shared" si="235"/>
        <v>1</v>
      </c>
      <c r="BY98" s="161">
        <f t="shared" si="235"/>
        <v>1</v>
      </c>
      <c r="BZ98" s="161">
        <f t="shared" si="235"/>
        <v>1</v>
      </c>
      <c r="CA98" s="161">
        <f t="shared" si="235"/>
        <v>1</v>
      </c>
      <c r="CB98" s="161">
        <f t="shared" si="235"/>
        <v>1</v>
      </c>
      <c r="CC98" s="161">
        <f t="shared" si="235"/>
        <v>1</v>
      </c>
      <c r="CD98" s="161">
        <f t="shared" si="235"/>
        <v>1</v>
      </c>
      <c r="CE98" s="161">
        <f t="shared" si="235"/>
        <v>1</v>
      </c>
      <c r="CF98" s="161">
        <f t="shared" si="235"/>
        <v>1</v>
      </c>
      <c r="CG98" s="161">
        <f t="shared" si="235"/>
        <v>1</v>
      </c>
      <c r="CH98" s="161">
        <f t="shared" si="235"/>
        <v>1</v>
      </c>
      <c r="CI98" s="161">
        <f t="shared" si="235"/>
        <v>1</v>
      </c>
      <c r="CJ98" s="161">
        <f t="shared" si="235"/>
        <v>1</v>
      </c>
      <c r="CK98" s="161">
        <f t="shared" si="235"/>
        <v>1</v>
      </c>
      <c r="CL98" s="161">
        <f t="shared" si="235"/>
        <v>1</v>
      </c>
      <c r="CM98" s="161">
        <f t="shared" ref="CM98:CN98" si="236">+SUMPRODUCT($J$99:$J$102,CM99:CM102)</f>
        <v>1</v>
      </c>
      <c r="CN98" s="161">
        <f t="shared" si="236"/>
        <v>1</v>
      </c>
      <c r="CO98" s="161">
        <f t="shared" ref="CO98" si="237">+SUMPRODUCT($J$99:$J$102,CO99:CO102)</f>
        <v>1</v>
      </c>
      <c r="CP98" s="161">
        <f t="shared" ref="CP98:CV98" si="238">+SUMPRODUCT($J$99:$J$102,CP99:CP102)</f>
        <v>1</v>
      </c>
      <c r="CQ98" s="161">
        <f t="shared" si="238"/>
        <v>1</v>
      </c>
      <c r="CR98" s="161">
        <f t="shared" si="238"/>
        <v>1</v>
      </c>
      <c r="CS98" s="161">
        <f t="shared" si="238"/>
        <v>1</v>
      </c>
      <c r="CT98" s="161">
        <f t="shared" si="238"/>
        <v>1</v>
      </c>
      <c r="CU98" s="161">
        <f t="shared" si="238"/>
        <v>1</v>
      </c>
      <c r="CV98" s="161">
        <f t="shared" si="238"/>
        <v>1</v>
      </c>
      <c r="CW98" s="161">
        <f t="shared" ref="CW98:CY98" si="239">+SUMPRODUCT($J$99:$J$102,CW99:CW102)</f>
        <v>1</v>
      </c>
      <c r="CX98" s="161">
        <f t="shared" si="239"/>
        <v>1</v>
      </c>
      <c r="CY98" s="161">
        <f t="shared" si="239"/>
        <v>1</v>
      </c>
      <c r="CZ98" s="161">
        <f t="shared" ref="CZ98:DA98" si="240">+SUMPRODUCT($J$99:$J$102,CZ99:CZ102)</f>
        <v>1</v>
      </c>
      <c r="DA98" s="161">
        <f t="shared" si="240"/>
        <v>1</v>
      </c>
      <c r="DB98" s="161">
        <f t="shared" ref="DB98:DC98" si="241">+SUMPRODUCT($J$99:$J$102,DB99:DB102)</f>
        <v>1</v>
      </c>
      <c r="DC98" s="161">
        <f t="shared" si="241"/>
        <v>1</v>
      </c>
      <c r="DD98" s="161">
        <f t="shared" ref="DD98:DE98" si="242">+SUMPRODUCT($J$99:$J$102,DD99:DD102)</f>
        <v>1</v>
      </c>
      <c r="DE98" s="161">
        <f t="shared" si="242"/>
        <v>1</v>
      </c>
      <c r="DF98" s="161">
        <f t="shared" ref="DF98:DG98" si="243">+SUMPRODUCT($J$99:$J$102,DF99:DF102)</f>
        <v>1</v>
      </c>
      <c r="DG98" s="161">
        <f t="shared" si="243"/>
        <v>1</v>
      </c>
      <c r="DH98" s="346">
        <f t="shared" ref="DH98:EL98" si="244">+SUMPRODUCT($J$99:$J$102,DH99:DH102)</f>
        <v>1</v>
      </c>
      <c r="DI98" s="161">
        <f t="shared" si="244"/>
        <v>1</v>
      </c>
      <c r="DJ98" s="161">
        <f t="shared" si="244"/>
        <v>1</v>
      </c>
      <c r="DK98" s="161">
        <f t="shared" si="244"/>
        <v>1</v>
      </c>
      <c r="DL98" s="161">
        <f t="shared" si="244"/>
        <v>1</v>
      </c>
      <c r="DM98" s="161">
        <f t="shared" si="244"/>
        <v>1</v>
      </c>
      <c r="DN98" s="161">
        <f t="shared" si="244"/>
        <v>1</v>
      </c>
      <c r="DO98" s="161">
        <f t="shared" si="244"/>
        <v>1</v>
      </c>
      <c r="DP98" s="161">
        <f t="shared" si="244"/>
        <v>1</v>
      </c>
      <c r="DQ98" s="161">
        <f t="shared" si="244"/>
        <v>1</v>
      </c>
      <c r="DR98" s="161">
        <f t="shared" si="244"/>
        <v>1</v>
      </c>
      <c r="DS98" s="161">
        <f t="shared" si="244"/>
        <v>1</v>
      </c>
      <c r="DT98" s="161">
        <f t="shared" si="244"/>
        <v>1</v>
      </c>
      <c r="DU98" s="161">
        <f t="shared" si="244"/>
        <v>1</v>
      </c>
      <c r="DV98" s="161">
        <f t="shared" si="244"/>
        <v>1</v>
      </c>
      <c r="DW98" s="161">
        <f t="shared" si="244"/>
        <v>1</v>
      </c>
      <c r="DX98" s="161">
        <f t="shared" si="244"/>
        <v>1</v>
      </c>
      <c r="DY98" s="161">
        <f t="shared" si="244"/>
        <v>1</v>
      </c>
      <c r="DZ98" s="161">
        <f t="shared" si="244"/>
        <v>1</v>
      </c>
      <c r="EA98" s="161">
        <f t="shared" si="244"/>
        <v>1</v>
      </c>
      <c r="EB98" s="161">
        <f t="shared" si="244"/>
        <v>1</v>
      </c>
      <c r="EC98" s="161">
        <f t="shared" si="244"/>
        <v>1</v>
      </c>
      <c r="ED98" s="161">
        <f t="shared" si="244"/>
        <v>1</v>
      </c>
      <c r="EE98" s="161">
        <f t="shared" si="244"/>
        <v>1</v>
      </c>
      <c r="EF98" s="161">
        <f t="shared" si="244"/>
        <v>1</v>
      </c>
      <c r="EG98" s="161">
        <f t="shared" si="244"/>
        <v>1</v>
      </c>
      <c r="EH98" s="161">
        <f t="shared" si="244"/>
        <v>1</v>
      </c>
      <c r="EI98" s="161">
        <f t="shared" si="244"/>
        <v>1</v>
      </c>
      <c r="EJ98" s="161">
        <f t="shared" si="244"/>
        <v>1</v>
      </c>
      <c r="EK98" s="161">
        <f t="shared" si="244"/>
        <v>1</v>
      </c>
      <c r="EL98" s="161">
        <f t="shared" si="244"/>
        <v>1</v>
      </c>
    </row>
    <row r="99" spans="2:142" ht="28.8" hidden="1" outlineLevel="2" x14ac:dyDescent="0.3">
      <c r="B99" s="29"/>
      <c r="C99" s="30"/>
      <c r="D99" s="30"/>
      <c r="E99" s="52" t="s">
        <v>103</v>
      </c>
      <c r="F99" s="33">
        <v>9</v>
      </c>
      <c r="G99" s="162">
        <v>45573</v>
      </c>
      <c r="H99" s="162">
        <v>45583</v>
      </c>
      <c r="I99" s="33">
        <f>+F99</f>
        <v>9</v>
      </c>
      <c r="J99" s="35">
        <v>0.13043478260869565</v>
      </c>
      <c r="K99" s="53"/>
      <c r="L99" s="127">
        <v>0</v>
      </c>
      <c r="M99" s="127">
        <v>0</v>
      </c>
      <c r="N99" s="127">
        <v>0</v>
      </c>
      <c r="O99" s="127">
        <v>0</v>
      </c>
      <c r="P99" s="127">
        <v>0</v>
      </c>
      <c r="Q99" s="127">
        <v>0</v>
      </c>
      <c r="R99" s="127">
        <v>0</v>
      </c>
      <c r="S99" s="127">
        <v>0</v>
      </c>
      <c r="T99" s="127">
        <v>0</v>
      </c>
      <c r="U99" s="127">
        <v>0</v>
      </c>
      <c r="V99" s="127">
        <v>0</v>
      </c>
      <c r="W99" s="127">
        <v>0</v>
      </c>
      <c r="X99" s="127">
        <v>0</v>
      </c>
      <c r="Y99" s="127">
        <v>0</v>
      </c>
      <c r="Z99" s="127">
        <v>0</v>
      </c>
      <c r="AA99" s="127">
        <v>0</v>
      </c>
      <c r="AB99" s="127">
        <v>0</v>
      </c>
      <c r="AC99" s="127">
        <v>0</v>
      </c>
      <c r="AD99" s="127">
        <v>0</v>
      </c>
      <c r="AE99" s="127">
        <v>0</v>
      </c>
      <c r="AF99" s="127">
        <v>2.9411764705882353E-2</v>
      </c>
      <c r="AG99" s="127">
        <v>1</v>
      </c>
      <c r="AH99" s="127">
        <v>1</v>
      </c>
      <c r="AI99" s="127">
        <v>1</v>
      </c>
      <c r="AJ99" s="127">
        <v>1</v>
      </c>
      <c r="AK99" s="127">
        <v>1</v>
      </c>
      <c r="AL99" s="127">
        <v>1</v>
      </c>
      <c r="AM99" s="127">
        <v>1</v>
      </c>
      <c r="AN99" s="127">
        <v>1</v>
      </c>
      <c r="AO99" s="127">
        <v>1</v>
      </c>
      <c r="AP99" s="127">
        <v>1</v>
      </c>
      <c r="AQ99" s="127">
        <v>1</v>
      </c>
      <c r="AR99" s="127">
        <v>1</v>
      </c>
      <c r="AS99" s="127">
        <v>1</v>
      </c>
      <c r="AT99" s="127">
        <v>1</v>
      </c>
      <c r="AU99" s="127">
        <v>1</v>
      </c>
      <c r="AV99" s="127">
        <v>1</v>
      </c>
      <c r="AW99" s="127">
        <v>1</v>
      </c>
      <c r="AX99" s="127">
        <v>1</v>
      </c>
      <c r="AY99" s="127">
        <v>1</v>
      </c>
      <c r="AZ99" s="127">
        <v>1</v>
      </c>
      <c r="BA99" s="127">
        <v>1</v>
      </c>
      <c r="BB99" s="127">
        <v>1</v>
      </c>
      <c r="BC99" s="127">
        <v>1</v>
      </c>
      <c r="BD99" s="127">
        <v>1</v>
      </c>
      <c r="BE99" s="127">
        <v>1</v>
      </c>
      <c r="BF99" s="127">
        <v>1</v>
      </c>
      <c r="BG99" s="127">
        <v>1</v>
      </c>
      <c r="BH99" s="127">
        <v>1</v>
      </c>
      <c r="BI99" s="127">
        <v>1</v>
      </c>
      <c r="BJ99" s="127">
        <v>1</v>
      </c>
      <c r="BK99" s="127">
        <v>1</v>
      </c>
      <c r="BL99" s="127">
        <v>1</v>
      </c>
      <c r="BM99" s="127">
        <v>1</v>
      </c>
      <c r="BN99" s="127">
        <v>1</v>
      </c>
      <c r="BO99" s="127">
        <v>1</v>
      </c>
      <c r="BP99" s="127">
        <v>1</v>
      </c>
      <c r="BQ99" s="127">
        <v>1</v>
      </c>
      <c r="BR99" s="163">
        <v>1</v>
      </c>
      <c r="BS99" s="163">
        <v>1</v>
      </c>
      <c r="BT99" s="163">
        <v>1</v>
      </c>
      <c r="BU99" s="163">
        <v>1</v>
      </c>
      <c r="BV99" s="163">
        <v>1</v>
      </c>
      <c r="BW99" s="163">
        <v>1</v>
      </c>
      <c r="BX99" s="163">
        <v>1</v>
      </c>
      <c r="BY99" s="163">
        <v>1</v>
      </c>
      <c r="BZ99" s="163">
        <v>1</v>
      </c>
      <c r="CA99" s="163">
        <v>1</v>
      </c>
      <c r="CB99" s="163">
        <v>1</v>
      </c>
      <c r="CC99" s="163">
        <v>1</v>
      </c>
      <c r="CD99" s="163">
        <v>1</v>
      </c>
      <c r="CE99" s="163">
        <v>1</v>
      </c>
      <c r="CF99" s="163">
        <v>1</v>
      </c>
      <c r="CG99" s="163">
        <v>1</v>
      </c>
      <c r="CH99" s="163">
        <v>1</v>
      </c>
      <c r="CI99" s="163">
        <v>1</v>
      </c>
      <c r="CJ99" s="163">
        <v>1</v>
      </c>
      <c r="CK99" s="163">
        <v>1</v>
      </c>
      <c r="CL99" s="163">
        <v>1</v>
      </c>
      <c r="CM99" s="163">
        <v>1</v>
      </c>
      <c r="CN99" s="163">
        <v>1</v>
      </c>
      <c r="CO99" s="163">
        <v>1</v>
      </c>
      <c r="CP99" s="163">
        <v>1</v>
      </c>
      <c r="CQ99" s="163">
        <v>1</v>
      </c>
      <c r="CR99" s="163">
        <v>1</v>
      </c>
      <c r="CS99" s="163">
        <v>1</v>
      </c>
      <c r="CT99" s="163">
        <v>1</v>
      </c>
      <c r="CU99" s="163">
        <v>1</v>
      </c>
      <c r="CV99" s="163">
        <v>1</v>
      </c>
      <c r="CW99" s="163">
        <v>1</v>
      </c>
      <c r="CX99" s="163">
        <v>1</v>
      </c>
      <c r="CY99" s="163">
        <v>1</v>
      </c>
      <c r="CZ99" s="163">
        <v>1</v>
      </c>
      <c r="DA99" s="163">
        <v>1</v>
      </c>
      <c r="DB99" s="163">
        <v>1</v>
      </c>
      <c r="DC99" s="163">
        <v>1</v>
      </c>
      <c r="DD99" s="163">
        <v>1</v>
      </c>
      <c r="DE99" s="163">
        <v>1</v>
      </c>
      <c r="DF99" s="163">
        <v>1</v>
      </c>
      <c r="DG99" s="163">
        <v>1</v>
      </c>
      <c r="DH99" s="347">
        <v>1</v>
      </c>
      <c r="DI99" s="163">
        <v>1</v>
      </c>
      <c r="DJ99" s="163">
        <v>1</v>
      </c>
      <c r="DK99" s="163">
        <v>1</v>
      </c>
      <c r="DL99" s="163">
        <v>1</v>
      </c>
      <c r="DM99" s="163">
        <v>1</v>
      </c>
      <c r="DN99" s="163">
        <v>1</v>
      </c>
      <c r="DO99" s="163">
        <v>1</v>
      </c>
      <c r="DP99" s="163">
        <v>1</v>
      </c>
      <c r="DQ99" s="163">
        <v>1</v>
      </c>
      <c r="DR99" s="163">
        <v>1</v>
      </c>
      <c r="DS99" s="163">
        <v>1</v>
      </c>
      <c r="DT99" s="163">
        <v>1</v>
      </c>
      <c r="DU99" s="163">
        <v>1</v>
      </c>
      <c r="DV99" s="163">
        <v>1</v>
      </c>
      <c r="DW99" s="163">
        <v>1</v>
      </c>
      <c r="DX99" s="163">
        <v>1</v>
      </c>
      <c r="DY99" s="163">
        <v>1</v>
      </c>
      <c r="DZ99" s="163">
        <v>1</v>
      </c>
      <c r="EA99" s="163">
        <v>1</v>
      </c>
      <c r="EB99" s="163">
        <v>1</v>
      </c>
      <c r="EC99" s="163">
        <v>1</v>
      </c>
      <c r="ED99" s="163">
        <v>1</v>
      </c>
      <c r="EE99" s="163">
        <v>1</v>
      </c>
      <c r="EF99" s="163">
        <v>1</v>
      </c>
      <c r="EG99" s="163">
        <v>1</v>
      </c>
      <c r="EH99" s="163">
        <v>1</v>
      </c>
      <c r="EI99" s="163">
        <v>1</v>
      </c>
      <c r="EJ99" s="163">
        <v>1</v>
      </c>
      <c r="EK99" s="163">
        <v>1</v>
      </c>
      <c r="EL99" s="163">
        <v>1</v>
      </c>
    </row>
    <row r="100" spans="2:142" ht="28.8" hidden="1" outlineLevel="2" x14ac:dyDescent="0.3">
      <c r="B100" s="29"/>
      <c r="C100" s="30"/>
      <c r="D100" s="30"/>
      <c r="E100" s="52" t="s">
        <v>104</v>
      </c>
      <c r="F100" s="33">
        <v>40</v>
      </c>
      <c r="G100" s="162">
        <v>45580</v>
      </c>
      <c r="H100" s="162">
        <v>45635</v>
      </c>
      <c r="I100" s="33">
        <f>+F100</f>
        <v>40</v>
      </c>
      <c r="J100" s="35">
        <v>0.57971014492753625</v>
      </c>
      <c r="K100" s="53"/>
      <c r="L100" s="127">
        <v>0</v>
      </c>
      <c r="M100" s="127">
        <v>0</v>
      </c>
      <c r="N100" s="127">
        <v>0</v>
      </c>
      <c r="O100" s="127">
        <v>0</v>
      </c>
      <c r="P100" s="127">
        <v>0</v>
      </c>
      <c r="Q100" s="127">
        <v>0</v>
      </c>
      <c r="R100" s="127">
        <v>0</v>
      </c>
      <c r="S100" s="127">
        <v>0</v>
      </c>
      <c r="T100" s="127">
        <v>0</v>
      </c>
      <c r="U100" s="127">
        <v>0</v>
      </c>
      <c r="V100" s="127">
        <v>0</v>
      </c>
      <c r="W100" s="127">
        <v>0</v>
      </c>
      <c r="X100" s="127">
        <v>0</v>
      </c>
      <c r="Y100" s="127">
        <v>0</v>
      </c>
      <c r="Z100" s="127">
        <v>0</v>
      </c>
      <c r="AA100" s="127">
        <v>0</v>
      </c>
      <c r="AB100" s="127">
        <v>0</v>
      </c>
      <c r="AC100" s="127">
        <v>0</v>
      </c>
      <c r="AD100" s="127">
        <v>0</v>
      </c>
      <c r="AE100" s="127">
        <v>0</v>
      </c>
      <c r="AF100" s="127">
        <v>0.2</v>
      </c>
      <c r="AG100" s="127">
        <v>0.56999999999999995</v>
      </c>
      <c r="AH100" s="127">
        <v>0.75</v>
      </c>
      <c r="AI100" s="127">
        <v>0.89</v>
      </c>
      <c r="AJ100" s="127">
        <v>0.97</v>
      </c>
      <c r="AK100" s="127">
        <v>0.97</v>
      </c>
      <c r="AL100" s="127">
        <v>0.97</v>
      </c>
      <c r="AM100" s="127">
        <v>0.97</v>
      </c>
      <c r="AN100" s="127">
        <v>0.97</v>
      </c>
      <c r="AO100" s="127">
        <v>1</v>
      </c>
      <c r="AP100" s="127">
        <v>1</v>
      </c>
      <c r="AQ100" s="127">
        <v>1</v>
      </c>
      <c r="AR100" s="127">
        <v>1</v>
      </c>
      <c r="AS100" s="127">
        <v>1</v>
      </c>
      <c r="AT100" s="127">
        <v>1</v>
      </c>
      <c r="AU100" s="127">
        <v>1</v>
      </c>
      <c r="AV100" s="127">
        <v>1</v>
      </c>
      <c r="AW100" s="127">
        <v>1</v>
      </c>
      <c r="AX100" s="127">
        <v>1</v>
      </c>
      <c r="AY100" s="127">
        <v>1</v>
      </c>
      <c r="AZ100" s="127">
        <v>1</v>
      </c>
      <c r="BA100" s="127">
        <v>1</v>
      </c>
      <c r="BB100" s="127">
        <v>1</v>
      </c>
      <c r="BC100" s="127">
        <v>1</v>
      </c>
      <c r="BD100" s="127">
        <v>1</v>
      </c>
      <c r="BE100" s="127">
        <v>1</v>
      </c>
      <c r="BF100" s="127">
        <v>1</v>
      </c>
      <c r="BG100" s="127">
        <v>1</v>
      </c>
      <c r="BH100" s="127">
        <v>1</v>
      </c>
      <c r="BI100" s="127">
        <v>1</v>
      </c>
      <c r="BJ100" s="127">
        <v>1</v>
      </c>
      <c r="BK100" s="127">
        <v>1</v>
      </c>
      <c r="BL100" s="127">
        <v>1</v>
      </c>
      <c r="BM100" s="127">
        <v>1</v>
      </c>
      <c r="BN100" s="127">
        <v>1</v>
      </c>
      <c r="BO100" s="127">
        <v>1</v>
      </c>
      <c r="BP100" s="127">
        <v>1</v>
      </c>
      <c r="BQ100" s="127">
        <v>1</v>
      </c>
      <c r="BR100" s="163">
        <v>1</v>
      </c>
      <c r="BS100" s="163">
        <v>1</v>
      </c>
      <c r="BT100" s="163">
        <v>1</v>
      </c>
      <c r="BU100" s="163">
        <v>1</v>
      </c>
      <c r="BV100" s="163">
        <v>1</v>
      </c>
      <c r="BW100" s="163">
        <v>1</v>
      </c>
      <c r="BX100" s="163">
        <v>1</v>
      </c>
      <c r="BY100" s="163">
        <v>1</v>
      </c>
      <c r="BZ100" s="163">
        <v>1</v>
      </c>
      <c r="CA100" s="163">
        <v>1</v>
      </c>
      <c r="CB100" s="163">
        <v>1</v>
      </c>
      <c r="CC100" s="163">
        <v>1</v>
      </c>
      <c r="CD100" s="163">
        <v>1</v>
      </c>
      <c r="CE100" s="163">
        <v>1</v>
      </c>
      <c r="CF100" s="163">
        <v>1</v>
      </c>
      <c r="CG100" s="163">
        <v>1</v>
      </c>
      <c r="CH100" s="163">
        <v>1</v>
      </c>
      <c r="CI100" s="163">
        <v>1</v>
      </c>
      <c r="CJ100" s="163">
        <v>1</v>
      </c>
      <c r="CK100" s="163">
        <v>1</v>
      </c>
      <c r="CL100" s="163">
        <v>1</v>
      </c>
      <c r="CM100" s="163">
        <v>1</v>
      </c>
      <c r="CN100" s="163">
        <v>1</v>
      </c>
      <c r="CO100" s="163">
        <v>1</v>
      </c>
      <c r="CP100" s="163">
        <v>1</v>
      </c>
      <c r="CQ100" s="163">
        <v>1</v>
      </c>
      <c r="CR100" s="163">
        <v>1</v>
      </c>
      <c r="CS100" s="163">
        <v>1</v>
      </c>
      <c r="CT100" s="163">
        <v>1</v>
      </c>
      <c r="CU100" s="163">
        <v>1</v>
      </c>
      <c r="CV100" s="163">
        <v>1</v>
      </c>
      <c r="CW100" s="163">
        <v>1</v>
      </c>
      <c r="CX100" s="163">
        <v>1</v>
      </c>
      <c r="CY100" s="163">
        <v>1</v>
      </c>
      <c r="CZ100" s="163">
        <v>1</v>
      </c>
      <c r="DA100" s="163">
        <v>1</v>
      </c>
      <c r="DB100" s="163">
        <v>1</v>
      </c>
      <c r="DC100" s="163">
        <v>1</v>
      </c>
      <c r="DD100" s="163">
        <v>1</v>
      </c>
      <c r="DE100" s="163">
        <v>1</v>
      </c>
      <c r="DF100" s="163">
        <v>1</v>
      </c>
      <c r="DG100" s="163">
        <v>1</v>
      </c>
      <c r="DH100" s="347">
        <v>1</v>
      </c>
      <c r="DI100" s="163">
        <v>1</v>
      </c>
      <c r="DJ100" s="163">
        <v>1</v>
      </c>
      <c r="DK100" s="163">
        <v>1</v>
      </c>
      <c r="DL100" s="163">
        <v>1</v>
      </c>
      <c r="DM100" s="163">
        <v>1</v>
      </c>
      <c r="DN100" s="163">
        <v>1</v>
      </c>
      <c r="DO100" s="163">
        <v>1</v>
      </c>
      <c r="DP100" s="163">
        <v>1</v>
      </c>
      <c r="DQ100" s="163">
        <v>1</v>
      </c>
      <c r="DR100" s="163">
        <v>1</v>
      </c>
      <c r="DS100" s="163">
        <v>1</v>
      </c>
      <c r="DT100" s="163">
        <v>1</v>
      </c>
      <c r="DU100" s="163">
        <v>1</v>
      </c>
      <c r="DV100" s="163">
        <v>1</v>
      </c>
      <c r="DW100" s="163">
        <v>1</v>
      </c>
      <c r="DX100" s="163">
        <v>1</v>
      </c>
      <c r="DY100" s="163">
        <v>1</v>
      </c>
      <c r="DZ100" s="163">
        <v>1</v>
      </c>
      <c r="EA100" s="163">
        <v>1</v>
      </c>
      <c r="EB100" s="163">
        <v>1</v>
      </c>
      <c r="EC100" s="163">
        <v>1</v>
      </c>
      <c r="ED100" s="163">
        <v>1</v>
      </c>
      <c r="EE100" s="163">
        <v>1</v>
      </c>
      <c r="EF100" s="163">
        <v>1</v>
      </c>
      <c r="EG100" s="163">
        <v>1</v>
      </c>
      <c r="EH100" s="163">
        <v>1</v>
      </c>
      <c r="EI100" s="163">
        <v>1</v>
      </c>
      <c r="EJ100" s="163">
        <v>1</v>
      </c>
      <c r="EK100" s="163">
        <v>1</v>
      </c>
      <c r="EL100" s="163">
        <v>1</v>
      </c>
    </row>
    <row r="101" spans="2:142" ht="28.8" hidden="1" outlineLevel="2" x14ac:dyDescent="0.3">
      <c r="B101" s="29"/>
      <c r="C101" s="30"/>
      <c r="D101" s="30"/>
      <c r="E101" s="52" t="s">
        <v>105</v>
      </c>
      <c r="F101" s="33">
        <v>5</v>
      </c>
      <c r="G101" s="162">
        <v>45691</v>
      </c>
      <c r="H101" s="162">
        <v>45695</v>
      </c>
      <c r="I101" s="33">
        <f>+F101</f>
        <v>5</v>
      </c>
      <c r="J101" s="35">
        <v>7.2463768115942032E-2</v>
      </c>
      <c r="K101" s="53"/>
      <c r="L101" s="127">
        <v>0</v>
      </c>
      <c r="M101" s="127">
        <v>0</v>
      </c>
      <c r="N101" s="127">
        <v>0</v>
      </c>
      <c r="O101" s="127">
        <v>0</v>
      </c>
      <c r="P101" s="127">
        <v>0</v>
      </c>
      <c r="Q101" s="127">
        <v>0</v>
      </c>
      <c r="R101" s="127">
        <v>0</v>
      </c>
      <c r="S101" s="127">
        <v>0</v>
      </c>
      <c r="T101" s="127">
        <v>0</v>
      </c>
      <c r="U101" s="127">
        <v>0</v>
      </c>
      <c r="V101" s="127">
        <v>0</v>
      </c>
      <c r="W101" s="127">
        <v>0</v>
      </c>
      <c r="X101" s="127">
        <v>0</v>
      </c>
      <c r="Y101" s="127">
        <v>0</v>
      </c>
      <c r="Z101" s="127">
        <v>0</v>
      </c>
      <c r="AA101" s="127">
        <v>0</v>
      </c>
      <c r="AB101" s="127">
        <v>0</v>
      </c>
      <c r="AC101" s="127">
        <v>0.3</v>
      </c>
      <c r="AD101" s="127">
        <v>0.3</v>
      </c>
      <c r="AE101" s="127">
        <v>0.3</v>
      </c>
      <c r="AF101" s="127">
        <v>0.32058823529411762</v>
      </c>
      <c r="AG101" s="127">
        <v>0.3411764705882353</v>
      </c>
      <c r="AH101" s="127">
        <v>0.3411764705882353</v>
      </c>
      <c r="AI101" s="127">
        <v>0.3411764705882353</v>
      </c>
      <c r="AJ101" s="127">
        <v>0.3411764705882353</v>
      </c>
      <c r="AK101" s="127">
        <v>0.3411764705882353</v>
      </c>
      <c r="AL101" s="127">
        <v>0.3411764705882353</v>
      </c>
      <c r="AM101" s="127">
        <v>0.3411764705882353</v>
      </c>
      <c r="AN101" s="127">
        <v>0.3411764705882353</v>
      </c>
      <c r="AO101" s="127">
        <v>0.3411764705882353</v>
      </c>
      <c r="AP101" s="127">
        <v>0.37107647058823529</v>
      </c>
      <c r="AQ101" s="127">
        <v>0.40097647058823527</v>
      </c>
      <c r="AR101" s="127">
        <v>0.43087647058823525</v>
      </c>
      <c r="AS101" s="127">
        <v>0.46077647058823523</v>
      </c>
      <c r="AT101" s="127">
        <v>0.49067647058823521</v>
      </c>
      <c r="AU101" s="127">
        <v>0.5205764705882352</v>
      </c>
      <c r="AV101" s="127">
        <v>0.55047647058823523</v>
      </c>
      <c r="AW101" s="127">
        <v>0.58037647058823527</v>
      </c>
      <c r="AX101" s="127">
        <v>0.61027647058823531</v>
      </c>
      <c r="AY101" s="127">
        <v>0.64017647058823535</v>
      </c>
      <c r="AZ101" s="127">
        <v>0.67007647058823538</v>
      </c>
      <c r="BA101" s="127">
        <v>0.69997647058823542</v>
      </c>
      <c r="BB101" s="127">
        <v>0.72987647058823546</v>
      </c>
      <c r="BC101" s="127">
        <v>0.7597764705882355</v>
      </c>
      <c r="BD101" s="127">
        <v>0.78967647058823554</v>
      </c>
      <c r="BE101" s="127">
        <v>0.81957647058823557</v>
      </c>
      <c r="BF101" s="127">
        <v>0.84947647058823561</v>
      </c>
      <c r="BG101" s="127">
        <v>0.87937647058823565</v>
      </c>
      <c r="BH101" s="127">
        <v>0.90927647058823569</v>
      </c>
      <c r="BI101" s="127">
        <v>0.93917647058823572</v>
      </c>
      <c r="BJ101" s="127">
        <v>0.96907647058823576</v>
      </c>
      <c r="BK101" s="127">
        <v>0.9989764705882358</v>
      </c>
      <c r="BL101" s="127">
        <v>1</v>
      </c>
      <c r="BM101" s="127">
        <v>1</v>
      </c>
      <c r="BN101" s="127">
        <v>1</v>
      </c>
      <c r="BO101" s="127">
        <v>1</v>
      </c>
      <c r="BP101" s="127">
        <v>1</v>
      </c>
      <c r="BQ101" s="127">
        <v>1</v>
      </c>
      <c r="BR101" s="163">
        <v>1</v>
      </c>
      <c r="BS101" s="163">
        <v>1</v>
      </c>
      <c r="BT101" s="163">
        <v>1</v>
      </c>
      <c r="BU101" s="163">
        <v>1</v>
      </c>
      <c r="BV101" s="163">
        <v>1</v>
      </c>
      <c r="BW101" s="163">
        <v>1</v>
      </c>
      <c r="BX101" s="163">
        <v>1</v>
      </c>
      <c r="BY101" s="163">
        <v>1</v>
      </c>
      <c r="BZ101" s="163">
        <v>1</v>
      </c>
      <c r="CA101" s="163">
        <v>1</v>
      </c>
      <c r="CB101" s="163">
        <v>1</v>
      </c>
      <c r="CC101" s="163">
        <v>1</v>
      </c>
      <c r="CD101" s="163">
        <v>1</v>
      </c>
      <c r="CE101" s="163">
        <v>1</v>
      </c>
      <c r="CF101" s="163">
        <v>1</v>
      </c>
      <c r="CG101" s="163">
        <v>1</v>
      </c>
      <c r="CH101" s="163">
        <v>1</v>
      </c>
      <c r="CI101" s="163">
        <v>1</v>
      </c>
      <c r="CJ101" s="163">
        <v>1</v>
      </c>
      <c r="CK101" s="163">
        <v>1</v>
      </c>
      <c r="CL101" s="163">
        <v>1</v>
      </c>
      <c r="CM101" s="163">
        <v>1</v>
      </c>
      <c r="CN101" s="163">
        <v>1</v>
      </c>
      <c r="CO101" s="163">
        <v>1</v>
      </c>
      <c r="CP101" s="163">
        <v>1</v>
      </c>
      <c r="CQ101" s="163">
        <v>1</v>
      </c>
      <c r="CR101" s="163">
        <v>1</v>
      </c>
      <c r="CS101" s="163">
        <v>1</v>
      </c>
      <c r="CT101" s="163">
        <v>1</v>
      </c>
      <c r="CU101" s="163">
        <v>1</v>
      </c>
      <c r="CV101" s="163">
        <v>1</v>
      </c>
      <c r="CW101" s="163">
        <v>1</v>
      </c>
      <c r="CX101" s="163">
        <v>1</v>
      </c>
      <c r="CY101" s="163">
        <v>1</v>
      </c>
      <c r="CZ101" s="163">
        <v>1</v>
      </c>
      <c r="DA101" s="163">
        <v>1</v>
      </c>
      <c r="DB101" s="163">
        <v>1</v>
      </c>
      <c r="DC101" s="163">
        <v>1</v>
      </c>
      <c r="DD101" s="163">
        <v>1</v>
      </c>
      <c r="DE101" s="163">
        <v>1</v>
      </c>
      <c r="DF101" s="163">
        <v>1</v>
      </c>
      <c r="DG101" s="163">
        <v>1</v>
      </c>
      <c r="DH101" s="347">
        <v>1</v>
      </c>
      <c r="DI101" s="163">
        <v>1</v>
      </c>
      <c r="DJ101" s="163">
        <v>1</v>
      </c>
      <c r="DK101" s="163">
        <v>1</v>
      </c>
      <c r="DL101" s="163">
        <v>1</v>
      </c>
      <c r="DM101" s="163">
        <v>1</v>
      </c>
      <c r="DN101" s="163">
        <v>1</v>
      </c>
      <c r="DO101" s="163">
        <v>1</v>
      </c>
      <c r="DP101" s="163">
        <v>1</v>
      </c>
      <c r="DQ101" s="163">
        <v>1</v>
      </c>
      <c r="DR101" s="163">
        <v>1</v>
      </c>
      <c r="DS101" s="163">
        <v>1</v>
      </c>
      <c r="DT101" s="163">
        <v>1</v>
      </c>
      <c r="DU101" s="163">
        <v>1</v>
      </c>
      <c r="DV101" s="163">
        <v>1</v>
      </c>
      <c r="DW101" s="163">
        <v>1</v>
      </c>
      <c r="DX101" s="163">
        <v>1</v>
      </c>
      <c r="DY101" s="163">
        <v>1</v>
      </c>
      <c r="DZ101" s="163">
        <v>1</v>
      </c>
      <c r="EA101" s="163">
        <v>1</v>
      </c>
      <c r="EB101" s="163">
        <v>1</v>
      </c>
      <c r="EC101" s="163">
        <v>1</v>
      </c>
      <c r="ED101" s="163">
        <v>1</v>
      </c>
      <c r="EE101" s="163">
        <v>1</v>
      </c>
      <c r="EF101" s="163">
        <v>1</v>
      </c>
      <c r="EG101" s="163">
        <v>1</v>
      </c>
      <c r="EH101" s="163">
        <v>1</v>
      </c>
      <c r="EI101" s="163">
        <v>1</v>
      </c>
      <c r="EJ101" s="163">
        <v>1</v>
      </c>
      <c r="EK101" s="163">
        <v>1</v>
      </c>
      <c r="EL101" s="163">
        <v>1</v>
      </c>
    </row>
    <row r="102" spans="2:142" ht="28.8" hidden="1" outlineLevel="2" x14ac:dyDescent="0.3">
      <c r="B102" s="29"/>
      <c r="C102" s="30"/>
      <c r="D102" s="30"/>
      <c r="E102" s="52" t="s">
        <v>106</v>
      </c>
      <c r="F102" s="33">
        <v>15</v>
      </c>
      <c r="G102" s="162">
        <v>45698</v>
      </c>
      <c r="H102" s="162">
        <v>45716</v>
      </c>
      <c r="I102" s="33">
        <f>+F102</f>
        <v>15</v>
      </c>
      <c r="J102" s="35">
        <v>0.21739130434782608</v>
      </c>
      <c r="K102" s="53"/>
      <c r="L102" s="127">
        <v>0</v>
      </c>
      <c r="M102" s="127">
        <v>0</v>
      </c>
      <c r="N102" s="127">
        <v>0</v>
      </c>
      <c r="O102" s="127">
        <v>0</v>
      </c>
      <c r="P102" s="127">
        <v>0</v>
      </c>
      <c r="Q102" s="127">
        <v>0</v>
      </c>
      <c r="R102" s="127">
        <v>0</v>
      </c>
      <c r="S102" s="127">
        <v>0</v>
      </c>
      <c r="T102" s="127">
        <v>0</v>
      </c>
      <c r="U102" s="127">
        <v>0</v>
      </c>
      <c r="V102" s="127">
        <v>0</v>
      </c>
      <c r="W102" s="127">
        <v>0</v>
      </c>
      <c r="X102" s="127">
        <v>0</v>
      </c>
      <c r="Y102" s="127">
        <v>0</v>
      </c>
      <c r="Z102" s="127">
        <v>0</v>
      </c>
      <c r="AA102" s="127">
        <v>0</v>
      </c>
      <c r="AB102" s="127">
        <v>0</v>
      </c>
      <c r="AC102" s="127">
        <v>9.9999999999999992E-2</v>
      </c>
      <c r="AD102" s="127">
        <v>9.9999999999999992E-2</v>
      </c>
      <c r="AE102" s="127">
        <v>9.9999999999999992E-2</v>
      </c>
      <c r="AF102" s="127">
        <v>0.11960784313725489</v>
      </c>
      <c r="AG102" s="127">
        <v>0.11960784313725489</v>
      </c>
      <c r="AH102" s="127">
        <v>0.11960784313725489</v>
      </c>
      <c r="AI102" s="127">
        <v>0.11960784313725489</v>
      </c>
      <c r="AJ102" s="127">
        <v>0.11960784313725489</v>
      </c>
      <c r="AK102" s="127">
        <v>0.11960784313725489</v>
      </c>
      <c r="AL102" s="127">
        <v>0.11960784313725489</v>
      </c>
      <c r="AM102" s="127">
        <v>0.11960784313725489</v>
      </c>
      <c r="AN102" s="127">
        <v>0.11960784313725489</v>
      </c>
      <c r="AO102" s="127">
        <v>0.11960784313725489</v>
      </c>
      <c r="AP102" s="127">
        <v>0.1596078431372549</v>
      </c>
      <c r="AQ102" s="127">
        <v>0.19960784313725491</v>
      </c>
      <c r="AR102" s="127">
        <v>0.23960784313725492</v>
      </c>
      <c r="AS102" s="127">
        <v>0.2796078431372549</v>
      </c>
      <c r="AT102" s="127">
        <v>0.31960784313725488</v>
      </c>
      <c r="AU102" s="127">
        <v>0.35960784313725486</v>
      </c>
      <c r="AV102" s="127">
        <v>0.39960784313725484</v>
      </c>
      <c r="AW102" s="127">
        <v>0.43960784313725482</v>
      </c>
      <c r="AX102" s="127">
        <v>0.4796078431372548</v>
      </c>
      <c r="AY102" s="127">
        <v>0.51960784313725483</v>
      </c>
      <c r="AZ102" s="127">
        <v>0.55960784313725487</v>
      </c>
      <c r="BA102" s="127">
        <v>0.5996078431372549</v>
      </c>
      <c r="BB102" s="127">
        <v>0.63960784313725494</v>
      </c>
      <c r="BC102" s="127">
        <v>0.67960784313725497</v>
      </c>
      <c r="BD102" s="127">
        <v>0.71960784313725501</v>
      </c>
      <c r="BE102" s="127">
        <v>0.75960784313725505</v>
      </c>
      <c r="BF102" s="127">
        <v>0.79960784313725508</v>
      </c>
      <c r="BG102" s="127">
        <v>0.83960784313725512</v>
      </c>
      <c r="BH102" s="127">
        <v>0.87960784313725515</v>
      </c>
      <c r="BI102" s="127">
        <v>0.91960784313725519</v>
      </c>
      <c r="BJ102" s="127">
        <v>0.95960784313725522</v>
      </c>
      <c r="BK102" s="127">
        <v>0.99960784313725526</v>
      </c>
      <c r="BL102" s="127">
        <v>1</v>
      </c>
      <c r="BM102" s="127">
        <v>1</v>
      </c>
      <c r="BN102" s="127">
        <v>1</v>
      </c>
      <c r="BO102" s="127">
        <v>1</v>
      </c>
      <c r="BP102" s="127">
        <v>1</v>
      </c>
      <c r="BQ102" s="127">
        <v>1</v>
      </c>
      <c r="BR102" s="163">
        <v>1</v>
      </c>
      <c r="BS102" s="163">
        <v>1</v>
      </c>
      <c r="BT102" s="163">
        <v>1</v>
      </c>
      <c r="BU102" s="163">
        <v>1</v>
      </c>
      <c r="BV102" s="163">
        <v>1</v>
      </c>
      <c r="BW102" s="163">
        <v>1</v>
      </c>
      <c r="BX102" s="163">
        <v>1</v>
      </c>
      <c r="BY102" s="163">
        <v>1</v>
      </c>
      <c r="BZ102" s="163">
        <v>1</v>
      </c>
      <c r="CA102" s="163">
        <v>1</v>
      </c>
      <c r="CB102" s="163">
        <v>1</v>
      </c>
      <c r="CC102" s="163">
        <v>1</v>
      </c>
      <c r="CD102" s="163">
        <v>1</v>
      </c>
      <c r="CE102" s="163">
        <v>1</v>
      </c>
      <c r="CF102" s="163">
        <v>1</v>
      </c>
      <c r="CG102" s="163">
        <v>1</v>
      </c>
      <c r="CH102" s="163">
        <v>1</v>
      </c>
      <c r="CI102" s="163">
        <v>1</v>
      </c>
      <c r="CJ102" s="163">
        <v>1</v>
      </c>
      <c r="CK102" s="163">
        <v>1</v>
      </c>
      <c r="CL102" s="163">
        <v>1</v>
      </c>
      <c r="CM102" s="163">
        <v>1</v>
      </c>
      <c r="CN102" s="163">
        <v>1</v>
      </c>
      <c r="CO102" s="163">
        <v>1</v>
      </c>
      <c r="CP102" s="163">
        <v>1</v>
      </c>
      <c r="CQ102" s="163">
        <v>1</v>
      </c>
      <c r="CR102" s="163">
        <v>1</v>
      </c>
      <c r="CS102" s="163">
        <v>1</v>
      </c>
      <c r="CT102" s="163">
        <v>1</v>
      </c>
      <c r="CU102" s="163">
        <v>1</v>
      </c>
      <c r="CV102" s="163">
        <v>1</v>
      </c>
      <c r="CW102" s="163">
        <v>1</v>
      </c>
      <c r="CX102" s="163">
        <v>1</v>
      </c>
      <c r="CY102" s="163">
        <v>1</v>
      </c>
      <c r="CZ102" s="163">
        <v>1</v>
      </c>
      <c r="DA102" s="163">
        <v>1</v>
      </c>
      <c r="DB102" s="163">
        <v>1</v>
      </c>
      <c r="DC102" s="163">
        <v>1</v>
      </c>
      <c r="DD102" s="163">
        <v>1</v>
      </c>
      <c r="DE102" s="163">
        <v>1</v>
      </c>
      <c r="DF102" s="163">
        <v>1</v>
      </c>
      <c r="DG102" s="163">
        <v>1</v>
      </c>
      <c r="DH102" s="347">
        <v>1</v>
      </c>
      <c r="DI102" s="163">
        <v>1</v>
      </c>
      <c r="DJ102" s="163">
        <v>1</v>
      </c>
      <c r="DK102" s="163">
        <v>1</v>
      </c>
      <c r="DL102" s="163">
        <v>1</v>
      </c>
      <c r="DM102" s="163">
        <v>1</v>
      </c>
      <c r="DN102" s="163">
        <v>1</v>
      </c>
      <c r="DO102" s="163">
        <v>1</v>
      </c>
      <c r="DP102" s="163">
        <v>1</v>
      </c>
      <c r="DQ102" s="163">
        <v>1</v>
      </c>
      <c r="DR102" s="163">
        <v>1</v>
      </c>
      <c r="DS102" s="163">
        <v>1</v>
      </c>
      <c r="DT102" s="163">
        <v>1</v>
      </c>
      <c r="DU102" s="163">
        <v>1</v>
      </c>
      <c r="DV102" s="163">
        <v>1</v>
      </c>
      <c r="DW102" s="163">
        <v>1</v>
      </c>
      <c r="DX102" s="163">
        <v>1</v>
      </c>
      <c r="DY102" s="163">
        <v>1</v>
      </c>
      <c r="DZ102" s="163">
        <v>1</v>
      </c>
      <c r="EA102" s="163">
        <v>1</v>
      </c>
      <c r="EB102" s="163">
        <v>1</v>
      </c>
      <c r="EC102" s="163">
        <v>1</v>
      </c>
      <c r="ED102" s="163">
        <v>1</v>
      </c>
      <c r="EE102" s="163">
        <v>1</v>
      </c>
      <c r="EF102" s="163">
        <v>1</v>
      </c>
      <c r="EG102" s="163">
        <v>1</v>
      </c>
      <c r="EH102" s="163">
        <v>1</v>
      </c>
      <c r="EI102" s="163">
        <v>1</v>
      </c>
      <c r="EJ102" s="163">
        <v>1</v>
      </c>
      <c r="EK102" s="163">
        <v>1</v>
      </c>
      <c r="EL102" s="163">
        <v>1</v>
      </c>
    </row>
    <row r="103" spans="2:142" ht="15" hidden="1" outlineLevel="1" collapsed="1" x14ac:dyDescent="0.3">
      <c r="B103" s="22"/>
      <c r="C103" s="23"/>
      <c r="D103" s="23" t="s">
        <v>107</v>
      </c>
      <c r="E103" s="50"/>
      <c r="F103" s="26">
        <v>30</v>
      </c>
      <c r="G103" s="160">
        <v>45693</v>
      </c>
      <c r="H103" s="160">
        <v>45736</v>
      </c>
      <c r="I103" s="26">
        <f>+I104</f>
        <v>30</v>
      </c>
      <c r="J103" s="28">
        <v>4.3115500040980761E-2</v>
      </c>
      <c r="K103" s="51"/>
      <c r="L103" s="28">
        <f>+L104*$J$104</f>
        <v>0</v>
      </c>
      <c r="M103" s="28">
        <f t="shared" ref="M103:CP103" si="245">+M104*$J$104</f>
        <v>0</v>
      </c>
      <c r="N103" s="28">
        <f t="shared" si="245"/>
        <v>0</v>
      </c>
      <c r="O103" s="28">
        <f t="shared" si="245"/>
        <v>0</v>
      </c>
      <c r="P103" s="28">
        <f t="shared" si="245"/>
        <v>0</v>
      </c>
      <c r="Q103" s="28">
        <f t="shared" si="245"/>
        <v>0</v>
      </c>
      <c r="R103" s="28">
        <f t="shared" si="245"/>
        <v>0</v>
      </c>
      <c r="S103" s="28">
        <f t="shared" si="245"/>
        <v>0</v>
      </c>
      <c r="T103" s="28">
        <f t="shared" si="245"/>
        <v>0</v>
      </c>
      <c r="U103" s="28">
        <f t="shared" si="245"/>
        <v>0</v>
      </c>
      <c r="V103" s="28">
        <f t="shared" si="245"/>
        <v>0</v>
      </c>
      <c r="W103" s="28">
        <f t="shared" si="245"/>
        <v>0</v>
      </c>
      <c r="X103" s="28">
        <f t="shared" si="245"/>
        <v>0</v>
      </c>
      <c r="Y103" s="28">
        <f t="shared" si="245"/>
        <v>0</v>
      </c>
      <c r="Z103" s="28">
        <f t="shared" si="245"/>
        <v>0</v>
      </c>
      <c r="AA103" s="28">
        <f t="shared" si="245"/>
        <v>0</v>
      </c>
      <c r="AB103" s="28">
        <f t="shared" si="245"/>
        <v>0</v>
      </c>
      <c r="AC103" s="28">
        <f t="shared" si="245"/>
        <v>0</v>
      </c>
      <c r="AD103" s="28">
        <f t="shared" si="245"/>
        <v>0</v>
      </c>
      <c r="AE103" s="28">
        <f t="shared" si="245"/>
        <v>0</v>
      </c>
      <c r="AF103" s="28">
        <f t="shared" si="245"/>
        <v>0</v>
      </c>
      <c r="AG103" s="28">
        <f t="shared" si="245"/>
        <v>0</v>
      </c>
      <c r="AH103" s="28">
        <f t="shared" si="245"/>
        <v>0</v>
      </c>
      <c r="AI103" s="28">
        <f t="shared" si="245"/>
        <v>0</v>
      </c>
      <c r="AJ103" s="28">
        <f t="shared" si="245"/>
        <v>0</v>
      </c>
      <c r="AK103" s="28">
        <f t="shared" si="245"/>
        <v>0</v>
      </c>
      <c r="AL103" s="28">
        <f t="shared" si="245"/>
        <v>0</v>
      </c>
      <c r="AM103" s="28">
        <f t="shared" si="245"/>
        <v>0</v>
      </c>
      <c r="AN103" s="28">
        <f t="shared" si="245"/>
        <v>0</v>
      </c>
      <c r="AO103" s="28">
        <f t="shared" si="245"/>
        <v>0</v>
      </c>
      <c r="AP103" s="28">
        <f t="shared" si="245"/>
        <v>0</v>
      </c>
      <c r="AQ103" s="28">
        <f t="shared" si="245"/>
        <v>0</v>
      </c>
      <c r="AR103" s="28">
        <f t="shared" si="245"/>
        <v>0</v>
      </c>
      <c r="AS103" s="28">
        <f t="shared" si="245"/>
        <v>0</v>
      </c>
      <c r="AT103" s="28">
        <f t="shared" si="245"/>
        <v>0</v>
      </c>
      <c r="AU103" s="28">
        <f t="shared" si="245"/>
        <v>0</v>
      </c>
      <c r="AV103" s="28">
        <f t="shared" si="245"/>
        <v>0</v>
      </c>
      <c r="AW103" s="28">
        <f t="shared" si="245"/>
        <v>0</v>
      </c>
      <c r="AX103" s="28">
        <f t="shared" si="245"/>
        <v>0</v>
      </c>
      <c r="AY103" s="28">
        <f t="shared" si="245"/>
        <v>0</v>
      </c>
      <c r="AZ103" s="28">
        <f t="shared" si="245"/>
        <v>0</v>
      </c>
      <c r="BA103" s="28">
        <f t="shared" si="245"/>
        <v>0</v>
      </c>
      <c r="BB103" s="28">
        <f t="shared" si="245"/>
        <v>0</v>
      </c>
      <c r="BC103" s="28">
        <f t="shared" si="245"/>
        <v>0</v>
      </c>
      <c r="BD103" s="28">
        <f t="shared" si="245"/>
        <v>0</v>
      </c>
      <c r="BE103" s="28">
        <f t="shared" si="245"/>
        <v>0</v>
      </c>
      <c r="BF103" s="28">
        <f t="shared" si="245"/>
        <v>0</v>
      </c>
      <c r="BG103" s="28">
        <f t="shared" si="245"/>
        <v>0</v>
      </c>
      <c r="BH103" s="28">
        <f t="shared" si="245"/>
        <v>0.1429</v>
      </c>
      <c r="BI103" s="28">
        <f t="shared" si="245"/>
        <v>0.2858</v>
      </c>
      <c r="BJ103" s="28">
        <f t="shared" si="245"/>
        <v>0.42869999999999997</v>
      </c>
      <c r="BK103" s="28">
        <f t="shared" si="245"/>
        <v>0.5716</v>
      </c>
      <c r="BL103" s="28">
        <f t="shared" si="245"/>
        <v>0.71450000000000002</v>
      </c>
      <c r="BM103" s="28">
        <f t="shared" si="245"/>
        <v>0.85740000000000005</v>
      </c>
      <c r="BN103" s="28">
        <f t="shared" si="245"/>
        <v>1.0003</v>
      </c>
      <c r="BO103" s="28">
        <f t="shared" si="245"/>
        <v>1</v>
      </c>
      <c r="BP103" s="28">
        <f t="shared" si="245"/>
        <v>1</v>
      </c>
      <c r="BQ103" s="28">
        <f t="shared" si="245"/>
        <v>1</v>
      </c>
      <c r="BR103" s="161">
        <f t="shared" si="245"/>
        <v>1</v>
      </c>
      <c r="BS103" s="161">
        <f t="shared" si="245"/>
        <v>1</v>
      </c>
      <c r="BT103" s="161">
        <f t="shared" si="245"/>
        <v>1</v>
      </c>
      <c r="BU103" s="161">
        <f t="shared" si="245"/>
        <v>1</v>
      </c>
      <c r="BV103" s="161">
        <f t="shared" si="245"/>
        <v>1</v>
      </c>
      <c r="BW103" s="161">
        <f t="shared" si="245"/>
        <v>1</v>
      </c>
      <c r="BX103" s="161">
        <f t="shared" si="245"/>
        <v>1</v>
      </c>
      <c r="BY103" s="161">
        <f t="shared" si="245"/>
        <v>1</v>
      </c>
      <c r="BZ103" s="161">
        <f t="shared" si="245"/>
        <v>1</v>
      </c>
      <c r="CA103" s="161">
        <f t="shared" si="245"/>
        <v>1</v>
      </c>
      <c r="CB103" s="161">
        <f t="shared" si="245"/>
        <v>1</v>
      </c>
      <c r="CC103" s="161">
        <f t="shared" si="245"/>
        <v>1</v>
      </c>
      <c r="CD103" s="161">
        <f t="shared" si="245"/>
        <v>1</v>
      </c>
      <c r="CE103" s="161">
        <f t="shared" si="245"/>
        <v>1</v>
      </c>
      <c r="CF103" s="161">
        <f t="shared" si="245"/>
        <v>1</v>
      </c>
      <c r="CG103" s="161">
        <f t="shared" si="245"/>
        <v>1</v>
      </c>
      <c r="CH103" s="161">
        <f t="shared" si="245"/>
        <v>1</v>
      </c>
      <c r="CI103" s="161">
        <f t="shared" si="245"/>
        <v>1</v>
      </c>
      <c r="CJ103" s="161">
        <f t="shared" si="245"/>
        <v>1</v>
      </c>
      <c r="CK103" s="161">
        <f t="shared" si="245"/>
        <v>1</v>
      </c>
      <c r="CL103" s="161">
        <f t="shared" si="245"/>
        <v>1</v>
      </c>
      <c r="CM103" s="161">
        <f t="shared" si="245"/>
        <v>1</v>
      </c>
      <c r="CN103" s="161">
        <f t="shared" si="245"/>
        <v>1</v>
      </c>
      <c r="CO103" s="161">
        <f t="shared" si="245"/>
        <v>1</v>
      </c>
      <c r="CP103" s="161">
        <f t="shared" si="245"/>
        <v>1</v>
      </c>
      <c r="CQ103" s="161">
        <f t="shared" ref="CQ103:EL103" si="246">+CQ104*$J$104</f>
        <v>1</v>
      </c>
      <c r="CR103" s="161">
        <f t="shared" si="246"/>
        <v>1</v>
      </c>
      <c r="CS103" s="161">
        <f t="shared" si="246"/>
        <v>1</v>
      </c>
      <c r="CT103" s="161">
        <f t="shared" si="246"/>
        <v>1</v>
      </c>
      <c r="CU103" s="161">
        <f t="shared" si="246"/>
        <v>1</v>
      </c>
      <c r="CV103" s="161">
        <f t="shared" si="246"/>
        <v>1</v>
      </c>
      <c r="CW103" s="161">
        <f t="shared" si="246"/>
        <v>1</v>
      </c>
      <c r="CX103" s="161">
        <f t="shared" si="246"/>
        <v>1</v>
      </c>
      <c r="CY103" s="161">
        <f t="shared" si="246"/>
        <v>1</v>
      </c>
      <c r="CZ103" s="161">
        <f t="shared" si="246"/>
        <v>1</v>
      </c>
      <c r="DA103" s="161">
        <f t="shared" si="246"/>
        <v>1</v>
      </c>
      <c r="DB103" s="161">
        <f t="shared" si="246"/>
        <v>1</v>
      </c>
      <c r="DC103" s="161">
        <f t="shared" si="246"/>
        <v>1</v>
      </c>
      <c r="DD103" s="161">
        <f t="shared" si="246"/>
        <v>1</v>
      </c>
      <c r="DE103" s="161">
        <f t="shared" si="246"/>
        <v>1</v>
      </c>
      <c r="DF103" s="161">
        <f t="shared" si="246"/>
        <v>1</v>
      </c>
      <c r="DG103" s="161">
        <f t="shared" si="246"/>
        <v>1</v>
      </c>
      <c r="DH103" s="346">
        <f t="shared" si="246"/>
        <v>1</v>
      </c>
      <c r="DI103" s="161">
        <f t="shared" si="246"/>
        <v>1</v>
      </c>
      <c r="DJ103" s="161">
        <f t="shared" si="246"/>
        <v>1</v>
      </c>
      <c r="DK103" s="161">
        <f t="shared" si="246"/>
        <v>1</v>
      </c>
      <c r="DL103" s="161">
        <f t="shared" si="246"/>
        <v>1</v>
      </c>
      <c r="DM103" s="161">
        <f t="shared" si="246"/>
        <v>1</v>
      </c>
      <c r="DN103" s="161">
        <f t="shared" si="246"/>
        <v>1</v>
      </c>
      <c r="DO103" s="161">
        <f t="shared" si="246"/>
        <v>1</v>
      </c>
      <c r="DP103" s="161">
        <f t="shared" si="246"/>
        <v>1</v>
      </c>
      <c r="DQ103" s="161">
        <f t="shared" si="246"/>
        <v>1</v>
      </c>
      <c r="DR103" s="161">
        <f t="shared" si="246"/>
        <v>1</v>
      </c>
      <c r="DS103" s="161">
        <f t="shared" si="246"/>
        <v>1</v>
      </c>
      <c r="DT103" s="161">
        <f t="shared" si="246"/>
        <v>1</v>
      </c>
      <c r="DU103" s="161">
        <f t="shared" si="246"/>
        <v>1</v>
      </c>
      <c r="DV103" s="161">
        <f t="shared" si="246"/>
        <v>1</v>
      </c>
      <c r="DW103" s="161">
        <f t="shared" si="246"/>
        <v>1</v>
      </c>
      <c r="DX103" s="161">
        <f t="shared" si="246"/>
        <v>1</v>
      </c>
      <c r="DY103" s="161">
        <f t="shared" si="246"/>
        <v>1</v>
      </c>
      <c r="DZ103" s="161">
        <f t="shared" si="246"/>
        <v>1</v>
      </c>
      <c r="EA103" s="161">
        <f t="shared" si="246"/>
        <v>1</v>
      </c>
      <c r="EB103" s="161">
        <f t="shared" si="246"/>
        <v>1</v>
      </c>
      <c r="EC103" s="161">
        <f t="shared" si="246"/>
        <v>1</v>
      </c>
      <c r="ED103" s="161">
        <f t="shared" si="246"/>
        <v>1</v>
      </c>
      <c r="EE103" s="161">
        <f t="shared" si="246"/>
        <v>1</v>
      </c>
      <c r="EF103" s="161">
        <f t="shared" si="246"/>
        <v>1</v>
      </c>
      <c r="EG103" s="161">
        <f t="shared" si="246"/>
        <v>1</v>
      </c>
      <c r="EH103" s="161">
        <f t="shared" si="246"/>
        <v>1</v>
      </c>
      <c r="EI103" s="161">
        <f t="shared" si="246"/>
        <v>1</v>
      </c>
      <c r="EJ103" s="161">
        <f t="shared" si="246"/>
        <v>1</v>
      </c>
      <c r="EK103" s="161">
        <f t="shared" si="246"/>
        <v>1</v>
      </c>
      <c r="EL103" s="161">
        <f t="shared" si="246"/>
        <v>1</v>
      </c>
    </row>
    <row r="104" spans="2:142" hidden="1" outlineLevel="2" x14ac:dyDescent="0.3">
      <c r="B104" s="29"/>
      <c r="C104" s="30"/>
      <c r="D104" s="30"/>
      <c r="E104" s="52" t="s">
        <v>108</v>
      </c>
      <c r="F104" s="33">
        <v>30</v>
      </c>
      <c r="G104" s="162">
        <v>45693</v>
      </c>
      <c r="H104" s="162">
        <v>45736</v>
      </c>
      <c r="I104" s="33">
        <f>+F104</f>
        <v>30</v>
      </c>
      <c r="J104" s="35">
        <v>1</v>
      </c>
      <c r="K104" s="53"/>
      <c r="L104" s="127">
        <v>0</v>
      </c>
      <c r="M104" s="127">
        <v>0</v>
      </c>
      <c r="N104" s="127">
        <v>0</v>
      </c>
      <c r="O104" s="127">
        <v>0</v>
      </c>
      <c r="P104" s="127">
        <v>0</v>
      </c>
      <c r="Q104" s="127">
        <v>0</v>
      </c>
      <c r="R104" s="127">
        <v>0</v>
      </c>
      <c r="S104" s="127">
        <v>0</v>
      </c>
      <c r="T104" s="127">
        <v>0</v>
      </c>
      <c r="U104" s="127">
        <v>0</v>
      </c>
      <c r="V104" s="127">
        <v>0</v>
      </c>
      <c r="W104" s="127">
        <v>0</v>
      </c>
      <c r="X104" s="127">
        <v>0</v>
      </c>
      <c r="Y104" s="127">
        <v>0</v>
      </c>
      <c r="Z104" s="127">
        <v>0</v>
      </c>
      <c r="AA104" s="127">
        <v>0</v>
      </c>
      <c r="AB104" s="127">
        <v>0</v>
      </c>
      <c r="AC104" s="127">
        <v>0</v>
      </c>
      <c r="AD104" s="127">
        <v>0</v>
      </c>
      <c r="AE104" s="127">
        <v>0</v>
      </c>
      <c r="AF104" s="127">
        <v>0</v>
      </c>
      <c r="AG104" s="127">
        <v>0</v>
      </c>
      <c r="AH104" s="127">
        <v>0</v>
      </c>
      <c r="AI104" s="127">
        <v>0</v>
      </c>
      <c r="AJ104" s="127">
        <v>0</v>
      </c>
      <c r="AK104" s="127">
        <v>0</v>
      </c>
      <c r="AL104" s="127">
        <v>0</v>
      </c>
      <c r="AM104" s="127">
        <v>0</v>
      </c>
      <c r="AN104" s="127">
        <v>0</v>
      </c>
      <c r="AO104" s="127">
        <v>0</v>
      </c>
      <c r="AP104" s="127">
        <v>0</v>
      </c>
      <c r="AQ104" s="127">
        <v>0</v>
      </c>
      <c r="AR104" s="127">
        <v>0</v>
      </c>
      <c r="AS104" s="127">
        <v>0</v>
      </c>
      <c r="AT104" s="127">
        <v>0</v>
      </c>
      <c r="AU104" s="127">
        <v>0</v>
      </c>
      <c r="AV104" s="127">
        <v>0</v>
      </c>
      <c r="AW104" s="127">
        <v>0</v>
      </c>
      <c r="AX104" s="127">
        <v>0</v>
      </c>
      <c r="AY104" s="127">
        <v>0</v>
      </c>
      <c r="AZ104" s="127">
        <v>0</v>
      </c>
      <c r="BA104" s="127">
        <v>0</v>
      </c>
      <c r="BB104" s="127">
        <v>0</v>
      </c>
      <c r="BC104" s="127">
        <v>0</v>
      </c>
      <c r="BD104" s="127">
        <v>0</v>
      </c>
      <c r="BE104" s="127">
        <v>0</v>
      </c>
      <c r="BF104" s="127">
        <v>0</v>
      </c>
      <c r="BG104" s="127">
        <v>0</v>
      </c>
      <c r="BH104" s="127">
        <v>0.1429</v>
      </c>
      <c r="BI104" s="127">
        <v>0.2858</v>
      </c>
      <c r="BJ104" s="127">
        <v>0.42869999999999997</v>
      </c>
      <c r="BK104" s="127">
        <v>0.5716</v>
      </c>
      <c r="BL104" s="127">
        <v>0.71450000000000002</v>
      </c>
      <c r="BM104" s="127">
        <v>0.85740000000000005</v>
      </c>
      <c r="BN104" s="127">
        <v>1.0003</v>
      </c>
      <c r="BO104" s="127">
        <v>1</v>
      </c>
      <c r="BP104" s="127">
        <v>1</v>
      </c>
      <c r="BQ104" s="127">
        <v>1</v>
      </c>
      <c r="BR104" s="163">
        <v>1</v>
      </c>
      <c r="BS104" s="163">
        <v>1</v>
      </c>
      <c r="BT104" s="163">
        <v>1</v>
      </c>
      <c r="BU104" s="163">
        <v>1</v>
      </c>
      <c r="BV104" s="163">
        <v>1</v>
      </c>
      <c r="BW104" s="163">
        <v>1</v>
      </c>
      <c r="BX104" s="163">
        <v>1</v>
      </c>
      <c r="BY104" s="163">
        <v>1</v>
      </c>
      <c r="BZ104" s="163">
        <v>1</v>
      </c>
      <c r="CA104" s="163">
        <v>1</v>
      </c>
      <c r="CB104" s="163">
        <v>1</v>
      </c>
      <c r="CC104" s="163">
        <v>1</v>
      </c>
      <c r="CD104" s="163">
        <v>1</v>
      </c>
      <c r="CE104" s="163">
        <v>1</v>
      </c>
      <c r="CF104" s="163">
        <v>1</v>
      </c>
      <c r="CG104" s="163">
        <v>1</v>
      </c>
      <c r="CH104" s="163">
        <v>1</v>
      </c>
      <c r="CI104" s="163">
        <v>1</v>
      </c>
      <c r="CJ104" s="163">
        <v>1</v>
      </c>
      <c r="CK104" s="163">
        <v>1</v>
      </c>
      <c r="CL104" s="163">
        <v>1</v>
      </c>
      <c r="CM104" s="163">
        <v>1</v>
      </c>
      <c r="CN104" s="163">
        <v>1</v>
      </c>
      <c r="CO104" s="163">
        <v>1</v>
      </c>
      <c r="CP104" s="163">
        <v>1</v>
      </c>
      <c r="CQ104" s="163">
        <v>1</v>
      </c>
      <c r="CR104" s="163">
        <v>1</v>
      </c>
      <c r="CS104" s="163">
        <v>1</v>
      </c>
      <c r="CT104" s="163">
        <v>1</v>
      </c>
      <c r="CU104" s="163">
        <v>1</v>
      </c>
      <c r="CV104" s="163">
        <v>1</v>
      </c>
      <c r="CW104" s="163">
        <v>1</v>
      </c>
      <c r="CX104" s="163">
        <v>1</v>
      </c>
      <c r="CY104" s="163">
        <v>1</v>
      </c>
      <c r="CZ104" s="163">
        <v>1</v>
      </c>
      <c r="DA104" s="163">
        <v>1</v>
      </c>
      <c r="DB104" s="163">
        <v>1</v>
      </c>
      <c r="DC104" s="163">
        <v>1</v>
      </c>
      <c r="DD104" s="163">
        <v>1</v>
      </c>
      <c r="DE104" s="163">
        <v>1</v>
      </c>
      <c r="DF104" s="163">
        <v>1</v>
      </c>
      <c r="DG104" s="163">
        <v>1</v>
      </c>
      <c r="DH104" s="347">
        <v>1</v>
      </c>
      <c r="DI104" s="163">
        <v>1</v>
      </c>
      <c r="DJ104" s="163">
        <v>1</v>
      </c>
      <c r="DK104" s="163">
        <v>1</v>
      </c>
      <c r="DL104" s="163">
        <v>1</v>
      </c>
      <c r="DM104" s="163">
        <v>1</v>
      </c>
      <c r="DN104" s="163">
        <v>1</v>
      </c>
      <c r="DO104" s="163">
        <v>1</v>
      </c>
      <c r="DP104" s="163">
        <v>1</v>
      </c>
      <c r="DQ104" s="163">
        <v>1</v>
      </c>
      <c r="DR104" s="163">
        <v>1</v>
      </c>
      <c r="DS104" s="163">
        <v>1</v>
      </c>
      <c r="DT104" s="163">
        <v>1</v>
      </c>
      <c r="DU104" s="163">
        <v>1</v>
      </c>
      <c r="DV104" s="163">
        <v>1</v>
      </c>
      <c r="DW104" s="163">
        <v>1</v>
      </c>
      <c r="DX104" s="163">
        <v>1</v>
      </c>
      <c r="DY104" s="163">
        <v>1</v>
      </c>
      <c r="DZ104" s="163">
        <v>1</v>
      </c>
      <c r="EA104" s="163">
        <v>1</v>
      </c>
      <c r="EB104" s="163">
        <v>1</v>
      </c>
      <c r="EC104" s="163">
        <v>1</v>
      </c>
      <c r="ED104" s="163">
        <v>1</v>
      </c>
      <c r="EE104" s="163">
        <v>1</v>
      </c>
      <c r="EF104" s="163">
        <v>1</v>
      </c>
      <c r="EG104" s="163">
        <v>1</v>
      </c>
      <c r="EH104" s="163">
        <v>1</v>
      </c>
      <c r="EI104" s="163">
        <v>1</v>
      </c>
      <c r="EJ104" s="163">
        <v>1</v>
      </c>
      <c r="EK104" s="163">
        <v>1</v>
      </c>
      <c r="EL104" s="163">
        <v>1</v>
      </c>
    </row>
    <row r="105" spans="2:142" ht="15" hidden="1" outlineLevel="1" collapsed="1" x14ac:dyDescent="0.3">
      <c r="B105" s="22"/>
      <c r="C105" s="23"/>
      <c r="D105" s="23" t="s">
        <v>109</v>
      </c>
      <c r="E105" s="50"/>
      <c r="F105" s="26">
        <v>26</v>
      </c>
      <c r="G105" s="160">
        <v>45622</v>
      </c>
      <c r="H105" s="160">
        <v>45685</v>
      </c>
      <c r="I105" s="26">
        <f>+SUM(I106:I107)</f>
        <v>27</v>
      </c>
      <c r="J105" s="28">
        <v>3.6482346188522183E-2</v>
      </c>
      <c r="K105" s="51"/>
      <c r="L105" s="28">
        <f>+SUMPRODUCT($J$106:$J$107,L106:L107)</f>
        <v>0</v>
      </c>
      <c r="M105" s="28">
        <f t="shared" ref="M105:BU105" si="247">+SUMPRODUCT($J$106:$J$107,M106:M107)</f>
        <v>0</v>
      </c>
      <c r="N105" s="28">
        <f t="shared" si="247"/>
        <v>0</v>
      </c>
      <c r="O105" s="28">
        <f t="shared" si="247"/>
        <v>0</v>
      </c>
      <c r="P105" s="28">
        <f t="shared" si="247"/>
        <v>0</v>
      </c>
      <c r="Q105" s="28">
        <f t="shared" si="247"/>
        <v>0</v>
      </c>
      <c r="R105" s="28">
        <f t="shared" si="247"/>
        <v>0</v>
      </c>
      <c r="S105" s="28">
        <f t="shared" si="247"/>
        <v>0</v>
      </c>
      <c r="T105" s="28">
        <f t="shared" si="247"/>
        <v>0</v>
      </c>
      <c r="U105" s="28">
        <f t="shared" si="247"/>
        <v>0</v>
      </c>
      <c r="V105" s="28">
        <f t="shared" si="247"/>
        <v>0</v>
      </c>
      <c r="W105" s="28">
        <f t="shared" si="247"/>
        <v>0</v>
      </c>
      <c r="X105" s="28">
        <f t="shared" si="247"/>
        <v>0</v>
      </c>
      <c r="Y105" s="28">
        <f t="shared" si="247"/>
        <v>0</v>
      </c>
      <c r="Z105" s="28">
        <f t="shared" si="247"/>
        <v>0</v>
      </c>
      <c r="AA105" s="28">
        <f t="shared" si="247"/>
        <v>0</v>
      </c>
      <c r="AB105" s="28">
        <f t="shared" si="247"/>
        <v>0</v>
      </c>
      <c r="AC105" s="28">
        <f t="shared" si="247"/>
        <v>0</v>
      </c>
      <c r="AD105" s="28">
        <f t="shared" si="247"/>
        <v>0</v>
      </c>
      <c r="AE105" s="28">
        <f t="shared" si="247"/>
        <v>0</v>
      </c>
      <c r="AF105" s="28">
        <f t="shared" si="247"/>
        <v>0</v>
      </c>
      <c r="AG105" s="28">
        <f t="shared" si="247"/>
        <v>0</v>
      </c>
      <c r="AH105" s="28">
        <f t="shared" si="247"/>
        <v>0</v>
      </c>
      <c r="AI105" s="28">
        <f t="shared" si="247"/>
        <v>0</v>
      </c>
      <c r="AJ105" s="28">
        <f t="shared" si="247"/>
        <v>0</v>
      </c>
      <c r="AK105" s="28">
        <f t="shared" si="247"/>
        <v>0</v>
      </c>
      <c r="AL105" s="28">
        <f t="shared" si="247"/>
        <v>0</v>
      </c>
      <c r="AM105" s="28">
        <f t="shared" si="247"/>
        <v>0</v>
      </c>
      <c r="AN105" s="28">
        <f t="shared" si="247"/>
        <v>0</v>
      </c>
      <c r="AO105" s="28">
        <f t="shared" si="247"/>
        <v>0</v>
      </c>
      <c r="AP105" s="28">
        <f t="shared" si="247"/>
        <v>0</v>
      </c>
      <c r="AQ105" s="28">
        <f t="shared" si="247"/>
        <v>0</v>
      </c>
      <c r="AR105" s="28">
        <f t="shared" si="247"/>
        <v>0</v>
      </c>
      <c r="AS105" s="28">
        <f t="shared" si="247"/>
        <v>0</v>
      </c>
      <c r="AT105" s="28">
        <f t="shared" si="247"/>
        <v>0</v>
      </c>
      <c r="AU105" s="28">
        <f t="shared" si="247"/>
        <v>0</v>
      </c>
      <c r="AV105" s="28">
        <f t="shared" si="247"/>
        <v>0</v>
      </c>
      <c r="AW105" s="28">
        <f t="shared" si="247"/>
        <v>0</v>
      </c>
      <c r="AX105" s="28">
        <f t="shared" si="247"/>
        <v>0</v>
      </c>
      <c r="AY105" s="28">
        <f t="shared" si="247"/>
        <v>0</v>
      </c>
      <c r="AZ105" s="28">
        <f t="shared" si="247"/>
        <v>0</v>
      </c>
      <c r="BA105" s="28">
        <f t="shared" si="247"/>
        <v>0</v>
      </c>
      <c r="BB105" s="28">
        <f t="shared" si="247"/>
        <v>0</v>
      </c>
      <c r="BC105" s="28">
        <f t="shared" si="247"/>
        <v>0</v>
      </c>
      <c r="BD105" s="28">
        <f t="shared" si="247"/>
        <v>0</v>
      </c>
      <c r="BE105" s="28">
        <f t="shared" si="247"/>
        <v>8.3324999999999996E-2</v>
      </c>
      <c r="BF105" s="28">
        <f t="shared" si="247"/>
        <v>0.16664999999999999</v>
      </c>
      <c r="BG105" s="28">
        <f t="shared" si="247"/>
        <v>0.4</v>
      </c>
      <c r="BH105" s="28">
        <f t="shared" si="247"/>
        <v>0.55000000000000004</v>
      </c>
      <c r="BI105" s="28">
        <f t="shared" si="247"/>
        <v>0.7</v>
      </c>
      <c r="BJ105" s="28">
        <f t="shared" si="247"/>
        <v>0.85000000000000009</v>
      </c>
      <c r="BK105" s="28">
        <f t="shared" si="247"/>
        <v>1</v>
      </c>
      <c r="BL105" s="28">
        <f t="shared" si="247"/>
        <v>1</v>
      </c>
      <c r="BM105" s="28">
        <f t="shared" si="247"/>
        <v>1</v>
      </c>
      <c r="BN105" s="28">
        <f t="shared" si="247"/>
        <v>1</v>
      </c>
      <c r="BO105" s="28">
        <f t="shared" si="247"/>
        <v>1</v>
      </c>
      <c r="BP105" s="28">
        <f t="shared" si="247"/>
        <v>1</v>
      </c>
      <c r="BQ105" s="28">
        <f t="shared" si="247"/>
        <v>1</v>
      </c>
      <c r="BR105" s="161">
        <f t="shared" si="247"/>
        <v>1</v>
      </c>
      <c r="BS105" s="161">
        <f t="shared" si="247"/>
        <v>1</v>
      </c>
      <c r="BT105" s="161">
        <f t="shared" si="247"/>
        <v>1</v>
      </c>
      <c r="BU105" s="161">
        <f t="shared" si="247"/>
        <v>1</v>
      </c>
      <c r="BV105" s="161">
        <f t="shared" ref="BV105:CL105" si="248">+SUMPRODUCT($J$106:$J$107,BV106:BV107)</f>
        <v>1</v>
      </c>
      <c r="BW105" s="161">
        <f t="shared" si="248"/>
        <v>1</v>
      </c>
      <c r="BX105" s="161">
        <f t="shared" si="248"/>
        <v>1</v>
      </c>
      <c r="BY105" s="161">
        <f t="shared" si="248"/>
        <v>1</v>
      </c>
      <c r="BZ105" s="161">
        <f t="shared" si="248"/>
        <v>1</v>
      </c>
      <c r="CA105" s="161">
        <f t="shared" si="248"/>
        <v>1</v>
      </c>
      <c r="CB105" s="161">
        <f t="shared" si="248"/>
        <v>1</v>
      </c>
      <c r="CC105" s="161">
        <f t="shared" si="248"/>
        <v>1</v>
      </c>
      <c r="CD105" s="161">
        <f t="shared" si="248"/>
        <v>1</v>
      </c>
      <c r="CE105" s="161">
        <f t="shared" si="248"/>
        <v>1</v>
      </c>
      <c r="CF105" s="161">
        <f t="shared" si="248"/>
        <v>1</v>
      </c>
      <c r="CG105" s="161">
        <f t="shared" si="248"/>
        <v>1</v>
      </c>
      <c r="CH105" s="161">
        <f t="shared" si="248"/>
        <v>1</v>
      </c>
      <c r="CI105" s="161">
        <f t="shared" si="248"/>
        <v>1</v>
      </c>
      <c r="CJ105" s="161">
        <f t="shared" si="248"/>
        <v>1</v>
      </c>
      <c r="CK105" s="161">
        <f t="shared" si="248"/>
        <v>1</v>
      </c>
      <c r="CL105" s="161">
        <f t="shared" si="248"/>
        <v>1</v>
      </c>
      <c r="CM105" s="161">
        <f t="shared" ref="CM105:CN105" si="249">+SUMPRODUCT($J$106:$J$107,CM106:CM107)</f>
        <v>1</v>
      </c>
      <c r="CN105" s="161">
        <f t="shared" si="249"/>
        <v>1</v>
      </c>
      <c r="CO105" s="161">
        <f t="shared" ref="CO105" si="250">+SUMPRODUCT($J$106:$J$107,CO106:CO107)</f>
        <v>1</v>
      </c>
      <c r="CP105" s="161">
        <f t="shared" ref="CP105:CV105" si="251">+SUMPRODUCT($J$106:$J$107,CP106:CP107)</f>
        <v>1</v>
      </c>
      <c r="CQ105" s="161">
        <f t="shared" si="251"/>
        <v>1</v>
      </c>
      <c r="CR105" s="161">
        <f t="shared" si="251"/>
        <v>1</v>
      </c>
      <c r="CS105" s="161">
        <f t="shared" si="251"/>
        <v>1</v>
      </c>
      <c r="CT105" s="161">
        <f t="shared" si="251"/>
        <v>1</v>
      </c>
      <c r="CU105" s="161">
        <f t="shared" si="251"/>
        <v>1</v>
      </c>
      <c r="CV105" s="161">
        <f t="shared" si="251"/>
        <v>1</v>
      </c>
      <c r="CW105" s="161">
        <f t="shared" ref="CW105:CY105" si="252">+SUMPRODUCT($J$106:$J$107,CW106:CW107)</f>
        <v>1</v>
      </c>
      <c r="CX105" s="161">
        <f t="shared" si="252"/>
        <v>1</v>
      </c>
      <c r="CY105" s="161">
        <f t="shared" si="252"/>
        <v>1</v>
      </c>
      <c r="CZ105" s="161">
        <f t="shared" ref="CZ105:DA105" si="253">+SUMPRODUCT($J$106:$J$107,CZ106:CZ107)</f>
        <v>1</v>
      </c>
      <c r="DA105" s="161">
        <f t="shared" si="253"/>
        <v>1</v>
      </c>
      <c r="DB105" s="161">
        <f t="shared" ref="DB105:DC105" si="254">+SUMPRODUCT($J$106:$J$107,DB106:DB107)</f>
        <v>1</v>
      </c>
      <c r="DC105" s="161">
        <f t="shared" si="254"/>
        <v>1</v>
      </c>
      <c r="DD105" s="161">
        <f t="shared" ref="DD105:DE105" si="255">+SUMPRODUCT($J$106:$J$107,DD106:DD107)</f>
        <v>1</v>
      </c>
      <c r="DE105" s="161">
        <f t="shared" si="255"/>
        <v>1</v>
      </c>
      <c r="DF105" s="161">
        <f t="shared" ref="DF105:DG105" si="256">+SUMPRODUCT($J$106:$J$107,DF106:DF107)</f>
        <v>1</v>
      </c>
      <c r="DG105" s="161">
        <f t="shared" si="256"/>
        <v>1</v>
      </c>
      <c r="DH105" s="346">
        <f t="shared" ref="DH105:EL105" si="257">+SUMPRODUCT($J$106:$J$107,DH106:DH107)</f>
        <v>1</v>
      </c>
      <c r="DI105" s="161">
        <f t="shared" si="257"/>
        <v>1</v>
      </c>
      <c r="DJ105" s="161">
        <f t="shared" si="257"/>
        <v>1</v>
      </c>
      <c r="DK105" s="161">
        <f t="shared" si="257"/>
        <v>1</v>
      </c>
      <c r="DL105" s="161">
        <f t="shared" si="257"/>
        <v>1</v>
      </c>
      <c r="DM105" s="161">
        <f t="shared" si="257"/>
        <v>1</v>
      </c>
      <c r="DN105" s="161">
        <f t="shared" si="257"/>
        <v>1</v>
      </c>
      <c r="DO105" s="161">
        <f t="shared" si="257"/>
        <v>1</v>
      </c>
      <c r="DP105" s="161">
        <f t="shared" si="257"/>
        <v>1</v>
      </c>
      <c r="DQ105" s="161">
        <f t="shared" si="257"/>
        <v>1</v>
      </c>
      <c r="DR105" s="161">
        <f t="shared" si="257"/>
        <v>1</v>
      </c>
      <c r="DS105" s="161">
        <f t="shared" si="257"/>
        <v>1</v>
      </c>
      <c r="DT105" s="161">
        <f t="shared" si="257"/>
        <v>1</v>
      </c>
      <c r="DU105" s="161">
        <f t="shared" si="257"/>
        <v>1</v>
      </c>
      <c r="DV105" s="161">
        <f t="shared" si="257"/>
        <v>1</v>
      </c>
      <c r="DW105" s="161">
        <f t="shared" si="257"/>
        <v>1</v>
      </c>
      <c r="DX105" s="161">
        <f t="shared" si="257"/>
        <v>1</v>
      </c>
      <c r="DY105" s="161">
        <f t="shared" si="257"/>
        <v>1</v>
      </c>
      <c r="DZ105" s="161">
        <f t="shared" si="257"/>
        <v>1</v>
      </c>
      <c r="EA105" s="161">
        <f t="shared" si="257"/>
        <v>1</v>
      </c>
      <c r="EB105" s="161">
        <f t="shared" si="257"/>
        <v>1</v>
      </c>
      <c r="EC105" s="161">
        <f t="shared" si="257"/>
        <v>1</v>
      </c>
      <c r="ED105" s="161">
        <f t="shared" si="257"/>
        <v>1</v>
      </c>
      <c r="EE105" s="161">
        <f t="shared" si="257"/>
        <v>1</v>
      </c>
      <c r="EF105" s="161">
        <f t="shared" si="257"/>
        <v>1</v>
      </c>
      <c r="EG105" s="161">
        <f t="shared" si="257"/>
        <v>1</v>
      </c>
      <c r="EH105" s="161">
        <f t="shared" si="257"/>
        <v>1</v>
      </c>
      <c r="EI105" s="161">
        <f t="shared" si="257"/>
        <v>1</v>
      </c>
      <c r="EJ105" s="161">
        <f t="shared" si="257"/>
        <v>1</v>
      </c>
      <c r="EK105" s="161">
        <f t="shared" si="257"/>
        <v>1</v>
      </c>
      <c r="EL105" s="161">
        <f t="shared" si="257"/>
        <v>1</v>
      </c>
    </row>
    <row r="106" spans="2:142" hidden="1" outlineLevel="2" x14ac:dyDescent="0.3">
      <c r="B106" s="29"/>
      <c r="C106" s="30"/>
      <c r="D106" s="30"/>
      <c r="E106" s="52" t="s">
        <v>110</v>
      </c>
      <c r="F106" s="33">
        <v>9</v>
      </c>
      <c r="G106" s="162">
        <v>45673</v>
      </c>
      <c r="H106" s="162">
        <v>45685</v>
      </c>
      <c r="I106" s="33">
        <f>+F106</f>
        <v>9</v>
      </c>
      <c r="J106" s="35">
        <v>0.25</v>
      </c>
      <c r="K106" s="53"/>
      <c r="L106" s="127">
        <v>0</v>
      </c>
      <c r="M106" s="127">
        <v>0</v>
      </c>
      <c r="N106" s="127">
        <v>0</v>
      </c>
      <c r="O106" s="127">
        <v>0</v>
      </c>
      <c r="P106" s="127">
        <v>0</v>
      </c>
      <c r="Q106" s="127">
        <v>0</v>
      </c>
      <c r="R106" s="127">
        <v>0</v>
      </c>
      <c r="S106" s="127">
        <v>0</v>
      </c>
      <c r="T106" s="127">
        <v>0</v>
      </c>
      <c r="U106" s="127">
        <v>0</v>
      </c>
      <c r="V106" s="127">
        <v>0</v>
      </c>
      <c r="W106" s="127">
        <v>0</v>
      </c>
      <c r="X106" s="127">
        <v>0</v>
      </c>
      <c r="Y106" s="127">
        <v>0</v>
      </c>
      <c r="Z106" s="127">
        <v>0</v>
      </c>
      <c r="AA106" s="127">
        <v>0</v>
      </c>
      <c r="AB106" s="127">
        <v>0</v>
      </c>
      <c r="AC106" s="127">
        <v>0</v>
      </c>
      <c r="AD106" s="127">
        <v>0</v>
      </c>
      <c r="AE106" s="127">
        <v>0</v>
      </c>
      <c r="AF106" s="127">
        <v>0</v>
      </c>
      <c r="AG106" s="127">
        <v>0</v>
      </c>
      <c r="AH106" s="127">
        <v>0</v>
      </c>
      <c r="AI106" s="127">
        <v>0</v>
      </c>
      <c r="AJ106" s="127">
        <v>0</v>
      </c>
      <c r="AK106" s="127">
        <v>0</v>
      </c>
      <c r="AL106" s="127">
        <v>0</v>
      </c>
      <c r="AM106" s="127">
        <v>0</v>
      </c>
      <c r="AN106" s="127">
        <v>0</v>
      </c>
      <c r="AO106" s="127">
        <v>0</v>
      </c>
      <c r="AP106" s="127">
        <v>0</v>
      </c>
      <c r="AQ106" s="127">
        <v>0</v>
      </c>
      <c r="AR106" s="127">
        <v>0</v>
      </c>
      <c r="AS106" s="127">
        <v>0</v>
      </c>
      <c r="AT106" s="127">
        <v>0</v>
      </c>
      <c r="AU106" s="127">
        <v>0</v>
      </c>
      <c r="AV106" s="127">
        <v>0</v>
      </c>
      <c r="AW106" s="127">
        <v>0</v>
      </c>
      <c r="AX106" s="127">
        <v>0</v>
      </c>
      <c r="AY106" s="127">
        <v>0</v>
      </c>
      <c r="AZ106" s="127">
        <v>0</v>
      </c>
      <c r="BA106" s="127">
        <v>0</v>
      </c>
      <c r="BB106" s="127">
        <v>0</v>
      </c>
      <c r="BC106" s="127">
        <v>0</v>
      </c>
      <c r="BD106" s="127">
        <v>0</v>
      </c>
      <c r="BE106" s="127">
        <v>0.33329999999999999</v>
      </c>
      <c r="BF106" s="127">
        <v>0.66659999999999997</v>
      </c>
      <c r="BG106" s="127">
        <v>1</v>
      </c>
      <c r="BH106" s="127">
        <v>1</v>
      </c>
      <c r="BI106" s="127">
        <v>1</v>
      </c>
      <c r="BJ106" s="127">
        <v>1</v>
      </c>
      <c r="BK106" s="127">
        <v>1</v>
      </c>
      <c r="BL106" s="127">
        <v>1</v>
      </c>
      <c r="BM106" s="127">
        <v>1</v>
      </c>
      <c r="BN106" s="127">
        <v>1</v>
      </c>
      <c r="BO106" s="127">
        <v>1</v>
      </c>
      <c r="BP106" s="127">
        <v>1</v>
      </c>
      <c r="BQ106" s="127">
        <v>1</v>
      </c>
      <c r="BR106" s="163">
        <v>1</v>
      </c>
      <c r="BS106" s="163">
        <v>1</v>
      </c>
      <c r="BT106" s="163">
        <v>1</v>
      </c>
      <c r="BU106" s="163">
        <v>1</v>
      </c>
      <c r="BV106" s="163">
        <v>1</v>
      </c>
      <c r="BW106" s="163">
        <v>1</v>
      </c>
      <c r="BX106" s="163">
        <v>1</v>
      </c>
      <c r="BY106" s="163">
        <v>1</v>
      </c>
      <c r="BZ106" s="163">
        <v>1</v>
      </c>
      <c r="CA106" s="163">
        <v>1</v>
      </c>
      <c r="CB106" s="163">
        <v>1</v>
      </c>
      <c r="CC106" s="163">
        <v>1</v>
      </c>
      <c r="CD106" s="163">
        <v>1</v>
      </c>
      <c r="CE106" s="163">
        <v>1</v>
      </c>
      <c r="CF106" s="163">
        <v>1</v>
      </c>
      <c r="CG106" s="163">
        <v>1</v>
      </c>
      <c r="CH106" s="163">
        <v>1</v>
      </c>
      <c r="CI106" s="163">
        <v>1</v>
      </c>
      <c r="CJ106" s="163">
        <v>1</v>
      </c>
      <c r="CK106" s="163">
        <v>1</v>
      </c>
      <c r="CL106" s="163">
        <v>1</v>
      </c>
      <c r="CM106" s="163">
        <v>1</v>
      </c>
      <c r="CN106" s="163">
        <v>1</v>
      </c>
      <c r="CO106" s="163">
        <v>1</v>
      </c>
      <c r="CP106" s="163">
        <v>1</v>
      </c>
      <c r="CQ106" s="163">
        <v>1</v>
      </c>
      <c r="CR106" s="163">
        <v>1</v>
      </c>
      <c r="CS106" s="163">
        <v>1</v>
      </c>
      <c r="CT106" s="163">
        <v>1</v>
      </c>
      <c r="CU106" s="163">
        <v>1</v>
      </c>
      <c r="CV106" s="163">
        <v>1</v>
      </c>
      <c r="CW106" s="163">
        <v>1</v>
      </c>
      <c r="CX106" s="163">
        <v>1</v>
      </c>
      <c r="CY106" s="163">
        <v>1</v>
      </c>
      <c r="CZ106" s="163">
        <v>1</v>
      </c>
      <c r="DA106" s="163">
        <v>1</v>
      </c>
      <c r="DB106" s="163">
        <v>1</v>
      </c>
      <c r="DC106" s="163">
        <v>1</v>
      </c>
      <c r="DD106" s="163">
        <v>1</v>
      </c>
      <c r="DE106" s="163">
        <v>1</v>
      </c>
      <c r="DF106" s="163">
        <v>1</v>
      </c>
      <c r="DG106" s="163">
        <v>1</v>
      </c>
      <c r="DH106" s="347">
        <v>1</v>
      </c>
      <c r="DI106" s="163">
        <v>1</v>
      </c>
      <c r="DJ106" s="163">
        <v>1</v>
      </c>
      <c r="DK106" s="163">
        <v>1</v>
      </c>
      <c r="DL106" s="163">
        <v>1</v>
      </c>
      <c r="DM106" s="163">
        <v>1</v>
      </c>
      <c r="DN106" s="163">
        <v>1</v>
      </c>
      <c r="DO106" s="163">
        <v>1</v>
      </c>
      <c r="DP106" s="163">
        <v>1</v>
      </c>
      <c r="DQ106" s="163">
        <v>1</v>
      </c>
      <c r="DR106" s="163">
        <v>1</v>
      </c>
      <c r="DS106" s="163">
        <v>1</v>
      </c>
      <c r="DT106" s="163">
        <v>1</v>
      </c>
      <c r="DU106" s="163">
        <v>1</v>
      </c>
      <c r="DV106" s="163">
        <v>1</v>
      </c>
      <c r="DW106" s="163">
        <v>1</v>
      </c>
      <c r="DX106" s="163">
        <v>1</v>
      </c>
      <c r="DY106" s="163">
        <v>1</v>
      </c>
      <c r="DZ106" s="163">
        <v>1</v>
      </c>
      <c r="EA106" s="163">
        <v>1</v>
      </c>
      <c r="EB106" s="163">
        <v>1</v>
      </c>
      <c r="EC106" s="163">
        <v>1</v>
      </c>
      <c r="ED106" s="163">
        <v>1</v>
      </c>
      <c r="EE106" s="163">
        <v>1</v>
      </c>
      <c r="EF106" s="163">
        <v>1</v>
      </c>
      <c r="EG106" s="163">
        <v>1</v>
      </c>
      <c r="EH106" s="163">
        <v>1</v>
      </c>
      <c r="EI106" s="163">
        <v>1</v>
      </c>
      <c r="EJ106" s="163">
        <v>1</v>
      </c>
      <c r="EK106" s="163">
        <v>1</v>
      </c>
      <c r="EL106" s="163">
        <v>1</v>
      </c>
    </row>
    <row r="107" spans="2:142" hidden="1" outlineLevel="2" x14ac:dyDescent="0.3">
      <c r="B107" s="29"/>
      <c r="C107" s="30"/>
      <c r="D107" s="30"/>
      <c r="E107" s="52" t="s">
        <v>111</v>
      </c>
      <c r="F107" s="33">
        <v>18</v>
      </c>
      <c r="G107" s="162">
        <v>45622</v>
      </c>
      <c r="H107" s="162">
        <v>45673</v>
      </c>
      <c r="I107" s="33">
        <f>+F107</f>
        <v>18</v>
      </c>
      <c r="J107" s="35">
        <v>0.75</v>
      </c>
      <c r="K107" s="53"/>
      <c r="L107" s="127">
        <v>0</v>
      </c>
      <c r="M107" s="127">
        <v>0</v>
      </c>
      <c r="N107" s="127">
        <v>0</v>
      </c>
      <c r="O107" s="127">
        <v>0</v>
      </c>
      <c r="P107" s="127">
        <v>0</v>
      </c>
      <c r="Q107" s="127">
        <v>0</v>
      </c>
      <c r="R107" s="127">
        <v>0</v>
      </c>
      <c r="S107" s="127">
        <v>0</v>
      </c>
      <c r="T107" s="127">
        <v>0</v>
      </c>
      <c r="U107" s="127">
        <v>0</v>
      </c>
      <c r="V107" s="127">
        <v>0</v>
      </c>
      <c r="W107" s="127">
        <v>0</v>
      </c>
      <c r="X107" s="127">
        <v>0</v>
      </c>
      <c r="Y107" s="127">
        <v>0</v>
      </c>
      <c r="Z107" s="127">
        <v>0</v>
      </c>
      <c r="AA107" s="127">
        <v>0</v>
      </c>
      <c r="AB107" s="127">
        <v>0</v>
      </c>
      <c r="AC107" s="127">
        <v>0</v>
      </c>
      <c r="AD107" s="127">
        <v>0</v>
      </c>
      <c r="AE107" s="127">
        <v>0</v>
      </c>
      <c r="AF107" s="127">
        <v>0</v>
      </c>
      <c r="AG107" s="127">
        <v>0</v>
      </c>
      <c r="AH107" s="127">
        <v>0</v>
      </c>
      <c r="AI107" s="127">
        <v>0</v>
      </c>
      <c r="AJ107" s="127">
        <v>0</v>
      </c>
      <c r="AK107" s="127">
        <v>0</v>
      </c>
      <c r="AL107" s="127">
        <v>0</v>
      </c>
      <c r="AM107" s="127">
        <v>0</v>
      </c>
      <c r="AN107" s="127">
        <v>0</v>
      </c>
      <c r="AO107" s="127">
        <v>0</v>
      </c>
      <c r="AP107" s="127">
        <v>0</v>
      </c>
      <c r="AQ107" s="127">
        <v>0</v>
      </c>
      <c r="AR107" s="127">
        <v>0</v>
      </c>
      <c r="AS107" s="127">
        <v>0</v>
      </c>
      <c r="AT107" s="127">
        <v>0</v>
      </c>
      <c r="AU107" s="127">
        <v>0</v>
      </c>
      <c r="AV107" s="127">
        <v>0</v>
      </c>
      <c r="AW107" s="127">
        <v>0</v>
      </c>
      <c r="AX107" s="127">
        <v>0</v>
      </c>
      <c r="AY107" s="127">
        <v>0</v>
      </c>
      <c r="AZ107" s="127">
        <v>0</v>
      </c>
      <c r="BA107" s="127">
        <v>0</v>
      </c>
      <c r="BB107" s="127">
        <v>0</v>
      </c>
      <c r="BC107" s="127">
        <v>0</v>
      </c>
      <c r="BD107" s="127">
        <v>0</v>
      </c>
      <c r="BE107" s="127">
        <v>0</v>
      </c>
      <c r="BF107" s="127">
        <v>0</v>
      </c>
      <c r="BG107" s="127">
        <v>0.2</v>
      </c>
      <c r="BH107" s="127">
        <v>0.4</v>
      </c>
      <c r="BI107" s="127">
        <v>0.6</v>
      </c>
      <c r="BJ107" s="127">
        <v>0.8</v>
      </c>
      <c r="BK107" s="127">
        <v>1</v>
      </c>
      <c r="BL107" s="127">
        <v>1</v>
      </c>
      <c r="BM107" s="127">
        <v>1</v>
      </c>
      <c r="BN107" s="127">
        <v>1</v>
      </c>
      <c r="BO107" s="127">
        <v>1</v>
      </c>
      <c r="BP107" s="127">
        <v>1</v>
      </c>
      <c r="BQ107" s="127">
        <v>1</v>
      </c>
      <c r="BR107" s="163">
        <v>1</v>
      </c>
      <c r="BS107" s="163">
        <v>1</v>
      </c>
      <c r="BT107" s="163">
        <v>1</v>
      </c>
      <c r="BU107" s="163">
        <v>1</v>
      </c>
      <c r="BV107" s="163">
        <v>1</v>
      </c>
      <c r="BW107" s="163">
        <v>1</v>
      </c>
      <c r="BX107" s="163">
        <v>1</v>
      </c>
      <c r="BY107" s="163">
        <v>1</v>
      </c>
      <c r="BZ107" s="163">
        <v>1</v>
      </c>
      <c r="CA107" s="163">
        <v>1</v>
      </c>
      <c r="CB107" s="163">
        <v>1</v>
      </c>
      <c r="CC107" s="163">
        <v>1</v>
      </c>
      <c r="CD107" s="163">
        <v>1</v>
      </c>
      <c r="CE107" s="163">
        <v>1</v>
      </c>
      <c r="CF107" s="163">
        <v>1</v>
      </c>
      <c r="CG107" s="163">
        <v>1</v>
      </c>
      <c r="CH107" s="163">
        <v>1</v>
      </c>
      <c r="CI107" s="163">
        <v>1</v>
      </c>
      <c r="CJ107" s="163">
        <v>1</v>
      </c>
      <c r="CK107" s="163">
        <v>1</v>
      </c>
      <c r="CL107" s="163">
        <v>1</v>
      </c>
      <c r="CM107" s="163">
        <v>1</v>
      </c>
      <c r="CN107" s="163">
        <v>1</v>
      </c>
      <c r="CO107" s="163">
        <v>1</v>
      </c>
      <c r="CP107" s="163">
        <v>1</v>
      </c>
      <c r="CQ107" s="163">
        <v>1</v>
      </c>
      <c r="CR107" s="163">
        <v>1</v>
      </c>
      <c r="CS107" s="163">
        <v>1</v>
      </c>
      <c r="CT107" s="163">
        <v>1</v>
      </c>
      <c r="CU107" s="163">
        <v>1</v>
      </c>
      <c r="CV107" s="163">
        <v>1</v>
      </c>
      <c r="CW107" s="163">
        <v>1</v>
      </c>
      <c r="CX107" s="163">
        <v>1</v>
      </c>
      <c r="CY107" s="163">
        <v>1</v>
      </c>
      <c r="CZ107" s="163">
        <v>1</v>
      </c>
      <c r="DA107" s="163">
        <v>1</v>
      </c>
      <c r="DB107" s="163">
        <v>1</v>
      </c>
      <c r="DC107" s="163">
        <v>1</v>
      </c>
      <c r="DD107" s="163">
        <v>1</v>
      </c>
      <c r="DE107" s="163">
        <v>1</v>
      </c>
      <c r="DF107" s="163">
        <v>1</v>
      </c>
      <c r="DG107" s="163">
        <v>1</v>
      </c>
      <c r="DH107" s="347">
        <v>1</v>
      </c>
      <c r="DI107" s="163">
        <v>1</v>
      </c>
      <c r="DJ107" s="163">
        <v>1</v>
      </c>
      <c r="DK107" s="163">
        <v>1</v>
      </c>
      <c r="DL107" s="163">
        <v>1</v>
      </c>
      <c r="DM107" s="163">
        <v>1</v>
      </c>
      <c r="DN107" s="163">
        <v>1</v>
      </c>
      <c r="DO107" s="163">
        <v>1</v>
      </c>
      <c r="DP107" s="163">
        <v>1</v>
      </c>
      <c r="DQ107" s="163">
        <v>1</v>
      </c>
      <c r="DR107" s="163">
        <v>1</v>
      </c>
      <c r="DS107" s="163">
        <v>1</v>
      </c>
      <c r="DT107" s="163">
        <v>1</v>
      </c>
      <c r="DU107" s="163">
        <v>1</v>
      </c>
      <c r="DV107" s="163">
        <v>1</v>
      </c>
      <c r="DW107" s="163">
        <v>1</v>
      </c>
      <c r="DX107" s="163">
        <v>1</v>
      </c>
      <c r="DY107" s="163">
        <v>1</v>
      </c>
      <c r="DZ107" s="163">
        <v>1</v>
      </c>
      <c r="EA107" s="163">
        <v>1</v>
      </c>
      <c r="EB107" s="163">
        <v>1</v>
      </c>
      <c r="EC107" s="163">
        <v>1</v>
      </c>
      <c r="ED107" s="163">
        <v>1</v>
      </c>
      <c r="EE107" s="163">
        <v>1</v>
      </c>
      <c r="EF107" s="163">
        <v>1</v>
      </c>
      <c r="EG107" s="163">
        <v>1</v>
      </c>
      <c r="EH107" s="163">
        <v>1</v>
      </c>
      <c r="EI107" s="163">
        <v>1</v>
      </c>
      <c r="EJ107" s="163">
        <v>1</v>
      </c>
      <c r="EK107" s="163">
        <v>1</v>
      </c>
      <c r="EL107" s="163">
        <v>1</v>
      </c>
    </row>
    <row r="108" spans="2:142" ht="15" hidden="1" outlineLevel="1" collapsed="1" x14ac:dyDescent="0.3">
      <c r="B108" s="22"/>
      <c r="C108" s="23"/>
      <c r="D108" s="23" t="s">
        <v>112</v>
      </c>
      <c r="E108" s="50"/>
      <c r="F108" s="26">
        <v>183</v>
      </c>
      <c r="G108" s="160">
        <v>45482</v>
      </c>
      <c r="H108" s="160">
        <v>45772</v>
      </c>
      <c r="I108" s="26">
        <f>+SUM(I109:I110)</f>
        <v>50</v>
      </c>
      <c r="J108" s="28">
        <v>6.9648115450815076E-2</v>
      </c>
      <c r="K108" s="51"/>
      <c r="L108" s="28">
        <f>+SUMPRODUCT($J$109:$J$110,L109:L110)</f>
        <v>5.5500000000000002E-3</v>
      </c>
      <c r="M108" s="28">
        <f t="shared" ref="M108:BU108" si="258">+SUMPRODUCT($J$109:$J$110,M109:M110)</f>
        <v>1.5857142857142875E-2</v>
      </c>
      <c r="N108" s="28">
        <f t="shared" si="258"/>
        <v>3.1714285714285737E-2</v>
      </c>
      <c r="O108" s="28">
        <f t="shared" si="258"/>
        <v>4.7571428571428598E-2</v>
      </c>
      <c r="P108" s="28">
        <f t="shared" si="258"/>
        <v>6.3428571428571459E-2</v>
      </c>
      <c r="Q108" s="28">
        <f t="shared" si="258"/>
        <v>7.928571428571432E-2</v>
      </c>
      <c r="R108" s="28">
        <f t="shared" si="258"/>
        <v>9.5142857142857182E-2</v>
      </c>
      <c r="S108" s="28">
        <f t="shared" si="258"/>
        <v>0.111</v>
      </c>
      <c r="T108" s="28">
        <f t="shared" si="258"/>
        <v>0.111</v>
      </c>
      <c r="U108" s="28">
        <f t="shared" si="258"/>
        <v>0.111</v>
      </c>
      <c r="V108" s="28">
        <f t="shared" si="258"/>
        <v>0.111</v>
      </c>
      <c r="W108" s="28">
        <f t="shared" si="258"/>
        <v>0.111</v>
      </c>
      <c r="X108" s="28">
        <f t="shared" si="258"/>
        <v>0.111</v>
      </c>
      <c r="Y108" s="28">
        <f t="shared" si="258"/>
        <v>0.111</v>
      </c>
      <c r="Z108" s="28">
        <f t="shared" si="258"/>
        <v>0.111</v>
      </c>
      <c r="AA108" s="28">
        <f t="shared" si="258"/>
        <v>0.111</v>
      </c>
      <c r="AB108" s="28">
        <f t="shared" si="258"/>
        <v>0.111</v>
      </c>
      <c r="AC108" s="28">
        <f t="shared" si="258"/>
        <v>0.111</v>
      </c>
      <c r="AD108" s="28">
        <f t="shared" si="258"/>
        <v>0.111</v>
      </c>
      <c r="AE108" s="28">
        <f t="shared" si="258"/>
        <v>0.111</v>
      </c>
      <c r="AF108" s="28">
        <f t="shared" si="258"/>
        <v>0.111</v>
      </c>
      <c r="AG108" s="28">
        <f t="shared" si="258"/>
        <v>0.111</v>
      </c>
      <c r="AH108" s="28">
        <f t="shared" si="258"/>
        <v>0.111</v>
      </c>
      <c r="AI108" s="28">
        <f t="shared" si="258"/>
        <v>0.12210000000000001</v>
      </c>
      <c r="AJ108" s="28">
        <f t="shared" si="258"/>
        <v>0.12210000000000001</v>
      </c>
      <c r="AK108" s="28">
        <f t="shared" si="258"/>
        <v>0.12210000000000001</v>
      </c>
      <c r="AL108" s="28">
        <f t="shared" si="258"/>
        <v>0.12210000000000001</v>
      </c>
      <c r="AM108" s="28">
        <f t="shared" si="258"/>
        <v>0.12210000000000001</v>
      </c>
      <c r="AN108" s="28">
        <f t="shared" si="258"/>
        <v>0.12210000000000001</v>
      </c>
      <c r="AO108" s="28">
        <f t="shared" si="258"/>
        <v>0.12210000000000001</v>
      </c>
      <c r="AP108" s="28">
        <f t="shared" si="258"/>
        <v>0.13209000000000001</v>
      </c>
      <c r="AQ108" s="28">
        <f t="shared" si="258"/>
        <v>0.14208000000000004</v>
      </c>
      <c r="AR108" s="28">
        <f t="shared" si="258"/>
        <v>0.15207000000000004</v>
      </c>
      <c r="AS108" s="28">
        <f t="shared" si="258"/>
        <v>0.16206000000000004</v>
      </c>
      <c r="AT108" s="28">
        <f t="shared" si="258"/>
        <v>0.17205000000000006</v>
      </c>
      <c r="AU108" s="28">
        <f t="shared" si="258"/>
        <v>0.18204000000000006</v>
      </c>
      <c r="AV108" s="28">
        <f t="shared" si="258"/>
        <v>0.19203000000000006</v>
      </c>
      <c r="AW108" s="28">
        <f t="shared" si="258"/>
        <v>0.2884558000000001</v>
      </c>
      <c r="AX108" s="28">
        <f t="shared" si="258"/>
        <v>0.3848816000000001</v>
      </c>
      <c r="AY108" s="28">
        <f t="shared" si="258"/>
        <v>0.48130740000000016</v>
      </c>
      <c r="AZ108" s="28">
        <f t="shared" si="258"/>
        <v>0.5677432</v>
      </c>
      <c r="BA108" s="28">
        <f t="shared" si="258"/>
        <v>0.65417900000000007</v>
      </c>
      <c r="BB108" s="28">
        <f t="shared" si="258"/>
        <v>0.74061480000000002</v>
      </c>
      <c r="BC108" s="28">
        <f t="shared" si="258"/>
        <v>0.82705059999999997</v>
      </c>
      <c r="BD108" s="28">
        <f t="shared" si="258"/>
        <v>0.91348639999999992</v>
      </c>
      <c r="BE108" s="28">
        <f t="shared" si="258"/>
        <v>0.99992219999999987</v>
      </c>
      <c r="BF108" s="28">
        <f t="shared" si="258"/>
        <v>1</v>
      </c>
      <c r="BG108" s="28">
        <f t="shared" si="258"/>
        <v>1</v>
      </c>
      <c r="BH108" s="28">
        <f t="shared" si="258"/>
        <v>1</v>
      </c>
      <c r="BI108" s="28">
        <f t="shared" si="258"/>
        <v>1</v>
      </c>
      <c r="BJ108" s="28">
        <f t="shared" si="258"/>
        <v>1</v>
      </c>
      <c r="BK108" s="28">
        <f t="shared" si="258"/>
        <v>1</v>
      </c>
      <c r="BL108" s="28">
        <f t="shared" si="258"/>
        <v>1</v>
      </c>
      <c r="BM108" s="28">
        <f t="shared" si="258"/>
        <v>1</v>
      </c>
      <c r="BN108" s="28">
        <f t="shared" si="258"/>
        <v>1</v>
      </c>
      <c r="BO108" s="28">
        <f t="shared" si="258"/>
        <v>1</v>
      </c>
      <c r="BP108" s="28">
        <f t="shared" si="258"/>
        <v>1</v>
      </c>
      <c r="BQ108" s="28">
        <f t="shared" si="258"/>
        <v>1</v>
      </c>
      <c r="BR108" s="161">
        <f t="shared" si="258"/>
        <v>1</v>
      </c>
      <c r="BS108" s="161">
        <f t="shared" si="258"/>
        <v>1</v>
      </c>
      <c r="BT108" s="161">
        <f t="shared" si="258"/>
        <v>1</v>
      </c>
      <c r="BU108" s="161">
        <f t="shared" si="258"/>
        <v>1</v>
      </c>
      <c r="BV108" s="161">
        <f t="shared" ref="BV108:CL108" si="259">+SUMPRODUCT($J$109:$J$110,BV109:BV110)</f>
        <v>1</v>
      </c>
      <c r="BW108" s="161">
        <f t="shared" si="259"/>
        <v>1</v>
      </c>
      <c r="BX108" s="161">
        <f t="shared" si="259"/>
        <v>1</v>
      </c>
      <c r="BY108" s="161">
        <f t="shared" si="259"/>
        <v>1</v>
      </c>
      <c r="BZ108" s="161">
        <f t="shared" si="259"/>
        <v>1</v>
      </c>
      <c r="CA108" s="161">
        <f t="shared" si="259"/>
        <v>1</v>
      </c>
      <c r="CB108" s="161">
        <f t="shared" si="259"/>
        <v>1</v>
      </c>
      <c r="CC108" s="161">
        <f t="shared" si="259"/>
        <v>1</v>
      </c>
      <c r="CD108" s="161">
        <f t="shared" si="259"/>
        <v>1</v>
      </c>
      <c r="CE108" s="161">
        <f t="shared" si="259"/>
        <v>1</v>
      </c>
      <c r="CF108" s="161">
        <f t="shared" si="259"/>
        <v>1</v>
      </c>
      <c r="CG108" s="161">
        <f t="shared" si="259"/>
        <v>1</v>
      </c>
      <c r="CH108" s="161">
        <f t="shared" si="259"/>
        <v>1</v>
      </c>
      <c r="CI108" s="161">
        <f t="shared" si="259"/>
        <v>1</v>
      </c>
      <c r="CJ108" s="161">
        <f t="shared" si="259"/>
        <v>1</v>
      </c>
      <c r="CK108" s="161">
        <f t="shared" si="259"/>
        <v>1</v>
      </c>
      <c r="CL108" s="161">
        <f t="shared" si="259"/>
        <v>1</v>
      </c>
      <c r="CM108" s="161">
        <f t="shared" ref="CM108:CN108" si="260">+SUMPRODUCT($J$109:$J$110,CM109:CM110)</f>
        <v>1</v>
      </c>
      <c r="CN108" s="161">
        <f t="shared" si="260"/>
        <v>1</v>
      </c>
      <c r="CO108" s="161">
        <f t="shared" ref="CO108" si="261">+SUMPRODUCT($J$109:$J$110,CO109:CO110)</f>
        <v>1</v>
      </c>
      <c r="CP108" s="161">
        <f t="shared" ref="CP108:CV108" si="262">+SUMPRODUCT($J$109:$J$110,CP109:CP110)</f>
        <v>1</v>
      </c>
      <c r="CQ108" s="161">
        <f t="shared" si="262"/>
        <v>1</v>
      </c>
      <c r="CR108" s="161">
        <f t="shared" si="262"/>
        <v>1</v>
      </c>
      <c r="CS108" s="161">
        <f t="shared" si="262"/>
        <v>1</v>
      </c>
      <c r="CT108" s="161">
        <f t="shared" si="262"/>
        <v>1</v>
      </c>
      <c r="CU108" s="161">
        <f t="shared" si="262"/>
        <v>1</v>
      </c>
      <c r="CV108" s="161">
        <f t="shared" si="262"/>
        <v>1</v>
      </c>
      <c r="CW108" s="161">
        <f t="shared" ref="CW108:CY108" si="263">+SUMPRODUCT($J$109:$J$110,CW109:CW110)</f>
        <v>1</v>
      </c>
      <c r="CX108" s="161">
        <f t="shared" si="263"/>
        <v>1</v>
      </c>
      <c r="CY108" s="161">
        <f t="shared" si="263"/>
        <v>1</v>
      </c>
      <c r="CZ108" s="161">
        <f t="shared" ref="CZ108:DA108" si="264">+SUMPRODUCT($J$109:$J$110,CZ109:CZ110)</f>
        <v>1</v>
      </c>
      <c r="DA108" s="161">
        <f t="shared" si="264"/>
        <v>1</v>
      </c>
      <c r="DB108" s="161">
        <f t="shared" ref="DB108:DC108" si="265">+SUMPRODUCT($J$109:$J$110,DB109:DB110)</f>
        <v>1</v>
      </c>
      <c r="DC108" s="161">
        <f t="shared" si="265"/>
        <v>1</v>
      </c>
      <c r="DD108" s="161">
        <f t="shared" ref="DD108:DE108" si="266">+SUMPRODUCT($J$109:$J$110,DD109:DD110)</f>
        <v>1</v>
      </c>
      <c r="DE108" s="161">
        <f t="shared" si="266"/>
        <v>1</v>
      </c>
      <c r="DF108" s="161">
        <f t="shared" ref="DF108:DG108" si="267">+SUMPRODUCT($J$109:$J$110,DF109:DF110)</f>
        <v>1</v>
      </c>
      <c r="DG108" s="161">
        <f t="shared" si="267"/>
        <v>1</v>
      </c>
      <c r="DH108" s="346">
        <f t="shared" ref="DH108:EL108" si="268">+SUMPRODUCT($J$109:$J$110,DH109:DH110)</f>
        <v>1</v>
      </c>
      <c r="DI108" s="161">
        <f t="shared" si="268"/>
        <v>1</v>
      </c>
      <c r="DJ108" s="161">
        <f t="shared" si="268"/>
        <v>1</v>
      </c>
      <c r="DK108" s="161">
        <f t="shared" si="268"/>
        <v>1</v>
      </c>
      <c r="DL108" s="161">
        <f t="shared" si="268"/>
        <v>1</v>
      </c>
      <c r="DM108" s="161">
        <f t="shared" si="268"/>
        <v>1</v>
      </c>
      <c r="DN108" s="161">
        <f t="shared" si="268"/>
        <v>1</v>
      </c>
      <c r="DO108" s="161">
        <f t="shared" si="268"/>
        <v>1</v>
      </c>
      <c r="DP108" s="161">
        <f t="shared" si="268"/>
        <v>1</v>
      </c>
      <c r="DQ108" s="161">
        <f t="shared" si="268"/>
        <v>1</v>
      </c>
      <c r="DR108" s="161">
        <f t="shared" si="268"/>
        <v>1</v>
      </c>
      <c r="DS108" s="161">
        <f t="shared" si="268"/>
        <v>1</v>
      </c>
      <c r="DT108" s="161">
        <f t="shared" si="268"/>
        <v>1</v>
      </c>
      <c r="DU108" s="161">
        <f t="shared" si="268"/>
        <v>1</v>
      </c>
      <c r="DV108" s="161">
        <f t="shared" si="268"/>
        <v>1</v>
      </c>
      <c r="DW108" s="161">
        <f t="shared" si="268"/>
        <v>1</v>
      </c>
      <c r="DX108" s="161">
        <f t="shared" si="268"/>
        <v>1</v>
      </c>
      <c r="DY108" s="161">
        <f t="shared" si="268"/>
        <v>1</v>
      </c>
      <c r="DZ108" s="161">
        <f t="shared" si="268"/>
        <v>1</v>
      </c>
      <c r="EA108" s="161">
        <f t="shared" si="268"/>
        <v>1</v>
      </c>
      <c r="EB108" s="161">
        <f t="shared" si="268"/>
        <v>1</v>
      </c>
      <c r="EC108" s="161">
        <f t="shared" si="268"/>
        <v>1</v>
      </c>
      <c r="ED108" s="161">
        <f t="shared" si="268"/>
        <v>1</v>
      </c>
      <c r="EE108" s="161">
        <f t="shared" si="268"/>
        <v>1</v>
      </c>
      <c r="EF108" s="161">
        <f t="shared" si="268"/>
        <v>1</v>
      </c>
      <c r="EG108" s="161">
        <f t="shared" si="268"/>
        <v>1</v>
      </c>
      <c r="EH108" s="161">
        <f t="shared" si="268"/>
        <v>1</v>
      </c>
      <c r="EI108" s="161">
        <f t="shared" si="268"/>
        <v>1</v>
      </c>
      <c r="EJ108" s="161">
        <f t="shared" si="268"/>
        <v>1</v>
      </c>
      <c r="EK108" s="161">
        <f t="shared" si="268"/>
        <v>1</v>
      </c>
      <c r="EL108" s="161">
        <f t="shared" si="268"/>
        <v>1</v>
      </c>
    </row>
    <row r="109" spans="2:142" hidden="1" outlineLevel="2" x14ac:dyDescent="0.3">
      <c r="B109" s="29"/>
      <c r="C109" s="30"/>
      <c r="D109" s="30"/>
      <c r="E109" s="52" t="s">
        <v>113</v>
      </c>
      <c r="F109" s="33">
        <v>10</v>
      </c>
      <c r="G109" s="162">
        <v>45482</v>
      </c>
      <c r="H109" s="162">
        <v>45495</v>
      </c>
      <c r="I109" s="33">
        <f>+F109</f>
        <v>10</v>
      </c>
      <c r="J109" s="35">
        <v>0.222</v>
      </c>
      <c r="K109" s="53"/>
      <c r="L109" s="127">
        <v>2.5000000000000001E-2</v>
      </c>
      <c r="M109" s="127">
        <v>7.1428571428571508E-2</v>
      </c>
      <c r="N109" s="127">
        <v>0.14285714285714296</v>
      </c>
      <c r="O109" s="127">
        <v>0.21428571428571441</v>
      </c>
      <c r="P109" s="127">
        <v>0.28571428571428586</v>
      </c>
      <c r="Q109" s="127">
        <v>0.35714285714285732</v>
      </c>
      <c r="R109" s="127">
        <v>0.42857142857142877</v>
      </c>
      <c r="S109" s="127">
        <v>0.5</v>
      </c>
      <c r="T109" s="127">
        <v>0.5</v>
      </c>
      <c r="U109" s="127">
        <v>0.5</v>
      </c>
      <c r="V109" s="127">
        <v>0.5</v>
      </c>
      <c r="W109" s="127">
        <v>0.5</v>
      </c>
      <c r="X109" s="127">
        <v>0.5</v>
      </c>
      <c r="Y109" s="127">
        <v>0.5</v>
      </c>
      <c r="Z109" s="127">
        <v>0.5</v>
      </c>
      <c r="AA109" s="127">
        <v>0.5</v>
      </c>
      <c r="AB109" s="127">
        <v>0.5</v>
      </c>
      <c r="AC109" s="127">
        <v>0.5</v>
      </c>
      <c r="AD109" s="127">
        <v>0.5</v>
      </c>
      <c r="AE109" s="127">
        <v>0.5</v>
      </c>
      <c r="AF109" s="127">
        <v>0.5</v>
      </c>
      <c r="AG109" s="127">
        <v>0.5</v>
      </c>
      <c r="AH109" s="127">
        <v>0.5</v>
      </c>
      <c r="AI109" s="127">
        <v>0.55000000000000004</v>
      </c>
      <c r="AJ109" s="127">
        <v>0.55000000000000004</v>
      </c>
      <c r="AK109" s="127">
        <v>0.55000000000000004</v>
      </c>
      <c r="AL109" s="127">
        <v>0.55000000000000004</v>
      </c>
      <c r="AM109" s="127">
        <v>0.55000000000000004</v>
      </c>
      <c r="AN109" s="127">
        <v>0.55000000000000004</v>
      </c>
      <c r="AO109" s="127">
        <v>0.55000000000000004</v>
      </c>
      <c r="AP109" s="127">
        <v>0.59500000000000008</v>
      </c>
      <c r="AQ109" s="127">
        <v>0.64000000000000012</v>
      </c>
      <c r="AR109" s="127">
        <v>0.68500000000000016</v>
      </c>
      <c r="AS109" s="127">
        <v>0.7300000000000002</v>
      </c>
      <c r="AT109" s="127">
        <v>0.77500000000000024</v>
      </c>
      <c r="AU109" s="127">
        <v>0.82000000000000028</v>
      </c>
      <c r="AV109" s="127">
        <v>0.86500000000000032</v>
      </c>
      <c r="AW109" s="127">
        <v>0.91000000000000036</v>
      </c>
      <c r="AX109" s="127">
        <v>0.9550000000000004</v>
      </c>
      <c r="AY109" s="127">
        <v>1.0000000000000004</v>
      </c>
      <c r="AZ109" s="127">
        <v>1</v>
      </c>
      <c r="BA109" s="127">
        <v>1</v>
      </c>
      <c r="BB109" s="127">
        <v>1</v>
      </c>
      <c r="BC109" s="127">
        <v>1</v>
      </c>
      <c r="BD109" s="127">
        <v>1</v>
      </c>
      <c r="BE109" s="127">
        <v>1</v>
      </c>
      <c r="BF109" s="127">
        <v>1</v>
      </c>
      <c r="BG109" s="127">
        <v>1</v>
      </c>
      <c r="BH109" s="127">
        <v>1</v>
      </c>
      <c r="BI109" s="127">
        <v>1</v>
      </c>
      <c r="BJ109" s="127">
        <v>1</v>
      </c>
      <c r="BK109" s="127">
        <v>1</v>
      </c>
      <c r="BL109" s="127">
        <v>1</v>
      </c>
      <c r="BM109" s="127">
        <v>1</v>
      </c>
      <c r="BN109" s="127">
        <v>1</v>
      </c>
      <c r="BO109" s="127">
        <v>1</v>
      </c>
      <c r="BP109" s="127">
        <v>1</v>
      </c>
      <c r="BQ109" s="127">
        <v>1</v>
      </c>
      <c r="BR109" s="163">
        <v>1</v>
      </c>
      <c r="BS109" s="163">
        <v>1</v>
      </c>
      <c r="BT109" s="163">
        <v>1</v>
      </c>
      <c r="BU109" s="163">
        <v>1</v>
      </c>
      <c r="BV109" s="163">
        <v>1</v>
      </c>
      <c r="BW109" s="163">
        <v>1</v>
      </c>
      <c r="BX109" s="163">
        <v>1</v>
      </c>
      <c r="BY109" s="163">
        <v>1</v>
      </c>
      <c r="BZ109" s="163">
        <v>1</v>
      </c>
      <c r="CA109" s="163">
        <v>1</v>
      </c>
      <c r="CB109" s="163">
        <v>1</v>
      </c>
      <c r="CC109" s="163">
        <v>1</v>
      </c>
      <c r="CD109" s="163">
        <v>1</v>
      </c>
      <c r="CE109" s="163">
        <v>1</v>
      </c>
      <c r="CF109" s="163">
        <v>1</v>
      </c>
      <c r="CG109" s="163">
        <v>1</v>
      </c>
      <c r="CH109" s="163">
        <v>1</v>
      </c>
      <c r="CI109" s="163">
        <v>1</v>
      </c>
      <c r="CJ109" s="163">
        <v>1</v>
      </c>
      <c r="CK109" s="163">
        <v>1</v>
      </c>
      <c r="CL109" s="163">
        <v>1</v>
      </c>
      <c r="CM109" s="163">
        <v>1</v>
      </c>
      <c r="CN109" s="163">
        <v>1</v>
      </c>
      <c r="CO109" s="163">
        <v>1</v>
      </c>
      <c r="CP109" s="163">
        <v>1</v>
      </c>
      <c r="CQ109" s="163">
        <v>1</v>
      </c>
      <c r="CR109" s="163">
        <v>1</v>
      </c>
      <c r="CS109" s="163">
        <v>1</v>
      </c>
      <c r="CT109" s="163">
        <v>1</v>
      </c>
      <c r="CU109" s="163">
        <v>1</v>
      </c>
      <c r="CV109" s="163">
        <v>1</v>
      </c>
      <c r="CW109" s="163">
        <v>1</v>
      </c>
      <c r="CX109" s="163">
        <v>1</v>
      </c>
      <c r="CY109" s="163">
        <v>1</v>
      </c>
      <c r="CZ109" s="163">
        <v>1</v>
      </c>
      <c r="DA109" s="163">
        <v>1</v>
      </c>
      <c r="DB109" s="163">
        <v>1</v>
      </c>
      <c r="DC109" s="163">
        <v>1</v>
      </c>
      <c r="DD109" s="163">
        <v>1</v>
      </c>
      <c r="DE109" s="163">
        <v>1</v>
      </c>
      <c r="DF109" s="163">
        <v>1</v>
      </c>
      <c r="DG109" s="163">
        <v>1</v>
      </c>
      <c r="DH109" s="347">
        <v>1</v>
      </c>
      <c r="DI109" s="163">
        <v>1</v>
      </c>
      <c r="DJ109" s="163">
        <v>1</v>
      </c>
      <c r="DK109" s="163">
        <v>1</v>
      </c>
      <c r="DL109" s="163">
        <v>1</v>
      </c>
      <c r="DM109" s="163">
        <v>1</v>
      </c>
      <c r="DN109" s="163">
        <v>1</v>
      </c>
      <c r="DO109" s="163">
        <v>1</v>
      </c>
      <c r="DP109" s="163">
        <v>1</v>
      </c>
      <c r="DQ109" s="163">
        <v>1</v>
      </c>
      <c r="DR109" s="163">
        <v>1</v>
      </c>
      <c r="DS109" s="163">
        <v>1</v>
      </c>
      <c r="DT109" s="163">
        <v>1</v>
      </c>
      <c r="DU109" s="163">
        <v>1</v>
      </c>
      <c r="DV109" s="163">
        <v>1</v>
      </c>
      <c r="DW109" s="163">
        <v>1</v>
      </c>
      <c r="DX109" s="163">
        <v>1</v>
      </c>
      <c r="DY109" s="163">
        <v>1</v>
      </c>
      <c r="DZ109" s="163">
        <v>1</v>
      </c>
      <c r="EA109" s="163">
        <v>1</v>
      </c>
      <c r="EB109" s="163">
        <v>1</v>
      </c>
      <c r="EC109" s="163">
        <v>1</v>
      </c>
      <c r="ED109" s="163">
        <v>1</v>
      </c>
      <c r="EE109" s="163">
        <v>1</v>
      </c>
      <c r="EF109" s="163">
        <v>1</v>
      </c>
      <c r="EG109" s="163">
        <v>1</v>
      </c>
      <c r="EH109" s="163">
        <v>1</v>
      </c>
      <c r="EI109" s="163">
        <v>1</v>
      </c>
      <c r="EJ109" s="163">
        <v>1</v>
      </c>
      <c r="EK109" s="163">
        <v>1</v>
      </c>
      <c r="EL109" s="163">
        <v>1</v>
      </c>
    </row>
    <row r="110" spans="2:142" hidden="1" outlineLevel="2" x14ac:dyDescent="0.3">
      <c r="B110" s="29"/>
      <c r="C110" s="30"/>
      <c r="D110" s="30"/>
      <c r="E110" s="52" t="s">
        <v>114</v>
      </c>
      <c r="F110" s="33">
        <v>40</v>
      </c>
      <c r="G110" s="162">
        <v>45712</v>
      </c>
      <c r="H110" s="162">
        <v>45772</v>
      </c>
      <c r="I110" s="33">
        <f>+F110</f>
        <v>40</v>
      </c>
      <c r="J110" s="35">
        <v>0.77800000000000002</v>
      </c>
      <c r="K110" s="53"/>
      <c r="L110" s="127">
        <v>0</v>
      </c>
      <c r="M110" s="127">
        <v>0</v>
      </c>
      <c r="N110" s="127">
        <v>0</v>
      </c>
      <c r="O110" s="127">
        <v>0</v>
      </c>
      <c r="P110" s="127">
        <v>0</v>
      </c>
      <c r="Q110" s="127">
        <v>0</v>
      </c>
      <c r="R110" s="127">
        <v>0</v>
      </c>
      <c r="S110" s="127">
        <v>0</v>
      </c>
      <c r="T110" s="127">
        <v>0</v>
      </c>
      <c r="U110" s="127">
        <v>0</v>
      </c>
      <c r="V110" s="127">
        <v>0</v>
      </c>
      <c r="W110" s="127">
        <v>0</v>
      </c>
      <c r="X110" s="127">
        <v>0</v>
      </c>
      <c r="Y110" s="127">
        <v>0</v>
      </c>
      <c r="Z110" s="127">
        <v>0</v>
      </c>
      <c r="AA110" s="127">
        <v>0</v>
      </c>
      <c r="AB110" s="127">
        <v>0</v>
      </c>
      <c r="AC110" s="127">
        <v>0</v>
      </c>
      <c r="AD110" s="127">
        <v>0</v>
      </c>
      <c r="AE110" s="127">
        <v>0</v>
      </c>
      <c r="AF110" s="127">
        <v>0</v>
      </c>
      <c r="AG110" s="127">
        <v>0</v>
      </c>
      <c r="AH110" s="127">
        <v>0</v>
      </c>
      <c r="AI110" s="127">
        <v>0</v>
      </c>
      <c r="AJ110" s="127">
        <v>0</v>
      </c>
      <c r="AK110" s="127">
        <v>0</v>
      </c>
      <c r="AL110" s="127">
        <v>0</v>
      </c>
      <c r="AM110" s="127">
        <v>0</v>
      </c>
      <c r="AN110" s="127">
        <v>0</v>
      </c>
      <c r="AO110" s="127">
        <v>0</v>
      </c>
      <c r="AP110" s="127">
        <v>0</v>
      </c>
      <c r="AQ110" s="127">
        <v>0</v>
      </c>
      <c r="AR110" s="127">
        <v>0</v>
      </c>
      <c r="AS110" s="127">
        <v>0</v>
      </c>
      <c r="AT110" s="127">
        <v>0</v>
      </c>
      <c r="AU110" s="127">
        <v>0</v>
      </c>
      <c r="AV110" s="127">
        <v>0</v>
      </c>
      <c r="AW110" s="127">
        <v>0.1111</v>
      </c>
      <c r="AX110" s="127">
        <v>0.22220000000000001</v>
      </c>
      <c r="AY110" s="127">
        <v>0.33329999999999999</v>
      </c>
      <c r="AZ110" s="127">
        <v>0.44439999999999996</v>
      </c>
      <c r="BA110" s="127">
        <v>0.55549999999999999</v>
      </c>
      <c r="BB110" s="127">
        <v>0.66659999999999997</v>
      </c>
      <c r="BC110" s="127">
        <v>0.77769999999999995</v>
      </c>
      <c r="BD110" s="127">
        <v>0.88879999999999992</v>
      </c>
      <c r="BE110" s="127">
        <v>0.9998999999999999</v>
      </c>
      <c r="BF110" s="127">
        <v>1</v>
      </c>
      <c r="BG110" s="127">
        <v>1</v>
      </c>
      <c r="BH110" s="127">
        <v>1</v>
      </c>
      <c r="BI110" s="127">
        <v>1</v>
      </c>
      <c r="BJ110" s="127">
        <v>1</v>
      </c>
      <c r="BK110" s="127">
        <v>1</v>
      </c>
      <c r="BL110" s="127">
        <v>1</v>
      </c>
      <c r="BM110" s="127">
        <v>1</v>
      </c>
      <c r="BN110" s="127">
        <v>1</v>
      </c>
      <c r="BO110" s="127">
        <v>1</v>
      </c>
      <c r="BP110" s="127">
        <v>1</v>
      </c>
      <c r="BQ110" s="127">
        <v>1</v>
      </c>
      <c r="BR110" s="163">
        <v>1</v>
      </c>
      <c r="BS110" s="163">
        <v>1</v>
      </c>
      <c r="BT110" s="163">
        <v>1</v>
      </c>
      <c r="BU110" s="163">
        <v>1</v>
      </c>
      <c r="BV110" s="163">
        <v>1</v>
      </c>
      <c r="BW110" s="163">
        <v>1</v>
      </c>
      <c r="BX110" s="163">
        <v>1</v>
      </c>
      <c r="BY110" s="163">
        <v>1</v>
      </c>
      <c r="BZ110" s="163">
        <v>1</v>
      </c>
      <c r="CA110" s="163">
        <v>1</v>
      </c>
      <c r="CB110" s="163">
        <v>1</v>
      </c>
      <c r="CC110" s="163">
        <v>1</v>
      </c>
      <c r="CD110" s="163">
        <v>1</v>
      </c>
      <c r="CE110" s="163">
        <v>1</v>
      </c>
      <c r="CF110" s="163">
        <v>1</v>
      </c>
      <c r="CG110" s="163">
        <v>1</v>
      </c>
      <c r="CH110" s="163">
        <v>1</v>
      </c>
      <c r="CI110" s="163">
        <v>1</v>
      </c>
      <c r="CJ110" s="163">
        <v>1</v>
      </c>
      <c r="CK110" s="163">
        <v>1</v>
      </c>
      <c r="CL110" s="163">
        <v>1</v>
      </c>
      <c r="CM110" s="163">
        <v>1</v>
      </c>
      <c r="CN110" s="163">
        <v>1</v>
      </c>
      <c r="CO110" s="163">
        <v>1</v>
      </c>
      <c r="CP110" s="163">
        <v>1</v>
      </c>
      <c r="CQ110" s="163">
        <v>1</v>
      </c>
      <c r="CR110" s="163">
        <v>1</v>
      </c>
      <c r="CS110" s="163">
        <v>1</v>
      </c>
      <c r="CT110" s="163">
        <v>1</v>
      </c>
      <c r="CU110" s="163">
        <v>1</v>
      </c>
      <c r="CV110" s="163">
        <v>1</v>
      </c>
      <c r="CW110" s="163">
        <v>1</v>
      </c>
      <c r="CX110" s="163">
        <v>1</v>
      </c>
      <c r="CY110" s="163">
        <v>1</v>
      </c>
      <c r="CZ110" s="163">
        <v>1</v>
      </c>
      <c r="DA110" s="163">
        <v>1</v>
      </c>
      <c r="DB110" s="163">
        <v>1</v>
      </c>
      <c r="DC110" s="163">
        <v>1</v>
      </c>
      <c r="DD110" s="163">
        <v>1</v>
      </c>
      <c r="DE110" s="163">
        <v>1</v>
      </c>
      <c r="DF110" s="163">
        <v>1</v>
      </c>
      <c r="DG110" s="163">
        <v>1</v>
      </c>
      <c r="DH110" s="347">
        <v>1</v>
      </c>
      <c r="DI110" s="163">
        <v>1</v>
      </c>
      <c r="DJ110" s="163">
        <v>1</v>
      </c>
      <c r="DK110" s="163">
        <v>1</v>
      </c>
      <c r="DL110" s="163">
        <v>1</v>
      </c>
      <c r="DM110" s="163">
        <v>1</v>
      </c>
      <c r="DN110" s="163">
        <v>1</v>
      </c>
      <c r="DO110" s="163">
        <v>1</v>
      </c>
      <c r="DP110" s="163">
        <v>1</v>
      </c>
      <c r="DQ110" s="163">
        <v>1</v>
      </c>
      <c r="DR110" s="163">
        <v>1</v>
      </c>
      <c r="DS110" s="163">
        <v>1</v>
      </c>
      <c r="DT110" s="163">
        <v>1</v>
      </c>
      <c r="DU110" s="163">
        <v>1</v>
      </c>
      <c r="DV110" s="163">
        <v>1</v>
      </c>
      <c r="DW110" s="163">
        <v>1</v>
      </c>
      <c r="DX110" s="163">
        <v>1</v>
      </c>
      <c r="DY110" s="163">
        <v>1</v>
      </c>
      <c r="DZ110" s="163">
        <v>1</v>
      </c>
      <c r="EA110" s="163">
        <v>1</v>
      </c>
      <c r="EB110" s="163">
        <v>1</v>
      </c>
      <c r="EC110" s="163">
        <v>1</v>
      </c>
      <c r="ED110" s="163">
        <v>1</v>
      </c>
      <c r="EE110" s="163">
        <v>1</v>
      </c>
      <c r="EF110" s="163">
        <v>1</v>
      </c>
      <c r="EG110" s="163">
        <v>1</v>
      </c>
      <c r="EH110" s="163">
        <v>1</v>
      </c>
      <c r="EI110" s="163">
        <v>1</v>
      </c>
      <c r="EJ110" s="163">
        <v>1</v>
      </c>
      <c r="EK110" s="163">
        <v>1</v>
      </c>
      <c r="EL110" s="163">
        <v>1</v>
      </c>
    </row>
    <row r="111" spans="2:142" ht="15" hidden="1" outlineLevel="1" collapsed="1" x14ac:dyDescent="0.3">
      <c r="B111" s="22"/>
      <c r="C111" s="23"/>
      <c r="D111" s="23" t="s">
        <v>115</v>
      </c>
      <c r="E111" s="50"/>
      <c r="F111" s="26">
        <v>35</v>
      </c>
      <c r="G111" s="160">
        <v>45677</v>
      </c>
      <c r="H111" s="160">
        <v>45727</v>
      </c>
      <c r="I111" s="26">
        <f>+SUM(I112:I113)</f>
        <v>40</v>
      </c>
      <c r="J111" s="28">
        <v>0.20879473036887999</v>
      </c>
      <c r="K111" s="51"/>
      <c r="L111" s="28">
        <f>+SUMPRODUCT($J$112:$J$113,L112:L113)</f>
        <v>0</v>
      </c>
      <c r="M111" s="28">
        <f t="shared" ref="M111:BU111" si="269">+SUMPRODUCT($J$112:$J$113,M112:M113)</f>
        <v>0</v>
      </c>
      <c r="N111" s="28">
        <f t="shared" si="269"/>
        <v>0</v>
      </c>
      <c r="O111" s="28">
        <f t="shared" si="269"/>
        <v>0</v>
      </c>
      <c r="P111" s="28">
        <f t="shared" si="269"/>
        <v>0</v>
      </c>
      <c r="Q111" s="28">
        <f t="shared" si="269"/>
        <v>0</v>
      </c>
      <c r="R111" s="28">
        <f t="shared" si="269"/>
        <v>0</v>
      </c>
      <c r="S111" s="28">
        <f t="shared" si="269"/>
        <v>0</v>
      </c>
      <c r="T111" s="28">
        <f t="shared" si="269"/>
        <v>0</v>
      </c>
      <c r="U111" s="28">
        <f t="shared" si="269"/>
        <v>0</v>
      </c>
      <c r="V111" s="28">
        <f t="shared" si="269"/>
        <v>0</v>
      </c>
      <c r="W111" s="28">
        <f t="shared" si="269"/>
        <v>0</v>
      </c>
      <c r="X111" s="28">
        <f t="shared" si="269"/>
        <v>0</v>
      </c>
      <c r="Y111" s="28">
        <f t="shared" si="269"/>
        <v>0</v>
      </c>
      <c r="Z111" s="28">
        <f t="shared" si="269"/>
        <v>0</v>
      </c>
      <c r="AA111" s="28">
        <f t="shared" si="269"/>
        <v>0</v>
      </c>
      <c r="AB111" s="28">
        <f t="shared" si="269"/>
        <v>0</v>
      </c>
      <c r="AC111" s="28">
        <f t="shared" si="269"/>
        <v>0</v>
      </c>
      <c r="AD111" s="28">
        <f t="shared" si="269"/>
        <v>0</v>
      </c>
      <c r="AE111" s="28">
        <f t="shared" si="269"/>
        <v>0</v>
      </c>
      <c r="AF111" s="28">
        <f t="shared" si="269"/>
        <v>0</v>
      </c>
      <c r="AG111" s="28">
        <f t="shared" si="269"/>
        <v>0</v>
      </c>
      <c r="AH111" s="28">
        <f t="shared" si="269"/>
        <v>0</v>
      </c>
      <c r="AI111" s="28">
        <f t="shared" si="269"/>
        <v>0</v>
      </c>
      <c r="AJ111" s="28">
        <f t="shared" si="269"/>
        <v>0</v>
      </c>
      <c r="AK111" s="28">
        <f t="shared" si="269"/>
        <v>0</v>
      </c>
      <c r="AL111" s="28">
        <f t="shared" si="269"/>
        <v>0</v>
      </c>
      <c r="AM111" s="28">
        <f t="shared" si="269"/>
        <v>0</v>
      </c>
      <c r="AN111" s="28">
        <f t="shared" si="269"/>
        <v>0</v>
      </c>
      <c r="AO111" s="28">
        <f t="shared" si="269"/>
        <v>0</v>
      </c>
      <c r="AP111" s="28">
        <f t="shared" si="269"/>
        <v>0</v>
      </c>
      <c r="AQ111" s="28">
        <f t="shared" si="269"/>
        <v>0</v>
      </c>
      <c r="AR111" s="28">
        <f t="shared" si="269"/>
        <v>0</v>
      </c>
      <c r="AS111" s="28">
        <f t="shared" si="269"/>
        <v>0</v>
      </c>
      <c r="AT111" s="28">
        <f t="shared" si="269"/>
        <v>0</v>
      </c>
      <c r="AU111" s="28">
        <f t="shared" si="269"/>
        <v>0</v>
      </c>
      <c r="AV111" s="28">
        <f t="shared" si="269"/>
        <v>0</v>
      </c>
      <c r="AW111" s="28">
        <f t="shared" si="269"/>
        <v>0</v>
      </c>
      <c r="AX111" s="28">
        <f t="shared" si="269"/>
        <v>0</v>
      </c>
      <c r="AY111" s="28">
        <f t="shared" si="269"/>
        <v>0</v>
      </c>
      <c r="AZ111" s="28">
        <f t="shared" si="269"/>
        <v>0</v>
      </c>
      <c r="BA111" s="28">
        <f t="shared" si="269"/>
        <v>0</v>
      </c>
      <c r="BB111" s="28">
        <f t="shared" si="269"/>
        <v>0.13275403058308388</v>
      </c>
      <c r="BC111" s="28">
        <f t="shared" si="269"/>
        <v>0.26550806116616776</v>
      </c>
      <c r="BD111" s="28">
        <f t="shared" si="269"/>
        <v>0.3982620917492517</v>
      </c>
      <c r="BE111" s="28">
        <f t="shared" si="269"/>
        <v>0.53101612233233553</v>
      </c>
      <c r="BF111" s="28">
        <f t="shared" si="269"/>
        <v>0.73101612233233548</v>
      </c>
      <c r="BG111" s="28">
        <f t="shared" si="269"/>
        <v>0.79826209174925167</v>
      </c>
      <c r="BH111" s="28">
        <f t="shared" si="269"/>
        <v>0.86550806116616785</v>
      </c>
      <c r="BI111" s="28">
        <f t="shared" si="269"/>
        <v>0.93275403058308393</v>
      </c>
      <c r="BJ111" s="28">
        <f t="shared" si="269"/>
        <v>1</v>
      </c>
      <c r="BK111" s="28">
        <f t="shared" si="269"/>
        <v>1</v>
      </c>
      <c r="BL111" s="28">
        <f t="shared" si="269"/>
        <v>1</v>
      </c>
      <c r="BM111" s="28">
        <f t="shared" si="269"/>
        <v>1</v>
      </c>
      <c r="BN111" s="28">
        <f t="shared" si="269"/>
        <v>1</v>
      </c>
      <c r="BO111" s="28">
        <f t="shared" si="269"/>
        <v>1</v>
      </c>
      <c r="BP111" s="28">
        <f t="shared" si="269"/>
        <v>1</v>
      </c>
      <c r="BQ111" s="28">
        <f t="shared" si="269"/>
        <v>1</v>
      </c>
      <c r="BR111" s="161">
        <f t="shared" si="269"/>
        <v>1</v>
      </c>
      <c r="BS111" s="161">
        <f t="shared" si="269"/>
        <v>1</v>
      </c>
      <c r="BT111" s="161">
        <f t="shared" si="269"/>
        <v>1</v>
      </c>
      <c r="BU111" s="161">
        <f t="shared" si="269"/>
        <v>1</v>
      </c>
      <c r="BV111" s="161">
        <f t="shared" ref="BV111:CL111" si="270">+SUMPRODUCT($J$112:$J$113,BV112:BV113)</f>
        <v>1</v>
      </c>
      <c r="BW111" s="161">
        <f t="shared" si="270"/>
        <v>1</v>
      </c>
      <c r="BX111" s="161">
        <f t="shared" si="270"/>
        <v>1</v>
      </c>
      <c r="BY111" s="161">
        <f t="shared" si="270"/>
        <v>1</v>
      </c>
      <c r="BZ111" s="161">
        <f t="shared" si="270"/>
        <v>1</v>
      </c>
      <c r="CA111" s="161">
        <f t="shared" si="270"/>
        <v>1</v>
      </c>
      <c r="CB111" s="161">
        <f t="shared" si="270"/>
        <v>1</v>
      </c>
      <c r="CC111" s="161">
        <f t="shared" si="270"/>
        <v>1</v>
      </c>
      <c r="CD111" s="161">
        <f t="shared" si="270"/>
        <v>1</v>
      </c>
      <c r="CE111" s="161">
        <f t="shared" si="270"/>
        <v>1</v>
      </c>
      <c r="CF111" s="161">
        <f t="shared" si="270"/>
        <v>1</v>
      </c>
      <c r="CG111" s="161">
        <f t="shared" si="270"/>
        <v>1</v>
      </c>
      <c r="CH111" s="161">
        <f t="shared" si="270"/>
        <v>1</v>
      </c>
      <c r="CI111" s="161">
        <f t="shared" si="270"/>
        <v>1</v>
      </c>
      <c r="CJ111" s="161">
        <f t="shared" si="270"/>
        <v>1</v>
      </c>
      <c r="CK111" s="161">
        <f t="shared" si="270"/>
        <v>1</v>
      </c>
      <c r="CL111" s="161">
        <f t="shared" si="270"/>
        <v>1</v>
      </c>
      <c r="CM111" s="161">
        <f t="shared" ref="CM111:CN111" si="271">+SUMPRODUCT($J$112:$J$113,CM112:CM113)</f>
        <v>1</v>
      </c>
      <c r="CN111" s="161">
        <f t="shared" si="271"/>
        <v>1</v>
      </c>
      <c r="CO111" s="161">
        <f t="shared" ref="CO111" si="272">+SUMPRODUCT($J$112:$J$113,CO112:CO113)</f>
        <v>1</v>
      </c>
      <c r="CP111" s="161">
        <f t="shared" ref="CP111:CV111" si="273">+SUMPRODUCT($J$112:$J$113,CP112:CP113)</f>
        <v>1</v>
      </c>
      <c r="CQ111" s="161">
        <f t="shared" si="273"/>
        <v>1</v>
      </c>
      <c r="CR111" s="161">
        <f t="shared" si="273"/>
        <v>1</v>
      </c>
      <c r="CS111" s="161">
        <f t="shared" si="273"/>
        <v>1</v>
      </c>
      <c r="CT111" s="161">
        <f t="shared" si="273"/>
        <v>1</v>
      </c>
      <c r="CU111" s="161">
        <f t="shared" si="273"/>
        <v>1</v>
      </c>
      <c r="CV111" s="161">
        <f t="shared" si="273"/>
        <v>1</v>
      </c>
      <c r="CW111" s="161">
        <f t="shared" ref="CW111:CY111" si="274">+SUMPRODUCT($J$112:$J$113,CW112:CW113)</f>
        <v>1</v>
      </c>
      <c r="CX111" s="161">
        <f t="shared" si="274"/>
        <v>1</v>
      </c>
      <c r="CY111" s="161">
        <f t="shared" si="274"/>
        <v>1</v>
      </c>
      <c r="CZ111" s="161">
        <f t="shared" ref="CZ111:DA111" si="275">+SUMPRODUCT($J$112:$J$113,CZ112:CZ113)</f>
        <v>1</v>
      </c>
      <c r="DA111" s="161">
        <f t="shared" si="275"/>
        <v>1</v>
      </c>
      <c r="DB111" s="161">
        <f t="shared" ref="DB111:DC111" si="276">+SUMPRODUCT($J$112:$J$113,DB112:DB113)</f>
        <v>1</v>
      </c>
      <c r="DC111" s="161">
        <f t="shared" si="276"/>
        <v>1</v>
      </c>
      <c r="DD111" s="161">
        <f t="shared" ref="DD111:DE111" si="277">+SUMPRODUCT($J$112:$J$113,DD112:DD113)</f>
        <v>1</v>
      </c>
      <c r="DE111" s="161">
        <f t="shared" si="277"/>
        <v>1</v>
      </c>
      <c r="DF111" s="161">
        <f t="shared" ref="DF111:DG111" si="278">+SUMPRODUCT($J$112:$J$113,DF112:DF113)</f>
        <v>1</v>
      </c>
      <c r="DG111" s="161">
        <f t="shared" si="278"/>
        <v>1</v>
      </c>
      <c r="DH111" s="346">
        <f t="shared" ref="DH111:EL111" si="279">+SUMPRODUCT($J$112:$J$113,DH112:DH113)</f>
        <v>1</v>
      </c>
      <c r="DI111" s="161">
        <f t="shared" si="279"/>
        <v>1</v>
      </c>
      <c r="DJ111" s="161">
        <f t="shared" si="279"/>
        <v>1</v>
      </c>
      <c r="DK111" s="161">
        <f t="shared" si="279"/>
        <v>1</v>
      </c>
      <c r="DL111" s="161">
        <f t="shared" si="279"/>
        <v>1</v>
      </c>
      <c r="DM111" s="161">
        <f t="shared" si="279"/>
        <v>1</v>
      </c>
      <c r="DN111" s="161">
        <f t="shared" si="279"/>
        <v>1</v>
      </c>
      <c r="DO111" s="161">
        <f t="shared" si="279"/>
        <v>1</v>
      </c>
      <c r="DP111" s="161">
        <f t="shared" si="279"/>
        <v>1</v>
      </c>
      <c r="DQ111" s="161">
        <f t="shared" si="279"/>
        <v>1</v>
      </c>
      <c r="DR111" s="161">
        <f t="shared" si="279"/>
        <v>1</v>
      </c>
      <c r="DS111" s="161">
        <f t="shared" si="279"/>
        <v>1</v>
      </c>
      <c r="DT111" s="161">
        <f t="shared" si="279"/>
        <v>1</v>
      </c>
      <c r="DU111" s="161">
        <f t="shared" si="279"/>
        <v>1</v>
      </c>
      <c r="DV111" s="161">
        <f t="shared" si="279"/>
        <v>1</v>
      </c>
      <c r="DW111" s="161">
        <f t="shared" si="279"/>
        <v>1</v>
      </c>
      <c r="DX111" s="161">
        <f t="shared" si="279"/>
        <v>1</v>
      </c>
      <c r="DY111" s="161">
        <f t="shared" si="279"/>
        <v>1</v>
      </c>
      <c r="DZ111" s="161">
        <f t="shared" si="279"/>
        <v>1</v>
      </c>
      <c r="EA111" s="161">
        <f t="shared" si="279"/>
        <v>1</v>
      </c>
      <c r="EB111" s="161">
        <f t="shared" si="279"/>
        <v>1</v>
      </c>
      <c r="EC111" s="161">
        <f t="shared" si="279"/>
        <v>1</v>
      </c>
      <c r="ED111" s="161">
        <f t="shared" si="279"/>
        <v>1</v>
      </c>
      <c r="EE111" s="161">
        <f t="shared" si="279"/>
        <v>1</v>
      </c>
      <c r="EF111" s="161">
        <f t="shared" si="279"/>
        <v>1</v>
      </c>
      <c r="EG111" s="161">
        <f t="shared" si="279"/>
        <v>1</v>
      </c>
      <c r="EH111" s="161">
        <f t="shared" si="279"/>
        <v>1</v>
      </c>
      <c r="EI111" s="161">
        <f t="shared" si="279"/>
        <v>1</v>
      </c>
      <c r="EJ111" s="161">
        <f t="shared" si="279"/>
        <v>1</v>
      </c>
      <c r="EK111" s="161">
        <f t="shared" si="279"/>
        <v>1</v>
      </c>
      <c r="EL111" s="161">
        <f t="shared" si="279"/>
        <v>1</v>
      </c>
    </row>
    <row r="112" spans="2:142" hidden="1" outlineLevel="2" x14ac:dyDescent="0.3">
      <c r="B112" s="29"/>
      <c r="C112" s="30"/>
      <c r="D112" s="30"/>
      <c r="E112" s="52" t="s">
        <v>116</v>
      </c>
      <c r="F112" s="33">
        <v>20</v>
      </c>
      <c r="G112" s="162">
        <v>45677</v>
      </c>
      <c r="H112" s="162">
        <v>45702</v>
      </c>
      <c r="I112" s="33">
        <f>+F112</f>
        <v>20</v>
      </c>
      <c r="J112" s="35">
        <v>0.66377015291541941</v>
      </c>
      <c r="K112" s="53"/>
      <c r="L112" s="127">
        <v>0</v>
      </c>
      <c r="M112" s="127">
        <v>0</v>
      </c>
      <c r="N112" s="127">
        <v>0</v>
      </c>
      <c r="O112" s="127">
        <v>0</v>
      </c>
      <c r="P112" s="127">
        <v>0</v>
      </c>
      <c r="Q112" s="127">
        <v>0</v>
      </c>
      <c r="R112" s="127">
        <v>0</v>
      </c>
      <c r="S112" s="127">
        <v>0</v>
      </c>
      <c r="T112" s="127">
        <v>0</v>
      </c>
      <c r="U112" s="127">
        <v>0</v>
      </c>
      <c r="V112" s="127">
        <v>0</v>
      </c>
      <c r="W112" s="127">
        <v>0</v>
      </c>
      <c r="X112" s="127">
        <v>0</v>
      </c>
      <c r="Y112" s="127">
        <v>0</v>
      </c>
      <c r="Z112" s="127">
        <v>0</v>
      </c>
      <c r="AA112" s="127">
        <v>0</v>
      </c>
      <c r="AB112" s="127">
        <v>0</v>
      </c>
      <c r="AC112" s="127">
        <v>0</v>
      </c>
      <c r="AD112" s="127">
        <v>0</v>
      </c>
      <c r="AE112" s="127">
        <v>0</v>
      </c>
      <c r="AF112" s="127">
        <v>0</v>
      </c>
      <c r="AG112" s="127">
        <v>0</v>
      </c>
      <c r="AH112" s="127">
        <v>0</v>
      </c>
      <c r="AI112" s="127">
        <v>0</v>
      </c>
      <c r="AJ112" s="127">
        <v>0</v>
      </c>
      <c r="AK112" s="127">
        <v>0</v>
      </c>
      <c r="AL112" s="127">
        <v>0</v>
      </c>
      <c r="AM112" s="127">
        <v>0</v>
      </c>
      <c r="AN112" s="127">
        <v>0</v>
      </c>
      <c r="AO112" s="127">
        <v>0</v>
      </c>
      <c r="AP112" s="127">
        <v>0</v>
      </c>
      <c r="AQ112" s="127">
        <v>0</v>
      </c>
      <c r="AR112" s="127">
        <v>0</v>
      </c>
      <c r="AS112" s="127">
        <v>0</v>
      </c>
      <c r="AT112" s="127">
        <v>0</v>
      </c>
      <c r="AU112" s="127">
        <v>0</v>
      </c>
      <c r="AV112" s="127">
        <v>0</v>
      </c>
      <c r="AW112" s="127">
        <v>0</v>
      </c>
      <c r="AX112" s="127">
        <v>0</v>
      </c>
      <c r="AY112" s="127">
        <v>0</v>
      </c>
      <c r="AZ112" s="127">
        <v>0</v>
      </c>
      <c r="BA112" s="127">
        <v>0</v>
      </c>
      <c r="BB112" s="127">
        <v>0.2</v>
      </c>
      <c r="BC112" s="127">
        <v>0.4</v>
      </c>
      <c r="BD112" s="127">
        <v>0.60000000000000009</v>
      </c>
      <c r="BE112" s="127">
        <v>0.8</v>
      </c>
      <c r="BF112" s="127">
        <v>1</v>
      </c>
      <c r="BG112" s="127">
        <v>1</v>
      </c>
      <c r="BH112" s="127">
        <v>1</v>
      </c>
      <c r="BI112" s="127">
        <v>1</v>
      </c>
      <c r="BJ112" s="127">
        <v>1</v>
      </c>
      <c r="BK112" s="127">
        <v>1</v>
      </c>
      <c r="BL112" s="127">
        <v>1</v>
      </c>
      <c r="BM112" s="127">
        <v>1</v>
      </c>
      <c r="BN112" s="127">
        <v>1</v>
      </c>
      <c r="BO112" s="127">
        <v>1</v>
      </c>
      <c r="BP112" s="127">
        <v>1</v>
      </c>
      <c r="BQ112" s="127">
        <v>1</v>
      </c>
      <c r="BR112" s="163">
        <v>1</v>
      </c>
      <c r="BS112" s="163">
        <v>1</v>
      </c>
      <c r="BT112" s="163">
        <v>1</v>
      </c>
      <c r="BU112" s="163">
        <v>1</v>
      </c>
      <c r="BV112" s="163">
        <v>1</v>
      </c>
      <c r="BW112" s="163">
        <v>1</v>
      </c>
      <c r="BX112" s="163">
        <v>1</v>
      </c>
      <c r="BY112" s="163">
        <v>1</v>
      </c>
      <c r="BZ112" s="163">
        <v>1</v>
      </c>
      <c r="CA112" s="163">
        <v>1</v>
      </c>
      <c r="CB112" s="163">
        <v>1</v>
      </c>
      <c r="CC112" s="163">
        <v>1</v>
      </c>
      <c r="CD112" s="163">
        <v>1</v>
      </c>
      <c r="CE112" s="163">
        <v>1</v>
      </c>
      <c r="CF112" s="163">
        <v>1</v>
      </c>
      <c r="CG112" s="163">
        <v>1</v>
      </c>
      <c r="CH112" s="163">
        <v>1</v>
      </c>
      <c r="CI112" s="163">
        <v>1</v>
      </c>
      <c r="CJ112" s="163">
        <v>1</v>
      </c>
      <c r="CK112" s="163">
        <v>1</v>
      </c>
      <c r="CL112" s="163">
        <v>1</v>
      </c>
      <c r="CM112" s="163">
        <v>1</v>
      </c>
      <c r="CN112" s="163">
        <v>1</v>
      </c>
      <c r="CO112" s="163">
        <v>1</v>
      </c>
      <c r="CP112" s="163">
        <v>1</v>
      </c>
      <c r="CQ112" s="163">
        <v>1</v>
      </c>
      <c r="CR112" s="163">
        <v>1</v>
      </c>
      <c r="CS112" s="163">
        <v>1</v>
      </c>
      <c r="CT112" s="163">
        <v>1</v>
      </c>
      <c r="CU112" s="163">
        <v>1</v>
      </c>
      <c r="CV112" s="163">
        <v>1</v>
      </c>
      <c r="CW112" s="163">
        <v>1</v>
      </c>
      <c r="CX112" s="163">
        <v>1</v>
      </c>
      <c r="CY112" s="163">
        <v>1</v>
      </c>
      <c r="CZ112" s="163">
        <v>1</v>
      </c>
      <c r="DA112" s="163">
        <v>1</v>
      </c>
      <c r="DB112" s="163">
        <v>1</v>
      </c>
      <c r="DC112" s="163">
        <v>1</v>
      </c>
      <c r="DD112" s="163">
        <v>1</v>
      </c>
      <c r="DE112" s="163">
        <v>1</v>
      </c>
      <c r="DF112" s="163">
        <v>1</v>
      </c>
      <c r="DG112" s="163">
        <v>1</v>
      </c>
      <c r="DH112" s="347">
        <v>1</v>
      </c>
      <c r="DI112" s="163">
        <v>1</v>
      </c>
      <c r="DJ112" s="163">
        <v>1</v>
      </c>
      <c r="DK112" s="163">
        <v>1</v>
      </c>
      <c r="DL112" s="163">
        <v>1</v>
      </c>
      <c r="DM112" s="163">
        <v>1</v>
      </c>
      <c r="DN112" s="163">
        <v>1</v>
      </c>
      <c r="DO112" s="163">
        <v>1</v>
      </c>
      <c r="DP112" s="163">
        <v>1</v>
      </c>
      <c r="DQ112" s="163">
        <v>1</v>
      </c>
      <c r="DR112" s="163">
        <v>1</v>
      </c>
      <c r="DS112" s="163">
        <v>1</v>
      </c>
      <c r="DT112" s="163">
        <v>1</v>
      </c>
      <c r="DU112" s="163">
        <v>1</v>
      </c>
      <c r="DV112" s="163">
        <v>1</v>
      </c>
      <c r="DW112" s="163">
        <v>1</v>
      </c>
      <c r="DX112" s="163">
        <v>1</v>
      </c>
      <c r="DY112" s="163">
        <v>1</v>
      </c>
      <c r="DZ112" s="163">
        <v>1</v>
      </c>
      <c r="EA112" s="163">
        <v>1</v>
      </c>
      <c r="EB112" s="163">
        <v>1</v>
      </c>
      <c r="EC112" s="163">
        <v>1</v>
      </c>
      <c r="ED112" s="163">
        <v>1</v>
      </c>
      <c r="EE112" s="163">
        <v>1</v>
      </c>
      <c r="EF112" s="163">
        <v>1</v>
      </c>
      <c r="EG112" s="163">
        <v>1</v>
      </c>
      <c r="EH112" s="163">
        <v>1</v>
      </c>
      <c r="EI112" s="163">
        <v>1</v>
      </c>
      <c r="EJ112" s="163">
        <v>1</v>
      </c>
      <c r="EK112" s="163">
        <v>1</v>
      </c>
      <c r="EL112" s="163">
        <v>1</v>
      </c>
    </row>
    <row r="113" spans="2:142" hidden="1" outlineLevel="2" x14ac:dyDescent="0.3">
      <c r="B113" s="29"/>
      <c r="C113" s="30"/>
      <c r="D113" s="30"/>
      <c r="E113" s="52" t="s">
        <v>117</v>
      </c>
      <c r="F113" s="33">
        <v>20</v>
      </c>
      <c r="G113" s="162">
        <v>45698</v>
      </c>
      <c r="H113" s="162">
        <v>45727</v>
      </c>
      <c r="I113" s="33">
        <f>+F113</f>
        <v>20</v>
      </c>
      <c r="J113" s="35">
        <v>0.33622984708458059</v>
      </c>
      <c r="K113" s="53"/>
      <c r="L113" s="127">
        <v>0</v>
      </c>
      <c r="M113" s="127">
        <v>0</v>
      </c>
      <c r="N113" s="127">
        <v>0</v>
      </c>
      <c r="O113" s="127">
        <v>0</v>
      </c>
      <c r="P113" s="127">
        <v>0</v>
      </c>
      <c r="Q113" s="127">
        <v>0</v>
      </c>
      <c r="R113" s="127">
        <v>0</v>
      </c>
      <c r="S113" s="127">
        <v>0</v>
      </c>
      <c r="T113" s="127">
        <v>0</v>
      </c>
      <c r="U113" s="127">
        <v>0</v>
      </c>
      <c r="V113" s="127">
        <v>0</v>
      </c>
      <c r="W113" s="127">
        <v>0</v>
      </c>
      <c r="X113" s="127">
        <v>0</v>
      </c>
      <c r="Y113" s="127">
        <v>0</v>
      </c>
      <c r="Z113" s="127">
        <v>0</v>
      </c>
      <c r="AA113" s="127">
        <v>0</v>
      </c>
      <c r="AB113" s="127">
        <v>0</v>
      </c>
      <c r="AC113" s="127">
        <v>0</v>
      </c>
      <c r="AD113" s="127">
        <v>0</v>
      </c>
      <c r="AE113" s="127">
        <v>0</v>
      </c>
      <c r="AF113" s="127">
        <v>0</v>
      </c>
      <c r="AG113" s="127">
        <v>0</v>
      </c>
      <c r="AH113" s="127">
        <v>0</v>
      </c>
      <c r="AI113" s="127">
        <v>0</v>
      </c>
      <c r="AJ113" s="127">
        <v>0</v>
      </c>
      <c r="AK113" s="127">
        <v>0</v>
      </c>
      <c r="AL113" s="127">
        <v>0</v>
      </c>
      <c r="AM113" s="127">
        <v>0</v>
      </c>
      <c r="AN113" s="127">
        <v>0</v>
      </c>
      <c r="AO113" s="127">
        <v>0</v>
      </c>
      <c r="AP113" s="127">
        <v>0</v>
      </c>
      <c r="AQ113" s="127">
        <v>0</v>
      </c>
      <c r="AR113" s="127">
        <v>0</v>
      </c>
      <c r="AS113" s="127">
        <v>0</v>
      </c>
      <c r="AT113" s="127">
        <v>0</v>
      </c>
      <c r="AU113" s="127">
        <v>0</v>
      </c>
      <c r="AV113" s="127">
        <v>0</v>
      </c>
      <c r="AW113" s="127">
        <v>0</v>
      </c>
      <c r="AX113" s="127">
        <v>0</v>
      </c>
      <c r="AY113" s="127">
        <v>0</v>
      </c>
      <c r="AZ113" s="127">
        <v>0</v>
      </c>
      <c r="BA113" s="127">
        <v>0</v>
      </c>
      <c r="BB113" s="127">
        <v>0</v>
      </c>
      <c r="BC113" s="127">
        <v>0</v>
      </c>
      <c r="BD113" s="127">
        <v>0</v>
      </c>
      <c r="BE113" s="127">
        <v>0</v>
      </c>
      <c r="BF113" s="127">
        <v>0.2</v>
      </c>
      <c r="BG113" s="127">
        <v>0.4</v>
      </c>
      <c r="BH113" s="127">
        <v>0.60000000000000009</v>
      </c>
      <c r="BI113" s="127">
        <v>0.8</v>
      </c>
      <c r="BJ113" s="127">
        <v>1</v>
      </c>
      <c r="BK113" s="127">
        <v>1</v>
      </c>
      <c r="BL113" s="127">
        <v>1</v>
      </c>
      <c r="BM113" s="127">
        <v>1</v>
      </c>
      <c r="BN113" s="127">
        <v>1</v>
      </c>
      <c r="BO113" s="127">
        <v>1</v>
      </c>
      <c r="BP113" s="127">
        <v>1</v>
      </c>
      <c r="BQ113" s="127">
        <v>1</v>
      </c>
      <c r="BR113" s="163">
        <v>1</v>
      </c>
      <c r="BS113" s="163">
        <v>1</v>
      </c>
      <c r="BT113" s="163">
        <v>1</v>
      </c>
      <c r="BU113" s="163">
        <v>1</v>
      </c>
      <c r="BV113" s="163">
        <v>1</v>
      </c>
      <c r="BW113" s="163">
        <v>1</v>
      </c>
      <c r="BX113" s="163">
        <v>1</v>
      </c>
      <c r="BY113" s="163">
        <v>1</v>
      </c>
      <c r="BZ113" s="163">
        <v>1</v>
      </c>
      <c r="CA113" s="163">
        <v>1</v>
      </c>
      <c r="CB113" s="163">
        <v>1</v>
      </c>
      <c r="CC113" s="163">
        <v>1</v>
      </c>
      <c r="CD113" s="163">
        <v>1</v>
      </c>
      <c r="CE113" s="163">
        <v>1</v>
      </c>
      <c r="CF113" s="163">
        <v>1</v>
      </c>
      <c r="CG113" s="163">
        <v>1</v>
      </c>
      <c r="CH113" s="163">
        <v>1</v>
      </c>
      <c r="CI113" s="163">
        <v>1</v>
      </c>
      <c r="CJ113" s="163">
        <v>1</v>
      </c>
      <c r="CK113" s="163">
        <v>1</v>
      </c>
      <c r="CL113" s="163">
        <v>1</v>
      </c>
      <c r="CM113" s="163">
        <v>1</v>
      </c>
      <c r="CN113" s="163">
        <v>1</v>
      </c>
      <c r="CO113" s="163">
        <v>1</v>
      </c>
      <c r="CP113" s="163">
        <v>1</v>
      </c>
      <c r="CQ113" s="163">
        <v>1</v>
      </c>
      <c r="CR113" s="163">
        <v>1</v>
      </c>
      <c r="CS113" s="163">
        <v>1</v>
      </c>
      <c r="CT113" s="163">
        <v>1</v>
      </c>
      <c r="CU113" s="163">
        <v>1</v>
      </c>
      <c r="CV113" s="163">
        <v>1</v>
      </c>
      <c r="CW113" s="163">
        <v>1</v>
      </c>
      <c r="CX113" s="163">
        <v>1</v>
      </c>
      <c r="CY113" s="163">
        <v>1</v>
      </c>
      <c r="CZ113" s="163">
        <v>1</v>
      </c>
      <c r="DA113" s="163">
        <v>1</v>
      </c>
      <c r="DB113" s="163">
        <v>1</v>
      </c>
      <c r="DC113" s="163">
        <v>1</v>
      </c>
      <c r="DD113" s="163">
        <v>1</v>
      </c>
      <c r="DE113" s="163">
        <v>1</v>
      </c>
      <c r="DF113" s="163">
        <v>1</v>
      </c>
      <c r="DG113" s="163">
        <v>1</v>
      </c>
      <c r="DH113" s="347">
        <v>1</v>
      </c>
      <c r="DI113" s="163">
        <v>1</v>
      </c>
      <c r="DJ113" s="163">
        <v>1</v>
      </c>
      <c r="DK113" s="163">
        <v>1</v>
      </c>
      <c r="DL113" s="163">
        <v>1</v>
      </c>
      <c r="DM113" s="163">
        <v>1</v>
      </c>
      <c r="DN113" s="163">
        <v>1</v>
      </c>
      <c r="DO113" s="163">
        <v>1</v>
      </c>
      <c r="DP113" s="163">
        <v>1</v>
      </c>
      <c r="DQ113" s="163">
        <v>1</v>
      </c>
      <c r="DR113" s="163">
        <v>1</v>
      </c>
      <c r="DS113" s="163">
        <v>1</v>
      </c>
      <c r="DT113" s="163">
        <v>1</v>
      </c>
      <c r="DU113" s="163">
        <v>1</v>
      </c>
      <c r="DV113" s="163">
        <v>1</v>
      </c>
      <c r="DW113" s="163">
        <v>1</v>
      </c>
      <c r="DX113" s="163">
        <v>1</v>
      </c>
      <c r="DY113" s="163">
        <v>1</v>
      </c>
      <c r="DZ113" s="163">
        <v>1</v>
      </c>
      <c r="EA113" s="163">
        <v>1</v>
      </c>
      <c r="EB113" s="163">
        <v>1</v>
      </c>
      <c r="EC113" s="163">
        <v>1</v>
      </c>
      <c r="ED113" s="163">
        <v>1</v>
      </c>
      <c r="EE113" s="163">
        <v>1</v>
      </c>
      <c r="EF113" s="163">
        <v>1</v>
      </c>
      <c r="EG113" s="163">
        <v>1</v>
      </c>
      <c r="EH113" s="163">
        <v>1</v>
      </c>
      <c r="EI113" s="163">
        <v>1</v>
      </c>
      <c r="EJ113" s="163">
        <v>1</v>
      </c>
      <c r="EK113" s="163">
        <v>1</v>
      </c>
      <c r="EL113" s="163">
        <v>1</v>
      </c>
    </row>
    <row r="114" spans="2:142" ht="15" hidden="1" outlineLevel="1" collapsed="1" x14ac:dyDescent="0.3">
      <c r="B114" s="22"/>
      <c r="C114" s="23"/>
      <c r="D114" s="23" t="s">
        <v>118</v>
      </c>
      <c r="E114" s="50"/>
      <c r="F114" s="26">
        <v>95</v>
      </c>
      <c r="G114" s="160">
        <v>45560</v>
      </c>
      <c r="H114" s="160">
        <v>45722</v>
      </c>
      <c r="I114" s="26">
        <f>+SUM(I117:I117)</f>
        <v>35</v>
      </c>
      <c r="J114" s="28">
        <v>4.974865389343934E-2</v>
      </c>
      <c r="K114" s="51"/>
      <c r="L114" s="28">
        <f>+SUMPRODUCT($J$115:$J$117,L115:L117)</f>
        <v>0</v>
      </c>
      <c r="M114" s="28">
        <f t="shared" ref="M114:BU114" si="280">+SUMPRODUCT($J$115:$J$117,M115:M117)</f>
        <v>0</v>
      </c>
      <c r="N114" s="28">
        <f t="shared" si="280"/>
        <v>0</v>
      </c>
      <c r="O114" s="28">
        <f t="shared" si="280"/>
        <v>0</v>
      </c>
      <c r="P114" s="28">
        <f t="shared" si="280"/>
        <v>0</v>
      </c>
      <c r="Q114" s="28">
        <f t="shared" si="280"/>
        <v>0</v>
      </c>
      <c r="R114" s="28">
        <f t="shared" si="280"/>
        <v>0</v>
      </c>
      <c r="S114" s="28">
        <f t="shared" si="280"/>
        <v>0</v>
      </c>
      <c r="T114" s="28">
        <f t="shared" si="280"/>
        <v>0</v>
      </c>
      <c r="U114" s="28">
        <f t="shared" si="280"/>
        <v>0</v>
      </c>
      <c r="V114" s="28">
        <f t="shared" si="280"/>
        <v>0</v>
      </c>
      <c r="W114" s="28">
        <f t="shared" si="280"/>
        <v>0</v>
      </c>
      <c r="X114" s="28">
        <f t="shared" si="280"/>
        <v>0</v>
      </c>
      <c r="Y114" s="28">
        <f t="shared" si="280"/>
        <v>0</v>
      </c>
      <c r="Z114" s="28">
        <f t="shared" si="280"/>
        <v>0</v>
      </c>
      <c r="AA114" s="28">
        <f t="shared" si="280"/>
        <v>0</v>
      </c>
      <c r="AB114" s="28">
        <f t="shared" si="280"/>
        <v>0</v>
      </c>
      <c r="AC114" s="28">
        <f t="shared" si="280"/>
        <v>0</v>
      </c>
      <c r="AD114" s="28">
        <f t="shared" si="280"/>
        <v>0</v>
      </c>
      <c r="AE114" s="28">
        <f t="shared" si="280"/>
        <v>0</v>
      </c>
      <c r="AF114" s="28">
        <f t="shared" si="280"/>
        <v>0</v>
      </c>
      <c r="AG114" s="28">
        <f t="shared" si="280"/>
        <v>0</v>
      </c>
      <c r="AH114" s="28">
        <f t="shared" si="280"/>
        <v>0</v>
      </c>
      <c r="AI114" s="28">
        <f t="shared" si="280"/>
        <v>0</v>
      </c>
      <c r="AJ114" s="28">
        <f t="shared" si="280"/>
        <v>0</v>
      </c>
      <c r="AK114" s="28">
        <f t="shared" si="280"/>
        <v>0.12045263105500728</v>
      </c>
      <c r="AL114" s="28">
        <f t="shared" si="280"/>
        <v>0.12045263105500728</v>
      </c>
      <c r="AM114" s="28">
        <f t="shared" si="280"/>
        <v>0.12045263105500728</v>
      </c>
      <c r="AN114" s="28">
        <f t="shared" si="280"/>
        <v>0.12045263105500728</v>
      </c>
      <c r="AO114" s="28">
        <f t="shared" si="280"/>
        <v>0.12045263105500728</v>
      </c>
      <c r="AP114" s="28">
        <f t="shared" si="280"/>
        <v>0.17215263105500728</v>
      </c>
      <c r="AQ114" s="28">
        <f t="shared" si="280"/>
        <v>0.22385263105500727</v>
      </c>
      <c r="AR114" s="28">
        <f t="shared" si="280"/>
        <v>0.27555263105500727</v>
      </c>
      <c r="AS114" s="28">
        <f t="shared" si="280"/>
        <v>0.32725263105500724</v>
      </c>
      <c r="AT114" s="28">
        <f t="shared" si="280"/>
        <v>0.37895263105500721</v>
      </c>
      <c r="AU114" s="28">
        <f t="shared" si="280"/>
        <v>0.43065263105500717</v>
      </c>
      <c r="AV114" s="28">
        <f t="shared" si="280"/>
        <v>0.48235263105500714</v>
      </c>
      <c r="AW114" s="28">
        <f t="shared" si="280"/>
        <v>0.53405263105500711</v>
      </c>
      <c r="AX114" s="28">
        <f t="shared" si="280"/>
        <v>0.58575263105500708</v>
      </c>
      <c r="AY114" s="28">
        <f t="shared" si="280"/>
        <v>0.63745263105500705</v>
      </c>
      <c r="AZ114" s="28">
        <f t="shared" si="280"/>
        <v>0.68915263105500701</v>
      </c>
      <c r="BA114" s="28">
        <f t="shared" si="280"/>
        <v>0.74085263105500698</v>
      </c>
      <c r="BB114" s="28">
        <f t="shared" si="280"/>
        <v>0.79255263105500684</v>
      </c>
      <c r="BC114" s="28">
        <f t="shared" si="280"/>
        <v>0.84425263105500681</v>
      </c>
      <c r="BD114" s="28">
        <f t="shared" si="280"/>
        <v>0.89595263105500678</v>
      </c>
      <c r="BE114" s="28">
        <f t="shared" si="280"/>
        <v>0.94765263105500674</v>
      </c>
      <c r="BF114" s="28">
        <f t="shared" si="280"/>
        <v>1</v>
      </c>
      <c r="BG114" s="28">
        <f t="shared" si="280"/>
        <v>1</v>
      </c>
      <c r="BH114" s="28">
        <f t="shared" si="280"/>
        <v>1</v>
      </c>
      <c r="BI114" s="28">
        <f t="shared" si="280"/>
        <v>1</v>
      </c>
      <c r="BJ114" s="28">
        <f t="shared" si="280"/>
        <v>1</v>
      </c>
      <c r="BK114" s="28">
        <f t="shared" si="280"/>
        <v>1</v>
      </c>
      <c r="BL114" s="28">
        <f t="shared" si="280"/>
        <v>1</v>
      </c>
      <c r="BM114" s="28">
        <f t="shared" si="280"/>
        <v>1</v>
      </c>
      <c r="BN114" s="28">
        <f t="shared" si="280"/>
        <v>1</v>
      </c>
      <c r="BO114" s="28">
        <f t="shared" si="280"/>
        <v>1</v>
      </c>
      <c r="BP114" s="28">
        <f t="shared" si="280"/>
        <v>1</v>
      </c>
      <c r="BQ114" s="28">
        <f t="shared" si="280"/>
        <v>1</v>
      </c>
      <c r="BR114" s="161">
        <f t="shared" si="280"/>
        <v>1</v>
      </c>
      <c r="BS114" s="161">
        <f t="shared" si="280"/>
        <v>1</v>
      </c>
      <c r="BT114" s="161">
        <f t="shared" si="280"/>
        <v>1</v>
      </c>
      <c r="BU114" s="161">
        <f t="shared" si="280"/>
        <v>1</v>
      </c>
      <c r="BV114" s="161">
        <f t="shared" ref="BV114:CL114" si="281">+SUMPRODUCT($J$115:$J$117,BV115:BV117)</f>
        <v>1</v>
      </c>
      <c r="BW114" s="161">
        <f t="shared" si="281"/>
        <v>1</v>
      </c>
      <c r="BX114" s="161">
        <f t="shared" si="281"/>
        <v>1</v>
      </c>
      <c r="BY114" s="161">
        <f t="shared" si="281"/>
        <v>1</v>
      </c>
      <c r="BZ114" s="161">
        <f t="shared" si="281"/>
        <v>1</v>
      </c>
      <c r="CA114" s="161">
        <f t="shared" si="281"/>
        <v>1</v>
      </c>
      <c r="CB114" s="161">
        <f t="shared" si="281"/>
        <v>1</v>
      </c>
      <c r="CC114" s="161">
        <f t="shared" si="281"/>
        <v>1</v>
      </c>
      <c r="CD114" s="161">
        <f t="shared" si="281"/>
        <v>1</v>
      </c>
      <c r="CE114" s="161">
        <f t="shared" si="281"/>
        <v>1</v>
      </c>
      <c r="CF114" s="161">
        <f t="shared" si="281"/>
        <v>1</v>
      </c>
      <c r="CG114" s="161">
        <f t="shared" si="281"/>
        <v>1</v>
      </c>
      <c r="CH114" s="161">
        <f t="shared" si="281"/>
        <v>1</v>
      </c>
      <c r="CI114" s="161">
        <f t="shared" si="281"/>
        <v>1</v>
      </c>
      <c r="CJ114" s="161">
        <f t="shared" si="281"/>
        <v>1</v>
      </c>
      <c r="CK114" s="161">
        <f t="shared" si="281"/>
        <v>1</v>
      </c>
      <c r="CL114" s="161">
        <f t="shared" si="281"/>
        <v>1</v>
      </c>
      <c r="CM114" s="161">
        <f t="shared" ref="CM114:CN114" si="282">+SUMPRODUCT($J$115:$J$117,CM115:CM117)</f>
        <v>1</v>
      </c>
      <c r="CN114" s="161">
        <f t="shared" si="282"/>
        <v>1</v>
      </c>
      <c r="CO114" s="161">
        <f t="shared" ref="CO114" si="283">+SUMPRODUCT($J$115:$J$117,CO115:CO117)</f>
        <v>1</v>
      </c>
      <c r="CP114" s="161">
        <f t="shared" ref="CP114:CV114" si="284">+SUMPRODUCT($J$115:$J$117,CP115:CP117)</f>
        <v>1</v>
      </c>
      <c r="CQ114" s="161">
        <f t="shared" si="284"/>
        <v>1</v>
      </c>
      <c r="CR114" s="161">
        <f t="shared" si="284"/>
        <v>1</v>
      </c>
      <c r="CS114" s="161">
        <f t="shared" si="284"/>
        <v>1</v>
      </c>
      <c r="CT114" s="161">
        <f t="shared" si="284"/>
        <v>1</v>
      </c>
      <c r="CU114" s="161">
        <f t="shared" si="284"/>
        <v>1</v>
      </c>
      <c r="CV114" s="161">
        <f t="shared" si="284"/>
        <v>1</v>
      </c>
      <c r="CW114" s="161">
        <f t="shared" ref="CW114:CY114" si="285">+SUMPRODUCT($J$115:$J$117,CW115:CW117)</f>
        <v>1</v>
      </c>
      <c r="CX114" s="161">
        <f t="shared" si="285"/>
        <v>1</v>
      </c>
      <c r="CY114" s="161">
        <f t="shared" si="285"/>
        <v>1</v>
      </c>
      <c r="CZ114" s="161">
        <f t="shared" ref="CZ114:DA114" si="286">+SUMPRODUCT($J$115:$J$117,CZ115:CZ117)</f>
        <v>1</v>
      </c>
      <c r="DA114" s="161">
        <f t="shared" si="286"/>
        <v>1</v>
      </c>
      <c r="DB114" s="161">
        <f t="shared" ref="DB114:DC114" si="287">+SUMPRODUCT($J$115:$J$117,DB115:DB117)</f>
        <v>1</v>
      </c>
      <c r="DC114" s="161">
        <f t="shared" si="287"/>
        <v>1</v>
      </c>
      <c r="DD114" s="161">
        <f t="shared" ref="DD114:DE114" si="288">+SUMPRODUCT($J$115:$J$117,DD115:DD117)</f>
        <v>1</v>
      </c>
      <c r="DE114" s="161">
        <f t="shared" si="288"/>
        <v>1</v>
      </c>
      <c r="DF114" s="161">
        <f t="shared" ref="DF114:DG114" si="289">+SUMPRODUCT($J$115:$J$117,DF115:DF117)</f>
        <v>1</v>
      </c>
      <c r="DG114" s="161">
        <f t="shared" si="289"/>
        <v>1</v>
      </c>
      <c r="DH114" s="346">
        <f t="shared" ref="DH114:EL114" si="290">+SUMPRODUCT($J$115:$J$117,DH115:DH117)</f>
        <v>1</v>
      </c>
      <c r="DI114" s="161">
        <f t="shared" si="290"/>
        <v>1</v>
      </c>
      <c r="DJ114" s="161">
        <f t="shared" si="290"/>
        <v>1</v>
      </c>
      <c r="DK114" s="161">
        <f t="shared" si="290"/>
        <v>1</v>
      </c>
      <c r="DL114" s="161">
        <f t="shared" si="290"/>
        <v>1</v>
      </c>
      <c r="DM114" s="161">
        <f t="shared" si="290"/>
        <v>1</v>
      </c>
      <c r="DN114" s="161">
        <f t="shared" si="290"/>
        <v>1</v>
      </c>
      <c r="DO114" s="161">
        <f t="shared" si="290"/>
        <v>1</v>
      </c>
      <c r="DP114" s="161">
        <f t="shared" si="290"/>
        <v>1</v>
      </c>
      <c r="DQ114" s="161">
        <f t="shared" si="290"/>
        <v>1</v>
      </c>
      <c r="DR114" s="161">
        <f t="shared" si="290"/>
        <v>1</v>
      </c>
      <c r="DS114" s="161">
        <f t="shared" si="290"/>
        <v>1</v>
      </c>
      <c r="DT114" s="161">
        <f t="shared" si="290"/>
        <v>1</v>
      </c>
      <c r="DU114" s="161">
        <f t="shared" si="290"/>
        <v>1</v>
      </c>
      <c r="DV114" s="161">
        <f t="shared" si="290"/>
        <v>1</v>
      </c>
      <c r="DW114" s="161">
        <f t="shared" si="290"/>
        <v>1</v>
      </c>
      <c r="DX114" s="161">
        <f t="shared" si="290"/>
        <v>1</v>
      </c>
      <c r="DY114" s="161">
        <f t="shared" si="290"/>
        <v>1</v>
      </c>
      <c r="DZ114" s="161">
        <f t="shared" si="290"/>
        <v>1</v>
      </c>
      <c r="EA114" s="161">
        <f t="shared" si="290"/>
        <v>1</v>
      </c>
      <c r="EB114" s="161">
        <f t="shared" si="290"/>
        <v>1</v>
      </c>
      <c r="EC114" s="161">
        <f t="shared" si="290"/>
        <v>1</v>
      </c>
      <c r="ED114" s="161">
        <f t="shared" si="290"/>
        <v>1</v>
      </c>
      <c r="EE114" s="161">
        <f t="shared" si="290"/>
        <v>1</v>
      </c>
      <c r="EF114" s="161">
        <f t="shared" si="290"/>
        <v>1</v>
      </c>
      <c r="EG114" s="161">
        <f t="shared" si="290"/>
        <v>1</v>
      </c>
      <c r="EH114" s="161">
        <f t="shared" si="290"/>
        <v>1</v>
      </c>
      <c r="EI114" s="161">
        <f t="shared" si="290"/>
        <v>1</v>
      </c>
      <c r="EJ114" s="161">
        <f t="shared" si="290"/>
        <v>1</v>
      </c>
      <c r="EK114" s="161">
        <f t="shared" si="290"/>
        <v>1</v>
      </c>
      <c r="EL114" s="161">
        <f t="shared" si="290"/>
        <v>1</v>
      </c>
    </row>
    <row r="115" spans="2:142" ht="15" hidden="1" outlineLevel="2" x14ac:dyDescent="0.3">
      <c r="B115" s="165"/>
      <c r="C115" s="166"/>
      <c r="D115" s="166"/>
      <c r="E115" s="52" t="s">
        <v>119</v>
      </c>
      <c r="F115" s="167">
        <v>35</v>
      </c>
      <c r="G115" s="168">
        <v>45677</v>
      </c>
      <c r="H115" s="168">
        <v>45727</v>
      </c>
      <c r="I115" s="167">
        <f>+F115</f>
        <v>35</v>
      </c>
      <c r="J115" s="169">
        <v>0.33333333333333331</v>
      </c>
      <c r="K115" s="55"/>
      <c r="L115" s="131">
        <v>0</v>
      </c>
      <c r="M115" s="131">
        <v>0</v>
      </c>
      <c r="N115" s="131">
        <v>0</v>
      </c>
      <c r="O115" s="131">
        <v>0</v>
      </c>
      <c r="P115" s="131">
        <v>0</v>
      </c>
      <c r="Q115" s="131">
        <v>0</v>
      </c>
      <c r="R115" s="131">
        <v>0</v>
      </c>
      <c r="S115" s="131">
        <v>0</v>
      </c>
      <c r="T115" s="131">
        <v>0</v>
      </c>
      <c r="U115" s="131">
        <v>0</v>
      </c>
      <c r="V115" s="131">
        <v>0</v>
      </c>
      <c r="W115" s="131">
        <v>0</v>
      </c>
      <c r="X115" s="131">
        <v>0</v>
      </c>
      <c r="Y115" s="131">
        <v>0</v>
      </c>
      <c r="Z115" s="131">
        <v>0</v>
      </c>
      <c r="AA115" s="131">
        <v>0</v>
      </c>
      <c r="AB115" s="131">
        <v>0</v>
      </c>
      <c r="AC115" s="131">
        <v>0</v>
      </c>
      <c r="AD115" s="131">
        <v>0</v>
      </c>
      <c r="AE115" s="131">
        <v>0</v>
      </c>
      <c r="AF115" s="131">
        <v>0</v>
      </c>
      <c r="AG115" s="131">
        <v>0</v>
      </c>
      <c r="AH115" s="131">
        <v>0</v>
      </c>
      <c r="AI115" s="131">
        <v>0</v>
      </c>
      <c r="AJ115" s="131">
        <v>0</v>
      </c>
      <c r="AK115" s="131">
        <v>0.12045263105500728</v>
      </c>
      <c r="AL115" s="131">
        <v>0.12045263105500728</v>
      </c>
      <c r="AM115" s="131">
        <v>0.12045263105500728</v>
      </c>
      <c r="AN115" s="131">
        <v>0.12045263105500728</v>
      </c>
      <c r="AO115" s="131">
        <v>0.12045263105500728</v>
      </c>
      <c r="AP115" s="131">
        <v>0.17215263105500728</v>
      </c>
      <c r="AQ115" s="131">
        <v>0.22385263105500727</v>
      </c>
      <c r="AR115" s="131">
        <v>0.27555263105500727</v>
      </c>
      <c r="AS115" s="131">
        <v>0.32725263105500724</v>
      </c>
      <c r="AT115" s="131">
        <v>0.37895263105500721</v>
      </c>
      <c r="AU115" s="131">
        <v>0.43065263105500717</v>
      </c>
      <c r="AV115" s="131">
        <v>0.48235263105500714</v>
      </c>
      <c r="AW115" s="131">
        <v>0.53405263105500711</v>
      </c>
      <c r="AX115" s="131">
        <v>0.58575263105500708</v>
      </c>
      <c r="AY115" s="131">
        <v>0.63745263105500705</v>
      </c>
      <c r="AZ115" s="131">
        <v>0.68915263105500701</v>
      </c>
      <c r="BA115" s="131">
        <v>0.74085263105500698</v>
      </c>
      <c r="BB115" s="131">
        <v>0.79255263105500695</v>
      </c>
      <c r="BC115" s="131">
        <v>0.84425263105500692</v>
      </c>
      <c r="BD115" s="131">
        <v>0.89595263105500689</v>
      </c>
      <c r="BE115" s="131">
        <v>0.94765263105500686</v>
      </c>
      <c r="BF115" s="131">
        <v>1</v>
      </c>
      <c r="BG115" s="131">
        <v>1</v>
      </c>
      <c r="BH115" s="131">
        <v>1</v>
      </c>
      <c r="BI115" s="131">
        <v>1</v>
      </c>
      <c r="BJ115" s="131">
        <v>1</v>
      </c>
      <c r="BK115" s="131">
        <v>1</v>
      </c>
      <c r="BL115" s="131">
        <v>1</v>
      </c>
      <c r="BM115" s="131">
        <v>1</v>
      </c>
      <c r="BN115" s="131">
        <v>1</v>
      </c>
      <c r="BO115" s="131">
        <v>1</v>
      </c>
      <c r="BP115" s="131">
        <v>1</v>
      </c>
      <c r="BQ115" s="131">
        <v>1</v>
      </c>
      <c r="BR115" s="170">
        <v>1</v>
      </c>
      <c r="BS115" s="170">
        <v>1</v>
      </c>
      <c r="BT115" s="170">
        <v>1</v>
      </c>
      <c r="BU115" s="163">
        <v>1</v>
      </c>
      <c r="BV115" s="163">
        <v>1</v>
      </c>
      <c r="BW115" s="163">
        <v>1</v>
      </c>
      <c r="BX115" s="163">
        <v>1</v>
      </c>
      <c r="BY115" s="163">
        <v>1</v>
      </c>
      <c r="BZ115" s="163">
        <v>1</v>
      </c>
      <c r="CA115" s="163">
        <v>1</v>
      </c>
      <c r="CB115" s="163">
        <v>1</v>
      </c>
      <c r="CC115" s="163">
        <v>1</v>
      </c>
      <c r="CD115" s="163">
        <v>1</v>
      </c>
      <c r="CE115" s="163">
        <v>1</v>
      </c>
      <c r="CF115" s="163">
        <v>1</v>
      </c>
      <c r="CG115" s="163">
        <v>1</v>
      </c>
      <c r="CH115" s="163">
        <v>1</v>
      </c>
      <c r="CI115" s="163">
        <v>1</v>
      </c>
      <c r="CJ115" s="163">
        <v>1</v>
      </c>
      <c r="CK115" s="163">
        <v>1</v>
      </c>
      <c r="CL115" s="163">
        <v>1</v>
      </c>
      <c r="CM115" s="163">
        <v>1</v>
      </c>
      <c r="CN115" s="163">
        <v>1</v>
      </c>
      <c r="CO115" s="163">
        <v>1</v>
      </c>
      <c r="CP115" s="163">
        <v>1</v>
      </c>
      <c r="CQ115" s="163">
        <v>1</v>
      </c>
      <c r="CR115" s="163">
        <v>1</v>
      </c>
      <c r="CS115" s="163">
        <v>1</v>
      </c>
      <c r="CT115" s="163">
        <v>1</v>
      </c>
      <c r="CU115" s="163">
        <v>1</v>
      </c>
      <c r="CV115" s="163">
        <v>1</v>
      </c>
      <c r="CW115" s="163">
        <v>1</v>
      </c>
      <c r="CX115" s="163">
        <v>1</v>
      </c>
      <c r="CY115" s="163">
        <v>1</v>
      </c>
      <c r="CZ115" s="163">
        <v>1</v>
      </c>
      <c r="DA115" s="163">
        <v>1</v>
      </c>
      <c r="DB115" s="163">
        <v>1</v>
      </c>
      <c r="DC115" s="163">
        <v>1</v>
      </c>
      <c r="DD115" s="163">
        <v>1</v>
      </c>
      <c r="DE115" s="163">
        <v>1</v>
      </c>
      <c r="DF115" s="163">
        <v>1</v>
      </c>
      <c r="DG115" s="163">
        <v>1</v>
      </c>
      <c r="DH115" s="347">
        <v>1</v>
      </c>
      <c r="DI115" s="163">
        <v>1</v>
      </c>
      <c r="DJ115" s="163">
        <v>1</v>
      </c>
      <c r="DK115" s="163">
        <v>1</v>
      </c>
      <c r="DL115" s="163">
        <v>1</v>
      </c>
      <c r="DM115" s="163">
        <v>1</v>
      </c>
      <c r="DN115" s="163">
        <v>1</v>
      </c>
      <c r="DO115" s="163">
        <v>1</v>
      </c>
      <c r="DP115" s="163">
        <v>1</v>
      </c>
      <c r="DQ115" s="163">
        <v>1</v>
      </c>
      <c r="DR115" s="163">
        <v>1</v>
      </c>
      <c r="DS115" s="163">
        <v>1</v>
      </c>
      <c r="DT115" s="163">
        <v>1</v>
      </c>
      <c r="DU115" s="163">
        <v>1</v>
      </c>
      <c r="DV115" s="163">
        <v>1</v>
      </c>
      <c r="DW115" s="163">
        <v>1</v>
      </c>
      <c r="DX115" s="163">
        <v>1</v>
      </c>
      <c r="DY115" s="163">
        <v>1</v>
      </c>
      <c r="DZ115" s="163">
        <v>1</v>
      </c>
      <c r="EA115" s="163">
        <v>1</v>
      </c>
      <c r="EB115" s="163">
        <v>1</v>
      </c>
      <c r="EC115" s="163">
        <v>1</v>
      </c>
      <c r="ED115" s="163">
        <v>1</v>
      </c>
      <c r="EE115" s="163">
        <v>1</v>
      </c>
      <c r="EF115" s="163">
        <v>1</v>
      </c>
      <c r="EG115" s="163">
        <v>1</v>
      </c>
      <c r="EH115" s="163">
        <v>1</v>
      </c>
      <c r="EI115" s="163">
        <v>1</v>
      </c>
      <c r="EJ115" s="163">
        <v>1</v>
      </c>
      <c r="EK115" s="163">
        <v>1</v>
      </c>
      <c r="EL115" s="163">
        <v>1</v>
      </c>
    </row>
    <row r="116" spans="2:142" ht="15" hidden="1" outlineLevel="2" x14ac:dyDescent="0.3">
      <c r="B116" s="29"/>
      <c r="C116" s="30"/>
      <c r="D116" s="30"/>
      <c r="E116" s="171" t="s">
        <v>120</v>
      </c>
      <c r="F116" s="33">
        <v>35</v>
      </c>
      <c r="G116" s="168">
        <v>45677</v>
      </c>
      <c r="H116" s="162">
        <v>45727</v>
      </c>
      <c r="I116" s="33">
        <f>+F116</f>
        <v>35</v>
      </c>
      <c r="J116" s="35">
        <v>0.33333333333333331</v>
      </c>
      <c r="K116" s="55"/>
      <c r="L116" s="131">
        <v>0</v>
      </c>
      <c r="M116" s="131">
        <v>0</v>
      </c>
      <c r="N116" s="131">
        <v>0</v>
      </c>
      <c r="O116" s="131">
        <v>0</v>
      </c>
      <c r="P116" s="131">
        <v>0</v>
      </c>
      <c r="Q116" s="131">
        <v>0</v>
      </c>
      <c r="R116" s="131">
        <v>0</v>
      </c>
      <c r="S116" s="131">
        <v>0</v>
      </c>
      <c r="T116" s="131">
        <v>0</v>
      </c>
      <c r="U116" s="131">
        <v>0</v>
      </c>
      <c r="V116" s="131">
        <v>0</v>
      </c>
      <c r="W116" s="131">
        <v>0</v>
      </c>
      <c r="X116" s="131">
        <v>0</v>
      </c>
      <c r="Y116" s="131">
        <v>0</v>
      </c>
      <c r="Z116" s="131">
        <v>0</v>
      </c>
      <c r="AA116" s="131">
        <v>0</v>
      </c>
      <c r="AB116" s="131">
        <v>0</v>
      </c>
      <c r="AC116" s="131">
        <v>0</v>
      </c>
      <c r="AD116" s="131">
        <v>0</v>
      </c>
      <c r="AE116" s="131">
        <v>0</v>
      </c>
      <c r="AF116" s="131">
        <v>0</v>
      </c>
      <c r="AG116" s="131">
        <v>0</v>
      </c>
      <c r="AH116" s="131">
        <v>0</v>
      </c>
      <c r="AI116" s="131">
        <v>0</v>
      </c>
      <c r="AJ116" s="131">
        <v>0</v>
      </c>
      <c r="AK116" s="131">
        <v>0.12045263105500728</v>
      </c>
      <c r="AL116" s="131">
        <v>0.12045263105500728</v>
      </c>
      <c r="AM116" s="131">
        <v>0.12045263105500728</v>
      </c>
      <c r="AN116" s="131">
        <v>0.12045263105500728</v>
      </c>
      <c r="AO116" s="131">
        <v>0.12045263105500728</v>
      </c>
      <c r="AP116" s="131">
        <v>0.17215263105500728</v>
      </c>
      <c r="AQ116" s="131">
        <v>0.22385263105500727</v>
      </c>
      <c r="AR116" s="131">
        <v>0.27555263105500727</v>
      </c>
      <c r="AS116" s="131">
        <v>0.32725263105500724</v>
      </c>
      <c r="AT116" s="131">
        <v>0.37895263105500721</v>
      </c>
      <c r="AU116" s="131">
        <v>0.43065263105500717</v>
      </c>
      <c r="AV116" s="131">
        <v>0.48235263105500714</v>
      </c>
      <c r="AW116" s="131">
        <v>0.53405263105500711</v>
      </c>
      <c r="AX116" s="131">
        <v>0.58575263105500708</v>
      </c>
      <c r="AY116" s="131">
        <v>0.63745263105500705</v>
      </c>
      <c r="AZ116" s="131">
        <v>0.68915263105500701</v>
      </c>
      <c r="BA116" s="131">
        <v>0.74085263105500698</v>
      </c>
      <c r="BB116" s="131">
        <v>0.79255263105500695</v>
      </c>
      <c r="BC116" s="131">
        <v>0.84425263105500692</v>
      </c>
      <c r="BD116" s="131">
        <v>0.89595263105500689</v>
      </c>
      <c r="BE116" s="131">
        <v>0.94765263105500686</v>
      </c>
      <c r="BF116" s="131">
        <v>1</v>
      </c>
      <c r="BG116" s="131">
        <v>1</v>
      </c>
      <c r="BH116" s="131">
        <v>1</v>
      </c>
      <c r="BI116" s="131">
        <v>1</v>
      </c>
      <c r="BJ116" s="131">
        <v>1</v>
      </c>
      <c r="BK116" s="131">
        <v>1</v>
      </c>
      <c r="BL116" s="131">
        <v>1</v>
      </c>
      <c r="BM116" s="131">
        <v>1</v>
      </c>
      <c r="BN116" s="131">
        <v>1</v>
      </c>
      <c r="BO116" s="131">
        <v>1</v>
      </c>
      <c r="BP116" s="131">
        <v>1</v>
      </c>
      <c r="BQ116" s="131">
        <v>1</v>
      </c>
      <c r="BR116" s="170">
        <v>1</v>
      </c>
      <c r="BS116" s="170">
        <v>1</v>
      </c>
      <c r="BT116" s="170">
        <v>1</v>
      </c>
      <c r="BU116" s="163">
        <v>1</v>
      </c>
      <c r="BV116" s="163">
        <v>1</v>
      </c>
      <c r="BW116" s="163">
        <v>1</v>
      </c>
      <c r="BX116" s="163">
        <v>1</v>
      </c>
      <c r="BY116" s="163">
        <v>1</v>
      </c>
      <c r="BZ116" s="163">
        <v>1</v>
      </c>
      <c r="CA116" s="163">
        <v>1</v>
      </c>
      <c r="CB116" s="163">
        <v>1</v>
      </c>
      <c r="CC116" s="163">
        <v>1</v>
      </c>
      <c r="CD116" s="163">
        <v>1</v>
      </c>
      <c r="CE116" s="163">
        <v>1</v>
      </c>
      <c r="CF116" s="163">
        <v>1</v>
      </c>
      <c r="CG116" s="163">
        <v>1</v>
      </c>
      <c r="CH116" s="163">
        <v>1</v>
      </c>
      <c r="CI116" s="163">
        <v>1</v>
      </c>
      <c r="CJ116" s="163">
        <v>1</v>
      </c>
      <c r="CK116" s="163">
        <v>1</v>
      </c>
      <c r="CL116" s="163">
        <v>1</v>
      </c>
      <c r="CM116" s="163">
        <v>1</v>
      </c>
      <c r="CN116" s="163">
        <v>1</v>
      </c>
      <c r="CO116" s="163">
        <v>1</v>
      </c>
      <c r="CP116" s="163">
        <v>1</v>
      </c>
      <c r="CQ116" s="163">
        <v>1</v>
      </c>
      <c r="CR116" s="163">
        <v>1</v>
      </c>
      <c r="CS116" s="163">
        <v>1</v>
      </c>
      <c r="CT116" s="163">
        <v>1</v>
      </c>
      <c r="CU116" s="163">
        <v>1</v>
      </c>
      <c r="CV116" s="163">
        <v>1</v>
      </c>
      <c r="CW116" s="163">
        <v>1</v>
      </c>
      <c r="CX116" s="163">
        <v>1</v>
      </c>
      <c r="CY116" s="163">
        <v>1</v>
      </c>
      <c r="CZ116" s="163">
        <v>1</v>
      </c>
      <c r="DA116" s="163">
        <v>1</v>
      </c>
      <c r="DB116" s="163">
        <v>1</v>
      </c>
      <c r="DC116" s="163">
        <v>1</v>
      </c>
      <c r="DD116" s="163">
        <v>1</v>
      </c>
      <c r="DE116" s="163">
        <v>1</v>
      </c>
      <c r="DF116" s="163">
        <v>1</v>
      </c>
      <c r="DG116" s="163">
        <v>1</v>
      </c>
      <c r="DH116" s="347">
        <v>1</v>
      </c>
      <c r="DI116" s="163">
        <v>1</v>
      </c>
      <c r="DJ116" s="163">
        <v>1</v>
      </c>
      <c r="DK116" s="163">
        <v>1</v>
      </c>
      <c r="DL116" s="163">
        <v>1</v>
      </c>
      <c r="DM116" s="163">
        <v>1</v>
      </c>
      <c r="DN116" s="163">
        <v>1</v>
      </c>
      <c r="DO116" s="163">
        <v>1</v>
      </c>
      <c r="DP116" s="163">
        <v>1</v>
      </c>
      <c r="DQ116" s="163">
        <v>1</v>
      </c>
      <c r="DR116" s="163">
        <v>1</v>
      </c>
      <c r="DS116" s="163">
        <v>1</v>
      </c>
      <c r="DT116" s="163">
        <v>1</v>
      </c>
      <c r="DU116" s="163">
        <v>1</v>
      </c>
      <c r="DV116" s="163">
        <v>1</v>
      </c>
      <c r="DW116" s="163">
        <v>1</v>
      </c>
      <c r="DX116" s="163">
        <v>1</v>
      </c>
      <c r="DY116" s="163">
        <v>1</v>
      </c>
      <c r="DZ116" s="163">
        <v>1</v>
      </c>
      <c r="EA116" s="163">
        <v>1</v>
      </c>
      <c r="EB116" s="163">
        <v>1</v>
      </c>
      <c r="EC116" s="163">
        <v>1</v>
      </c>
      <c r="ED116" s="163">
        <v>1</v>
      </c>
      <c r="EE116" s="163">
        <v>1</v>
      </c>
      <c r="EF116" s="163">
        <v>1</v>
      </c>
      <c r="EG116" s="163">
        <v>1</v>
      </c>
      <c r="EH116" s="163">
        <v>1</v>
      </c>
      <c r="EI116" s="163">
        <v>1</v>
      </c>
      <c r="EJ116" s="163">
        <v>1</v>
      </c>
      <c r="EK116" s="163">
        <v>1</v>
      </c>
      <c r="EL116" s="163">
        <v>1</v>
      </c>
    </row>
    <row r="117" spans="2:142" ht="15" hidden="1" outlineLevel="2" x14ac:dyDescent="0.3">
      <c r="B117" s="29"/>
      <c r="C117" s="30"/>
      <c r="D117" s="30"/>
      <c r="E117" s="171" t="s">
        <v>121</v>
      </c>
      <c r="F117" s="33">
        <v>35</v>
      </c>
      <c r="G117" s="162">
        <v>45560</v>
      </c>
      <c r="H117" s="162">
        <v>45727</v>
      </c>
      <c r="I117" s="33">
        <f>+F117</f>
        <v>35</v>
      </c>
      <c r="J117" s="35">
        <v>0.33333333333333331</v>
      </c>
      <c r="K117" s="53"/>
      <c r="L117" s="131">
        <v>0</v>
      </c>
      <c r="M117" s="131">
        <v>0</v>
      </c>
      <c r="N117" s="131">
        <v>0</v>
      </c>
      <c r="O117" s="131">
        <v>0</v>
      </c>
      <c r="P117" s="131">
        <v>0</v>
      </c>
      <c r="Q117" s="131">
        <v>0</v>
      </c>
      <c r="R117" s="131">
        <v>0</v>
      </c>
      <c r="S117" s="131">
        <v>0</v>
      </c>
      <c r="T117" s="131">
        <v>0</v>
      </c>
      <c r="U117" s="131">
        <v>0</v>
      </c>
      <c r="V117" s="131">
        <v>0</v>
      </c>
      <c r="W117" s="131">
        <v>0</v>
      </c>
      <c r="X117" s="131">
        <v>0</v>
      </c>
      <c r="Y117" s="131">
        <v>0</v>
      </c>
      <c r="Z117" s="131">
        <v>0</v>
      </c>
      <c r="AA117" s="131">
        <v>0</v>
      </c>
      <c r="AB117" s="131">
        <v>0</v>
      </c>
      <c r="AC117" s="131">
        <v>0</v>
      </c>
      <c r="AD117" s="131">
        <v>0</v>
      </c>
      <c r="AE117" s="131">
        <v>0</v>
      </c>
      <c r="AF117" s="131">
        <v>0</v>
      </c>
      <c r="AG117" s="131">
        <v>0</v>
      </c>
      <c r="AH117" s="131">
        <v>0</v>
      </c>
      <c r="AI117" s="131">
        <v>0</v>
      </c>
      <c r="AJ117" s="131">
        <v>0</v>
      </c>
      <c r="AK117" s="131">
        <v>0.12045263105500728</v>
      </c>
      <c r="AL117" s="131">
        <v>0.12045263105500728</v>
      </c>
      <c r="AM117" s="131">
        <v>0.12045263105500728</v>
      </c>
      <c r="AN117" s="131">
        <v>0.12045263105500728</v>
      </c>
      <c r="AO117" s="131">
        <v>0.12045263105500728</v>
      </c>
      <c r="AP117" s="131">
        <v>0.17215263105500728</v>
      </c>
      <c r="AQ117" s="131">
        <v>0.22385263105500727</v>
      </c>
      <c r="AR117" s="131">
        <v>0.27555263105500727</v>
      </c>
      <c r="AS117" s="131">
        <v>0.32725263105500724</v>
      </c>
      <c r="AT117" s="131">
        <v>0.37895263105500721</v>
      </c>
      <c r="AU117" s="131">
        <v>0.43065263105500717</v>
      </c>
      <c r="AV117" s="131">
        <v>0.48235263105500714</v>
      </c>
      <c r="AW117" s="131">
        <v>0.53405263105500711</v>
      </c>
      <c r="AX117" s="131">
        <v>0.58575263105500708</v>
      </c>
      <c r="AY117" s="131">
        <v>0.63745263105500705</v>
      </c>
      <c r="AZ117" s="131">
        <v>0.68915263105500701</v>
      </c>
      <c r="BA117" s="131">
        <v>0.74085263105500698</v>
      </c>
      <c r="BB117" s="131">
        <v>0.79255263105500695</v>
      </c>
      <c r="BC117" s="131">
        <v>0.84425263105500692</v>
      </c>
      <c r="BD117" s="131">
        <v>0.89595263105500689</v>
      </c>
      <c r="BE117" s="131">
        <v>0.94765263105500686</v>
      </c>
      <c r="BF117" s="131">
        <v>1</v>
      </c>
      <c r="BG117" s="131">
        <v>1</v>
      </c>
      <c r="BH117" s="131">
        <v>1</v>
      </c>
      <c r="BI117" s="131">
        <v>1</v>
      </c>
      <c r="BJ117" s="131">
        <v>1</v>
      </c>
      <c r="BK117" s="131">
        <v>1</v>
      </c>
      <c r="BL117" s="131">
        <v>1</v>
      </c>
      <c r="BM117" s="131">
        <v>1</v>
      </c>
      <c r="BN117" s="131">
        <v>1</v>
      </c>
      <c r="BO117" s="131">
        <v>1</v>
      </c>
      <c r="BP117" s="131">
        <v>1</v>
      </c>
      <c r="BQ117" s="131">
        <v>1</v>
      </c>
      <c r="BR117" s="170">
        <v>1</v>
      </c>
      <c r="BS117" s="170">
        <v>1</v>
      </c>
      <c r="BT117" s="170">
        <v>1</v>
      </c>
      <c r="BU117" s="163">
        <v>1</v>
      </c>
      <c r="BV117" s="163">
        <v>1</v>
      </c>
      <c r="BW117" s="163">
        <v>1</v>
      </c>
      <c r="BX117" s="163">
        <v>1</v>
      </c>
      <c r="BY117" s="163">
        <v>1</v>
      </c>
      <c r="BZ117" s="163">
        <v>1</v>
      </c>
      <c r="CA117" s="163">
        <v>1</v>
      </c>
      <c r="CB117" s="163">
        <v>1</v>
      </c>
      <c r="CC117" s="163">
        <v>1</v>
      </c>
      <c r="CD117" s="163">
        <v>1</v>
      </c>
      <c r="CE117" s="163">
        <v>1</v>
      </c>
      <c r="CF117" s="163">
        <v>1</v>
      </c>
      <c r="CG117" s="163">
        <v>1</v>
      </c>
      <c r="CH117" s="163">
        <v>1</v>
      </c>
      <c r="CI117" s="163">
        <v>1</v>
      </c>
      <c r="CJ117" s="163">
        <v>1</v>
      </c>
      <c r="CK117" s="163">
        <v>1</v>
      </c>
      <c r="CL117" s="163">
        <v>1</v>
      </c>
      <c r="CM117" s="163">
        <v>1</v>
      </c>
      <c r="CN117" s="163">
        <v>1</v>
      </c>
      <c r="CO117" s="163">
        <v>1</v>
      </c>
      <c r="CP117" s="163">
        <v>1</v>
      </c>
      <c r="CQ117" s="163">
        <v>1</v>
      </c>
      <c r="CR117" s="163">
        <v>1</v>
      </c>
      <c r="CS117" s="163">
        <v>1</v>
      </c>
      <c r="CT117" s="163">
        <v>1</v>
      </c>
      <c r="CU117" s="163">
        <v>1</v>
      </c>
      <c r="CV117" s="163">
        <v>1</v>
      </c>
      <c r="CW117" s="163">
        <v>1</v>
      </c>
      <c r="CX117" s="163">
        <v>1</v>
      </c>
      <c r="CY117" s="163">
        <v>1</v>
      </c>
      <c r="CZ117" s="163">
        <v>1</v>
      </c>
      <c r="DA117" s="163">
        <v>1</v>
      </c>
      <c r="DB117" s="163">
        <v>1</v>
      </c>
      <c r="DC117" s="163">
        <v>1</v>
      </c>
      <c r="DD117" s="163">
        <v>1</v>
      </c>
      <c r="DE117" s="163">
        <v>1</v>
      </c>
      <c r="DF117" s="163">
        <v>1</v>
      </c>
      <c r="DG117" s="163">
        <v>1</v>
      </c>
      <c r="DH117" s="347">
        <v>1</v>
      </c>
      <c r="DI117" s="163">
        <v>1</v>
      </c>
      <c r="DJ117" s="163">
        <v>1</v>
      </c>
      <c r="DK117" s="163">
        <v>1</v>
      </c>
      <c r="DL117" s="163">
        <v>1</v>
      </c>
      <c r="DM117" s="163">
        <v>1</v>
      </c>
      <c r="DN117" s="163">
        <v>1</v>
      </c>
      <c r="DO117" s="163">
        <v>1</v>
      </c>
      <c r="DP117" s="163">
        <v>1</v>
      </c>
      <c r="DQ117" s="163">
        <v>1</v>
      </c>
      <c r="DR117" s="163">
        <v>1</v>
      </c>
      <c r="DS117" s="163">
        <v>1</v>
      </c>
      <c r="DT117" s="163">
        <v>1</v>
      </c>
      <c r="DU117" s="163">
        <v>1</v>
      </c>
      <c r="DV117" s="163">
        <v>1</v>
      </c>
      <c r="DW117" s="163">
        <v>1</v>
      </c>
      <c r="DX117" s="163">
        <v>1</v>
      </c>
      <c r="DY117" s="163">
        <v>1</v>
      </c>
      <c r="DZ117" s="163">
        <v>1</v>
      </c>
      <c r="EA117" s="163">
        <v>1</v>
      </c>
      <c r="EB117" s="163">
        <v>1</v>
      </c>
      <c r="EC117" s="163">
        <v>1</v>
      </c>
      <c r="ED117" s="163">
        <v>1</v>
      </c>
      <c r="EE117" s="163">
        <v>1</v>
      </c>
      <c r="EF117" s="163">
        <v>1</v>
      </c>
      <c r="EG117" s="163">
        <v>1</v>
      </c>
      <c r="EH117" s="163">
        <v>1</v>
      </c>
      <c r="EI117" s="163">
        <v>1</v>
      </c>
      <c r="EJ117" s="163">
        <v>1</v>
      </c>
      <c r="EK117" s="163">
        <v>1</v>
      </c>
      <c r="EL117" s="163">
        <v>1</v>
      </c>
    </row>
    <row r="118" spans="2:142" ht="15" hidden="1" outlineLevel="1" collapsed="1" x14ac:dyDescent="0.3">
      <c r="B118" s="22"/>
      <c r="C118" s="23"/>
      <c r="D118" s="23" t="s">
        <v>122</v>
      </c>
      <c r="E118" s="50"/>
      <c r="F118" s="26">
        <v>45</v>
      </c>
      <c r="G118" s="160">
        <v>45677</v>
      </c>
      <c r="H118" s="160">
        <v>45741</v>
      </c>
      <c r="I118" s="26">
        <f>+SUM(I119:I121)</f>
        <v>45</v>
      </c>
      <c r="J118" s="28">
        <v>2.9849192336063604E-2</v>
      </c>
      <c r="K118" s="51"/>
      <c r="L118" s="28">
        <f>+SUMPRODUCT($J$119:$J$121,L119:L121)</f>
        <v>0</v>
      </c>
      <c r="M118" s="28">
        <f t="shared" ref="M118:BU118" si="291">+SUMPRODUCT($J$119:$J$121,M119:M121)</f>
        <v>0</v>
      </c>
      <c r="N118" s="28">
        <f t="shared" si="291"/>
        <v>0</v>
      </c>
      <c r="O118" s="28">
        <f t="shared" si="291"/>
        <v>0</v>
      </c>
      <c r="P118" s="28">
        <f t="shared" si="291"/>
        <v>0</v>
      </c>
      <c r="Q118" s="28">
        <f t="shared" si="291"/>
        <v>0</v>
      </c>
      <c r="R118" s="28">
        <f t="shared" si="291"/>
        <v>0</v>
      </c>
      <c r="S118" s="28">
        <f t="shared" si="291"/>
        <v>0</v>
      </c>
      <c r="T118" s="28">
        <f t="shared" si="291"/>
        <v>0</v>
      </c>
      <c r="U118" s="28">
        <f t="shared" si="291"/>
        <v>0</v>
      </c>
      <c r="V118" s="28">
        <f t="shared" si="291"/>
        <v>0</v>
      </c>
      <c r="W118" s="28">
        <f t="shared" si="291"/>
        <v>0</v>
      </c>
      <c r="X118" s="28">
        <f t="shared" si="291"/>
        <v>0</v>
      </c>
      <c r="Y118" s="28">
        <f t="shared" si="291"/>
        <v>0</v>
      </c>
      <c r="Z118" s="28">
        <f t="shared" si="291"/>
        <v>0</v>
      </c>
      <c r="AA118" s="28">
        <f t="shared" si="291"/>
        <v>0</v>
      </c>
      <c r="AB118" s="28">
        <f t="shared" si="291"/>
        <v>0</v>
      </c>
      <c r="AC118" s="28">
        <f t="shared" si="291"/>
        <v>0</v>
      </c>
      <c r="AD118" s="28">
        <f t="shared" si="291"/>
        <v>0</v>
      </c>
      <c r="AE118" s="28">
        <f t="shared" si="291"/>
        <v>4.9999999999999992E-3</v>
      </c>
      <c r="AF118" s="28">
        <f t="shared" si="291"/>
        <v>1.4999999999999999E-2</v>
      </c>
      <c r="AG118" s="28">
        <f t="shared" si="291"/>
        <v>2.5374999999999998E-2</v>
      </c>
      <c r="AH118" s="28">
        <f t="shared" si="291"/>
        <v>6.3750000000000001E-2</v>
      </c>
      <c r="AI118" s="28">
        <f t="shared" si="291"/>
        <v>7.3999999999999996E-2</v>
      </c>
      <c r="AJ118" s="28">
        <f t="shared" si="291"/>
        <v>0.15166666666666664</v>
      </c>
      <c r="AK118" s="28">
        <f t="shared" si="291"/>
        <v>0.15166666666666664</v>
      </c>
      <c r="AL118" s="28">
        <f t="shared" si="291"/>
        <v>0.15166666666666664</v>
      </c>
      <c r="AM118" s="28">
        <f t="shared" si="291"/>
        <v>0.15166666666666664</v>
      </c>
      <c r="AN118" s="28">
        <f t="shared" si="291"/>
        <v>0.15166666666666664</v>
      </c>
      <c r="AO118" s="28">
        <f t="shared" si="291"/>
        <v>0.15333333333333332</v>
      </c>
      <c r="AP118" s="28">
        <f t="shared" si="291"/>
        <v>0.15</v>
      </c>
      <c r="AQ118" s="28">
        <f t="shared" si="291"/>
        <v>0.15</v>
      </c>
      <c r="AR118" s="28">
        <f t="shared" si="291"/>
        <v>0.15</v>
      </c>
      <c r="AS118" s="28">
        <f t="shared" si="291"/>
        <v>0.15</v>
      </c>
      <c r="AT118" s="28">
        <f t="shared" si="291"/>
        <v>0.15</v>
      </c>
      <c r="AU118" s="28">
        <f t="shared" si="291"/>
        <v>0.15</v>
      </c>
      <c r="AV118" s="28">
        <f t="shared" si="291"/>
        <v>0.15</v>
      </c>
      <c r="AW118" s="28">
        <f t="shared" si="291"/>
        <v>0.21359999999999996</v>
      </c>
      <c r="AX118" s="28">
        <f t="shared" si="291"/>
        <v>0.27719999999999995</v>
      </c>
      <c r="AY118" s="28">
        <f t="shared" si="291"/>
        <v>0.34079999999999994</v>
      </c>
      <c r="AZ118" s="28">
        <f t="shared" si="291"/>
        <v>0.40439999999999993</v>
      </c>
      <c r="BA118" s="28">
        <f t="shared" si="291"/>
        <v>0.50823333333333331</v>
      </c>
      <c r="BB118" s="28">
        <f t="shared" si="291"/>
        <v>0.61206666666666665</v>
      </c>
      <c r="BC118" s="28">
        <f t="shared" si="291"/>
        <v>0.71589999999999998</v>
      </c>
      <c r="BD118" s="28">
        <f t="shared" si="291"/>
        <v>0.81973333333333331</v>
      </c>
      <c r="BE118" s="28">
        <f t="shared" si="291"/>
        <v>0.88800000000000001</v>
      </c>
      <c r="BF118" s="28">
        <f t="shared" si="291"/>
        <v>0.95640000000000003</v>
      </c>
      <c r="BG118" s="28">
        <f t="shared" si="291"/>
        <v>0.99829999999999997</v>
      </c>
      <c r="BH118" s="28">
        <f t="shared" si="291"/>
        <v>1</v>
      </c>
      <c r="BI118" s="28">
        <f t="shared" si="291"/>
        <v>1</v>
      </c>
      <c r="BJ118" s="28">
        <f t="shared" si="291"/>
        <v>1</v>
      </c>
      <c r="BK118" s="28">
        <f t="shared" si="291"/>
        <v>1</v>
      </c>
      <c r="BL118" s="28">
        <f t="shared" si="291"/>
        <v>1</v>
      </c>
      <c r="BM118" s="28">
        <f t="shared" si="291"/>
        <v>1</v>
      </c>
      <c r="BN118" s="28">
        <f t="shared" si="291"/>
        <v>1</v>
      </c>
      <c r="BO118" s="28">
        <f t="shared" si="291"/>
        <v>1</v>
      </c>
      <c r="BP118" s="28">
        <f t="shared" si="291"/>
        <v>1</v>
      </c>
      <c r="BQ118" s="28">
        <f t="shared" si="291"/>
        <v>1</v>
      </c>
      <c r="BR118" s="161">
        <f t="shared" si="291"/>
        <v>1</v>
      </c>
      <c r="BS118" s="161">
        <f t="shared" si="291"/>
        <v>1</v>
      </c>
      <c r="BT118" s="161">
        <f t="shared" si="291"/>
        <v>1</v>
      </c>
      <c r="BU118" s="161">
        <f t="shared" si="291"/>
        <v>1</v>
      </c>
      <c r="BV118" s="161">
        <f t="shared" ref="BV118:CL118" si="292">+SUMPRODUCT($J$119:$J$121,BV119:BV121)</f>
        <v>1</v>
      </c>
      <c r="BW118" s="161">
        <f t="shared" si="292"/>
        <v>1</v>
      </c>
      <c r="BX118" s="161">
        <f t="shared" si="292"/>
        <v>1</v>
      </c>
      <c r="BY118" s="161">
        <f t="shared" si="292"/>
        <v>1</v>
      </c>
      <c r="BZ118" s="161">
        <f t="shared" si="292"/>
        <v>1</v>
      </c>
      <c r="CA118" s="161">
        <f t="shared" si="292"/>
        <v>1</v>
      </c>
      <c r="CB118" s="161">
        <f t="shared" si="292"/>
        <v>1</v>
      </c>
      <c r="CC118" s="161">
        <f t="shared" si="292"/>
        <v>1</v>
      </c>
      <c r="CD118" s="161">
        <f t="shared" si="292"/>
        <v>1</v>
      </c>
      <c r="CE118" s="161">
        <f t="shared" si="292"/>
        <v>1</v>
      </c>
      <c r="CF118" s="161">
        <f t="shared" si="292"/>
        <v>1</v>
      </c>
      <c r="CG118" s="161">
        <f t="shared" si="292"/>
        <v>1</v>
      </c>
      <c r="CH118" s="161">
        <f t="shared" si="292"/>
        <v>1</v>
      </c>
      <c r="CI118" s="161">
        <f t="shared" si="292"/>
        <v>1</v>
      </c>
      <c r="CJ118" s="161">
        <f t="shared" si="292"/>
        <v>1</v>
      </c>
      <c r="CK118" s="161">
        <f t="shared" si="292"/>
        <v>1</v>
      </c>
      <c r="CL118" s="161">
        <f t="shared" si="292"/>
        <v>1</v>
      </c>
      <c r="CM118" s="161">
        <f t="shared" ref="CM118:CN118" si="293">+SUMPRODUCT($J$119:$J$121,CM119:CM121)</f>
        <v>1</v>
      </c>
      <c r="CN118" s="161">
        <f t="shared" si="293"/>
        <v>1</v>
      </c>
      <c r="CO118" s="161">
        <f t="shared" ref="CO118" si="294">+SUMPRODUCT($J$119:$J$121,CO119:CO121)</f>
        <v>1</v>
      </c>
      <c r="CP118" s="161">
        <f t="shared" ref="CP118:CV118" si="295">+SUMPRODUCT($J$119:$J$121,CP119:CP121)</f>
        <v>1</v>
      </c>
      <c r="CQ118" s="161">
        <f t="shared" si="295"/>
        <v>1</v>
      </c>
      <c r="CR118" s="161">
        <f t="shared" si="295"/>
        <v>1</v>
      </c>
      <c r="CS118" s="161">
        <f t="shared" si="295"/>
        <v>1</v>
      </c>
      <c r="CT118" s="161">
        <f t="shared" si="295"/>
        <v>1</v>
      </c>
      <c r="CU118" s="161">
        <f t="shared" si="295"/>
        <v>1</v>
      </c>
      <c r="CV118" s="161">
        <f t="shared" si="295"/>
        <v>1</v>
      </c>
      <c r="CW118" s="161">
        <f t="shared" ref="CW118:CY118" si="296">+SUMPRODUCT($J$119:$J$121,CW119:CW121)</f>
        <v>1</v>
      </c>
      <c r="CX118" s="161">
        <f t="shared" si="296"/>
        <v>1</v>
      </c>
      <c r="CY118" s="161">
        <f t="shared" si="296"/>
        <v>1</v>
      </c>
      <c r="CZ118" s="161">
        <f t="shared" ref="CZ118:DA118" si="297">+SUMPRODUCT($J$119:$J$121,CZ119:CZ121)</f>
        <v>1</v>
      </c>
      <c r="DA118" s="161">
        <f t="shared" si="297"/>
        <v>1</v>
      </c>
      <c r="DB118" s="161">
        <f t="shared" ref="DB118:DC118" si="298">+SUMPRODUCT($J$119:$J$121,DB119:DB121)</f>
        <v>1</v>
      </c>
      <c r="DC118" s="161">
        <f t="shared" si="298"/>
        <v>1</v>
      </c>
      <c r="DD118" s="161">
        <f t="shared" ref="DD118:DE118" si="299">+SUMPRODUCT($J$119:$J$121,DD119:DD121)</f>
        <v>1</v>
      </c>
      <c r="DE118" s="161">
        <f t="shared" si="299"/>
        <v>1</v>
      </c>
      <c r="DF118" s="161">
        <f t="shared" ref="DF118:DG118" si="300">+SUMPRODUCT($J$119:$J$121,DF119:DF121)</f>
        <v>1</v>
      </c>
      <c r="DG118" s="161">
        <f t="shared" si="300"/>
        <v>1</v>
      </c>
      <c r="DH118" s="346">
        <f t="shared" ref="DH118:EL118" si="301">+SUMPRODUCT($J$119:$J$121,DH119:DH121)</f>
        <v>1</v>
      </c>
      <c r="DI118" s="161">
        <f t="shared" si="301"/>
        <v>1</v>
      </c>
      <c r="DJ118" s="161">
        <f t="shared" si="301"/>
        <v>1</v>
      </c>
      <c r="DK118" s="161">
        <f t="shared" si="301"/>
        <v>1</v>
      </c>
      <c r="DL118" s="161">
        <f t="shared" si="301"/>
        <v>1</v>
      </c>
      <c r="DM118" s="161">
        <f t="shared" si="301"/>
        <v>1</v>
      </c>
      <c r="DN118" s="161">
        <f t="shared" si="301"/>
        <v>1</v>
      </c>
      <c r="DO118" s="161">
        <f t="shared" si="301"/>
        <v>1</v>
      </c>
      <c r="DP118" s="161">
        <f t="shared" si="301"/>
        <v>1</v>
      </c>
      <c r="DQ118" s="161">
        <f t="shared" si="301"/>
        <v>1</v>
      </c>
      <c r="DR118" s="161">
        <f t="shared" si="301"/>
        <v>1</v>
      </c>
      <c r="DS118" s="161">
        <f t="shared" si="301"/>
        <v>1</v>
      </c>
      <c r="DT118" s="161">
        <f t="shared" si="301"/>
        <v>1</v>
      </c>
      <c r="DU118" s="161">
        <f t="shared" si="301"/>
        <v>1</v>
      </c>
      <c r="DV118" s="161">
        <f t="shared" si="301"/>
        <v>1</v>
      </c>
      <c r="DW118" s="161">
        <f t="shared" si="301"/>
        <v>1</v>
      </c>
      <c r="DX118" s="161">
        <f t="shared" si="301"/>
        <v>1</v>
      </c>
      <c r="DY118" s="161">
        <f t="shared" si="301"/>
        <v>1</v>
      </c>
      <c r="DZ118" s="161">
        <f t="shared" si="301"/>
        <v>1</v>
      </c>
      <c r="EA118" s="161">
        <f t="shared" si="301"/>
        <v>1</v>
      </c>
      <c r="EB118" s="161">
        <f t="shared" si="301"/>
        <v>1</v>
      </c>
      <c r="EC118" s="161">
        <f t="shared" si="301"/>
        <v>1</v>
      </c>
      <c r="ED118" s="161">
        <f t="shared" si="301"/>
        <v>1</v>
      </c>
      <c r="EE118" s="161">
        <f t="shared" si="301"/>
        <v>1</v>
      </c>
      <c r="EF118" s="161">
        <f t="shared" si="301"/>
        <v>1</v>
      </c>
      <c r="EG118" s="161">
        <f t="shared" si="301"/>
        <v>1</v>
      </c>
      <c r="EH118" s="161">
        <f t="shared" si="301"/>
        <v>1</v>
      </c>
      <c r="EI118" s="161">
        <f t="shared" si="301"/>
        <v>1</v>
      </c>
      <c r="EJ118" s="161">
        <f t="shared" si="301"/>
        <v>1</v>
      </c>
      <c r="EK118" s="161">
        <f t="shared" si="301"/>
        <v>1</v>
      </c>
      <c r="EL118" s="161">
        <f t="shared" si="301"/>
        <v>1</v>
      </c>
    </row>
    <row r="119" spans="2:142" hidden="1" outlineLevel="2" x14ac:dyDescent="0.3">
      <c r="B119" s="29"/>
      <c r="C119" s="30"/>
      <c r="D119" s="30"/>
      <c r="E119" s="52" t="s">
        <v>123</v>
      </c>
      <c r="F119" s="33">
        <v>15</v>
      </c>
      <c r="G119" s="162">
        <v>45677</v>
      </c>
      <c r="H119" s="162">
        <v>45695</v>
      </c>
      <c r="I119" s="33">
        <f>+F119</f>
        <v>15</v>
      </c>
      <c r="J119" s="35">
        <v>0.33333333333333331</v>
      </c>
      <c r="K119" s="53"/>
      <c r="L119" s="127">
        <v>0</v>
      </c>
      <c r="M119" s="127">
        <v>0</v>
      </c>
      <c r="N119" s="127">
        <v>0</v>
      </c>
      <c r="O119" s="127">
        <v>0</v>
      </c>
      <c r="P119" s="127">
        <v>0</v>
      </c>
      <c r="Q119" s="127">
        <v>0</v>
      </c>
      <c r="R119" s="127">
        <v>0</v>
      </c>
      <c r="S119" s="127">
        <v>0</v>
      </c>
      <c r="T119" s="127">
        <v>0</v>
      </c>
      <c r="U119" s="127">
        <v>0</v>
      </c>
      <c r="V119" s="127">
        <v>0</v>
      </c>
      <c r="W119" s="127">
        <v>0</v>
      </c>
      <c r="X119" s="127">
        <v>0</v>
      </c>
      <c r="Y119" s="127">
        <v>0</v>
      </c>
      <c r="Z119" s="127">
        <v>0</v>
      </c>
      <c r="AA119" s="127">
        <v>0</v>
      </c>
      <c r="AB119" s="127">
        <v>0</v>
      </c>
      <c r="AC119" s="127">
        <v>0</v>
      </c>
      <c r="AD119" s="127">
        <v>0</v>
      </c>
      <c r="AE119" s="127">
        <v>0</v>
      </c>
      <c r="AF119" s="127">
        <v>0</v>
      </c>
      <c r="AG119" s="127">
        <v>7.5000000000000012E-4</v>
      </c>
      <c r="AH119" s="127">
        <v>3.0000000000000005E-3</v>
      </c>
      <c r="AI119" s="127">
        <v>2.7000000000000003E-2</v>
      </c>
      <c r="AJ119" s="127">
        <v>0.15</v>
      </c>
      <c r="AK119" s="127">
        <v>0.15</v>
      </c>
      <c r="AL119" s="127">
        <v>0.15</v>
      </c>
      <c r="AM119" s="127">
        <v>0.15</v>
      </c>
      <c r="AN119" s="127">
        <v>0.15</v>
      </c>
      <c r="AO119" s="127">
        <v>0.15</v>
      </c>
      <c r="AP119" s="127">
        <v>0.15</v>
      </c>
      <c r="AQ119" s="127">
        <v>0.15</v>
      </c>
      <c r="AR119" s="127">
        <v>0.15</v>
      </c>
      <c r="AS119" s="127">
        <v>0.15</v>
      </c>
      <c r="AT119" s="127">
        <v>0.15</v>
      </c>
      <c r="AU119" s="127">
        <v>0.15</v>
      </c>
      <c r="AV119" s="127">
        <v>0.15</v>
      </c>
      <c r="AW119" s="127">
        <v>0.25629999999999997</v>
      </c>
      <c r="AX119" s="127">
        <v>0.36259999999999998</v>
      </c>
      <c r="AY119" s="127">
        <v>0.46889999999999998</v>
      </c>
      <c r="AZ119" s="127">
        <v>0.57519999999999993</v>
      </c>
      <c r="BA119" s="127">
        <v>0.68149999999999999</v>
      </c>
      <c r="BB119" s="127">
        <v>0.78780000000000006</v>
      </c>
      <c r="BC119" s="127">
        <v>0.89410000000000012</v>
      </c>
      <c r="BD119" s="127">
        <v>1.0004000000000002</v>
      </c>
      <c r="BE119" s="127">
        <v>1</v>
      </c>
      <c r="BF119" s="127">
        <v>1</v>
      </c>
      <c r="BG119" s="127">
        <v>1</v>
      </c>
      <c r="BH119" s="127">
        <v>1</v>
      </c>
      <c r="BI119" s="127">
        <v>1</v>
      </c>
      <c r="BJ119" s="127">
        <v>1</v>
      </c>
      <c r="BK119" s="127">
        <v>1</v>
      </c>
      <c r="BL119" s="127">
        <v>1</v>
      </c>
      <c r="BM119" s="127">
        <v>1</v>
      </c>
      <c r="BN119" s="127">
        <v>1</v>
      </c>
      <c r="BO119" s="127">
        <v>1</v>
      </c>
      <c r="BP119" s="127">
        <v>1</v>
      </c>
      <c r="BQ119" s="127">
        <v>1</v>
      </c>
      <c r="BR119" s="163">
        <v>1</v>
      </c>
      <c r="BS119" s="163">
        <v>1</v>
      </c>
      <c r="BT119" s="163">
        <v>1</v>
      </c>
      <c r="BU119" s="163">
        <v>1</v>
      </c>
      <c r="BV119" s="163">
        <v>1</v>
      </c>
      <c r="BW119" s="163">
        <v>1</v>
      </c>
      <c r="BX119" s="163">
        <v>1</v>
      </c>
      <c r="BY119" s="163">
        <v>1</v>
      </c>
      <c r="BZ119" s="163">
        <v>1</v>
      </c>
      <c r="CA119" s="163">
        <v>1</v>
      </c>
      <c r="CB119" s="163">
        <v>1</v>
      </c>
      <c r="CC119" s="163">
        <v>1</v>
      </c>
      <c r="CD119" s="163">
        <v>1</v>
      </c>
      <c r="CE119" s="163">
        <v>1</v>
      </c>
      <c r="CF119" s="163">
        <v>1</v>
      </c>
      <c r="CG119" s="163">
        <v>1</v>
      </c>
      <c r="CH119" s="163">
        <v>1</v>
      </c>
      <c r="CI119" s="163">
        <v>1</v>
      </c>
      <c r="CJ119" s="163">
        <v>1</v>
      </c>
      <c r="CK119" s="163">
        <v>1</v>
      </c>
      <c r="CL119" s="163">
        <v>1</v>
      </c>
      <c r="CM119" s="163">
        <v>1</v>
      </c>
      <c r="CN119" s="163">
        <v>1</v>
      </c>
      <c r="CO119" s="163">
        <v>1</v>
      </c>
      <c r="CP119" s="163">
        <v>1</v>
      </c>
      <c r="CQ119" s="163">
        <v>1</v>
      </c>
      <c r="CR119" s="163">
        <v>1</v>
      </c>
      <c r="CS119" s="163">
        <v>1</v>
      </c>
      <c r="CT119" s="163">
        <v>1</v>
      </c>
      <c r="CU119" s="163">
        <v>1</v>
      </c>
      <c r="CV119" s="163">
        <v>1</v>
      </c>
      <c r="CW119" s="163">
        <v>1</v>
      </c>
      <c r="CX119" s="163">
        <v>1</v>
      </c>
      <c r="CY119" s="163">
        <v>1</v>
      </c>
      <c r="CZ119" s="163">
        <v>1</v>
      </c>
      <c r="DA119" s="163">
        <v>1</v>
      </c>
      <c r="DB119" s="163">
        <v>1</v>
      </c>
      <c r="DC119" s="163">
        <v>1</v>
      </c>
      <c r="DD119" s="163">
        <v>1</v>
      </c>
      <c r="DE119" s="163">
        <v>1</v>
      </c>
      <c r="DF119" s="163">
        <v>1</v>
      </c>
      <c r="DG119" s="163">
        <v>1</v>
      </c>
      <c r="DH119" s="347">
        <v>1</v>
      </c>
      <c r="DI119" s="163">
        <v>1</v>
      </c>
      <c r="DJ119" s="163">
        <v>1</v>
      </c>
      <c r="DK119" s="163">
        <v>1</v>
      </c>
      <c r="DL119" s="163">
        <v>1</v>
      </c>
      <c r="DM119" s="163">
        <v>1</v>
      </c>
      <c r="DN119" s="163">
        <v>1</v>
      </c>
      <c r="DO119" s="163">
        <v>1</v>
      </c>
      <c r="DP119" s="163">
        <v>1</v>
      </c>
      <c r="DQ119" s="163">
        <v>1</v>
      </c>
      <c r="DR119" s="163">
        <v>1</v>
      </c>
      <c r="DS119" s="163">
        <v>1</v>
      </c>
      <c r="DT119" s="163">
        <v>1</v>
      </c>
      <c r="DU119" s="163">
        <v>1</v>
      </c>
      <c r="DV119" s="163">
        <v>1</v>
      </c>
      <c r="DW119" s="163">
        <v>1</v>
      </c>
      <c r="DX119" s="163">
        <v>1</v>
      </c>
      <c r="DY119" s="163">
        <v>1</v>
      </c>
      <c r="DZ119" s="163">
        <v>1</v>
      </c>
      <c r="EA119" s="163">
        <v>1</v>
      </c>
      <c r="EB119" s="163">
        <v>1</v>
      </c>
      <c r="EC119" s="163">
        <v>1</v>
      </c>
      <c r="ED119" s="163">
        <v>1</v>
      </c>
      <c r="EE119" s="163">
        <v>1</v>
      </c>
      <c r="EF119" s="163">
        <v>1</v>
      </c>
      <c r="EG119" s="163">
        <v>1</v>
      </c>
      <c r="EH119" s="163">
        <v>1</v>
      </c>
      <c r="EI119" s="163">
        <v>1</v>
      </c>
      <c r="EJ119" s="163">
        <v>1</v>
      </c>
      <c r="EK119" s="163">
        <v>1</v>
      </c>
      <c r="EL119" s="163">
        <v>1</v>
      </c>
    </row>
    <row r="120" spans="2:142" hidden="1" outlineLevel="2" x14ac:dyDescent="0.3">
      <c r="B120" s="29"/>
      <c r="C120" s="30"/>
      <c r="D120" s="30"/>
      <c r="E120" s="52" t="s">
        <v>124</v>
      </c>
      <c r="F120" s="33">
        <v>15</v>
      </c>
      <c r="G120" s="162">
        <v>45698</v>
      </c>
      <c r="H120" s="162">
        <v>45716</v>
      </c>
      <c r="I120" s="33">
        <f>+F120</f>
        <v>15</v>
      </c>
      <c r="J120" s="35">
        <v>0.33333333333333331</v>
      </c>
      <c r="K120" s="53"/>
      <c r="L120" s="127">
        <v>0</v>
      </c>
      <c r="M120" s="127">
        <v>0</v>
      </c>
      <c r="N120" s="127">
        <v>0</v>
      </c>
      <c r="O120" s="127">
        <v>0</v>
      </c>
      <c r="P120" s="127">
        <v>0</v>
      </c>
      <c r="Q120" s="127">
        <v>0</v>
      </c>
      <c r="R120" s="127">
        <v>0</v>
      </c>
      <c r="S120" s="127">
        <v>0</v>
      </c>
      <c r="T120" s="127">
        <v>0</v>
      </c>
      <c r="U120" s="127">
        <v>0</v>
      </c>
      <c r="V120" s="127">
        <v>0</v>
      </c>
      <c r="W120" s="127">
        <v>0</v>
      </c>
      <c r="X120" s="127">
        <v>0</v>
      </c>
      <c r="Y120" s="127">
        <v>0</v>
      </c>
      <c r="Z120" s="127">
        <v>0</v>
      </c>
      <c r="AA120" s="127">
        <v>0</v>
      </c>
      <c r="AB120" s="127">
        <v>0</v>
      </c>
      <c r="AC120" s="127">
        <v>0</v>
      </c>
      <c r="AD120" s="127">
        <v>0</v>
      </c>
      <c r="AE120" s="127">
        <v>1.4999999999999999E-2</v>
      </c>
      <c r="AF120" s="127">
        <v>4.4999999999999998E-2</v>
      </c>
      <c r="AG120" s="127">
        <v>7.4999999999999997E-2</v>
      </c>
      <c r="AH120" s="127">
        <v>0.12</v>
      </c>
      <c r="AI120" s="127">
        <v>0.12</v>
      </c>
      <c r="AJ120" s="127">
        <v>0.155</v>
      </c>
      <c r="AK120" s="127">
        <v>0.155</v>
      </c>
      <c r="AL120" s="127">
        <v>0.155</v>
      </c>
      <c r="AM120" s="127">
        <v>0.155</v>
      </c>
      <c r="AN120" s="127">
        <v>0.155</v>
      </c>
      <c r="AO120" s="127">
        <v>0.155</v>
      </c>
      <c r="AP120" s="127">
        <v>0.15</v>
      </c>
      <c r="AQ120" s="127">
        <v>0.15</v>
      </c>
      <c r="AR120" s="127">
        <v>0.15</v>
      </c>
      <c r="AS120" s="127">
        <v>0.15</v>
      </c>
      <c r="AT120" s="127">
        <v>0.15</v>
      </c>
      <c r="AU120" s="127">
        <v>0.15</v>
      </c>
      <c r="AV120" s="127">
        <v>0.15</v>
      </c>
      <c r="AW120" s="127">
        <v>0.23449999999999999</v>
      </c>
      <c r="AX120" s="127">
        <v>0.31899999999999995</v>
      </c>
      <c r="AY120" s="127">
        <v>0.40349999999999997</v>
      </c>
      <c r="AZ120" s="127">
        <v>0.48799999999999999</v>
      </c>
      <c r="BA120" s="127">
        <v>0.57250000000000001</v>
      </c>
      <c r="BB120" s="127">
        <v>0.65700000000000003</v>
      </c>
      <c r="BC120" s="127">
        <v>0.74150000000000005</v>
      </c>
      <c r="BD120" s="127">
        <v>0.82600000000000007</v>
      </c>
      <c r="BE120" s="127">
        <v>0.91050000000000009</v>
      </c>
      <c r="BF120" s="127">
        <v>0.99500000000000011</v>
      </c>
      <c r="BG120" s="127">
        <v>1</v>
      </c>
      <c r="BH120" s="127">
        <v>1</v>
      </c>
      <c r="BI120" s="127">
        <v>1</v>
      </c>
      <c r="BJ120" s="127">
        <v>1</v>
      </c>
      <c r="BK120" s="127">
        <v>1</v>
      </c>
      <c r="BL120" s="127">
        <v>1</v>
      </c>
      <c r="BM120" s="127">
        <v>1</v>
      </c>
      <c r="BN120" s="127">
        <v>1</v>
      </c>
      <c r="BO120" s="127">
        <v>1</v>
      </c>
      <c r="BP120" s="127">
        <v>1</v>
      </c>
      <c r="BQ120" s="127">
        <v>1</v>
      </c>
      <c r="BR120" s="163">
        <v>1</v>
      </c>
      <c r="BS120" s="163">
        <v>1</v>
      </c>
      <c r="BT120" s="163">
        <v>1</v>
      </c>
      <c r="BU120" s="163">
        <v>1</v>
      </c>
      <c r="BV120" s="163">
        <v>1</v>
      </c>
      <c r="BW120" s="163">
        <v>1</v>
      </c>
      <c r="BX120" s="163">
        <v>1</v>
      </c>
      <c r="BY120" s="163">
        <v>1</v>
      </c>
      <c r="BZ120" s="163">
        <v>1</v>
      </c>
      <c r="CA120" s="163">
        <v>1</v>
      </c>
      <c r="CB120" s="163">
        <v>1</v>
      </c>
      <c r="CC120" s="163">
        <v>1</v>
      </c>
      <c r="CD120" s="163">
        <v>1</v>
      </c>
      <c r="CE120" s="163">
        <v>1</v>
      </c>
      <c r="CF120" s="163">
        <v>1</v>
      </c>
      <c r="CG120" s="163">
        <v>1</v>
      </c>
      <c r="CH120" s="163">
        <v>1</v>
      </c>
      <c r="CI120" s="163">
        <v>1</v>
      </c>
      <c r="CJ120" s="163">
        <v>1</v>
      </c>
      <c r="CK120" s="163">
        <v>1</v>
      </c>
      <c r="CL120" s="163">
        <v>1</v>
      </c>
      <c r="CM120" s="163">
        <v>1</v>
      </c>
      <c r="CN120" s="163">
        <v>1</v>
      </c>
      <c r="CO120" s="163">
        <v>1</v>
      </c>
      <c r="CP120" s="163">
        <v>1</v>
      </c>
      <c r="CQ120" s="163">
        <v>1</v>
      </c>
      <c r="CR120" s="163">
        <v>1</v>
      </c>
      <c r="CS120" s="163">
        <v>1</v>
      </c>
      <c r="CT120" s="163">
        <v>1</v>
      </c>
      <c r="CU120" s="163">
        <v>1</v>
      </c>
      <c r="CV120" s="163">
        <v>1</v>
      </c>
      <c r="CW120" s="163">
        <v>1</v>
      </c>
      <c r="CX120" s="163">
        <v>1</v>
      </c>
      <c r="CY120" s="163">
        <v>1</v>
      </c>
      <c r="CZ120" s="163">
        <v>1</v>
      </c>
      <c r="DA120" s="163">
        <v>1</v>
      </c>
      <c r="DB120" s="163">
        <v>1</v>
      </c>
      <c r="DC120" s="163">
        <v>1</v>
      </c>
      <c r="DD120" s="163">
        <v>1</v>
      </c>
      <c r="DE120" s="163">
        <v>1</v>
      </c>
      <c r="DF120" s="163">
        <v>1</v>
      </c>
      <c r="DG120" s="163">
        <v>1</v>
      </c>
      <c r="DH120" s="347">
        <v>1</v>
      </c>
      <c r="DI120" s="163">
        <v>1</v>
      </c>
      <c r="DJ120" s="163">
        <v>1</v>
      </c>
      <c r="DK120" s="163">
        <v>1</v>
      </c>
      <c r="DL120" s="163">
        <v>1</v>
      </c>
      <c r="DM120" s="163">
        <v>1</v>
      </c>
      <c r="DN120" s="163">
        <v>1</v>
      </c>
      <c r="DO120" s="163">
        <v>1</v>
      </c>
      <c r="DP120" s="163">
        <v>1</v>
      </c>
      <c r="DQ120" s="163">
        <v>1</v>
      </c>
      <c r="DR120" s="163">
        <v>1</v>
      </c>
      <c r="DS120" s="163">
        <v>1</v>
      </c>
      <c r="DT120" s="163">
        <v>1</v>
      </c>
      <c r="DU120" s="163">
        <v>1</v>
      </c>
      <c r="DV120" s="163">
        <v>1</v>
      </c>
      <c r="DW120" s="163">
        <v>1</v>
      </c>
      <c r="DX120" s="163">
        <v>1</v>
      </c>
      <c r="DY120" s="163">
        <v>1</v>
      </c>
      <c r="DZ120" s="163">
        <v>1</v>
      </c>
      <c r="EA120" s="163">
        <v>1</v>
      </c>
      <c r="EB120" s="163">
        <v>1</v>
      </c>
      <c r="EC120" s="163">
        <v>1</v>
      </c>
      <c r="ED120" s="163">
        <v>1</v>
      </c>
      <c r="EE120" s="163">
        <v>1</v>
      </c>
      <c r="EF120" s="163">
        <v>1</v>
      </c>
      <c r="EG120" s="163">
        <v>1</v>
      </c>
      <c r="EH120" s="163">
        <v>1</v>
      </c>
      <c r="EI120" s="163">
        <v>1</v>
      </c>
      <c r="EJ120" s="163">
        <v>1</v>
      </c>
      <c r="EK120" s="163">
        <v>1</v>
      </c>
      <c r="EL120" s="163">
        <v>1</v>
      </c>
    </row>
    <row r="121" spans="2:142" hidden="1" outlineLevel="2" x14ac:dyDescent="0.3">
      <c r="B121" s="29"/>
      <c r="C121" s="30"/>
      <c r="D121" s="30"/>
      <c r="E121" s="52" t="s">
        <v>125</v>
      </c>
      <c r="F121" s="33">
        <v>15</v>
      </c>
      <c r="G121" s="162">
        <v>45721</v>
      </c>
      <c r="H121" s="162">
        <v>45741</v>
      </c>
      <c r="I121" s="33">
        <f>+F121</f>
        <v>15</v>
      </c>
      <c r="J121" s="35">
        <v>0.33333333333333331</v>
      </c>
      <c r="K121" s="53"/>
      <c r="L121" s="127">
        <v>0</v>
      </c>
      <c r="M121" s="127">
        <v>0</v>
      </c>
      <c r="N121" s="127">
        <v>0</v>
      </c>
      <c r="O121" s="127">
        <v>0</v>
      </c>
      <c r="P121" s="127">
        <v>0</v>
      </c>
      <c r="Q121" s="127">
        <v>0</v>
      </c>
      <c r="R121" s="127">
        <v>0</v>
      </c>
      <c r="S121" s="127">
        <v>0</v>
      </c>
      <c r="T121" s="127">
        <v>0</v>
      </c>
      <c r="U121" s="127">
        <v>0</v>
      </c>
      <c r="V121" s="127">
        <v>0</v>
      </c>
      <c r="W121" s="127">
        <v>0</v>
      </c>
      <c r="X121" s="127">
        <v>0</v>
      </c>
      <c r="Y121" s="127">
        <v>0</v>
      </c>
      <c r="Z121" s="127">
        <v>0</v>
      </c>
      <c r="AA121" s="127">
        <v>0</v>
      </c>
      <c r="AB121" s="127">
        <v>0</v>
      </c>
      <c r="AC121" s="127">
        <v>0</v>
      </c>
      <c r="AD121" s="127">
        <v>0</v>
      </c>
      <c r="AE121" s="127">
        <v>0</v>
      </c>
      <c r="AF121" s="127">
        <v>0</v>
      </c>
      <c r="AG121" s="127">
        <v>3.7500000000000006E-4</v>
      </c>
      <c r="AH121" s="127">
        <v>6.8250000000000005E-2</v>
      </c>
      <c r="AI121" s="127">
        <v>7.4999999999999997E-2</v>
      </c>
      <c r="AJ121" s="127">
        <v>0.15</v>
      </c>
      <c r="AK121" s="127">
        <v>0.15</v>
      </c>
      <c r="AL121" s="127">
        <v>0.15</v>
      </c>
      <c r="AM121" s="127">
        <v>0.15</v>
      </c>
      <c r="AN121" s="127">
        <v>0.15</v>
      </c>
      <c r="AO121" s="127">
        <v>0.155</v>
      </c>
      <c r="AP121" s="127">
        <v>0.15</v>
      </c>
      <c r="AQ121" s="127">
        <v>0.15</v>
      </c>
      <c r="AR121" s="127">
        <v>0.15</v>
      </c>
      <c r="AS121" s="127">
        <v>0.15</v>
      </c>
      <c r="AT121" s="127">
        <v>0.15</v>
      </c>
      <c r="AU121" s="127">
        <v>0.15</v>
      </c>
      <c r="AV121" s="127">
        <v>0.15</v>
      </c>
      <c r="AW121" s="127">
        <v>0.15</v>
      </c>
      <c r="AX121" s="127">
        <v>0.15</v>
      </c>
      <c r="AY121" s="127">
        <v>0.15</v>
      </c>
      <c r="AZ121" s="127">
        <v>0.15</v>
      </c>
      <c r="BA121" s="127">
        <v>0.2707</v>
      </c>
      <c r="BB121" s="127">
        <v>0.39139999999999997</v>
      </c>
      <c r="BC121" s="127">
        <v>0.5121</v>
      </c>
      <c r="BD121" s="127">
        <v>0.63280000000000003</v>
      </c>
      <c r="BE121" s="127">
        <v>0.75350000000000006</v>
      </c>
      <c r="BF121" s="127">
        <v>0.87420000000000009</v>
      </c>
      <c r="BG121" s="127">
        <v>0.99490000000000012</v>
      </c>
      <c r="BH121" s="127">
        <v>1</v>
      </c>
      <c r="BI121" s="127">
        <v>1</v>
      </c>
      <c r="BJ121" s="127">
        <v>1</v>
      </c>
      <c r="BK121" s="127">
        <v>1</v>
      </c>
      <c r="BL121" s="127">
        <v>1</v>
      </c>
      <c r="BM121" s="127">
        <v>1</v>
      </c>
      <c r="BN121" s="127">
        <v>1</v>
      </c>
      <c r="BO121" s="127">
        <v>1</v>
      </c>
      <c r="BP121" s="127">
        <v>1</v>
      </c>
      <c r="BQ121" s="127">
        <v>1</v>
      </c>
      <c r="BR121" s="163">
        <v>1</v>
      </c>
      <c r="BS121" s="163">
        <v>1</v>
      </c>
      <c r="BT121" s="163">
        <v>1</v>
      </c>
      <c r="BU121" s="163">
        <v>1</v>
      </c>
      <c r="BV121" s="163">
        <v>1</v>
      </c>
      <c r="BW121" s="163">
        <v>1</v>
      </c>
      <c r="BX121" s="163">
        <v>1</v>
      </c>
      <c r="BY121" s="163">
        <v>1</v>
      </c>
      <c r="BZ121" s="163">
        <v>1</v>
      </c>
      <c r="CA121" s="163">
        <v>1</v>
      </c>
      <c r="CB121" s="163">
        <v>1</v>
      </c>
      <c r="CC121" s="163">
        <v>1</v>
      </c>
      <c r="CD121" s="163">
        <v>1</v>
      </c>
      <c r="CE121" s="163">
        <v>1</v>
      </c>
      <c r="CF121" s="163">
        <v>1</v>
      </c>
      <c r="CG121" s="163">
        <v>1</v>
      </c>
      <c r="CH121" s="163">
        <v>1</v>
      </c>
      <c r="CI121" s="163">
        <v>1</v>
      </c>
      <c r="CJ121" s="163">
        <v>1</v>
      </c>
      <c r="CK121" s="163">
        <v>1</v>
      </c>
      <c r="CL121" s="163">
        <v>1</v>
      </c>
      <c r="CM121" s="163">
        <v>1</v>
      </c>
      <c r="CN121" s="163">
        <v>1</v>
      </c>
      <c r="CO121" s="163">
        <v>1</v>
      </c>
      <c r="CP121" s="163">
        <v>1</v>
      </c>
      <c r="CQ121" s="163">
        <v>1</v>
      </c>
      <c r="CR121" s="163">
        <v>1</v>
      </c>
      <c r="CS121" s="163">
        <v>1</v>
      </c>
      <c r="CT121" s="163">
        <v>1</v>
      </c>
      <c r="CU121" s="163">
        <v>1</v>
      </c>
      <c r="CV121" s="163">
        <v>1</v>
      </c>
      <c r="CW121" s="163">
        <v>1</v>
      </c>
      <c r="CX121" s="163">
        <v>1</v>
      </c>
      <c r="CY121" s="163">
        <v>1</v>
      </c>
      <c r="CZ121" s="163">
        <v>1</v>
      </c>
      <c r="DA121" s="163">
        <v>1</v>
      </c>
      <c r="DB121" s="163">
        <v>1</v>
      </c>
      <c r="DC121" s="163">
        <v>1</v>
      </c>
      <c r="DD121" s="163">
        <v>1</v>
      </c>
      <c r="DE121" s="163">
        <v>1</v>
      </c>
      <c r="DF121" s="163">
        <v>1</v>
      </c>
      <c r="DG121" s="163">
        <v>1</v>
      </c>
      <c r="DH121" s="347">
        <v>1</v>
      </c>
      <c r="DI121" s="163">
        <v>1</v>
      </c>
      <c r="DJ121" s="163">
        <v>1</v>
      </c>
      <c r="DK121" s="163">
        <v>1</v>
      </c>
      <c r="DL121" s="163">
        <v>1</v>
      </c>
      <c r="DM121" s="163">
        <v>1</v>
      </c>
      <c r="DN121" s="163">
        <v>1</v>
      </c>
      <c r="DO121" s="163">
        <v>1</v>
      </c>
      <c r="DP121" s="163">
        <v>1</v>
      </c>
      <c r="DQ121" s="163">
        <v>1</v>
      </c>
      <c r="DR121" s="163">
        <v>1</v>
      </c>
      <c r="DS121" s="163">
        <v>1</v>
      </c>
      <c r="DT121" s="163">
        <v>1</v>
      </c>
      <c r="DU121" s="163">
        <v>1</v>
      </c>
      <c r="DV121" s="163">
        <v>1</v>
      </c>
      <c r="DW121" s="163">
        <v>1</v>
      </c>
      <c r="DX121" s="163">
        <v>1</v>
      </c>
      <c r="DY121" s="163">
        <v>1</v>
      </c>
      <c r="DZ121" s="163">
        <v>1</v>
      </c>
      <c r="EA121" s="163">
        <v>1</v>
      </c>
      <c r="EB121" s="163">
        <v>1</v>
      </c>
      <c r="EC121" s="163">
        <v>1</v>
      </c>
      <c r="ED121" s="163">
        <v>1</v>
      </c>
      <c r="EE121" s="163">
        <v>1</v>
      </c>
      <c r="EF121" s="163">
        <v>1</v>
      </c>
      <c r="EG121" s="163">
        <v>1</v>
      </c>
      <c r="EH121" s="163">
        <v>1</v>
      </c>
      <c r="EI121" s="163">
        <v>1</v>
      </c>
      <c r="EJ121" s="163">
        <v>1</v>
      </c>
      <c r="EK121" s="163">
        <v>1</v>
      </c>
      <c r="EL121" s="163">
        <v>1</v>
      </c>
    </row>
    <row r="122" spans="2:142" ht="15" hidden="1" outlineLevel="1" collapsed="1" x14ac:dyDescent="0.3">
      <c r="B122" s="22"/>
      <c r="C122" s="23"/>
      <c r="D122" s="23" t="s">
        <v>126</v>
      </c>
      <c r="E122" s="50"/>
      <c r="F122" s="26">
        <v>30</v>
      </c>
      <c r="G122" s="160">
        <v>45580</v>
      </c>
      <c r="H122" s="160">
        <v>45621</v>
      </c>
      <c r="I122" s="26">
        <f>+SUM(I123:I128)</f>
        <v>30</v>
      </c>
      <c r="J122" s="28">
        <v>6.9648115450815076E-2</v>
      </c>
      <c r="K122" s="51"/>
      <c r="L122" s="28">
        <f>+SUMPRODUCT($J$123:$J$128,L123:L128)</f>
        <v>0</v>
      </c>
      <c r="M122" s="28">
        <f t="shared" ref="M122:BU122" si="302">+SUMPRODUCT($J$123:$J$128,M123:M128)</f>
        <v>0</v>
      </c>
      <c r="N122" s="28">
        <f t="shared" si="302"/>
        <v>0</v>
      </c>
      <c r="O122" s="28">
        <f t="shared" si="302"/>
        <v>0</v>
      </c>
      <c r="P122" s="28">
        <f t="shared" si="302"/>
        <v>0</v>
      </c>
      <c r="Q122" s="28">
        <f t="shared" si="302"/>
        <v>0</v>
      </c>
      <c r="R122" s="28">
        <f t="shared" si="302"/>
        <v>0</v>
      </c>
      <c r="S122" s="28">
        <f t="shared" si="302"/>
        <v>0</v>
      </c>
      <c r="T122" s="28">
        <f t="shared" si="302"/>
        <v>0</v>
      </c>
      <c r="U122" s="28">
        <f t="shared" si="302"/>
        <v>0</v>
      </c>
      <c r="V122" s="28">
        <f t="shared" si="302"/>
        <v>0</v>
      </c>
      <c r="W122" s="28">
        <f t="shared" si="302"/>
        <v>0</v>
      </c>
      <c r="X122" s="28">
        <f t="shared" si="302"/>
        <v>0</v>
      </c>
      <c r="Y122" s="28">
        <f t="shared" si="302"/>
        <v>0</v>
      </c>
      <c r="Z122" s="28">
        <f t="shared" si="302"/>
        <v>0</v>
      </c>
      <c r="AA122" s="28">
        <f t="shared" si="302"/>
        <v>0</v>
      </c>
      <c r="AB122" s="28">
        <f t="shared" si="302"/>
        <v>0</v>
      </c>
      <c r="AC122" s="28">
        <f t="shared" si="302"/>
        <v>0</v>
      </c>
      <c r="AD122" s="28">
        <f t="shared" si="302"/>
        <v>0</v>
      </c>
      <c r="AE122" s="28">
        <f t="shared" si="302"/>
        <v>0</v>
      </c>
      <c r="AF122" s="28">
        <f t="shared" si="302"/>
        <v>9.5555555555555588E-2</v>
      </c>
      <c r="AG122" s="28">
        <f t="shared" si="302"/>
        <v>0.18666666666666673</v>
      </c>
      <c r="AH122" s="28">
        <f t="shared" si="302"/>
        <v>0.21844444444444452</v>
      </c>
      <c r="AI122" s="28">
        <f t="shared" si="302"/>
        <v>0.28066666666666673</v>
      </c>
      <c r="AJ122" s="28">
        <f t="shared" si="302"/>
        <v>0.28066666666666673</v>
      </c>
      <c r="AK122" s="28">
        <f t="shared" si="302"/>
        <v>0.28066666666666673</v>
      </c>
      <c r="AL122" s="28">
        <f t="shared" si="302"/>
        <v>0.28066666666666673</v>
      </c>
      <c r="AM122" s="28">
        <f t="shared" si="302"/>
        <v>0.28066666666666673</v>
      </c>
      <c r="AN122" s="28">
        <f t="shared" si="302"/>
        <v>0.28066666666666673</v>
      </c>
      <c r="AO122" s="28">
        <f t="shared" si="302"/>
        <v>0.28400000000000009</v>
      </c>
      <c r="AP122" s="28">
        <f t="shared" si="302"/>
        <v>0.308788888888889</v>
      </c>
      <c r="AQ122" s="28">
        <f t="shared" si="302"/>
        <v>0.33357777777777786</v>
      </c>
      <c r="AR122" s="28">
        <f t="shared" si="302"/>
        <v>0.35836666666666672</v>
      </c>
      <c r="AS122" s="28">
        <f t="shared" si="302"/>
        <v>0.38315555555555558</v>
      </c>
      <c r="AT122" s="28">
        <f t="shared" si="302"/>
        <v>0.40794444444444455</v>
      </c>
      <c r="AU122" s="28">
        <f t="shared" si="302"/>
        <v>0.43273333333333341</v>
      </c>
      <c r="AV122" s="28">
        <f t="shared" si="302"/>
        <v>0.45752222222222239</v>
      </c>
      <c r="AW122" s="28">
        <f t="shared" si="302"/>
        <v>0.48231111111111125</v>
      </c>
      <c r="AX122" s="28">
        <f t="shared" si="302"/>
        <v>0.50710000000000022</v>
      </c>
      <c r="AY122" s="28">
        <f t="shared" si="302"/>
        <v>0.53188888888888908</v>
      </c>
      <c r="AZ122" s="28">
        <f t="shared" si="302"/>
        <v>0.55667777777777805</v>
      </c>
      <c r="BA122" s="28">
        <f t="shared" si="302"/>
        <v>0.63088888888888917</v>
      </c>
      <c r="BB122" s="28">
        <f t="shared" si="302"/>
        <v>0.70510000000000028</v>
      </c>
      <c r="BC122" s="28">
        <f t="shared" si="302"/>
        <v>0.7793111111111114</v>
      </c>
      <c r="BD122" s="28">
        <f t="shared" si="302"/>
        <v>0.85352222222222252</v>
      </c>
      <c r="BE122" s="28">
        <f t="shared" si="302"/>
        <v>0.92773333333333374</v>
      </c>
      <c r="BF122" s="28">
        <f t="shared" si="302"/>
        <v>0.97720000000000018</v>
      </c>
      <c r="BG122" s="28">
        <f t="shared" si="302"/>
        <v>1.0000666666666669</v>
      </c>
      <c r="BH122" s="28">
        <f t="shared" si="302"/>
        <v>1.0000000000000002</v>
      </c>
      <c r="BI122" s="28">
        <f t="shared" si="302"/>
        <v>1.0000000000000002</v>
      </c>
      <c r="BJ122" s="28">
        <f t="shared" si="302"/>
        <v>1.0000000000000002</v>
      </c>
      <c r="BK122" s="28">
        <f t="shared" si="302"/>
        <v>1.0000000000000002</v>
      </c>
      <c r="BL122" s="28">
        <f t="shared" si="302"/>
        <v>1.0000000000000002</v>
      </c>
      <c r="BM122" s="28">
        <f t="shared" si="302"/>
        <v>1.0000000000000002</v>
      </c>
      <c r="BN122" s="28">
        <f t="shared" si="302"/>
        <v>1.0000000000000002</v>
      </c>
      <c r="BO122" s="28">
        <f t="shared" si="302"/>
        <v>1.0000000000000002</v>
      </c>
      <c r="BP122" s="28">
        <f t="shared" si="302"/>
        <v>1.0000000000000002</v>
      </c>
      <c r="BQ122" s="28">
        <f t="shared" si="302"/>
        <v>1.0000000000000002</v>
      </c>
      <c r="BR122" s="161">
        <f t="shared" si="302"/>
        <v>1.0000000000000002</v>
      </c>
      <c r="BS122" s="161">
        <f t="shared" si="302"/>
        <v>1.0000000000000002</v>
      </c>
      <c r="BT122" s="161">
        <f t="shared" si="302"/>
        <v>1.0000000000000002</v>
      </c>
      <c r="BU122" s="161">
        <f t="shared" si="302"/>
        <v>1.0000000000000002</v>
      </c>
      <c r="BV122" s="161">
        <f t="shared" ref="BV122:CL122" si="303">+SUMPRODUCT($J$123:$J$128,BV123:BV128)</f>
        <v>1.0000000000000002</v>
      </c>
      <c r="BW122" s="161">
        <f t="shared" si="303"/>
        <v>1.0000000000000002</v>
      </c>
      <c r="BX122" s="161">
        <f t="shared" si="303"/>
        <v>1.0000000000000002</v>
      </c>
      <c r="BY122" s="161">
        <f t="shared" si="303"/>
        <v>1.0000000000000002</v>
      </c>
      <c r="BZ122" s="161">
        <f t="shared" si="303"/>
        <v>1.0000000000000002</v>
      </c>
      <c r="CA122" s="161">
        <f t="shared" si="303"/>
        <v>1.0000000000000002</v>
      </c>
      <c r="CB122" s="161">
        <f t="shared" si="303"/>
        <v>1.0000000000000002</v>
      </c>
      <c r="CC122" s="161">
        <f t="shared" si="303"/>
        <v>1.0000000000000002</v>
      </c>
      <c r="CD122" s="161">
        <f t="shared" si="303"/>
        <v>1.0000000000000002</v>
      </c>
      <c r="CE122" s="161">
        <f t="shared" si="303"/>
        <v>1.0000000000000002</v>
      </c>
      <c r="CF122" s="161">
        <f t="shared" si="303"/>
        <v>1.0000000000000002</v>
      </c>
      <c r="CG122" s="161">
        <f t="shared" si="303"/>
        <v>1.0000000000000002</v>
      </c>
      <c r="CH122" s="161">
        <f t="shared" si="303"/>
        <v>1.0000000000000002</v>
      </c>
      <c r="CI122" s="161">
        <f t="shared" si="303"/>
        <v>1.0000000000000002</v>
      </c>
      <c r="CJ122" s="161">
        <f t="shared" si="303"/>
        <v>1.0000000000000002</v>
      </c>
      <c r="CK122" s="161">
        <f t="shared" si="303"/>
        <v>1.0000000000000002</v>
      </c>
      <c r="CL122" s="161">
        <f t="shared" si="303"/>
        <v>1.0000000000000002</v>
      </c>
      <c r="CM122" s="161">
        <f t="shared" ref="CM122:CN122" si="304">+SUMPRODUCT($J$123:$J$128,CM123:CM128)</f>
        <v>1.0000000000000002</v>
      </c>
      <c r="CN122" s="161">
        <f t="shared" si="304"/>
        <v>1.0000000000000002</v>
      </c>
      <c r="CO122" s="161">
        <f t="shared" ref="CO122" si="305">+SUMPRODUCT($J$123:$J$128,CO123:CO128)</f>
        <v>1.0000000000000002</v>
      </c>
      <c r="CP122" s="161">
        <f t="shared" ref="CP122:CV122" si="306">+SUMPRODUCT($J$123:$J$128,CP123:CP128)</f>
        <v>1.0000000000000002</v>
      </c>
      <c r="CQ122" s="161">
        <f t="shared" si="306"/>
        <v>1.0000000000000002</v>
      </c>
      <c r="CR122" s="161">
        <f t="shared" si="306"/>
        <v>1.0000000000000002</v>
      </c>
      <c r="CS122" s="161">
        <f t="shared" si="306"/>
        <v>1.0000000000000002</v>
      </c>
      <c r="CT122" s="161">
        <f t="shared" si="306"/>
        <v>1.0000000000000002</v>
      </c>
      <c r="CU122" s="161">
        <f t="shared" si="306"/>
        <v>1.0000000000000002</v>
      </c>
      <c r="CV122" s="161">
        <f t="shared" si="306"/>
        <v>1.0000000000000002</v>
      </c>
      <c r="CW122" s="161">
        <f t="shared" ref="CW122:CY122" si="307">+SUMPRODUCT($J$123:$J$128,CW123:CW128)</f>
        <v>1.0000000000000002</v>
      </c>
      <c r="CX122" s="161">
        <f t="shared" si="307"/>
        <v>1.0000000000000002</v>
      </c>
      <c r="CY122" s="161">
        <f t="shared" si="307"/>
        <v>1.0000000000000002</v>
      </c>
      <c r="CZ122" s="161">
        <f t="shared" ref="CZ122:DA122" si="308">+SUMPRODUCT($J$123:$J$128,CZ123:CZ128)</f>
        <v>1.0000000000000002</v>
      </c>
      <c r="DA122" s="161">
        <f t="shared" si="308"/>
        <v>1.0000000000000002</v>
      </c>
      <c r="DB122" s="161">
        <f t="shared" ref="DB122:DC122" si="309">+SUMPRODUCT($J$123:$J$128,DB123:DB128)</f>
        <v>1.0000000000000002</v>
      </c>
      <c r="DC122" s="161">
        <f t="shared" si="309"/>
        <v>1.0000000000000002</v>
      </c>
      <c r="DD122" s="161">
        <f t="shared" ref="DD122:DE122" si="310">+SUMPRODUCT($J$123:$J$128,DD123:DD128)</f>
        <v>1.0000000000000002</v>
      </c>
      <c r="DE122" s="161">
        <f t="shared" si="310"/>
        <v>1.0000000000000002</v>
      </c>
      <c r="DF122" s="161">
        <f t="shared" ref="DF122:DG122" si="311">+SUMPRODUCT($J$123:$J$128,DF123:DF128)</f>
        <v>1.0000000000000002</v>
      </c>
      <c r="DG122" s="161">
        <f t="shared" si="311"/>
        <v>1.0000000000000002</v>
      </c>
      <c r="DH122" s="346">
        <f t="shared" ref="DH122:EL122" si="312">+SUMPRODUCT($J$123:$J$128,DH123:DH128)</f>
        <v>1.0000000000000002</v>
      </c>
      <c r="DI122" s="161">
        <f t="shared" si="312"/>
        <v>1.0000000000000002</v>
      </c>
      <c r="DJ122" s="161">
        <f t="shared" si="312"/>
        <v>1.0000000000000002</v>
      </c>
      <c r="DK122" s="161">
        <f t="shared" si="312"/>
        <v>1.0000000000000002</v>
      </c>
      <c r="DL122" s="161">
        <f t="shared" si="312"/>
        <v>1.0000000000000002</v>
      </c>
      <c r="DM122" s="161">
        <f t="shared" si="312"/>
        <v>1.0000000000000002</v>
      </c>
      <c r="DN122" s="161">
        <f t="shared" si="312"/>
        <v>1.0000000000000002</v>
      </c>
      <c r="DO122" s="161">
        <f t="shared" si="312"/>
        <v>1.0000000000000002</v>
      </c>
      <c r="DP122" s="161">
        <f t="shared" si="312"/>
        <v>1.0000000000000002</v>
      </c>
      <c r="DQ122" s="161">
        <f t="shared" si="312"/>
        <v>1.0000000000000002</v>
      </c>
      <c r="DR122" s="161">
        <f t="shared" si="312"/>
        <v>1.0000000000000002</v>
      </c>
      <c r="DS122" s="161">
        <f t="shared" si="312"/>
        <v>1.0000000000000002</v>
      </c>
      <c r="DT122" s="161">
        <f t="shared" si="312"/>
        <v>1.0000000000000002</v>
      </c>
      <c r="DU122" s="161">
        <f t="shared" si="312"/>
        <v>1.0000000000000002</v>
      </c>
      <c r="DV122" s="161">
        <f t="shared" si="312"/>
        <v>1.0000000000000002</v>
      </c>
      <c r="DW122" s="161">
        <f t="shared" si="312"/>
        <v>1.0000000000000002</v>
      </c>
      <c r="DX122" s="161">
        <f t="shared" si="312"/>
        <v>1.0000000000000002</v>
      </c>
      <c r="DY122" s="161">
        <f t="shared" si="312"/>
        <v>1.0000000000000002</v>
      </c>
      <c r="DZ122" s="161">
        <f t="shared" si="312"/>
        <v>1.0000000000000002</v>
      </c>
      <c r="EA122" s="161">
        <f t="shared" si="312"/>
        <v>1.0000000000000002</v>
      </c>
      <c r="EB122" s="161">
        <f t="shared" si="312"/>
        <v>1.0000000000000002</v>
      </c>
      <c r="EC122" s="161">
        <f t="shared" si="312"/>
        <v>1.0000000000000002</v>
      </c>
      <c r="ED122" s="161">
        <f t="shared" si="312"/>
        <v>1.0000000000000002</v>
      </c>
      <c r="EE122" s="161">
        <f t="shared" si="312"/>
        <v>1.0000000000000002</v>
      </c>
      <c r="EF122" s="161">
        <f t="shared" si="312"/>
        <v>1.0000000000000002</v>
      </c>
      <c r="EG122" s="161">
        <f t="shared" si="312"/>
        <v>1.0000000000000002</v>
      </c>
      <c r="EH122" s="161">
        <f t="shared" si="312"/>
        <v>1.0000000000000002</v>
      </c>
      <c r="EI122" s="161">
        <f t="shared" si="312"/>
        <v>1.0000000000000002</v>
      </c>
      <c r="EJ122" s="161">
        <f t="shared" si="312"/>
        <v>1.0000000000000002</v>
      </c>
      <c r="EK122" s="161">
        <f t="shared" si="312"/>
        <v>1.0000000000000002</v>
      </c>
      <c r="EL122" s="161">
        <f t="shared" si="312"/>
        <v>1.0000000000000002</v>
      </c>
    </row>
    <row r="123" spans="2:142" hidden="1" outlineLevel="2" x14ac:dyDescent="0.3">
      <c r="B123" s="29"/>
      <c r="C123" s="30"/>
      <c r="D123" s="30"/>
      <c r="E123" s="52" t="s">
        <v>127</v>
      </c>
      <c r="F123" s="33">
        <v>5</v>
      </c>
      <c r="G123" s="162">
        <v>45580</v>
      </c>
      <c r="H123" s="162">
        <v>45586</v>
      </c>
      <c r="I123" s="33">
        <f t="shared" ref="I123:I128" si="313">+F123</f>
        <v>5</v>
      </c>
      <c r="J123" s="35">
        <v>0.22222222222222227</v>
      </c>
      <c r="K123" s="53"/>
      <c r="L123" s="127">
        <v>0</v>
      </c>
      <c r="M123" s="127">
        <v>0</v>
      </c>
      <c r="N123" s="127">
        <v>0</v>
      </c>
      <c r="O123" s="127">
        <v>0</v>
      </c>
      <c r="P123" s="127">
        <v>0</v>
      </c>
      <c r="Q123" s="127">
        <v>0</v>
      </c>
      <c r="R123" s="127">
        <v>0</v>
      </c>
      <c r="S123" s="127">
        <v>0</v>
      </c>
      <c r="T123" s="127">
        <v>0</v>
      </c>
      <c r="U123" s="127">
        <v>0</v>
      </c>
      <c r="V123" s="127">
        <v>0</v>
      </c>
      <c r="W123" s="127">
        <v>0</v>
      </c>
      <c r="X123" s="127">
        <v>0</v>
      </c>
      <c r="Y123" s="127">
        <v>0</v>
      </c>
      <c r="Z123" s="127">
        <v>0</v>
      </c>
      <c r="AA123" s="127">
        <v>0</v>
      </c>
      <c r="AB123" s="127">
        <v>0</v>
      </c>
      <c r="AC123" s="127">
        <v>0</v>
      </c>
      <c r="AD123" s="127">
        <v>0</v>
      </c>
      <c r="AE123" s="127">
        <v>0</v>
      </c>
      <c r="AF123" s="127">
        <v>0.28000000000000003</v>
      </c>
      <c r="AG123" s="127">
        <v>0.28000000000000003</v>
      </c>
      <c r="AH123" s="127">
        <v>0.28000000000000003</v>
      </c>
      <c r="AI123" s="127">
        <v>0.28000000000000003</v>
      </c>
      <c r="AJ123" s="127">
        <v>0.28000000000000003</v>
      </c>
      <c r="AK123" s="127">
        <v>0.28000000000000003</v>
      </c>
      <c r="AL123" s="127">
        <v>0.28000000000000003</v>
      </c>
      <c r="AM123" s="127">
        <v>0.28000000000000003</v>
      </c>
      <c r="AN123" s="127">
        <v>0.28000000000000003</v>
      </c>
      <c r="AO123" s="127">
        <v>0.28000000000000003</v>
      </c>
      <c r="AP123" s="127">
        <v>0.28000000000000003</v>
      </c>
      <c r="AQ123" s="127">
        <v>0.28000000000000003</v>
      </c>
      <c r="AR123" s="127">
        <v>0.28000000000000003</v>
      </c>
      <c r="AS123" s="127">
        <v>0.28000000000000003</v>
      </c>
      <c r="AT123" s="127">
        <v>0.28000000000000003</v>
      </c>
      <c r="AU123" s="127">
        <v>0.28000000000000003</v>
      </c>
      <c r="AV123" s="127">
        <v>0.28000000000000003</v>
      </c>
      <c r="AW123" s="127">
        <v>0.28000000000000003</v>
      </c>
      <c r="AX123" s="127">
        <v>0.28000000000000003</v>
      </c>
      <c r="AY123" s="127">
        <v>0.28000000000000003</v>
      </c>
      <c r="AZ123" s="127">
        <v>0.28000000000000003</v>
      </c>
      <c r="BA123" s="127">
        <v>0.38290000000000002</v>
      </c>
      <c r="BB123" s="127">
        <v>0.48580000000000001</v>
      </c>
      <c r="BC123" s="127">
        <v>0.5887</v>
      </c>
      <c r="BD123" s="127">
        <v>0.69159999999999999</v>
      </c>
      <c r="BE123" s="127">
        <v>0.79449999999999998</v>
      </c>
      <c r="BF123" s="127">
        <v>0.89739999999999998</v>
      </c>
      <c r="BG123" s="127">
        <v>1.0003</v>
      </c>
      <c r="BH123" s="127">
        <v>1</v>
      </c>
      <c r="BI123" s="127">
        <v>1</v>
      </c>
      <c r="BJ123" s="127">
        <v>1</v>
      </c>
      <c r="BK123" s="127">
        <v>1</v>
      </c>
      <c r="BL123" s="127">
        <v>1</v>
      </c>
      <c r="BM123" s="127">
        <v>1</v>
      </c>
      <c r="BN123" s="127">
        <v>1</v>
      </c>
      <c r="BO123" s="127">
        <v>1</v>
      </c>
      <c r="BP123" s="127">
        <v>1</v>
      </c>
      <c r="BQ123" s="127">
        <v>1</v>
      </c>
      <c r="BR123" s="163">
        <v>1</v>
      </c>
      <c r="BS123" s="163">
        <v>1</v>
      </c>
      <c r="BT123" s="163">
        <v>1</v>
      </c>
      <c r="BU123" s="163">
        <v>1</v>
      </c>
      <c r="BV123" s="163">
        <v>1</v>
      </c>
      <c r="BW123" s="163">
        <v>1</v>
      </c>
      <c r="BX123" s="163">
        <v>1</v>
      </c>
      <c r="BY123" s="163">
        <v>1</v>
      </c>
      <c r="BZ123" s="163">
        <v>1</v>
      </c>
      <c r="CA123" s="163">
        <v>1</v>
      </c>
      <c r="CB123" s="163">
        <v>1</v>
      </c>
      <c r="CC123" s="163">
        <v>1</v>
      </c>
      <c r="CD123" s="163">
        <v>1</v>
      </c>
      <c r="CE123" s="163">
        <v>1</v>
      </c>
      <c r="CF123" s="163">
        <v>1</v>
      </c>
      <c r="CG123" s="163">
        <v>1</v>
      </c>
      <c r="CH123" s="163">
        <v>1</v>
      </c>
      <c r="CI123" s="163">
        <v>1</v>
      </c>
      <c r="CJ123" s="163">
        <v>1</v>
      </c>
      <c r="CK123" s="163">
        <v>1</v>
      </c>
      <c r="CL123" s="163">
        <v>1</v>
      </c>
      <c r="CM123" s="163">
        <v>1</v>
      </c>
      <c r="CN123" s="163">
        <v>1</v>
      </c>
      <c r="CO123" s="163">
        <v>1</v>
      </c>
      <c r="CP123" s="163">
        <v>1</v>
      </c>
      <c r="CQ123" s="163">
        <v>1</v>
      </c>
      <c r="CR123" s="163">
        <v>1</v>
      </c>
      <c r="CS123" s="163">
        <v>1</v>
      </c>
      <c r="CT123" s="163">
        <v>1</v>
      </c>
      <c r="CU123" s="163">
        <v>1</v>
      </c>
      <c r="CV123" s="163">
        <v>1</v>
      </c>
      <c r="CW123" s="163">
        <v>1</v>
      </c>
      <c r="CX123" s="163">
        <v>1</v>
      </c>
      <c r="CY123" s="163">
        <v>1</v>
      </c>
      <c r="CZ123" s="163">
        <v>1</v>
      </c>
      <c r="DA123" s="163">
        <v>1</v>
      </c>
      <c r="DB123" s="163">
        <v>1</v>
      </c>
      <c r="DC123" s="163">
        <v>1</v>
      </c>
      <c r="DD123" s="163">
        <v>1</v>
      </c>
      <c r="DE123" s="163">
        <v>1</v>
      </c>
      <c r="DF123" s="163">
        <v>1</v>
      </c>
      <c r="DG123" s="163">
        <v>1</v>
      </c>
      <c r="DH123" s="347">
        <v>1</v>
      </c>
      <c r="DI123" s="163">
        <v>1</v>
      </c>
      <c r="DJ123" s="163">
        <v>1</v>
      </c>
      <c r="DK123" s="163">
        <v>1</v>
      </c>
      <c r="DL123" s="163">
        <v>1</v>
      </c>
      <c r="DM123" s="163">
        <v>1</v>
      </c>
      <c r="DN123" s="163">
        <v>1</v>
      </c>
      <c r="DO123" s="163">
        <v>1</v>
      </c>
      <c r="DP123" s="163">
        <v>1</v>
      </c>
      <c r="DQ123" s="163">
        <v>1</v>
      </c>
      <c r="DR123" s="163">
        <v>1</v>
      </c>
      <c r="DS123" s="163">
        <v>1</v>
      </c>
      <c r="DT123" s="163">
        <v>1</v>
      </c>
      <c r="DU123" s="163">
        <v>1</v>
      </c>
      <c r="DV123" s="163">
        <v>1</v>
      </c>
      <c r="DW123" s="163">
        <v>1</v>
      </c>
      <c r="DX123" s="163">
        <v>1</v>
      </c>
      <c r="DY123" s="163">
        <v>1</v>
      </c>
      <c r="DZ123" s="163">
        <v>1</v>
      </c>
      <c r="EA123" s="163">
        <v>1</v>
      </c>
      <c r="EB123" s="163">
        <v>1</v>
      </c>
      <c r="EC123" s="163">
        <v>1</v>
      </c>
      <c r="ED123" s="163">
        <v>1</v>
      </c>
      <c r="EE123" s="163">
        <v>1</v>
      </c>
      <c r="EF123" s="163">
        <v>1</v>
      </c>
      <c r="EG123" s="163">
        <v>1</v>
      </c>
      <c r="EH123" s="163">
        <v>1</v>
      </c>
      <c r="EI123" s="163">
        <v>1</v>
      </c>
      <c r="EJ123" s="163">
        <v>1</v>
      </c>
      <c r="EK123" s="163">
        <v>1</v>
      </c>
      <c r="EL123" s="163">
        <v>1</v>
      </c>
    </row>
    <row r="124" spans="2:142" hidden="1" outlineLevel="2" x14ac:dyDescent="0.3">
      <c r="B124" s="29"/>
      <c r="C124" s="30"/>
      <c r="D124" s="30"/>
      <c r="E124" s="52" t="s">
        <v>128</v>
      </c>
      <c r="F124" s="33">
        <v>5</v>
      </c>
      <c r="G124" s="162">
        <v>45587</v>
      </c>
      <c r="H124" s="162">
        <v>45593</v>
      </c>
      <c r="I124" s="33">
        <f t="shared" si="313"/>
        <v>5</v>
      </c>
      <c r="J124" s="35">
        <v>0.11111111111111113</v>
      </c>
      <c r="K124" s="53"/>
      <c r="L124" s="127">
        <v>0</v>
      </c>
      <c r="M124" s="127">
        <v>0</v>
      </c>
      <c r="N124" s="127">
        <v>0</v>
      </c>
      <c r="O124" s="127">
        <v>0</v>
      </c>
      <c r="P124" s="127">
        <v>0</v>
      </c>
      <c r="Q124" s="127">
        <v>0</v>
      </c>
      <c r="R124" s="127">
        <v>0</v>
      </c>
      <c r="S124" s="127">
        <v>0</v>
      </c>
      <c r="T124" s="127">
        <v>0</v>
      </c>
      <c r="U124" s="127">
        <v>0</v>
      </c>
      <c r="V124" s="127">
        <v>0</v>
      </c>
      <c r="W124" s="127">
        <v>0</v>
      </c>
      <c r="X124" s="127">
        <v>0</v>
      </c>
      <c r="Y124" s="127">
        <v>0</v>
      </c>
      <c r="Z124" s="127">
        <v>0</v>
      </c>
      <c r="AA124" s="127">
        <v>0</v>
      </c>
      <c r="AB124" s="127">
        <v>0</v>
      </c>
      <c r="AC124" s="127">
        <v>0</v>
      </c>
      <c r="AD124" s="127">
        <v>0</v>
      </c>
      <c r="AE124" s="127">
        <v>0</v>
      </c>
      <c r="AF124" s="127">
        <v>0.15</v>
      </c>
      <c r="AG124" s="127">
        <v>0.28000000000000003</v>
      </c>
      <c r="AH124" s="127">
        <v>0.28000000000000003</v>
      </c>
      <c r="AI124" s="127">
        <v>0.28000000000000003</v>
      </c>
      <c r="AJ124" s="127">
        <v>0.28000000000000003</v>
      </c>
      <c r="AK124" s="127">
        <v>0.28000000000000003</v>
      </c>
      <c r="AL124" s="127">
        <v>0.28000000000000003</v>
      </c>
      <c r="AM124" s="127">
        <v>0.28000000000000003</v>
      </c>
      <c r="AN124" s="127">
        <v>0.28000000000000003</v>
      </c>
      <c r="AO124" s="127">
        <v>0.28000000000000003</v>
      </c>
      <c r="AP124" s="127">
        <v>0.32500000000000001</v>
      </c>
      <c r="AQ124" s="127">
        <v>0.37</v>
      </c>
      <c r="AR124" s="127">
        <v>0.41499999999999998</v>
      </c>
      <c r="AS124" s="127">
        <v>0.45999999999999996</v>
      </c>
      <c r="AT124" s="127">
        <v>0.505</v>
      </c>
      <c r="AU124" s="127">
        <v>0.55000000000000004</v>
      </c>
      <c r="AV124" s="127">
        <v>0.59500000000000008</v>
      </c>
      <c r="AW124" s="127">
        <v>0.64000000000000012</v>
      </c>
      <c r="AX124" s="127">
        <v>0.68500000000000016</v>
      </c>
      <c r="AY124" s="127">
        <v>0.7300000000000002</v>
      </c>
      <c r="AZ124" s="127">
        <v>0.77500000000000024</v>
      </c>
      <c r="BA124" s="127">
        <v>0.82000000000000028</v>
      </c>
      <c r="BB124" s="127">
        <v>0.86500000000000032</v>
      </c>
      <c r="BC124" s="127">
        <v>0.91000000000000036</v>
      </c>
      <c r="BD124" s="127">
        <v>0.9550000000000004</v>
      </c>
      <c r="BE124" s="127">
        <v>1.0000000000000004</v>
      </c>
      <c r="BF124" s="127">
        <v>1</v>
      </c>
      <c r="BG124" s="127">
        <v>1</v>
      </c>
      <c r="BH124" s="127">
        <v>1</v>
      </c>
      <c r="BI124" s="127">
        <v>1</v>
      </c>
      <c r="BJ124" s="127">
        <v>1</v>
      </c>
      <c r="BK124" s="127">
        <v>1</v>
      </c>
      <c r="BL124" s="127">
        <v>1</v>
      </c>
      <c r="BM124" s="127">
        <v>1</v>
      </c>
      <c r="BN124" s="127">
        <v>1</v>
      </c>
      <c r="BO124" s="127">
        <v>1</v>
      </c>
      <c r="BP124" s="127">
        <v>1</v>
      </c>
      <c r="BQ124" s="127">
        <v>1</v>
      </c>
      <c r="BR124" s="163">
        <v>1</v>
      </c>
      <c r="BS124" s="163">
        <v>1</v>
      </c>
      <c r="BT124" s="163">
        <v>1</v>
      </c>
      <c r="BU124" s="163">
        <v>1</v>
      </c>
      <c r="BV124" s="163">
        <v>1</v>
      </c>
      <c r="BW124" s="163">
        <v>1</v>
      </c>
      <c r="BX124" s="163">
        <v>1</v>
      </c>
      <c r="BY124" s="163">
        <v>1</v>
      </c>
      <c r="BZ124" s="163">
        <v>1</v>
      </c>
      <c r="CA124" s="163">
        <v>1</v>
      </c>
      <c r="CB124" s="163">
        <v>1</v>
      </c>
      <c r="CC124" s="163">
        <v>1</v>
      </c>
      <c r="CD124" s="163">
        <v>1</v>
      </c>
      <c r="CE124" s="163">
        <v>1</v>
      </c>
      <c r="CF124" s="163">
        <v>1</v>
      </c>
      <c r="CG124" s="163">
        <v>1</v>
      </c>
      <c r="CH124" s="163">
        <v>1</v>
      </c>
      <c r="CI124" s="163">
        <v>1</v>
      </c>
      <c r="CJ124" s="163">
        <v>1</v>
      </c>
      <c r="CK124" s="163">
        <v>1</v>
      </c>
      <c r="CL124" s="163">
        <v>1</v>
      </c>
      <c r="CM124" s="163">
        <v>1</v>
      </c>
      <c r="CN124" s="163">
        <v>1</v>
      </c>
      <c r="CO124" s="163">
        <v>1</v>
      </c>
      <c r="CP124" s="163">
        <v>1</v>
      </c>
      <c r="CQ124" s="163">
        <v>1</v>
      </c>
      <c r="CR124" s="163">
        <v>1</v>
      </c>
      <c r="CS124" s="163">
        <v>1</v>
      </c>
      <c r="CT124" s="163">
        <v>1</v>
      </c>
      <c r="CU124" s="163">
        <v>1</v>
      </c>
      <c r="CV124" s="163">
        <v>1</v>
      </c>
      <c r="CW124" s="163">
        <v>1</v>
      </c>
      <c r="CX124" s="163">
        <v>1</v>
      </c>
      <c r="CY124" s="163">
        <v>1</v>
      </c>
      <c r="CZ124" s="163">
        <v>1</v>
      </c>
      <c r="DA124" s="163">
        <v>1</v>
      </c>
      <c r="DB124" s="163">
        <v>1</v>
      </c>
      <c r="DC124" s="163">
        <v>1</v>
      </c>
      <c r="DD124" s="163">
        <v>1</v>
      </c>
      <c r="DE124" s="163">
        <v>1</v>
      </c>
      <c r="DF124" s="163">
        <v>1</v>
      </c>
      <c r="DG124" s="163">
        <v>1</v>
      </c>
      <c r="DH124" s="347">
        <v>1</v>
      </c>
      <c r="DI124" s="163">
        <v>1</v>
      </c>
      <c r="DJ124" s="163">
        <v>1</v>
      </c>
      <c r="DK124" s="163">
        <v>1</v>
      </c>
      <c r="DL124" s="163">
        <v>1</v>
      </c>
      <c r="DM124" s="163">
        <v>1</v>
      </c>
      <c r="DN124" s="163">
        <v>1</v>
      </c>
      <c r="DO124" s="163">
        <v>1</v>
      </c>
      <c r="DP124" s="163">
        <v>1</v>
      </c>
      <c r="DQ124" s="163">
        <v>1</v>
      </c>
      <c r="DR124" s="163">
        <v>1</v>
      </c>
      <c r="DS124" s="163">
        <v>1</v>
      </c>
      <c r="DT124" s="163">
        <v>1</v>
      </c>
      <c r="DU124" s="163">
        <v>1</v>
      </c>
      <c r="DV124" s="163">
        <v>1</v>
      </c>
      <c r="DW124" s="163">
        <v>1</v>
      </c>
      <c r="DX124" s="163">
        <v>1</v>
      </c>
      <c r="DY124" s="163">
        <v>1</v>
      </c>
      <c r="DZ124" s="163">
        <v>1</v>
      </c>
      <c r="EA124" s="163">
        <v>1</v>
      </c>
      <c r="EB124" s="163">
        <v>1</v>
      </c>
      <c r="EC124" s="163">
        <v>1</v>
      </c>
      <c r="ED124" s="163">
        <v>1</v>
      </c>
      <c r="EE124" s="163">
        <v>1</v>
      </c>
      <c r="EF124" s="163">
        <v>1</v>
      </c>
      <c r="EG124" s="163">
        <v>1</v>
      </c>
      <c r="EH124" s="163">
        <v>1</v>
      </c>
      <c r="EI124" s="163">
        <v>1</v>
      </c>
      <c r="EJ124" s="163">
        <v>1</v>
      </c>
      <c r="EK124" s="163">
        <v>1</v>
      </c>
      <c r="EL124" s="163">
        <v>1</v>
      </c>
    </row>
    <row r="125" spans="2:142" hidden="1" outlineLevel="2" x14ac:dyDescent="0.3">
      <c r="B125" s="29"/>
      <c r="C125" s="30"/>
      <c r="D125" s="30"/>
      <c r="E125" s="52" t="s">
        <v>129</v>
      </c>
      <c r="F125" s="33">
        <v>5</v>
      </c>
      <c r="G125" s="162">
        <v>45594</v>
      </c>
      <c r="H125" s="162">
        <v>45600</v>
      </c>
      <c r="I125" s="33">
        <f t="shared" si="313"/>
        <v>5</v>
      </c>
      <c r="J125" s="35">
        <v>0.11111111111111113</v>
      </c>
      <c r="K125" s="53"/>
      <c r="L125" s="127">
        <v>0</v>
      </c>
      <c r="M125" s="127">
        <v>0</v>
      </c>
      <c r="N125" s="127">
        <v>0</v>
      </c>
      <c r="O125" s="127">
        <v>0</v>
      </c>
      <c r="P125" s="127">
        <v>0</v>
      </c>
      <c r="Q125" s="127">
        <v>0</v>
      </c>
      <c r="R125" s="127">
        <v>0</v>
      </c>
      <c r="S125" s="127">
        <v>0</v>
      </c>
      <c r="T125" s="127">
        <v>0</v>
      </c>
      <c r="U125" s="127">
        <v>0</v>
      </c>
      <c r="V125" s="127">
        <v>0</v>
      </c>
      <c r="W125" s="127">
        <v>0</v>
      </c>
      <c r="X125" s="127">
        <v>0</v>
      </c>
      <c r="Y125" s="127">
        <v>0</v>
      </c>
      <c r="Z125" s="127">
        <v>0</v>
      </c>
      <c r="AA125" s="127">
        <v>0</v>
      </c>
      <c r="AB125" s="127">
        <v>0</v>
      </c>
      <c r="AC125" s="127">
        <v>0</v>
      </c>
      <c r="AD125" s="127">
        <v>0</v>
      </c>
      <c r="AE125" s="127">
        <v>0</v>
      </c>
      <c r="AF125" s="127">
        <v>0.15</v>
      </c>
      <c r="AG125" s="127">
        <v>0.28000000000000003</v>
      </c>
      <c r="AH125" s="127">
        <v>0.28000000000000003</v>
      </c>
      <c r="AI125" s="127">
        <v>0.28000000000000003</v>
      </c>
      <c r="AJ125" s="127">
        <v>0.28000000000000003</v>
      </c>
      <c r="AK125" s="127">
        <v>0.28000000000000003</v>
      </c>
      <c r="AL125" s="127">
        <v>0.28000000000000003</v>
      </c>
      <c r="AM125" s="127">
        <v>0.28000000000000003</v>
      </c>
      <c r="AN125" s="127">
        <v>0.28000000000000003</v>
      </c>
      <c r="AO125" s="127">
        <v>0.31</v>
      </c>
      <c r="AP125" s="127">
        <v>0.35309999999999997</v>
      </c>
      <c r="AQ125" s="127">
        <v>0.3962</v>
      </c>
      <c r="AR125" s="127">
        <v>0.43930000000000002</v>
      </c>
      <c r="AS125" s="127">
        <v>0.48240000000000005</v>
      </c>
      <c r="AT125" s="127">
        <v>0.52550000000000008</v>
      </c>
      <c r="AU125" s="127">
        <v>0.56860000000000011</v>
      </c>
      <c r="AV125" s="127">
        <v>0.61170000000000013</v>
      </c>
      <c r="AW125" s="127">
        <v>0.65480000000000016</v>
      </c>
      <c r="AX125" s="127">
        <v>0.69790000000000019</v>
      </c>
      <c r="AY125" s="127">
        <v>0.74100000000000021</v>
      </c>
      <c r="AZ125" s="127">
        <v>0.78410000000000024</v>
      </c>
      <c r="BA125" s="127">
        <v>0.82720000000000027</v>
      </c>
      <c r="BB125" s="127">
        <v>0.8703000000000003</v>
      </c>
      <c r="BC125" s="127">
        <v>0.91340000000000032</v>
      </c>
      <c r="BD125" s="127">
        <v>0.95650000000000035</v>
      </c>
      <c r="BE125" s="127">
        <v>0.99960000000000038</v>
      </c>
      <c r="BF125" s="127">
        <v>1</v>
      </c>
      <c r="BG125" s="127">
        <v>1</v>
      </c>
      <c r="BH125" s="127">
        <v>1</v>
      </c>
      <c r="BI125" s="127">
        <v>1</v>
      </c>
      <c r="BJ125" s="127">
        <v>1</v>
      </c>
      <c r="BK125" s="127">
        <v>1</v>
      </c>
      <c r="BL125" s="127">
        <v>1</v>
      </c>
      <c r="BM125" s="127">
        <v>1</v>
      </c>
      <c r="BN125" s="127">
        <v>1</v>
      </c>
      <c r="BO125" s="127">
        <v>1</v>
      </c>
      <c r="BP125" s="127">
        <v>1</v>
      </c>
      <c r="BQ125" s="127">
        <v>1</v>
      </c>
      <c r="BR125" s="163">
        <v>1</v>
      </c>
      <c r="BS125" s="163">
        <v>1</v>
      </c>
      <c r="BT125" s="163">
        <v>1</v>
      </c>
      <c r="BU125" s="163">
        <v>1</v>
      </c>
      <c r="BV125" s="163">
        <v>1</v>
      </c>
      <c r="BW125" s="163">
        <v>1</v>
      </c>
      <c r="BX125" s="163">
        <v>1</v>
      </c>
      <c r="BY125" s="163">
        <v>1</v>
      </c>
      <c r="BZ125" s="163">
        <v>1</v>
      </c>
      <c r="CA125" s="163">
        <v>1</v>
      </c>
      <c r="CB125" s="163">
        <v>1</v>
      </c>
      <c r="CC125" s="163">
        <v>1</v>
      </c>
      <c r="CD125" s="163">
        <v>1</v>
      </c>
      <c r="CE125" s="163">
        <v>1</v>
      </c>
      <c r="CF125" s="163">
        <v>1</v>
      </c>
      <c r="CG125" s="163">
        <v>1</v>
      </c>
      <c r="CH125" s="163">
        <v>1</v>
      </c>
      <c r="CI125" s="163">
        <v>1</v>
      </c>
      <c r="CJ125" s="163">
        <v>1</v>
      </c>
      <c r="CK125" s="163">
        <v>1</v>
      </c>
      <c r="CL125" s="163">
        <v>1</v>
      </c>
      <c r="CM125" s="163">
        <v>1</v>
      </c>
      <c r="CN125" s="163">
        <v>1</v>
      </c>
      <c r="CO125" s="163">
        <v>1</v>
      </c>
      <c r="CP125" s="163">
        <v>1</v>
      </c>
      <c r="CQ125" s="163">
        <v>1</v>
      </c>
      <c r="CR125" s="163">
        <v>1</v>
      </c>
      <c r="CS125" s="163">
        <v>1</v>
      </c>
      <c r="CT125" s="163">
        <v>1</v>
      </c>
      <c r="CU125" s="163">
        <v>1</v>
      </c>
      <c r="CV125" s="163">
        <v>1</v>
      </c>
      <c r="CW125" s="163">
        <v>1</v>
      </c>
      <c r="CX125" s="163">
        <v>1</v>
      </c>
      <c r="CY125" s="163">
        <v>1</v>
      </c>
      <c r="CZ125" s="163">
        <v>1</v>
      </c>
      <c r="DA125" s="163">
        <v>1</v>
      </c>
      <c r="DB125" s="163">
        <v>1</v>
      </c>
      <c r="DC125" s="163">
        <v>1</v>
      </c>
      <c r="DD125" s="163">
        <v>1</v>
      </c>
      <c r="DE125" s="163">
        <v>1</v>
      </c>
      <c r="DF125" s="163">
        <v>1</v>
      </c>
      <c r="DG125" s="163">
        <v>1</v>
      </c>
      <c r="DH125" s="347">
        <v>1</v>
      </c>
      <c r="DI125" s="163">
        <v>1</v>
      </c>
      <c r="DJ125" s="163">
        <v>1</v>
      </c>
      <c r="DK125" s="163">
        <v>1</v>
      </c>
      <c r="DL125" s="163">
        <v>1</v>
      </c>
      <c r="DM125" s="163">
        <v>1</v>
      </c>
      <c r="DN125" s="163">
        <v>1</v>
      </c>
      <c r="DO125" s="163">
        <v>1</v>
      </c>
      <c r="DP125" s="163">
        <v>1</v>
      </c>
      <c r="DQ125" s="163">
        <v>1</v>
      </c>
      <c r="DR125" s="163">
        <v>1</v>
      </c>
      <c r="DS125" s="163">
        <v>1</v>
      </c>
      <c r="DT125" s="163">
        <v>1</v>
      </c>
      <c r="DU125" s="163">
        <v>1</v>
      </c>
      <c r="DV125" s="163">
        <v>1</v>
      </c>
      <c r="DW125" s="163">
        <v>1</v>
      </c>
      <c r="DX125" s="163">
        <v>1</v>
      </c>
      <c r="DY125" s="163">
        <v>1</v>
      </c>
      <c r="DZ125" s="163">
        <v>1</v>
      </c>
      <c r="EA125" s="163">
        <v>1</v>
      </c>
      <c r="EB125" s="163">
        <v>1</v>
      </c>
      <c r="EC125" s="163">
        <v>1</v>
      </c>
      <c r="ED125" s="163">
        <v>1</v>
      </c>
      <c r="EE125" s="163">
        <v>1</v>
      </c>
      <c r="EF125" s="163">
        <v>1</v>
      </c>
      <c r="EG125" s="163">
        <v>1</v>
      </c>
      <c r="EH125" s="163">
        <v>1</v>
      </c>
      <c r="EI125" s="163">
        <v>1</v>
      </c>
      <c r="EJ125" s="163">
        <v>1</v>
      </c>
      <c r="EK125" s="163">
        <v>1</v>
      </c>
      <c r="EL125" s="163">
        <v>1</v>
      </c>
    </row>
    <row r="126" spans="2:142" ht="28.8" hidden="1" outlineLevel="2" x14ac:dyDescent="0.3">
      <c r="B126" s="29"/>
      <c r="C126" s="30"/>
      <c r="D126" s="30"/>
      <c r="E126" s="52" t="s">
        <v>130</v>
      </c>
      <c r="F126" s="33">
        <v>5</v>
      </c>
      <c r="G126" s="162">
        <v>45601</v>
      </c>
      <c r="H126" s="162">
        <v>45607</v>
      </c>
      <c r="I126" s="33">
        <f t="shared" si="313"/>
        <v>5</v>
      </c>
      <c r="J126" s="35">
        <v>0.22222222222222227</v>
      </c>
      <c r="K126" s="53"/>
      <c r="L126" s="127">
        <v>0</v>
      </c>
      <c r="M126" s="127">
        <v>0</v>
      </c>
      <c r="N126" s="127">
        <v>0</v>
      </c>
      <c r="O126" s="127">
        <v>0</v>
      </c>
      <c r="P126" s="127">
        <v>0</v>
      </c>
      <c r="Q126" s="127">
        <v>0</v>
      </c>
      <c r="R126" s="127">
        <v>0</v>
      </c>
      <c r="S126" s="127">
        <v>0</v>
      </c>
      <c r="T126" s="127">
        <v>0</v>
      </c>
      <c r="U126" s="127">
        <v>0</v>
      </c>
      <c r="V126" s="127">
        <v>0</v>
      </c>
      <c r="W126" s="127">
        <v>0</v>
      </c>
      <c r="X126" s="127">
        <v>0</v>
      </c>
      <c r="Y126" s="127">
        <v>0</v>
      </c>
      <c r="Z126" s="127">
        <v>0</v>
      </c>
      <c r="AA126" s="127">
        <v>0</v>
      </c>
      <c r="AB126" s="127">
        <v>0</v>
      </c>
      <c r="AC126" s="127">
        <v>0</v>
      </c>
      <c r="AD126" s="127">
        <v>0</v>
      </c>
      <c r="AE126" s="127">
        <v>0</v>
      </c>
      <c r="AF126" s="127">
        <v>0</v>
      </c>
      <c r="AG126" s="127">
        <v>0</v>
      </c>
      <c r="AH126" s="127">
        <v>0</v>
      </c>
      <c r="AI126" s="127">
        <v>0.28000000000000003</v>
      </c>
      <c r="AJ126" s="127">
        <v>0.28000000000000003</v>
      </c>
      <c r="AK126" s="127">
        <v>0.28000000000000003</v>
      </c>
      <c r="AL126" s="127">
        <v>0.28000000000000003</v>
      </c>
      <c r="AM126" s="127">
        <v>0.28000000000000003</v>
      </c>
      <c r="AN126" s="127">
        <v>0.28000000000000003</v>
      </c>
      <c r="AO126" s="127">
        <v>0.28000000000000003</v>
      </c>
      <c r="AP126" s="127">
        <v>0.32500000000000001</v>
      </c>
      <c r="AQ126" s="127">
        <v>0.37</v>
      </c>
      <c r="AR126" s="127">
        <v>0.41499999999999998</v>
      </c>
      <c r="AS126" s="127">
        <v>0.45999999999999996</v>
      </c>
      <c r="AT126" s="127">
        <v>0.505</v>
      </c>
      <c r="AU126" s="127">
        <v>0.55000000000000004</v>
      </c>
      <c r="AV126" s="127">
        <v>0.59500000000000008</v>
      </c>
      <c r="AW126" s="127">
        <v>0.64000000000000012</v>
      </c>
      <c r="AX126" s="127">
        <v>0.68500000000000016</v>
      </c>
      <c r="AY126" s="127">
        <v>0.7300000000000002</v>
      </c>
      <c r="AZ126" s="127">
        <v>0.77500000000000024</v>
      </c>
      <c r="BA126" s="127">
        <v>0.82000000000000028</v>
      </c>
      <c r="BB126" s="127">
        <v>0.86500000000000032</v>
      </c>
      <c r="BC126" s="127">
        <v>0.91000000000000036</v>
      </c>
      <c r="BD126" s="127">
        <v>0.9550000000000004</v>
      </c>
      <c r="BE126" s="127">
        <v>1.0000000000000004</v>
      </c>
      <c r="BF126" s="127">
        <v>1</v>
      </c>
      <c r="BG126" s="127">
        <v>1</v>
      </c>
      <c r="BH126" s="127">
        <v>1</v>
      </c>
      <c r="BI126" s="127">
        <v>1</v>
      </c>
      <c r="BJ126" s="127">
        <v>1</v>
      </c>
      <c r="BK126" s="127">
        <v>1</v>
      </c>
      <c r="BL126" s="127">
        <v>1</v>
      </c>
      <c r="BM126" s="127">
        <v>1</v>
      </c>
      <c r="BN126" s="127">
        <v>1</v>
      </c>
      <c r="BO126" s="127">
        <v>1</v>
      </c>
      <c r="BP126" s="127">
        <v>1</v>
      </c>
      <c r="BQ126" s="127">
        <v>1</v>
      </c>
      <c r="BR126" s="163">
        <v>1</v>
      </c>
      <c r="BS126" s="163">
        <v>1</v>
      </c>
      <c r="BT126" s="163">
        <v>1</v>
      </c>
      <c r="BU126" s="163">
        <v>1</v>
      </c>
      <c r="BV126" s="163">
        <v>1</v>
      </c>
      <c r="BW126" s="163">
        <v>1</v>
      </c>
      <c r="BX126" s="163">
        <v>1</v>
      </c>
      <c r="BY126" s="163">
        <v>1</v>
      </c>
      <c r="BZ126" s="163">
        <v>1</v>
      </c>
      <c r="CA126" s="163">
        <v>1</v>
      </c>
      <c r="CB126" s="163">
        <v>1</v>
      </c>
      <c r="CC126" s="163">
        <v>1</v>
      </c>
      <c r="CD126" s="163">
        <v>1</v>
      </c>
      <c r="CE126" s="163">
        <v>1</v>
      </c>
      <c r="CF126" s="163">
        <v>1</v>
      </c>
      <c r="CG126" s="163">
        <v>1</v>
      </c>
      <c r="CH126" s="163">
        <v>1</v>
      </c>
      <c r="CI126" s="163">
        <v>1</v>
      </c>
      <c r="CJ126" s="163">
        <v>1</v>
      </c>
      <c r="CK126" s="163">
        <v>1</v>
      </c>
      <c r="CL126" s="163">
        <v>1</v>
      </c>
      <c r="CM126" s="163">
        <v>1</v>
      </c>
      <c r="CN126" s="163">
        <v>1</v>
      </c>
      <c r="CO126" s="163">
        <v>1</v>
      </c>
      <c r="CP126" s="163">
        <v>1</v>
      </c>
      <c r="CQ126" s="163">
        <v>1</v>
      </c>
      <c r="CR126" s="163">
        <v>1</v>
      </c>
      <c r="CS126" s="163">
        <v>1</v>
      </c>
      <c r="CT126" s="163">
        <v>1</v>
      </c>
      <c r="CU126" s="163">
        <v>1</v>
      </c>
      <c r="CV126" s="163">
        <v>1</v>
      </c>
      <c r="CW126" s="163">
        <v>1</v>
      </c>
      <c r="CX126" s="163">
        <v>1</v>
      </c>
      <c r="CY126" s="163">
        <v>1</v>
      </c>
      <c r="CZ126" s="163">
        <v>1</v>
      </c>
      <c r="DA126" s="163">
        <v>1</v>
      </c>
      <c r="DB126" s="163">
        <v>1</v>
      </c>
      <c r="DC126" s="163">
        <v>1</v>
      </c>
      <c r="DD126" s="163">
        <v>1</v>
      </c>
      <c r="DE126" s="163">
        <v>1</v>
      </c>
      <c r="DF126" s="163">
        <v>1</v>
      </c>
      <c r="DG126" s="163">
        <v>1</v>
      </c>
      <c r="DH126" s="347">
        <v>1</v>
      </c>
      <c r="DI126" s="163">
        <v>1</v>
      </c>
      <c r="DJ126" s="163">
        <v>1</v>
      </c>
      <c r="DK126" s="163">
        <v>1</v>
      </c>
      <c r="DL126" s="163">
        <v>1</v>
      </c>
      <c r="DM126" s="163">
        <v>1</v>
      </c>
      <c r="DN126" s="163">
        <v>1</v>
      </c>
      <c r="DO126" s="163">
        <v>1</v>
      </c>
      <c r="DP126" s="163">
        <v>1</v>
      </c>
      <c r="DQ126" s="163">
        <v>1</v>
      </c>
      <c r="DR126" s="163">
        <v>1</v>
      </c>
      <c r="DS126" s="163">
        <v>1</v>
      </c>
      <c r="DT126" s="163">
        <v>1</v>
      </c>
      <c r="DU126" s="163">
        <v>1</v>
      </c>
      <c r="DV126" s="163">
        <v>1</v>
      </c>
      <c r="DW126" s="163">
        <v>1</v>
      </c>
      <c r="DX126" s="163">
        <v>1</v>
      </c>
      <c r="DY126" s="163">
        <v>1</v>
      </c>
      <c r="DZ126" s="163">
        <v>1</v>
      </c>
      <c r="EA126" s="163">
        <v>1</v>
      </c>
      <c r="EB126" s="163">
        <v>1</v>
      </c>
      <c r="EC126" s="163">
        <v>1</v>
      </c>
      <c r="ED126" s="163">
        <v>1</v>
      </c>
      <c r="EE126" s="163">
        <v>1</v>
      </c>
      <c r="EF126" s="163">
        <v>1</v>
      </c>
      <c r="EG126" s="163">
        <v>1</v>
      </c>
      <c r="EH126" s="163">
        <v>1</v>
      </c>
      <c r="EI126" s="163">
        <v>1</v>
      </c>
      <c r="EJ126" s="163">
        <v>1</v>
      </c>
      <c r="EK126" s="163">
        <v>1</v>
      </c>
      <c r="EL126" s="163">
        <v>1</v>
      </c>
    </row>
    <row r="127" spans="2:142" hidden="1" outlineLevel="2" x14ac:dyDescent="0.3">
      <c r="B127" s="29"/>
      <c r="C127" s="30"/>
      <c r="D127" s="30"/>
      <c r="E127" s="52" t="s">
        <v>131</v>
      </c>
      <c r="F127" s="33">
        <v>5</v>
      </c>
      <c r="G127" s="162">
        <v>45608</v>
      </c>
      <c r="H127" s="162">
        <v>45614</v>
      </c>
      <c r="I127" s="33">
        <f t="shared" si="313"/>
        <v>5</v>
      </c>
      <c r="J127" s="35">
        <v>0.11111111111111113</v>
      </c>
      <c r="K127" s="53"/>
      <c r="L127" s="127">
        <v>0</v>
      </c>
      <c r="M127" s="127">
        <v>0</v>
      </c>
      <c r="N127" s="127">
        <v>0</v>
      </c>
      <c r="O127" s="127">
        <v>0</v>
      </c>
      <c r="P127" s="127">
        <v>0</v>
      </c>
      <c r="Q127" s="127">
        <v>0</v>
      </c>
      <c r="R127" s="127">
        <v>0</v>
      </c>
      <c r="S127" s="127">
        <v>0</v>
      </c>
      <c r="T127" s="127">
        <v>0</v>
      </c>
      <c r="U127" s="127">
        <v>0</v>
      </c>
      <c r="V127" s="127">
        <v>0</v>
      </c>
      <c r="W127" s="127">
        <v>0</v>
      </c>
      <c r="X127" s="127">
        <v>0</v>
      </c>
      <c r="Y127" s="127">
        <v>0</v>
      </c>
      <c r="Z127" s="127">
        <v>0</v>
      </c>
      <c r="AA127" s="127">
        <v>0</v>
      </c>
      <c r="AB127" s="127">
        <v>0</v>
      </c>
      <c r="AC127" s="127">
        <v>0</v>
      </c>
      <c r="AD127" s="127">
        <v>0</v>
      </c>
      <c r="AE127" s="127">
        <v>0</v>
      </c>
      <c r="AF127" s="127">
        <v>0</v>
      </c>
      <c r="AG127" s="127">
        <v>0</v>
      </c>
      <c r="AH127" s="127">
        <v>0.28000000000000003</v>
      </c>
      <c r="AI127" s="127">
        <v>0.28000000000000003</v>
      </c>
      <c r="AJ127" s="127">
        <v>0.28000000000000003</v>
      </c>
      <c r="AK127" s="127">
        <v>0.28000000000000003</v>
      </c>
      <c r="AL127" s="127">
        <v>0.28000000000000003</v>
      </c>
      <c r="AM127" s="127">
        <v>0.28000000000000003</v>
      </c>
      <c r="AN127" s="127">
        <v>0.28000000000000003</v>
      </c>
      <c r="AO127" s="127">
        <v>0.28000000000000003</v>
      </c>
      <c r="AP127" s="127">
        <v>0.32500000000000001</v>
      </c>
      <c r="AQ127" s="127">
        <v>0.37</v>
      </c>
      <c r="AR127" s="127">
        <v>0.41499999999999998</v>
      </c>
      <c r="AS127" s="127">
        <v>0.45999999999999996</v>
      </c>
      <c r="AT127" s="127">
        <v>0.505</v>
      </c>
      <c r="AU127" s="127">
        <v>0.55000000000000004</v>
      </c>
      <c r="AV127" s="127">
        <v>0.59500000000000008</v>
      </c>
      <c r="AW127" s="127">
        <v>0.64000000000000012</v>
      </c>
      <c r="AX127" s="127">
        <v>0.68500000000000016</v>
      </c>
      <c r="AY127" s="127">
        <v>0.7300000000000002</v>
      </c>
      <c r="AZ127" s="127">
        <v>0.77500000000000024</v>
      </c>
      <c r="BA127" s="127">
        <v>0.82000000000000028</v>
      </c>
      <c r="BB127" s="127">
        <v>0.86500000000000032</v>
      </c>
      <c r="BC127" s="127">
        <v>0.91000000000000036</v>
      </c>
      <c r="BD127" s="127">
        <v>0.9550000000000004</v>
      </c>
      <c r="BE127" s="127">
        <v>1.0000000000000004</v>
      </c>
      <c r="BF127" s="127">
        <v>1</v>
      </c>
      <c r="BG127" s="127">
        <v>1</v>
      </c>
      <c r="BH127" s="127">
        <v>1</v>
      </c>
      <c r="BI127" s="127">
        <v>1</v>
      </c>
      <c r="BJ127" s="127">
        <v>1</v>
      </c>
      <c r="BK127" s="127">
        <v>1</v>
      </c>
      <c r="BL127" s="127">
        <v>1</v>
      </c>
      <c r="BM127" s="127">
        <v>1</v>
      </c>
      <c r="BN127" s="127">
        <v>1</v>
      </c>
      <c r="BO127" s="127">
        <v>1</v>
      </c>
      <c r="BP127" s="127">
        <v>1</v>
      </c>
      <c r="BQ127" s="127">
        <v>1</v>
      </c>
      <c r="BR127" s="163">
        <v>1</v>
      </c>
      <c r="BS127" s="163">
        <v>1</v>
      </c>
      <c r="BT127" s="163">
        <v>1</v>
      </c>
      <c r="BU127" s="163">
        <v>1</v>
      </c>
      <c r="BV127" s="163">
        <v>1</v>
      </c>
      <c r="BW127" s="163">
        <v>1</v>
      </c>
      <c r="BX127" s="163">
        <v>1</v>
      </c>
      <c r="BY127" s="163">
        <v>1</v>
      </c>
      <c r="BZ127" s="163">
        <v>1</v>
      </c>
      <c r="CA127" s="163">
        <v>1</v>
      </c>
      <c r="CB127" s="163">
        <v>1</v>
      </c>
      <c r="CC127" s="163">
        <v>1</v>
      </c>
      <c r="CD127" s="163">
        <v>1</v>
      </c>
      <c r="CE127" s="163">
        <v>1</v>
      </c>
      <c r="CF127" s="163">
        <v>1</v>
      </c>
      <c r="CG127" s="163">
        <v>1</v>
      </c>
      <c r="CH127" s="163">
        <v>1</v>
      </c>
      <c r="CI127" s="163">
        <v>1</v>
      </c>
      <c r="CJ127" s="163">
        <v>1</v>
      </c>
      <c r="CK127" s="163">
        <v>1</v>
      </c>
      <c r="CL127" s="163">
        <v>1</v>
      </c>
      <c r="CM127" s="163">
        <v>1</v>
      </c>
      <c r="CN127" s="163">
        <v>1</v>
      </c>
      <c r="CO127" s="163">
        <v>1</v>
      </c>
      <c r="CP127" s="163">
        <v>1</v>
      </c>
      <c r="CQ127" s="163">
        <v>1</v>
      </c>
      <c r="CR127" s="163">
        <v>1</v>
      </c>
      <c r="CS127" s="163">
        <v>1</v>
      </c>
      <c r="CT127" s="163">
        <v>1</v>
      </c>
      <c r="CU127" s="163">
        <v>1</v>
      </c>
      <c r="CV127" s="163">
        <v>1</v>
      </c>
      <c r="CW127" s="163">
        <v>1</v>
      </c>
      <c r="CX127" s="163">
        <v>1</v>
      </c>
      <c r="CY127" s="163">
        <v>1</v>
      </c>
      <c r="CZ127" s="163">
        <v>1</v>
      </c>
      <c r="DA127" s="163">
        <v>1</v>
      </c>
      <c r="DB127" s="163">
        <v>1</v>
      </c>
      <c r="DC127" s="163">
        <v>1</v>
      </c>
      <c r="DD127" s="163">
        <v>1</v>
      </c>
      <c r="DE127" s="163">
        <v>1</v>
      </c>
      <c r="DF127" s="163">
        <v>1</v>
      </c>
      <c r="DG127" s="163">
        <v>1</v>
      </c>
      <c r="DH127" s="347">
        <v>1</v>
      </c>
      <c r="DI127" s="163">
        <v>1</v>
      </c>
      <c r="DJ127" s="163">
        <v>1</v>
      </c>
      <c r="DK127" s="163">
        <v>1</v>
      </c>
      <c r="DL127" s="163">
        <v>1</v>
      </c>
      <c r="DM127" s="163">
        <v>1</v>
      </c>
      <c r="DN127" s="163">
        <v>1</v>
      </c>
      <c r="DO127" s="163">
        <v>1</v>
      </c>
      <c r="DP127" s="163">
        <v>1</v>
      </c>
      <c r="DQ127" s="163">
        <v>1</v>
      </c>
      <c r="DR127" s="163">
        <v>1</v>
      </c>
      <c r="DS127" s="163">
        <v>1</v>
      </c>
      <c r="DT127" s="163">
        <v>1</v>
      </c>
      <c r="DU127" s="163">
        <v>1</v>
      </c>
      <c r="DV127" s="163">
        <v>1</v>
      </c>
      <c r="DW127" s="163">
        <v>1</v>
      </c>
      <c r="DX127" s="163">
        <v>1</v>
      </c>
      <c r="DY127" s="163">
        <v>1</v>
      </c>
      <c r="DZ127" s="163">
        <v>1</v>
      </c>
      <c r="EA127" s="163">
        <v>1</v>
      </c>
      <c r="EB127" s="163">
        <v>1</v>
      </c>
      <c r="EC127" s="163">
        <v>1</v>
      </c>
      <c r="ED127" s="163">
        <v>1</v>
      </c>
      <c r="EE127" s="163">
        <v>1</v>
      </c>
      <c r="EF127" s="163">
        <v>1</v>
      </c>
      <c r="EG127" s="163">
        <v>1</v>
      </c>
      <c r="EH127" s="163">
        <v>1</v>
      </c>
      <c r="EI127" s="163">
        <v>1</v>
      </c>
      <c r="EJ127" s="163">
        <v>1</v>
      </c>
      <c r="EK127" s="163">
        <v>1</v>
      </c>
      <c r="EL127" s="163">
        <v>1</v>
      </c>
    </row>
    <row r="128" spans="2:142" hidden="1" outlineLevel="2" x14ac:dyDescent="0.3">
      <c r="B128" s="29"/>
      <c r="C128" s="30"/>
      <c r="D128" s="30"/>
      <c r="E128" s="52" t="s">
        <v>132</v>
      </c>
      <c r="F128" s="33">
        <v>5</v>
      </c>
      <c r="G128" s="162">
        <v>45615</v>
      </c>
      <c r="H128" s="162">
        <v>45621</v>
      </c>
      <c r="I128" s="33">
        <f t="shared" si="313"/>
        <v>5</v>
      </c>
      <c r="J128" s="35">
        <v>0.22222222222222227</v>
      </c>
      <c r="K128" s="53"/>
      <c r="L128" s="127">
        <v>0</v>
      </c>
      <c r="M128" s="127">
        <v>0</v>
      </c>
      <c r="N128" s="127">
        <v>0</v>
      </c>
      <c r="O128" s="127">
        <v>0</v>
      </c>
      <c r="P128" s="127">
        <v>0</v>
      </c>
      <c r="Q128" s="127">
        <v>0</v>
      </c>
      <c r="R128" s="127">
        <v>0</v>
      </c>
      <c r="S128" s="127">
        <v>0</v>
      </c>
      <c r="T128" s="127">
        <v>0</v>
      </c>
      <c r="U128" s="127">
        <v>0</v>
      </c>
      <c r="V128" s="127">
        <v>0</v>
      </c>
      <c r="W128" s="127">
        <v>0</v>
      </c>
      <c r="X128" s="127">
        <v>0</v>
      </c>
      <c r="Y128" s="127">
        <v>0</v>
      </c>
      <c r="Z128" s="127">
        <v>0</v>
      </c>
      <c r="AA128" s="127">
        <v>0</v>
      </c>
      <c r="AB128" s="127">
        <v>0</v>
      </c>
      <c r="AC128" s="127">
        <v>0</v>
      </c>
      <c r="AD128" s="127">
        <v>0</v>
      </c>
      <c r="AE128" s="127">
        <v>0</v>
      </c>
      <c r="AF128" s="127">
        <v>0</v>
      </c>
      <c r="AG128" s="127">
        <v>0.28000000000000003</v>
      </c>
      <c r="AH128" s="127">
        <v>0.28300000000000003</v>
      </c>
      <c r="AI128" s="127">
        <v>0.28300000000000003</v>
      </c>
      <c r="AJ128" s="127">
        <v>0.28300000000000003</v>
      </c>
      <c r="AK128" s="127">
        <v>0.28300000000000003</v>
      </c>
      <c r="AL128" s="127">
        <v>0.28300000000000003</v>
      </c>
      <c r="AM128" s="127">
        <v>0.28300000000000003</v>
      </c>
      <c r="AN128" s="127">
        <v>0.28300000000000003</v>
      </c>
      <c r="AO128" s="127">
        <v>0.28300000000000003</v>
      </c>
      <c r="AP128" s="127">
        <v>0.28300000000000003</v>
      </c>
      <c r="AQ128" s="127">
        <v>0.28300000000000003</v>
      </c>
      <c r="AR128" s="127">
        <v>0.28300000000000003</v>
      </c>
      <c r="AS128" s="127">
        <v>0.28300000000000003</v>
      </c>
      <c r="AT128" s="127">
        <v>0.28300000000000003</v>
      </c>
      <c r="AU128" s="127">
        <v>0.28300000000000003</v>
      </c>
      <c r="AV128" s="127">
        <v>0.28300000000000003</v>
      </c>
      <c r="AW128" s="127">
        <v>0.28300000000000003</v>
      </c>
      <c r="AX128" s="127">
        <v>0.28300000000000003</v>
      </c>
      <c r="AY128" s="127">
        <v>0.28300000000000003</v>
      </c>
      <c r="AZ128" s="127">
        <v>0.28300000000000003</v>
      </c>
      <c r="BA128" s="127">
        <v>0.40250000000000002</v>
      </c>
      <c r="BB128" s="127">
        <v>0.52200000000000002</v>
      </c>
      <c r="BC128" s="127">
        <v>0.64149999999999996</v>
      </c>
      <c r="BD128" s="127">
        <v>0.7609999999999999</v>
      </c>
      <c r="BE128" s="127">
        <v>0.88049999999999984</v>
      </c>
      <c r="BF128" s="127">
        <v>0.99999999999999978</v>
      </c>
      <c r="BG128" s="127">
        <v>1</v>
      </c>
      <c r="BH128" s="127">
        <v>1</v>
      </c>
      <c r="BI128" s="127">
        <v>1</v>
      </c>
      <c r="BJ128" s="127">
        <v>1</v>
      </c>
      <c r="BK128" s="127">
        <v>1</v>
      </c>
      <c r="BL128" s="127">
        <v>1</v>
      </c>
      <c r="BM128" s="127">
        <v>1</v>
      </c>
      <c r="BN128" s="127">
        <v>1</v>
      </c>
      <c r="BO128" s="127">
        <v>1</v>
      </c>
      <c r="BP128" s="127">
        <v>1</v>
      </c>
      <c r="BQ128" s="127">
        <v>1</v>
      </c>
      <c r="BR128" s="163">
        <v>1</v>
      </c>
      <c r="BS128" s="163">
        <v>1</v>
      </c>
      <c r="BT128" s="163">
        <v>1</v>
      </c>
      <c r="BU128" s="163">
        <v>1</v>
      </c>
      <c r="BV128" s="163">
        <v>1</v>
      </c>
      <c r="BW128" s="163">
        <v>1</v>
      </c>
      <c r="BX128" s="163">
        <v>1</v>
      </c>
      <c r="BY128" s="163">
        <v>1</v>
      </c>
      <c r="BZ128" s="163">
        <v>1</v>
      </c>
      <c r="CA128" s="163">
        <v>1</v>
      </c>
      <c r="CB128" s="163">
        <v>1</v>
      </c>
      <c r="CC128" s="163">
        <v>1</v>
      </c>
      <c r="CD128" s="163">
        <v>1</v>
      </c>
      <c r="CE128" s="163">
        <v>1</v>
      </c>
      <c r="CF128" s="163">
        <v>1</v>
      </c>
      <c r="CG128" s="163">
        <v>1</v>
      </c>
      <c r="CH128" s="163">
        <v>1</v>
      </c>
      <c r="CI128" s="163">
        <v>1</v>
      </c>
      <c r="CJ128" s="163">
        <v>1</v>
      </c>
      <c r="CK128" s="163">
        <v>1</v>
      </c>
      <c r="CL128" s="163">
        <v>1</v>
      </c>
      <c r="CM128" s="163">
        <v>1</v>
      </c>
      <c r="CN128" s="163">
        <v>1</v>
      </c>
      <c r="CO128" s="163">
        <v>1</v>
      </c>
      <c r="CP128" s="163">
        <v>1</v>
      </c>
      <c r="CQ128" s="163">
        <v>1</v>
      </c>
      <c r="CR128" s="163">
        <v>1</v>
      </c>
      <c r="CS128" s="163">
        <v>1</v>
      </c>
      <c r="CT128" s="163">
        <v>1</v>
      </c>
      <c r="CU128" s="163">
        <v>1</v>
      </c>
      <c r="CV128" s="163">
        <v>1</v>
      </c>
      <c r="CW128" s="163">
        <v>1</v>
      </c>
      <c r="CX128" s="163">
        <v>1</v>
      </c>
      <c r="CY128" s="163">
        <v>1</v>
      </c>
      <c r="CZ128" s="163">
        <v>1</v>
      </c>
      <c r="DA128" s="163">
        <v>1</v>
      </c>
      <c r="DB128" s="163">
        <v>1</v>
      </c>
      <c r="DC128" s="163">
        <v>1</v>
      </c>
      <c r="DD128" s="163">
        <v>1</v>
      </c>
      <c r="DE128" s="163">
        <v>1</v>
      </c>
      <c r="DF128" s="163">
        <v>1</v>
      </c>
      <c r="DG128" s="163">
        <v>1</v>
      </c>
      <c r="DH128" s="347">
        <v>1</v>
      </c>
      <c r="DI128" s="163">
        <v>1</v>
      </c>
      <c r="DJ128" s="163">
        <v>1</v>
      </c>
      <c r="DK128" s="163">
        <v>1</v>
      </c>
      <c r="DL128" s="163">
        <v>1</v>
      </c>
      <c r="DM128" s="163">
        <v>1</v>
      </c>
      <c r="DN128" s="163">
        <v>1</v>
      </c>
      <c r="DO128" s="163">
        <v>1</v>
      </c>
      <c r="DP128" s="163">
        <v>1</v>
      </c>
      <c r="DQ128" s="163">
        <v>1</v>
      </c>
      <c r="DR128" s="163">
        <v>1</v>
      </c>
      <c r="DS128" s="163">
        <v>1</v>
      </c>
      <c r="DT128" s="163">
        <v>1</v>
      </c>
      <c r="DU128" s="163">
        <v>1</v>
      </c>
      <c r="DV128" s="163">
        <v>1</v>
      </c>
      <c r="DW128" s="163">
        <v>1</v>
      </c>
      <c r="DX128" s="163">
        <v>1</v>
      </c>
      <c r="DY128" s="163">
        <v>1</v>
      </c>
      <c r="DZ128" s="163">
        <v>1</v>
      </c>
      <c r="EA128" s="163">
        <v>1</v>
      </c>
      <c r="EB128" s="163">
        <v>1</v>
      </c>
      <c r="EC128" s="163">
        <v>1</v>
      </c>
      <c r="ED128" s="163">
        <v>1</v>
      </c>
      <c r="EE128" s="163">
        <v>1</v>
      </c>
      <c r="EF128" s="163">
        <v>1</v>
      </c>
      <c r="EG128" s="163">
        <v>1</v>
      </c>
      <c r="EH128" s="163">
        <v>1</v>
      </c>
      <c r="EI128" s="163">
        <v>1</v>
      </c>
      <c r="EJ128" s="163">
        <v>1</v>
      </c>
      <c r="EK128" s="163">
        <v>1</v>
      </c>
      <c r="EL128" s="163">
        <v>1</v>
      </c>
    </row>
    <row r="129" spans="2:142" ht="15" hidden="1" outlineLevel="1" collapsed="1" x14ac:dyDescent="0.3">
      <c r="B129" s="22"/>
      <c r="C129" s="23"/>
      <c r="D129" s="23" t="s">
        <v>133</v>
      </c>
      <c r="E129" s="50"/>
      <c r="F129" s="26">
        <v>146</v>
      </c>
      <c r="G129" s="160">
        <v>45506</v>
      </c>
      <c r="H129" s="160">
        <v>45741</v>
      </c>
      <c r="I129" s="26">
        <f>+SUM(I130:I132)</f>
        <v>60</v>
      </c>
      <c r="J129" s="28">
        <v>6.964811545081509E-2</v>
      </c>
      <c r="K129" s="51"/>
      <c r="L129" s="28">
        <f>+SUMPRODUCT($J$130:$J$132,L130:L132)</f>
        <v>0</v>
      </c>
      <c r="M129" s="28">
        <f t="shared" ref="M129:BU129" si="314">+SUMPRODUCT($J$130:$J$132,M130:M132)</f>
        <v>0</v>
      </c>
      <c r="N129" s="28">
        <f t="shared" si="314"/>
        <v>0</v>
      </c>
      <c r="O129" s="28">
        <f t="shared" si="314"/>
        <v>0</v>
      </c>
      <c r="P129" s="28">
        <f t="shared" si="314"/>
        <v>0</v>
      </c>
      <c r="Q129" s="28">
        <f t="shared" si="314"/>
        <v>0</v>
      </c>
      <c r="R129" s="28">
        <f t="shared" si="314"/>
        <v>0</v>
      </c>
      <c r="S129" s="28">
        <f t="shared" si="314"/>
        <v>0</v>
      </c>
      <c r="T129" s="28">
        <f t="shared" si="314"/>
        <v>0</v>
      </c>
      <c r="U129" s="28">
        <f t="shared" si="314"/>
        <v>0</v>
      </c>
      <c r="V129" s="28">
        <f t="shared" si="314"/>
        <v>0</v>
      </c>
      <c r="W129" s="28">
        <f t="shared" si="314"/>
        <v>0</v>
      </c>
      <c r="X129" s="28">
        <f t="shared" si="314"/>
        <v>0</v>
      </c>
      <c r="Y129" s="28">
        <f t="shared" si="314"/>
        <v>0</v>
      </c>
      <c r="Z129" s="28">
        <f t="shared" si="314"/>
        <v>0</v>
      </c>
      <c r="AA129" s="28">
        <f t="shared" si="314"/>
        <v>0</v>
      </c>
      <c r="AB129" s="28">
        <f t="shared" si="314"/>
        <v>0</v>
      </c>
      <c r="AC129" s="28">
        <f t="shared" si="314"/>
        <v>0</v>
      </c>
      <c r="AD129" s="28">
        <f t="shared" si="314"/>
        <v>0</v>
      </c>
      <c r="AE129" s="28">
        <f t="shared" si="314"/>
        <v>0</v>
      </c>
      <c r="AF129" s="28">
        <f t="shared" si="314"/>
        <v>0</v>
      </c>
      <c r="AG129" s="28">
        <f t="shared" si="314"/>
        <v>0</v>
      </c>
      <c r="AH129" s="28">
        <f t="shared" si="314"/>
        <v>0</v>
      </c>
      <c r="AI129" s="28">
        <f t="shared" si="314"/>
        <v>0</v>
      </c>
      <c r="AJ129" s="28">
        <f t="shared" si="314"/>
        <v>0</v>
      </c>
      <c r="AK129" s="28">
        <f t="shared" si="314"/>
        <v>8.2240484094211613E-2</v>
      </c>
      <c r="AL129" s="28">
        <f t="shared" si="314"/>
        <v>8.2240484094211613E-2</v>
      </c>
      <c r="AM129" s="28">
        <f t="shared" si="314"/>
        <v>8.2240484094211613E-2</v>
      </c>
      <c r="AN129" s="28">
        <f t="shared" si="314"/>
        <v>9.3340484094211612E-2</v>
      </c>
      <c r="AO129" s="28">
        <f t="shared" si="314"/>
        <v>0.10444048409421161</v>
      </c>
      <c r="AP129" s="28">
        <f t="shared" si="314"/>
        <v>0.12948208409421161</v>
      </c>
      <c r="AQ129" s="28">
        <f t="shared" si="314"/>
        <v>0.15452368409421161</v>
      </c>
      <c r="AR129" s="28">
        <f t="shared" si="314"/>
        <v>0.17956528409421163</v>
      </c>
      <c r="AS129" s="28">
        <f t="shared" si="314"/>
        <v>0.20460688409421163</v>
      </c>
      <c r="AT129" s="28">
        <f t="shared" si="314"/>
        <v>0.22964848409421162</v>
      </c>
      <c r="AU129" s="28">
        <f t="shared" si="314"/>
        <v>0.25469008409421168</v>
      </c>
      <c r="AV129" s="28">
        <f t="shared" si="314"/>
        <v>0.27973168409421167</v>
      </c>
      <c r="AW129" s="28">
        <f t="shared" si="314"/>
        <v>0.30477328409421167</v>
      </c>
      <c r="AX129" s="28">
        <f t="shared" si="314"/>
        <v>0.32981488409421167</v>
      </c>
      <c r="AY129" s="28">
        <f t="shared" si="314"/>
        <v>0.35485648409421167</v>
      </c>
      <c r="AZ129" s="28">
        <f t="shared" si="314"/>
        <v>0.37989808409421166</v>
      </c>
      <c r="BA129" s="28">
        <f t="shared" si="314"/>
        <v>0.51613968409421163</v>
      </c>
      <c r="BB129" s="28">
        <f t="shared" si="314"/>
        <v>0.6523812840942117</v>
      </c>
      <c r="BC129" s="28">
        <f t="shared" si="314"/>
        <v>0.77752288409421166</v>
      </c>
      <c r="BD129" s="28">
        <f t="shared" si="314"/>
        <v>0.88880000000000003</v>
      </c>
      <c r="BE129" s="28">
        <f t="shared" si="314"/>
        <v>1</v>
      </c>
      <c r="BF129" s="28">
        <f t="shared" si="314"/>
        <v>1</v>
      </c>
      <c r="BG129" s="28">
        <f t="shared" si="314"/>
        <v>1</v>
      </c>
      <c r="BH129" s="28">
        <f t="shared" si="314"/>
        <v>1</v>
      </c>
      <c r="BI129" s="28">
        <f t="shared" si="314"/>
        <v>1</v>
      </c>
      <c r="BJ129" s="28">
        <f t="shared" si="314"/>
        <v>1</v>
      </c>
      <c r="BK129" s="28">
        <f t="shared" si="314"/>
        <v>1</v>
      </c>
      <c r="BL129" s="28">
        <f t="shared" si="314"/>
        <v>1</v>
      </c>
      <c r="BM129" s="28">
        <f t="shared" si="314"/>
        <v>1</v>
      </c>
      <c r="BN129" s="28">
        <f t="shared" si="314"/>
        <v>1</v>
      </c>
      <c r="BO129" s="28">
        <f t="shared" si="314"/>
        <v>1</v>
      </c>
      <c r="BP129" s="28">
        <f t="shared" si="314"/>
        <v>1</v>
      </c>
      <c r="BQ129" s="28">
        <f t="shared" si="314"/>
        <v>1</v>
      </c>
      <c r="BR129" s="161">
        <f t="shared" si="314"/>
        <v>1</v>
      </c>
      <c r="BS129" s="161">
        <f t="shared" si="314"/>
        <v>1</v>
      </c>
      <c r="BT129" s="161">
        <f t="shared" si="314"/>
        <v>1</v>
      </c>
      <c r="BU129" s="161">
        <f t="shared" si="314"/>
        <v>1</v>
      </c>
      <c r="BV129" s="161">
        <f t="shared" ref="BV129:CL129" si="315">+SUMPRODUCT($J$130:$J$132,BV130:BV132)</f>
        <v>1</v>
      </c>
      <c r="BW129" s="161">
        <f t="shared" si="315"/>
        <v>1</v>
      </c>
      <c r="BX129" s="161">
        <f t="shared" si="315"/>
        <v>1</v>
      </c>
      <c r="BY129" s="161">
        <f t="shared" si="315"/>
        <v>1</v>
      </c>
      <c r="BZ129" s="161">
        <f t="shared" si="315"/>
        <v>1</v>
      </c>
      <c r="CA129" s="161">
        <f t="shared" si="315"/>
        <v>1</v>
      </c>
      <c r="CB129" s="161">
        <f t="shared" si="315"/>
        <v>1</v>
      </c>
      <c r="CC129" s="161">
        <f t="shared" si="315"/>
        <v>1</v>
      </c>
      <c r="CD129" s="161">
        <f t="shared" si="315"/>
        <v>1</v>
      </c>
      <c r="CE129" s="161">
        <f t="shared" si="315"/>
        <v>1</v>
      </c>
      <c r="CF129" s="161">
        <f t="shared" si="315"/>
        <v>1</v>
      </c>
      <c r="CG129" s="161">
        <f t="shared" si="315"/>
        <v>1</v>
      </c>
      <c r="CH129" s="161">
        <f t="shared" si="315"/>
        <v>1</v>
      </c>
      <c r="CI129" s="161">
        <f t="shared" si="315"/>
        <v>1</v>
      </c>
      <c r="CJ129" s="161">
        <f t="shared" si="315"/>
        <v>1</v>
      </c>
      <c r="CK129" s="161">
        <f t="shared" si="315"/>
        <v>1</v>
      </c>
      <c r="CL129" s="161">
        <f t="shared" si="315"/>
        <v>1</v>
      </c>
      <c r="CM129" s="161">
        <f t="shared" ref="CM129:CN129" si="316">+SUMPRODUCT($J$130:$J$132,CM130:CM132)</f>
        <v>1</v>
      </c>
      <c r="CN129" s="161">
        <f t="shared" si="316"/>
        <v>1</v>
      </c>
      <c r="CO129" s="161">
        <f t="shared" ref="CO129" si="317">+SUMPRODUCT($J$130:$J$132,CO130:CO132)</f>
        <v>1</v>
      </c>
      <c r="CP129" s="161">
        <f t="shared" ref="CP129:CV129" si="318">+SUMPRODUCT($J$130:$J$132,CP130:CP132)</f>
        <v>1</v>
      </c>
      <c r="CQ129" s="161">
        <f t="shared" si="318"/>
        <v>1</v>
      </c>
      <c r="CR129" s="161">
        <f t="shared" si="318"/>
        <v>1</v>
      </c>
      <c r="CS129" s="161">
        <f t="shared" si="318"/>
        <v>1</v>
      </c>
      <c r="CT129" s="161">
        <f t="shared" si="318"/>
        <v>1</v>
      </c>
      <c r="CU129" s="161">
        <f t="shared" si="318"/>
        <v>1</v>
      </c>
      <c r="CV129" s="161">
        <f t="shared" si="318"/>
        <v>1</v>
      </c>
      <c r="CW129" s="161">
        <f t="shared" ref="CW129:CY129" si="319">+SUMPRODUCT($J$130:$J$132,CW130:CW132)</f>
        <v>1</v>
      </c>
      <c r="CX129" s="161">
        <f t="shared" si="319"/>
        <v>1</v>
      </c>
      <c r="CY129" s="161">
        <f t="shared" si="319"/>
        <v>1</v>
      </c>
      <c r="CZ129" s="161">
        <f t="shared" ref="CZ129:DA129" si="320">+SUMPRODUCT($J$130:$J$132,CZ130:CZ132)</f>
        <v>1</v>
      </c>
      <c r="DA129" s="161">
        <f t="shared" si="320"/>
        <v>1</v>
      </c>
      <c r="DB129" s="161">
        <f t="shared" ref="DB129:DC129" si="321">+SUMPRODUCT($J$130:$J$132,DB130:DB132)</f>
        <v>1</v>
      </c>
      <c r="DC129" s="161">
        <f t="shared" si="321"/>
        <v>1</v>
      </c>
      <c r="DD129" s="161">
        <f t="shared" ref="DD129:DE129" si="322">+SUMPRODUCT($J$130:$J$132,DD130:DD132)</f>
        <v>1</v>
      </c>
      <c r="DE129" s="161">
        <f t="shared" si="322"/>
        <v>1</v>
      </c>
      <c r="DF129" s="161">
        <f t="shared" ref="DF129:DG129" si="323">+SUMPRODUCT($J$130:$J$132,DF130:DF132)</f>
        <v>1</v>
      </c>
      <c r="DG129" s="161">
        <f t="shared" si="323"/>
        <v>1</v>
      </c>
      <c r="DH129" s="346">
        <f t="shared" ref="DH129:EL129" si="324">+SUMPRODUCT($J$130:$J$132,DH130:DH132)</f>
        <v>1</v>
      </c>
      <c r="DI129" s="161">
        <f t="shared" si="324"/>
        <v>1</v>
      </c>
      <c r="DJ129" s="161">
        <f t="shared" si="324"/>
        <v>1</v>
      </c>
      <c r="DK129" s="161">
        <f t="shared" si="324"/>
        <v>1</v>
      </c>
      <c r="DL129" s="161">
        <f t="shared" si="324"/>
        <v>1</v>
      </c>
      <c r="DM129" s="161">
        <f t="shared" si="324"/>
        <v>1</v>
      </c>
      <c r="DN129" s="161">
        <f t="shared" si="324"/>
        <v>1</v>
      </c>
      <c r="DO129" s="161">
        <f t="shared" si="324"/>
        <v>1</v>
      </c>
      <c r="DP129" s="161">
        <f t="shared" si="324"/>
        <v>1</v>
      </c>
      <c r="DQ129" s="161">
        <f t="shared" si="324"/>
        <v>1</v>
      </c>
      <c r="DR129" s="161">
        <f t="shared" si="324"/>
        <v>1</v>
      </c>
      <c r="DS129" s="161">
        <f t="shared" si="324"/>
        <v>1</v>
      </c>
      <c r="DT129" s="161">
        <f t="shared" si="324"/>
        <v>1</v>
      </c>
      <c r="DU129" s="161">
        <f t="shared" si="324"/>
        <v>1</v>
      </c>
      <c r="DV129" s="161">
        <f t="shared" si="324"/>
        <v>1</v>
      </c>
      <c r="DW129" s="161">
        <f t="shared" si="324"/>
        <v>1</v>
      </c>
      <c r="DX129" s="161">
        <f t="shared" si="324"/>
        <v>1</v>
      </c>
      <c r="DY129" s="161">
        <f t="shared" si="324"/>
        <v>1</v>
      </c>
      <c r="DZ129" s="161">
        <f t="shared" si="324"/>
        <v>1</v>
      </c>
      <c r="EA129" s="161">
        <f t="shared" si="324"/>
        <v>1</v>
      </c>
      <c r="EB129" s="161">
        <f t="shared" si="324"/>
        <v>1</v>
      </c>
      <c r="EC129" s="161">
        <f t="shared" si="324"/>
        <v>1</v>
      </c>
      <c r="ED129" s="161">
        <f t="shared" si="324"/>
        <v>1</v>
      </c>
      <c r="EE129" s="161">
        <f t="shared" si="324"/>
        <v>1</v>
      </c>
      <c r="EF129" s="161">
        <f t="shared" si="324"/>
        <v>1</v>
      </c>
      <c r="EG129" s="161">
        <f t="shared" si="324"/>
        <v>1</v>
      </c>
      <c r="EH129" s="161">
        <f t="shared" si="324"/>
        <v>1</v>
      </c>
      <c r="EI129" s="161">
        <f t="shared" si="324"/>
        <v>1</v>
      </c>
      <c r="EJ129" s="161">
        <f t="shared" si="324"/>
        <v>1</v>
      </c>
      <c r="EK129" s="161">
        <f t="shared" si="324"/>
        <v>1</v>
      </c>
      <c r="EL129" s="161">
        <f t="shared" si="324"/>
        <v>1</v>
      </c>
    </row>
    <row r="130" spans="2:142" hidden="1" outlineLevel="2" x14ac:dyDescent="0.3">
      <c r="B130" s="29"/>
      <c r="C130" s="30"/>
      <c r="D130" s="30"/>
      <c r="E130" s="52" t="s">
        <v>134</v>
      </c>
      <c r="F130" s="33">
        <v>15</v>
      </c>
      <c r="G130" s="162">
        <v>45506</v>
      </c>
      <c r="H130" s="162">
        <v>45526</v>
      </c>
      <c r="I130" s="33">
        <f>+F130</f>
        <v>15</v>
      </c>
      <c r="J130" s="35">
        <v>0.222</v>
      </c>
      <c r="K130" s="53"/>
      <c r="L130" s="127">
        <v>0</v>
      </c>
      <c r="M130" s="127">
        <v>0</v>
      </c>
      <c r="N130" s="127">
        <v>0</v>
      </c>
      <c r="O130" s="127">
        <v>0</v>
      </c>
      <c r="P130" s="127">
        <v>0</v>
      </c>
      <c r="Q130" s="127">
        <v>0</v>
      </c>
      <c r="R130" s="127">
        <v>0</v>
      </c>
      <c r="S130" s="127">
        <v>0</v>
      </c>
      <c r="T130" s="127">
        <v>0</v>
      </c>
      <c r="U130" s="127">
        <v>0</v>
      </c>
      <c r="V130" s="127">
        <v>0</v>
      </c>
      <c r="W130" s="127">
        <v>0</v>
      </c>
      <c r="X130" s="127">
        <v>0</v>
      </c>
      <c r="Y130" s="127">
        <v>0</v>
      </c>
      <c r="Z130" s="127">
        <v>0</v>
      </c>
      <c r="AA130" s="127">
        <v>0</v>
      </c>
      <c r="AB130" s="127">
        <v>0</v>
      </c>
      <c r="AC130" s="127">
        <v>0</v>
      </c>
      <c r="AD130" s="127">
        <v>0</v>
      </c>
      <c r="AE130" s="127">
        <v>0</v>
      </c>
      <c r="AF130" s="127">
        <v>0</v>
      </c>
      <c r="AG130" s="127">
        <v>0</v>
      </c>
      <c r="AH130" s="127">
        <v>0</v>
      </c>
      <c r="AI130" s="127">
        <v>0</v>
      </c>
      <c r="AJ130" s="127">
        <v>0</v>
      </c>
      <c r="AK130" s="127">
        <v>0.25</v>
      </c>
      <c r="AL130" s="127">
        <v>0.25</v>
      </c>
      <c r="AM130" s="127">
        <v>0.25</v>
      </c>
      <c r="AN130" s="127">
        <v>0.3</v>
      </c>
      <c r="AO130" s="127">
        <v>0.35</v>
      </c>
      <c r="AP130" s="127">
        <v>0.39999999999999997</v>
      </c>
      <c r="AQ130" s="127">
        <v>0.44999999999999996</v>
      </c>
      <c r="AR130" s="127">
        <v>0.49999999999999994</v>
      </c>
      <c r="AS130" s="127">
        <v>0.54999999999999993</v>
      </c>
      <c r="AT130" s="127">
        <v>0.6</v>
      </c>
      <c r="AU130" s="127">
        <v>0.65</v>
      </c>
      <c r="AV130" s="127">
        <v>0.70000000000000007</v>
      </c>
      <c r="AW130" s="127">
        <v>0.75000000000000011</v>
      </c>
      <c r="AX130" s="127">
        <v>0.80000000000000016</v>
      </c>
      <c r="AY130" s="127">
        <v>0.8500000000000002</v>
      </c>
      <c r="AZ130" s="127">
        <v>0.90000000000000024</v>
      </c>
      <c r="BA130" s="127">
        <v>0.95000000000000029</v>
      </c>
      <c r="BB130" s="127">
        <v>1.0000000000000002</v>
      </c>
      <c r="BC130" s="127">
        <v>1</v>
      </c>
      <c r="BD130" s="127">
        <v>1</v>
      </c>
      <c r="BE130" s="127">
        <v>1</v>
      </c>
      <c r="BF130" s="127">
        <v>1</v>
      </c>
      <c r="BG130" s="127">
        <v>1</v>
      </c>
      <c r="BH130" s="127">
        <v>1</v>
      </c>
      <c r="BI130" s="127">
        <v>1</v>
      </c>
      <c r="BJ130" s="127">
        <v>1</v>
      </c>
      <c r="BK130" s="127">
        <v>1</v>
      </c>
      <c r="BL130" s="127">
        <v>1</v>
      </c>
      <c r="BM130" s="127">
        <v>1</v>
      </c>
      <c r="BN130" s="127">
        <v>1</v>
      </c>
      <c r="BO130" s="127">
        <v>1</v>
      </c>
      <c r="BP130" s="127">
        <v>1</v>
      </c>
      <c r="BQ130" s="127">
        <v>1</v>
      </c>
      <c r="BR130" s="163">
        <v>1</v>
      </c>
      <c r="BS130" s="163">
        <v>1</v>
      </c>
      <c r="BT130" s="163">
        <v>1</v>
      </c>
      <c r="BU130" s="163">
        <v>1</v>
      </c>
      <c r="BV130" s="163">
        <v>1</v>
      </c>
      <c r="BW130" s="163">
        <v>1</v>
      </c>
      <c r="BX130" s="163">
        <v>1</v>
      </c>
      <c r="BY130" s="163">
        <v>1</v>
      </c>
      <c r="BZ130" s="163">
        <v>1</v>
      </c>
      <c r="CA130" s="163">
        <v>1</v>
      </c>
      <c r="CB130" s="163">
        <v>1</v>
      </c>
      <c r="CC130" s="163">
        <v>1</v>
      </c>
      <c r="CD130" s="163">
        <v>1</v>
      </c>
      <c r="CE130" s="163">
        <v>1</v>
      </c>
      <c r="CF130" s="163">
        <v>1</v>
      </c>
      <c r="CG130" s="163">
        <v>1</v>
      </c>
      <c r="CH130" s="163">
        <v>1</v>
      </c>
      <c r="CI130" s="163">
        <v>1</v>
      </c>
      <c r="CJ130" s="163">
        <v>1</v>
      </c>
      <c r="CK130" s="163">
        <v>1</v>
      </c>
      <c r="CL130" s="163">
        <v>1</v>
      </c>
      <c r="CM130" s="163">
        <v>1</v>
      </c>
      <c r="CN130" s="163">
        <v>1</v>
      </c>
      <c r="CO130" s="163">
        <v>1</v>
      </c>
      <c r="CP130" s="163">
        <v>1</v>
      </c>
      <c r="CQ130" s="163">
        <v>1</v>
      </c>
      <c r="CR130" s="163">
        <v>1</v>
      </c>
      <c r="CS130" s="163">
        <v>1</v>
      </c>
      <c r="CT130" s="163">
        <v>1</v>
      </c>
      <c r="CU130" s="163">
        <v>1</v>
      </c>
      <c r="CV130" s="163">
        <v>1</v>
      </c>
      <c r="CW130" s="163">
        <v>1</v>
      </c>
      <c r="CX130" s="163">
        <v>1</v>
      </c>
      <c r="CY130" s="163">
        <v>1</v>
      </c>
      <c r="CZ130" s="163">
        <v>1</v>
      </c>
      <c r="DA130" s="163">
        <v>1</v>
      </c>
      <c r="DB130" s="163">
        <v>1</v>
      </c>
      <c r="DC130" s="163">
        <v>1</v>
      </c>
      <c r="DD130" s="163">
        <v>1</v>
      </c>
      <c r="DE130" s="163">
        <v>1</v>
      </c>
      <c r="DF130" s="163">
        <v>1</v>
      </c>
      <c r="DG130" s="163">
        <v>1</v>
      </c>
      <c r="DH130" s="347">
        <v>1</v>
      </c>
      <c r="DI130" s="163">
        <v>1</v>
      </c>
      <c r="DJ130" s="163">
        <v>1</v>
      </c>
      <c r="DK130" s="163">
        <v>1</v>
      </c>
      <c r="DL130" s="163">
        <v>1</v>
      </c>
      <c r="DM130" s="163">
        <v>1</v>
      </c>
      <c r="DN130" s="163">
        <v>1</v>
      </c>
      <c r="DO130" s="163">
        <v>1</v>
      </c>
      <c r="DP130" s="163">
        <v>1</v>
      </c>
      <c r="DQ130" s="163">
        <v>1</v>
      </c>
      <c r="DR130" s="163">
        <v>1</v>
      </c>
      <c r="DS130" s="163">
        <v>1</v>
      </c>
      <c r="DT130" s="163">
        <v>1</v>
      </c>
      <c r="DU130" s="163">
        <v>1</v>
      </c>
      <c r="DV130" s="163">
        <v>1</v>
      </c>
      <c r="DW130" s="163">
        <v>1</v>
      </c>
      <c r="DX130" s="163">
        <v>1</v>
      </c>
      <c r="DY130" s="163">
        <v>1</v>
      </c>
      <c r="DZ130" s="163">
        <v>1</v>
      </c>
      <c r="EA130" s="163">
        <v>1</v>
      </c>
      <c r="EB130" s="163">
        <v>1</v>
      </c>
      <c r="EC130" s="163">
        <v>1</v>
      </c>
      <c r="ED130" s="163">
        <v>1</v>
      </c>
      <c r="EE130" s="163">
        <v>1</v>
      </c>
      <c r="EF130" s="163">
        <v>1</v>
      </c>
      <c r="EG130" s="163">
        <v>1</v>
      </c>
      <c r="EH130" s="163">
        <v>1</v>
      </c>
      <c r="EI130" s="163">
        <v>1</v>
      </c>
      <c r="EJ130" s="163">
        <v>1</v>
      </c>
      <c r="EK130" s="163">
        <v>1</v>
      </c>
      <c r="EL130" s="163">
        <v>1</v>
      </c>
    </row>
    <row r="131" spans="2:142" hidden="1" outlineLevel="2" x14ac:dyDescent="0.3">
      <c r="B131" s="29"/>
      <c r="C131" s="30"/>
      <c r="D131" s="30"/>
      <c r="E131" s="52" t="s">
        <v>135</v>
      </c>
      <c r="F131" s="33">
        <v>30</v>
      </c>
      <c r="G131" s="162">
        <v>45677</v>
      </c>
      <c r="H131" s="162">
        <v>45716</v>
      </c>
      <c r="I131" s="33">
        <f>+F131</f>
        <v>30</v>
      </c>
      <c r="J131" s="35">
        <v>0.222</v>
      </c>
      <c r="K131" s="53"/>
      <c r="L131" s="127">
        <v>0</v>
      </c>
      <c r="M131" s="127">
        <v>0</v>
      </c>
      <c r="N131" s="127">
        <v>0</v>
      </c>
      <c r="O131" s="127">
        <v>0</v>
      </c>
      <c r="P131" s="127">
        <v>0</v>
      </c>
      <c r="Q131" s="127">
        <v>0</v>
      </c>
      <c r="R131" s="127">
        <v>0</v>
      </c>
      <c r="S131" s="127">
        <v>0</v>
      </c>
      <c r="T131" s="127">
        <v>0</v>
      </c>
      <c r="U131" s="127">
        <v>0</v>
      </c>
      <c r="V131" s="127">
        <v>0</v>
      </c>
      <c r="W131" s="127">
        <v>0</v>
      </c>
      <c r="X131" s="127">
        <v>0</v>
      </c>
      <c r="Y131" s="127">
        <v>0</v>
      </c>
      <c r="Z131" s="127">
        <v>0</v>
      </c>
      <c r="AA131" s="127">
        <v>0</v>
      </c>
      <c r="AB131" s="127">
        <v>0</v>
      </c>
      <c r="AC131" s="127">
        <v>0</v>
      </c>
      <c r="AD131" s="127">
        <v>0</v>
      </c>
      <c r="AE131" s="127">
        <v>0</v>
      </c>
      <c r="AF131" s="127">
        <v>0</v>
      </c>
      <c r="AG131" s="127">
        <v>0</v>
      </c>
      <c r="AH131" s="127">
        <v>0</v>
      </c>
      <c r="AI131" s="127">
        <v>0</v>
      </c>
      <c r="AJ131" s="127">
        <v>0</v>
      </c>
      <c r="AK131" s="127">
        <v>0.12045263105500728</v>
      </c>
      <c r="AL131" s="127">
        <v>0.12045263105500728</v>
      </c>
      <c r="AM131" s="127">
        <v>0.12045263105500728</v>
      </c>
      <c r="AN131" s="127">
        <v>0.12045263105500728</v>
      </c>
      <c r="AO131" s="127">
        <v>0.12045263105500728</v>
      </c>
      <c r="AP131" s="127">
        <v>0.18325263105500728</v>
      </c>
      <c r="AQ131" s="127">
        <v>0.2460526310550073</v>
      </c>
      <c r="AR131" s="127">
        <v>0.30885263105500732</v>
      </c>
      <c r="AS131" s="127">
        <v>0.37165263105500734</v>
      </c>
      <c r="AT131" s="127">
        <v>0.43445263105500737</v>
      </c>
      <c r="AU131" s="127">
        <v>0.49725263105500739</v>
      </c>
      <c r="AV131" s="127">
        <v>0.56005263105500735</v>
      </c>
      <c r="AW131" s="127">
        <v>0.62285263105500732</v>
      </c>
      <c r="AX131" s="127">
        <v>0.68565263105500729</v>
      </c>
      <c r="AY131" s="127">
        <v>0.74845263105500726</v>
      </c>
      <c r="AZ131" s="127">
        <v>0.81125263105500722</v>
      </c>
      <c r="BA131" s="127">
        <v>0.87405263105500719</v>
      </c>
      <c r="BB131" s="127">
        <v>0.93685263105500716</v>
      </c>
      <c r="BC131" s="127">
        <v>0.99965263105500712</v>
      </c>
      <c r="BD131" s="127">
        <v>1</v>
      </c>
      <c r="BE131" s="127">
        <v>1</v>
      </c>
      <c r="BF131" s="127">
        <v>1</v>
      </c>
      <c r="BG131" s="127">
        <v>1</v>
      </c>
      <c r="BH131" s="127">
        <v>1</v>
      </c>
      <c r="BI131" s="127">
        <v>1</v>
      </c>
      <c r="BJ131" s="127">
        <v>1</v>
      </c>
      <c r="BK131" s="127">
        <v>1</v>
      </c>
      <c r="BL131" s="127">
        <v>1</v>
      </c>
      <c r="BM131" s="127">
        <v>1</v>
      </c>
      <c r="BN131" s="127">
        <v>1</v>
      </c>
      <c r="BO131" s="127">
        <v>1</v>
      </c>
      <c r="BP131" s="127">
        <v>1</v>
      </c>
      <c r="BQ131" s="127">
        <v>1</v>
      </c>
      <c r="BR131" s="163">
        <v>1</v>
      </c>
      <c r="BS131" s="163">
        <v>1</v>
      </c>
      <c r="BT131" s="163">
        <v>1</v>
      </c>
      <c r="BU131" s="163">
        <v>1</v>
      </c>
      <c r="BV131" s="163">
        <v>1</v>
      </c>
      <c r="BW131" s="163">
        <v>1</v>
      </c>
      <c r="BX131" s="163">
        <v>1</v>
      </c>
      <c r="BY131" s="163">
        <v>1</v>
      </c>
      <c r="BZ131" s="163">
        <v>1</v>
      </c>
      <c r="CA131" s="163">
        <v>1</v>
      </c>
      <c r="CB131" s="163">
        <v>1</v>
      </c>
      <c r="CC131" s="163">
        <v>1</v>
      </c>
      <c r="CD131" s="163">
        <v>1</v>
      </c>
      <c r="CE131" s="163">
        <v>1</v>
      </c>
      <c r="CF131" s="163">
        <v>1</v>
      </c>
      <c r="CG131" s="163">
        <v>1</v>
      </c>
      <c r="CH131" s="163">
        <v>1</v>
      </c>
      <c r="CI131" s="163">
        <v>1</v>
      </c>
      <c r="CJ131" s="163">
        <v>1</v>
      </c>
      <c r="CK131" s="163">
        <v>1</v>
      </c>
      <c r="CL131" s="163">
        <v>1</v>
      </c>
      <c r="CM131" s="163">
        <v>1</v>
      </c>
      <c r="CN131" s="163">
        <v>1</v>
      </c>
      <c r="CO131" s="163">
        <v>1</v>
      </c>
      <c r="CP131" s="163">
        <v>1</v>
      </c>
      <c r="CQ131" s="163">
        <v>1</v>
      </c>
      <c r="CR131" s="163">
        <v>1</v>
      </c>
      <c r="CS131" s="163">
        <v>1</v>
      </c>
      <c r="CT131" s="163">
        <v>1</v>
      </c>
      <c r="CU131" s="163">
        <v>1</v>
      </c>
      <c r="CV131" s="163">
        <v>1</v>
      </c>
      <c r="CW131" s="163">
        <v>1</v>
      </c>
      <c r="CX131" s="163">
        <v>1</v>
      </c>
      <c r="CY131" s="163">
        <v>1</v>
      </c>
      <c r="CZ131" s="163">
        <v>1</v>
      </c>
      <c r="DA131" s="163">
        <v>1</v>
      </c>
      <c r="DB131" s="163">
        <v>1</v>
      </c>
      <c r="DC131" s="163">
        <v>1</v>
      </c>
      <c r="DD131" s="163">
        <v>1</v>
      </c>
      <c r="DE131" s="163">
        <v>1</v>
      </c>
      <c r="DF131" s="163">
        <v>1</v>
      </c>
      <c r="DG131" s="163">
        <v>1</v>
      </c>
      <c r="DH131" s="347">
        <v>1</v>
      </c>
      <c r="DI131" s="163">
        <v>1</v>
      </c>
      <c r="DJ131" s="163">
        <v>1</v>
      </c>
      <c r="DK131" s="163">
        <v>1</v>
      </c>
      <c r="DL131" s="163">
        <v>1</v>
      </c>
      <c r="DM131" s="163">
        <v>1</v>
      </c>
      <c r="DN131" s="163">
        <v>1</v>
      </c>
      <c r="DO131" s="163">
        <v>1</v>
      </c>
      <c r="DP131" s="163">
        <v>1</v>
      </c>
      <c r="DQ131" s="163">
        <v>1</v>
      </c>
      <c r="DR131" s="163">
        <v>1</v>
      </c>
      <c r="DS131" s="163">
        <v>1</v>
      </c>
      <c r="DT131" s="163">
        <v>1</v>
      </c>
      <c r="DU131" s="163">
        <v>1</v>
      </c>
      <c r="DV131" s="163">
        <v>1</v>
      </c>
      <c r="DW131" s="163">
        <v>1</v>
      </c>
      <c r="DX131" s="163">
        <v>1</v>
      </c>
      <c r="DY131" s="163">
        <v>1</v>
      </c>
      <c r="DZ131" s="163">
        <v>1</v>
      </c>
      <c r="EA131" s="163">
        <v>1</v>
      </c>
      <c r="EB131" s="163">
        <v>1</v>
      </c>
      <c r="EC131" s="163">
        <v>1</v>
      </c>
      <c r="ED131" s="163">
        <v>1</v>
      </c>
      <c r="EE131" s="163">
        <v>1</v>
      </c>
      <c r="EF131" s="163">
        <v>1</v>
      </c>
      <c r="EG131" s="163">
        <v>1</v>
      </c>
      <c r="EH131" s="163">
        <v>1</v>
      </c>
      <c r="EI131" s="163">
        <v>1</v>
      </c>
      <c r="EJ131" s="163">
        <v>1</v>
      </c>
      <c r="EK131" s="163">
        <v>1</v>
      </c>
      <c r="EL131" s="163">
        <v>1</v>
      </c>
    </row>
    <row r="132" spans="2:142" hidden="1" outlineLevel="2" x14ac:dyDescent="0.3">
      <c r="B132" s="29"/>
      <c r="C132" s="30"/>
      <c r="D132" s="30"/>
      <c r="E132" s="52" t="s">
        <v>136</v>
      </c>
      <c r="F132" s="33">
        <v>15</v>
      </c>
      <c r="G132" s="162">
        <v>45721</v>
      </c>
      <c r="H132" s="162">
        <v>45741</v>
      </c>
      <c r="I132" s="33">
        <f>+F132</f>
        <v>15</v>
      </c>
      <c r="J132" s="35">
        <v>0.55600000000000005</v>
      </c>
      <c r="K132" s="53"/>
      <c r="L132" s="127">
        <v>0</v>
      </c>
      <c r="M132" s="127">
        <v>0</v>
      </c>
      <c r="N132" s="127">
        <v>0</v>
      </c>
      <c r="O132" s="127">
        <v>0</v>
      </c>
      <c r="P132" s="127">
        <v>0</v>
      </c>
      <c r="Q132" s="127">
        <v>0</v>
      </c>
      <c r="R132" s="127">
        <v>0</v>
      </c>
      <c r="S132" s="127">
        <v>0</v>
      </c>
      <c r="T132" s="127">
        <v>0</v>
      </c>
      <c r="U132" s="127">
        <v>0</v>
      </c>
      <c r="V132" s="127">
        <v>0</v>
      </c>
      <c r="W132" s="127">
        <v>0</v>
      </c>
      <c r="X132" s="127">
        <v>0</v>
      </c>
      <c r="Y132" s="127">
        <v>0</v>
      </c>
      <c r="Z132" s="127">
        <v>0</v>
      </c>
      <c r="AA132" s="127">
        <v>0</v>
      </c>
      <c r="AB132" s="127">
        <v>0</v>
      </c>
      <c r="AC132" s="127">
        <v>0</v>
      </c>
      <c r="AD132" s="127">
        <v>0</v>
      </c>
      <c r="AE132" s="127">
        <v>0</v>
      </c>
      <c r="AF132" s="127">
        <v>0</v>
      </c>
      <c r="AG132" s="127">
        <v>0</v>
      </c>
      <c r="AH132" s="127">
        <v>0</v>
      </c>
      <c r="AI132" s="127">
        <v>0</v>
      </c>
      <c r="AJ132" s="127">
        <v>0</v>
      </c>
      <c r="AK132" s="127">
        <v>0</v>
      </c>
      <c r="AL132" s="127">
        <v>0</v>
      </c>
      <c r="AM132" s="127">
        <v>0</v>
      </c>
      <c r="AN132" s="127">
        <v>0</v>
      </c>
      <c r="AO132" s="127">
        <v>0</v>
      </c>
      <c r="AP132" s="127">
        <v>0</v>
      </c>
      <c r="AQ132" s="127">
        <v>0</v>
      </c>
      <c r="AR132" s="127">
        <v>0</v>
      </c>
      <c r="AS132" s="127">
        <v>0</v>
      </c>
      <c r="AT132" s="127">
        <v>0</v>
      </c>
      <c r="AU132" s="127">
        <v>0</v>
      </c>
      <c r="AV132" s="127">
        <v>0</v>
      </c>
      <c r="AW132" s="127">
        <v>0</v>
      </c>
      <c r="AX132" s="127">
        <v>0</v>
      </c>
      <c r="AY132" s="127">
        <v>0</v>
      </c>
      <c r="AZ132" s="127">
        <v>0</v>
      </c>
      <c r="BA132" s="127">
        <v>0.2</v>
      </c>
      <c r="BB132" s="127">
        <v>0.4</v>
      </c>
      <c r="BC132" s="127">
        <v>0.60000000000000009</v>
      </c>
      <c r="BD132" s="127">
        <v>0.8</v>
      </c>
      <c r="BE132" s="127">
        <v>1</v>
      </c>
      <c r="BF132" s="127">
        <v>1</v>
      </c>
      <c r="BG132" s="127">
        <v>1</v>
      </c>
      <c r="BH132" s="127">
        <v>1</v>
      </c>
      <c r="BI132" s="127">
        <v>1</v>
      </c>
      <c r="BJ132" s="127">
        <v>1</v>
      </c>
      <c r="BK132" s="127">
        <v>1</v>
      </c>
      <c r="BL132" s="127">
        <v>1</v>
      </c>
      <c r="BM132" s="127">
        <v>1</v>
      </c>
      <c r="BN132" s="127">
        <v>1</v>
      </c>
      <c r="BO132" s="127">
        <v>1</v>
      </c>
      <c r="BP132" s="127">
        <v>1</v>
      </c>
      <c r="BQ132" s="127">
        <v>1</v>
      </c>
      <c r="BR132" s="163">
        <v>1</v>
      </c>
      <c r="BS132" s="163">
        <v>1</v>
      </c>
      <c r="BT132" s="163">
        <v>1</v>
      </c>
      <c r="BU132" s="163">
        <v>1</v>
      </c>
      <c r="BV132" s="163">
        <v>1</v>
      </c>
      <c r="BW132" s="163">
        <v>1</v>
      </c>
      <c r="BX132" s="163">
        <v>1</v>
      </c>
      <c r="BY132" s="163">
        <v>1</v>
      </c>
      <c r="BZ132" s="163">
        <v>1</v>
      </c>
      <c r="CA132" s="163">
        <v>1</v>
      </c>
      <c r="CB132" s="163">
        <v>1</v>
      </c>
      <c r="CC132" s="163">
        <v>1</v>
      </c>
      <c r="CD132" s="163">
        <v>1</v>
      </c>
      <c r="CE132" s="163">
        <v>1</v>
      </c>
      <c r="CF132" s="163">
        <v>1</v>
      </c>
      <c r="CG132" s="163">
        <v>1</v>
      </c>
      <c r="CH132" s="163">
        <v>1</v>
      </c>
      <c r="CI132" s="163">
        <v>1</v>
      </c>
      <c r="CJ132" s="163">
        <v>1</v>
      </c>
      <c r="CK132" s="163">
        <v>1</v>
      </c>
      <c r="CL132" s="163">
        <v>1</v>
      </c>
      <c r="CM132" s="163">
        <v>1</v>
      </c>
      <c r="CN132" s="163">
        <v>1</v>
      </c>
      <c r="CO132" s="163">
        <v>1</v>
      </c>
      <c r="CP132" s="163">
        <v>1</v>
      </c>
      <c r="CQ132" s="163">
        <v>1</v>
      </c>
      <c r="CR132" s="163">
        <v>1</v>
      </c>
      <c r="CS132" s="163">
        <v>1</v>
      </c>
      <c r="CT132" s="163">
        <v>1</v>
      </c>
      <c r="CU132" s="163">
        <v>1</v>
      </c>
      <c r="CV132" s="163">
        <v>1</v>
      </c>
      <c r="CW132" s="163">
        <v>1</v>
      </c>
      <c r="CX132" s="163">
        <v>1</v>
      </c>
      <c r="CY132" s="163">
        <v>1</v>
      </c>
      <c r="CZ132" s="163">
        <v>1</v>
      </c>
      <c r="DA132" s="163">
        <v>1</v>
      </c>
      <c r="DB132" s="163">
        <v>1</v>
      </c>
      <c r="DC132" s="163">
        <v>1</v>
      </c>
      <c r="DD132" s="163">
        <v>1</v>
      </c>
      <c r="DE132" s="163">
        <v>1</v>
      </c>
      <c r="DF132" s="163">
        <v>1</v>
      </c>
      <c r="DG132" s="163">
        <v>1</v>
      </c>
      <c r="DH132" s="347">
        <v>1</v>
      </c>
      <c r="DI132" s="163">
        <v>1</v>
      </c>
      <c r="DJ132" s="163">
        <v>1</v>
      </c>
      <c r="DK132" s="163">
        <v>1</v>
      </c>
      <c r="DL132" s="163">
        <v>1</v>
      </c>
      <c r="DM132" s="163">
        <v>1</v>
      </c>
      <c r="DN132" s="163">
        <v>1</v>
      </c>
      <c r="DO132" s="163">
        <v>1</v>
      </c>
      <c r="DP132" s="163">
        <v>1</v>
      </c>
      <c r="DQ132" s="163">
        <v>1</v>
      </c>
      <c r="DR132" s="163">
        <v>1</v>
      </c>
      <c r="DS132" s="163">
        <v>1</v>
      </c>
      <c r="DT132" s="163">
        <v>1</v>
      </c>
      <c r="DU132" s="163">
        <v>1</v>
      </c>
      <c r="DV132" s="163">
        <v>1</v>
      </c>
      <c r="DW132" s="163">
        <v>1</v>
      </c>
      <c r="DX132" s="163">
        <v>1</v>
      </c>
      <c r="DY132" s="163">
        <v>1</v>
      </c>
      <c r="DZ132" s="163">
        <v>1</v>
      </c>
      <c r="EA132" s="163">
        <v>1</v>
      </c>
      <c r="EB132" s="163">
        <v>1</v>
      </c>
      <c r="EC132" s="163">
        <v>1</v>
      </c>
      <c r="ED132" s="163">
        <v>1</v>
      </c>
      <c r="EE132" s="163">
        <v>1</v>
      </c>
      <c r="EF132" s="163">
        <v>1</v>
      </c>
      <c r="EG132" s="163">
        <v>1</v>
      </c>
      <c r="EH132" s="163">
        <v>1</v>
      </c>
      <c r="EI132" s="163">
        <v>1</v>
      </c>
      <c r="EJ132" s="163">
        <v>1</v>
      </c>
      <c r="EK132" s="163">
        <v>1</v>
      </c>
      <c r="EL132" s="163">
        <v>1</v>
      </c>
    </row>
    <row r="133" spans="2:142" ht="15" hidden="1" outlineLevel="1" collapsed="1" x14ac:dyDescent="0.3">
      <c r="B133" s="22"/>
      <c r="C133" s="23"/>
      <c r="D133" s="23" t="s">
        <v>137</v>
      </c>
      <c r="E133" s="50"/>
      <c r="F133" s="26">
        <v>40</v>
      </c>
      <c r="G133" s="160">
        <v>45707</v>
      </c>
      <c r="H133" s="160">
        <v>45769</v>
      </c>
      <c r="I133" s="26">
        <f>+SUM(I135:I136)</f>
        <v>70</v>
      </c>
      <c r="J133" s="28">
        <v>6.9648115450815076E-2</v>
      </c>
      <c r="K133" s="51"/>
      <c r="L133" s="28">
        <f>SUMPRODUCT(L134:L136,$J$134:$J$136)</f>
        <v>0</v>
      </c>
      <c r="M133" s="28">
        <f t="shared" ref="M133:BU133" si="325">SUMPRODUCT(M134:M136,$J$134:$J$136)</f>
        <v>0</v>
      </c>
      <c r="N133" s="28">
        <f t="shared" si="325"/>
        <v>0</v>
      </c>
      <c r="O133" s="28">
        <f t="shared" si="325"/>
        <v>0</v>
      </c>
      <c r="P133" s="28">
        <f t="shared" si="325"/>
        <v>0</v>
      </c>
      <c r="Q133" s="28">
        <f t="shared" si="325"/>
        <v>0</v>
      </c>
      <c r="R133" s="28">
        <f t="shared" si="325"/>
        <v>0</v>
      </c>
      <c r="S133" s="28">
        <f t="shared" si="325"/>
        <v>0</v>
      </c>
      <c r="T133" s="28">
        <f t="shared" si="325"/>
        <v>0</v>
      </c>
      <c r="U133" s="28">
        <f t="shared" si="325"/>
        <v>0</v>
      </c>
      <c r="V133" s="28">
        <f t="shared" si="325"/>
        <v>0</v>
      </c>
      <c r="W133" s="28">
        <f t="shared" si="325"/>
        <v>0</v>
      </c>
      <c r="X133" s="28">
        <f t="shared" si="325"/>
        <v>0</v>
      </c>
      <c r="Y133" s="28">
        <f t="shared" si="325"/>
        <v>0</v>
      </c>
      <c r="Z133" s="28">
        <f t="shared" si="325"/>
        <v>0</v>
      </c>
      <c r="AA133" s="28">
        <f t="shared" si="325"/>
        <v>0</v>
      </c>
      <c r="AB133" s="28">
        <f t="shared" si="325"/>
        <v>0</v>
      </c>
      <c r="AC133" s="28">
        <f t="shared" si="325"/>
        <v>0</v>
      </c>
      <c r="AD133" s="28">
        <f t="shared" si="325"/>
        <v>0</v>
      </c>
      <c r="AE133" s="28">
        <f t="shared" si="325"/>
        <v>0</v>
      </c>
      <c r="AF133" s="28">
        <f t="shared" si="325"/>
        <v>0</v>
      </c>
      <c r="AG133" s="28">
        <f t="shared" si="325"/>
        <v>0</v>
      </c>
      <c r="AH133" s="28">
        <f t="shared" si="325"/>
        <v>0</v>
      </c>
      <c r="AI133" s="28">
        <f t="shared" si="325"/>
        <v>0</v>
      </c>
      <c r="AJ133" s="28">
        <f t="shared" si="325"/>
        <v>0</v>
      </c>
      <c r="AK133" s="28">
        <f t="shared" si="325"/>
        <v>0</v>
      </c>
      <c r="AL133" s="28">
        <f t="shared" si="325"/>
        <v>0</v>
      </c>
      <c r="AM133" s="28">
        <f t="shared" si="325"/>
        <v>0</v>
      </c>
      <c r="AN133" s="28">
        <f t="shared" si="325"/>
        <v>0</v>
      </c>
      <c r="AO133" s="28">
        <f t="shared" si="325"/>
        <v>0</v>
      </c>
      <c r="AP133" s="28">
        <f t="shared" si="325"/>
        <v>0</v>
      </c>
      <c r="AQ133" s="28">
        <f t="shared" si="325"/>
        <v>0</v>
      </c>
      <c r="AR133" s="28">
        <f t="shared" si="325"/>
        <v>0</v>
      </c>
      <c r="AS133" s="28">
        <f t="shared" si="325"/>
        <v>0</v>
      </c>
      <c r="AT133" s="28">
        <f t="shared" si="325"/>
        <v>0</v>
      </c>
      <c r="AU133" s="28">
        <f t="shared" si="325"/>
        <v>0</v>
      </c>
      <c r="AV133" s="28">
        <f t="shared" si="325"/>
        <v>0</v>
      </c>
      <c r="AW133" s="28">
        <f t="shared" si="325"/>
        <v>0</v>
      </c>
      <c r="AX133" s="28">
        <f t="shared" si="325"/>
        <v>0</v>
      </c>
      <c r="AY133" s="28">
        <f t="shared" si="325"/>
        <v>0</v>
      </c>
      <c r="AZ133" s="28">
        <f t="shared" si="325"/>
        <v>0</v>
      </c>
      <c r="BA133" s="28">
        <f t="shared" si="325"/>
        <v>0</v>
      </c>
      <c r="BB133" s="28">
        <f t="shared" si="325"/>
        <v>0</v>
      </c>
      <c r="BC133" s="28">
        <f t="shared" si="325"/>
        <v>0</v>
      </c>
      <c r="BD133" s="28">
        <f t="shared" si="325"/>
        <v>0</v>
      </c>
      <c r="BE133" s="28">
        <f t="shared" si="325"/>
        <v>0</v>
      </c>
      <c r="BF133" s="28">
        <f t="shared" si="325"/>
        <v>0</v>
      </c>
      <c r="BG133" s="28">
        <f t="shared" si="325"/>
        <v>0</v>
      </c>
      <c r="BH133" s="28">
        <f t="shared" si="325"/>
        <v>0</v>
      </c>
      <c r="BI133" s="28">
        <f t="shared" si="325"/>
        <v>4.0000000000000008E-2</v>
      </c>
      <c r="BJ133" s="28">
        <f t="shared" si="325"/>
        <v>0.16125</v>
      </c>
      <c r="BK133" s="28">
        <f t="shared" si="325"/>
        <v>0.28250000000000003</v>
      </c>
      <c r="BL133" s="28">
        <f t="shared" si="325"/>
        <v>0.40375000000000005</v>
      </c>
      <c r="BM133" s="28">
        <f t="shared" si="325"/>
        <v>0.55500000000000005</v>
      </c>
      <c r="BN133" s="28">
        <f t="shared" si="325"/>
        <v>0.66625000000000001</v>
      </c>
      <c r="BO133" s="28">
        <f t="shared" si="325"/>
        <v>0.77750000000000008</v>
      </c>
      <c r="BP133" s="28">
        <f t="shared" si="325"/>
        <v>0.88874999999999993</v>
      </c>
      <c r="BQ133" s="28">
        <f t="shared" si="325"/>
        <v>1</v>
      </c>
      <c r="BR133" s="161">
        <f t="shared" si="325"/>
        <v>1</v>
      </c>
      <c r="BS133" s="161">
        <f t="shared" si="325"/>
        <v>1</v>
      </c>
      <c r="BT133" s="161">
        <f t="shared" si="325"/>
        <v>1</v>
      </c>
      <c r="BU133" s="161">
        <f t="shared" si="325"/>
        <v>1</v>
      </c>
      <c r="BV133" s="161">
        <f t="shared" ref="BV133:CL133" si="326">SUMPRODUCT(BV134:BV136,$J$134:$J$136)</f>
        <v>1</v>
      </c>
      <c r="BW133" s="161">
        <f t="shared" si="326"/>
        <v>1</v>
      </c>
      <c r="BX133" s="161">
        <f t="shared" si="326"/>
        <v>1</v>
      </c>
      <c r="BY133" s="161">
        <f t="shared" si="326"/>
        <v>1</v>
      </c>
      <c r="BZ133" s="161">
        <f t="shared" si="326"/>
        <v>1</v>
      </c>
      <c r="CA133" s="161">
        <f t="shared" si="326"/>
        <v>1</v>
      </c>
      <c r="CB133" s="161">
        <f t="shared" si="326"/>
        <v>1</v>
      </c>
      <c r="CC133" s="161">
        <f t="shared" si="326"/>
        <v>1</v>
      </c>
      <c r="CD133" s="161">
        <f t="shared" si="326"/>
        <v>1</v>
      </c>
      <c r="CE133" s="161">
        <f t="shared" si="326"/>
        <v>1</v>
      </c>
      <c r="CF133" s="161">
        <f t="shared" si="326"/>
        <v>1</v>
      </c>
      <c r="CG133" s="161">
        <f t="shared" si="326"/>
        <v>1</v>
      </c>
      <c r="CH133" s="161">
        <f t="shared" si="326"/>
        <v>1</v>
      </c>
      <c r="CI133" s="161">
        <f t="shared" si="326"/>
        <v>1</v>
      </c>
      <c r="CJ133" s="161">
        <f t="shared" si="326"/>
        <v>1</v>
      </c>
      <c r="CK133" s="161">
        <f t="shared" si="326"/>
        <v>1</v>
      </c>
      <c r="CL133" s="161">
        <f t="shared" si="326"/>
        <v>1</v>
      </c>
      <c r="CM133" s="161">
        <f t="shared" ref="CM133:CN133" si="327">SUMPRODUCT(CM134:CM136,$J$134:$J$136)</f>
        <v>1</v>
      </c>
      <c r="CN133" s="161">
        <f t="shared" si="327"/>
        <v>1</v>
      </c>
      <c r="CO133" s="161">
        <f t="shared" ref="CO133" si="328">SUMPRODUCT(CO134:CO136,$J$134:$J$136)</f>
        <v>1</v>
      </c>
      <c r="CP133" s="161">
        <f t="shared" ref="CP133:CV133" si="329">SUMPRODUCT(CP134:CP136,$J$134:$J$136)</f>
        <v>1</v>
      </c>
      <c r="CQ133" s="161">
        <f t="shared" si="329"/>
        <v>1</v>
      </c>
      <c r="CR133" s="161">
        <f t="shared" si="329"/>
        <v>1</v>
      </c>
      <c r="CS133" s="161">
        <f t="shared" si="329"/>
        <v>1</v>
      </c>
      <c r="CT133" s="161">
        <f t="shared" si="329"/>
        <v>1</v>
      </c>
      <c r="CU133" s="161">
        <f t="shared" si="329"/>
        <v>1</v>
      </c>
      <c r="CV133" s="161">
        <f t="shared" si="329"/>
        <v>1</v>
      </c>
      <c r="CW133" s="161">
        <f t="shared" ref="CW133:CY133" si="330">SUMPRODUCT(CW134:CW136,$J$134:$J$136)</f>
        <v>1</v>
      </c>
      <c r="CX133" s="161">
        <f t="shared" si="330"/>
        <v>1</v>
      </c>
      <c r="CY133" s="161">
        <f t="shared" si="330"/>
        <v>1</v>
      </c>
      <c r="CZ133" s="161">
        <f t="shared" ref="CZ133:DA133" si="331">SUMPRODUCT(CZ134:CZ136,$J$134:$J$136)</f>
        <v>1</v>
      </c>
      <c r="DA133" s="161">
        <f t="shared" si="331"/>
        <v>1</v>
      </c>
      <c r="DB133" s="161">
        <f t="shared" ref="DB133:DC133" si="332">SUMPRODUCT(DB134:DB136,$J$134:$J$136)</f>
        <v>1</v>
      </c>
      <c r="DC133" s="161">
        <f t="shared" si="332"/>
        <v>1</v>
      </c>
      <c r="DD133" s="161">
        <f t="shared" ref="DD133:DE133" si="333">SUMPRODUCT(DD134:DD136,$J$134:$J$136)</f>
        <v>1</v>
      </c>
      <c r="DE133" s="161">
        <f t="shared" si="333"/>
        <v>1</v>
      </c>
      <c r="DF133" s="161">
        <f t="shared" ref="DF133:DG133" si="334">SUMPRODUCT(DF134:DF136,$J$134:$J$136)</f>
        <v>1</v>
      </c>
      <c r="DG133" s="161">
        <f t="shared" si="334"/>
        <v>1</v>
      </c>
      <c r="DH133" s="346">
        <f t="shared" ref="DH133:EL133" si="335">SUMPRODUCT(DH134:DH136,$J$134:$J$136)</f>
        <v>1</v>
      </c>
      <c r="DI133" s="161">
        <f t="shared" si="335"/>
        <v>1</v>
      </c>
      <c r="DJ133" s="161">
        <f t="shared" si="335"/>
        <v>1</v>
      </c>
      <c r="DK133" s="161">
        <f t="shared" si="335"/>
        <v>1</v>
      </c>
      <c r="DL133" s="161">
        <f t="shared" si="335"/>
        <v>1</v>
      </c>
      <c r="DM133" s="161">
        <f t="shared" si="335"/>
        <v>1</v>
      </c>
      <c r="DN133" s="161">
        <f t="shared" si="335"/>
        <v>1</v>
      </c>
      <c r="DO133" s="161">
        <f t="shared" si="335"/>
        <v>1</v>
      </c>
      <c r="DP133" s="161">
        <f t="shared" si="335"/>
        <v>1</v>
      </c>
      <c r="DQ133" s="161">
        <f t="shared" si="335"/>
        <v>1</v>
      </c>
      <c r="DR133" s="161">
        <f t="shared" si="335"/>
        <v>1</v>
      </c>
      <c r="DS133" s="161">
        <f t="shared" si="335"/>
        <v>1</v>
      </c>
      <c r="DT133" s="161">
        <f t="shared" si="335"/>
        <v>1</v>
      </c>
      <c r="DU133" s="161">
        <f t="shared" si="335"/>
        <v>1</v>
      </c>
      <c r="DV133" s="161">
        <f t="shared" si="335"/>
        <v>1</v>
      </c>
      <c r="DW133" s="161">
        <f t="shared" si="335"/>
        <v>1</v>
      </c>
      <c r="DX133" s="161">
        <f t="shared" si="335"/>
        <v>1</v>
      </c>
      <c r="DY133" s="161">
        <f t="shared" si="335"/>
        <v>1</v>
      </c>
      <c r="DZ133" s="161">
        <f t="shared" si="335"/>
        <v>1</v>
      </c>
      <c r="EA133" s="161">
        <f t="shared" si="335"/>
        <v>1</v>
      </c>
      <c r="EB133" s="161">
        <f t="shared" si="335"/>
        <v>1</v>
      </c>
      <c r="EC133" s="161">
        <f t="shared" si="335"/>
        <v>1</v>
      </c>
      <c r="ED133" s="161">
        <f t="shared" si="335"/>
        <v>1</v>
      </c>
      <c r="EE133" s="161">
        <f t="shared" si="335"/>
        <v>1</v>
      </c>
      <c r="EF133" s="161">
        <f t="shared" si="335"/>
        <v>1</v>
      </c>
      <c r="EG133" s="161">
        <f t="shared" si="335"/>
        <v>1</v>
      </c>
      <c r="EH133" s="161">
        <f t="shared" si="335"/>
        <v>1</v>
      </c>
      <c r="EI133" s="161">
        <f t="shared" si="335"/>
        <v>1</v>
      </c>
      <c r="EJ133" s="161">
        <f t="shared" si="335"/>
        <v>1</v>
      </c>
      <c r="EK133" s="161">
        <f t="shared" si="335"/>
        <v>1</v>
      </c>
      <c r="EL133" s="161">
        <f t="shared" si="335"/>
        <v>1</v>
      </c>
    </row>
    <row r="134" spans="2:142" hidden="1" outlineLevel="2" x14ac:dyDescent="0.3">
      <c r="B134" s="29"/>
      <c r="C134" s="30"/>
      <c r="D134" s="30"/>
      <c r="E134" s="52" t="s">
        <v>138</v>
      </c>
      <c r="F134" s="33">
        <v>30</v>
      </c>
      <c r="G134" s="162">
        <v>45679</v>
      </c>
      <c r="H134" s="162">
        <v>45722</v>
      </c>
      <c r="I134" s="33">
        <f>+F134</f>
        <v>30</v>
      </c>
      <c r="J134" s="35">
        <v>0.2</v>
      </c>
      <c r="K134" s="53"/>
      <c r="L134" s="127">
        <v>0</v>
      </c>
      <c r="M134" s="127">
        <v>0</v>
      </c>
      <c r="N134" s="127">
        <v>0</v>
      </c>
      <c r="O134" s="127">
        <v>0</v>
      </c>
      <c r="P134" s="127">
        <v>0</v>
      </c>
      <c r="Q134" s="127">
        <v>0</v>
      </c>
      <c r="R134" s="127">
        <v>0</v>
      </c>
      <c r="S134" s="127">
        <v>0</v>
      </c>
      <c r="T134" s="127">
        <v>0</v>
      </c>
      <c r="U134" s="127">
        <v>0</v>
      </c>
      <c r="V134" s="127">
        <v>0</v>
      </c>
      <c r="W134" s="127">
        <v>0</v>
      </c>
      <c r="X134" s="127">
        <v>0</v>
      </c>
      <c r="Y134" s="127">
        <v>0</v>
      </c>
      <c r="Z134" s="127">
        <v>0</v>
      </c>
      <c r="AA134" s="127">
        <v>0</v>
      </c>
      <c r="AB134" s="127">
        <v>0</v>
      </c>
      <c r="AC134" s="127">
        <v>0</v>
      </c>
      <c r="AD134" s="127">
        <v>0</v>
      </c>
      <c r="AE134" s="127">
        <v>0</v>
      </c>
      <c r="AF134" s="127">
        <v>0</v>
      </c>
      <c r="AG134" s="127">
        <v>0</v>
      </c>
      <c r="AH134" s="127">
        <v>0</v>
      </c>
      <c r="AI134" s="127">
        <v>0</v>
      </c>
      <c r="AJ134" s="127">
        <v>0</v>
      </c>
      <c r="AK134" s="127">
        <v>0</v>
      </c>
      <c r="AL134" s="127">
        <v>0</v>
      </c>
      <c r="AM134" s="127">
        <v>0</v>
      </c>
      <c r="AN134" s="127">
        <v>0</v>
      </c>
      <c r="AO134" s="127">
        <v>0</v>
      </c>
      <c r="AP134" s="127">
        <v>0</v>
      </c>
      <c r="AQ134" s="127">
        <v>0</v>
      </c>
      <c r="AR134" s="127">
        <v>0</v>
      </c>
      <c r="AS134" s="127">
        <v>0</v>
      </c>
      <c r="AT134" s="127">
        <v>0</v>
      </c>
      <c r="AU134" s="127">
        <v>0</v>
      </c>
      <c r="AV134" s="127">
        <v>0</v>
      </c>
      <c r="AW134" s="127">
        <v>0</v>
      </c>
      <c r="AX134" s="127">
        <v>0</v>
      </c>
      <c r="AY134" s="127">
        <v>0</v>
      </c>
      <c r="AZ134" s="127">
        <v>0</v>
      </c>
      <c r="BA134" s="127">
        <v>0</v>
      </c>
      <c r="BB134" s="127">
        <v>0</v>
      </c>
      <c r="BC134" s="127">
        <v>0</v>
      </c>
      <c r="BD134" s="127">
        <v>0</v>
      </c>
      <c r="BE134" s="127">
        <v>0</v>
      </c>
      <c r="BF134" s="127">
        <v>0</v>
      </c>
      <c r="BG134" s="127">
        <v>0</v>
      </c>
      <c r="BH134" s="127">
        <v>0</v>
      </c>
      <c r="BI134" s="127">
        <v>0.2</v>
      </c>
      <c r="BJ134" s="127">
        <v>0.4</v>
      </c>
      <c r="BK134" s="127">
        <v>0.60000000000000009</v>
      </c>
      <c r="BL134" s="127">
        <v>0.8</v>
      </c>
      <c r="BM134" s="127">
        <v>1</v>
      </c>
      <c r="BN134" s="127">
        <v>1</v>
      </c>
      <c r="BO134" s="127">
        <v>1</v>
      </c>
      <c r="BP134" s="127">
        <v>1</v>
      </c>
      <c r="BQ134" s="127">
        <v>1</v>
      </c>
      <c r="BR134" s="163">
        <v>1</v>
      </c>
      <c r="BS134" s="163">
        <v>1</v>
      </c>
      <c r="BT134" s="163">
        <v>1</v>
      </c>
      <c r="BU134" s="163">
        <v>1</v>
      </c>
      <c r="BV134" s="163">
        <v>1</v>
      </c>
      <c r="BW134" s="163">
        <v>1</v>
      </c>
      <c r="BX134" s="163">
        <v>1</v>
      </c>
      <c r="BY134" s="163">
        <v>1</v>
      </c>
      <c r="BZ134" s="163">
        <v>1</v>
      </c>
      <c r="CA134" s="163">
        <v>1</v>
      </c>
      <c r="CB134" s="163">
        <v>1</v>
      </c>
      <c r="CC134" s="163">
        <v>1</v>
      </c>
      <c r="CD134" s="163">
        <v>1</v>
      </c>
      <c r="CE134" s="163">
        <v>1</v>
      </c>
      <c r="CF134" s="163">
        <v>1</v>
      </c>
      <c r="CG134" s="163">
        <v>1</v>
      </c>
      <c r="CH134" s="163">
        <v>1</v>
      </c>
      <c r="CI134" s="163">
        <v>1</v>
      </c>
      <c r="CJ134" s="163">
        <v>1</v>
      </c>
      <c r="CK134" s="163">
        <v>1</v>
      </c>
      <c r="CL134" s="163">
        <v>1</v>
      </c>
      <c r="CM134" s="163">
        <v>1</v>
      </c>
      <c r="CN134" s="163">
        <v>1</v>
      </c>
      <c r="CO134" s="163">
        <v>1</v>
      </c>
      <c r="CP134" s="163">
        <v>1</v>
      </c>
      <c r="CQ134" s="163">
        <v>1</v>
      </c>
      <c r="CR134" s="163">
        <v>1</v>
      </c>
      <c r="CS134" s="163">
        <v>1</v>
      </c>
      <c r="CT134" s="163">
        <v>1</v>
      </c>
      <c r="CU134" s="163">
        <v>1</v>
      </c>
      <c r="CV134" s="163">
        <v>1</v>
      </c>
      <c r="CW134" s="163">
        <v>1</v>
      </c>
      <c r="CX134" s="163">
        <v>1</v>
      </c>
      <c r="CY134" s="163">
        <v>1</v>
      </c>
      <c r="CZ134" s="163">
        <v>1</v>
      </c>
      <c r="DA134" s="163">
        <v>1</v>
      </c>
      <c r="DB134" s="163">
        <v>1</v>
      </c>
      <c r="DC134" s="163">
        <v>1</v>
      </c>
      <c r="DD134" s="163">
        <v>1</v>
      </c>
      <c r="DE134" s="163">
        <v>1</v>
      </c>
      <c r="DF134" s="163">
        <v>1</v>
      </c>
      <c r="DG134" s="163">
        <v>1</v>
      </c>
      <c r="DH134" s="347">
        <v>1</v>
      </c>
      <c r="DI134" s="163">
        <v>1</v>
      </c>
      <c r="DJ134" s="163">
        <v>1</v>
      </c>
      <c r="DK134" s="163">
        <v>1</v>
      </c>
      <c r="DL134" s="163">
        <v>1</v>
      </c>
      <c r="DM134" s="163">
        <v>1</v>
      </c>
      <c r="DN134" s="163">
        <v>1</v>
      </c>
      <c r="DO134" s="163">
        <v>1</v>
      </c>
      <c r="DP134" s="163">
        <v>1</v>
      </c>
      <c r="DQ134" s="163">
        <v>1</v>
      </c>
      <c r="DR134" s="163">
        <v>1</v>
      </c>
      <c r="DS134" s="163">
        <v>1</v>
      </c>
      <c r="DT134" s="163">
        <v>1</v>
      </c>
      <c r="DU134" s="163">
        <v>1</v>
      </c>
      <c r="DV134" s="163">
        <v>1</v>
      </c>
      <c r="DW134" s="163">
        <v>1</v>
      </c>
      <c r="DX134" s="163">
        <v>1</v>
      </c>
      <c r="DY134" s="163">
        <v>1</v>
      </c>
      <c r="DZ134" s="163">
        <v>1</v>
      </c>
      <c r="EA134" s="163">
        <v>1</v>
      </c>
      <c r="EB134" s="163">
        <v>1</v>
      </c>
      <c r="EC134" s="163">
        <v>1</v>
      </c>
      <c r="ED134" s="163">
        <v>1</v>
      </c>
      <c r="EE134" s="163">
        <v>1</v>
      </c>
      <c r="EF134" s="163">
        <v>1</v>
      </c>
      <c r="EG134" s="163">
        <v>1</v>
      </c>
      <c r="EH134" s="163">
        <v>1</v>
      </c>
      <c r="EI134" s="163">
        <v>1</v>
      </c>
      <c r="EJ134" s="163">
        <v>1</v>
      </c>
      <c r="EK134" s="163">
        <v>1</v>
      </c>
      <c r="EL134" s="163">
        <v>1</v>
      </c>
    </row>
    <row r="135" spans="2:142" hidden="1" outlineLevel="2" x14ac:dyDescent="0.3">
      <c r="B135" s="29"/>
      <c r="C135" s="30"/>
      <c r="D135" s="30"/>
      <c r="E135" s="52" t="s">
        <v>139</v>
      </c>
      <c r="F135" s="33">
        <v>30</v>
      </c>
      <c r="G135" s="162">
        <v>45721</v>
      </c>
      <c r="H135" s="162">
        <v>45763</v>
      </c>
      <c r="I135" s="33">
        <f>+F135</f>
        <v>30</v>
      </c>
      <c r="J135" s="35">
        <v>0.15</v>
      </c>
      <c r="K135" s="53"/>
      <c r="L135" s="127">
        <v>0</v>
      </c>
      <c r="M135" s="127">
        <v>0</v>
      </c>
      <c r="N135" s="127">
        <v>0</v>
      </c>
      <c r="O135" s="127">
        <v>0</v>
      </c>
      <c r="P135" s="127">
        <v>0</v>
      </c>
      <c r="Q135" s="127">
        <v>0</v>
      </c>
      <c r="R135" s="127">
        <v>0</v>
      </c>
      <c r="S135" s="127">
        <v>0</v>
      </c>
      <c r="T135" s="127">
        <v>0</v>
      </c>
      <c r="U135" s="127">
        <v>0</v>
      </c>
      <c r="V135" s="127">
        <v>0</v>
      </c>
      <c r="W135" s="127">
        <v>0</v>
      </c>
      <c r="X135" s="127">
        <v>0</v>
      </c>
      <c r="Y135" s="127">
        <v>0</v>
      </c>
      <c r="Z135" s="127">
        <v>0</v>
      </c>
      <c r="AA135" s="127">
        <v>0</v>
      </c>
      <c r="AB135" s="127">
        <v>0</v>
      </c>
      <c r="AC135" s="127">
        <v>0</v>
      </c>
      <c r="AD135" s="127">
        <v>0</v>
      </c>
      <c r="AE135" s="127">
        <v>0</v>
      </c>
      <c r="AF135" s="127">
        <v>0</v>
      </c>
      <c r="AG135" s="127">
        <v>0</v>
      </c>
      <c r="AH135" s="127">
        <v>0</v>
      </c>
      <c r="AI135" s="127">
        <v>0</v>
      </c>
      <c r="AJ135" s="127">
        <v>0</v>
      </c>
      <c r="AK135" s="127">
        <v>0</v>
      </c>
      <c r="AL135" s="127">
        <v>0</v>
      </c>
      <c r="AM135" s="127">
        <v>0</v>
      </c>
      <c r="AN135" s="127">
        <v>0</v>
      </c>
      <c r="AO135" s="127">
        <v>0</v>
      </c>
      <c r="AP135" s="127">
        <v>0</v>
      </c>
      <c r="AQ135" s="127">
        <v>0</v>
      </c>
      <c r="AR135" s="127">
        <v>0</v>
      </c>
      <c r="AS135" s="127">
        <v>0</v>
      </c>
      <c r="AT135" s="127">
        <v>0</v>
      </c>
      <c r="AU135" s="127">
        <v>0</v>
      </c>
      <c r="AV135" s="127">
        <v>0</v>
      </c>
      <c r="AW135" s="127">
        <v>0</v>
      </c>
      <c r="AX135" s="127">
        <v>0</v>
      </c>
      <c r="AY135" s="127">
        <v>0</v>
      </c>
      <c r="AZ135" s="127">
        <v>0</v>
      </c>
      <c r="BA135" s="127">
        <v>0</v>
      </c>
      <c r="BB135" s="127">
        <v>0</v>
      </c>
      <c r="BC135" s="127">
        <v>0</v>
      </c>
      <c r="BD135" s="127">
        <v>0</v>
      </c>
      <c r="BE135" s="127">
        <v>0</v>
      </c>
      <c r="BF135" s="127">
        <v>0</v>
      </c>
      <c r="BG135" s="127">
        <v>0</v>
      </c>
      <c r="BH135" s="127">
        <v>0</v>
      </c>
      <c r="BI135" s="127">
        <v>0</v>
      </c>
      <c r="BJ135" s="127">
        <v>0</v>
      </c>
      <c r="BK135" s="127">
        <v>0</v>
      </c>
      <c r="BL135" s="127">
        <v>0</v>
      </c>
      <c r="BM135" s="127">
        <v>0.2</v>
      </c>
      <c r="BN135" s="127">
        <v>0.4</v>
      </c>
      <c r="BO135" s="127">
        <v>0.60000000000000009</v>
      </c>
      <c r="BP135" s="127">
        <v>0.8</v>
      </c>
      <c r="BQ135" s="127">
        <v>1</v>
      </c>
      <c r="BR135" s="163">
        <v>1</v>
      </c>
      <c r="BS135" s="163">
        <v>1</v>
      </c>
      <c r="BT135" s="163">
        <v>1</v>
      </c>
      <c r="BU135" s="163">
        <v>1</v>
      </c>
      <c r="BV135" s="163">
        <v>1</v>
      </c>
      <c r="BW135" s="163">
        <v>1</v>
      </c>
      <c r="BX135" s="163">
        <v>1</v>
      </c>
      <c r="BY135" s="163">
        <v>1</v>
      </c>
      <c r="BZ135" s="163">
        <v>1</v>
      </c>
      <c r="CA135" s="163">
        <v>1</v>
      </c>
      <c r="CB135" s="163">
        <v>1</v>
      </c>
      <c r="CC135" s="163">
        <v>1</v>
      </c>
      <c r="CD135" s="163">
        <v>1</v>
      </c>
      <c r="CE135" s="163">
        <v>1</v>
      </c>
      <c r="CF135" s="163">
        <v>1</v>
      </c>
      <c r="CG135" s="163">
        <v>1</v>
      </c>
      <c r="CH135" s="163">
        <v>1</v>
      </c>
      <c r="CI135" s="163">
        <v>1</v>
      </c>
      <c r="CJ135" s="163">
        <v>1</v>
      </c>
      <c r="CK135" s="163">
        <v>1</v>
      </c>
      <c r="CL135" s="163">
        <v>1</v>
      </c>
      <c r="CM135" s="163">
        <v>1</v>
      </c>
      <c r="CN135" s="163">
        <v>1</v>
      </c>
      <c r="CO135" s="163">
        <v>1</v>
      </c>
      <c r="CP135" s="163">
        <v>1</v>
      </c>
      <c r="CQ135" s="163">
        <v>1</v>
      </c>
      <c r="CR135" s="163">
        <v>1</v>
      </c>
      <c r="CS135" s="163">
        <v>1</v>
      </c>
      <c r="CT135" s="163">
        <v>1</v>
      </c>
      <c r="CU135" s="163">
        <v>1</v>
      </c>
      <c r="CV135" s="163">
        <v>1</v>
      </c>
      <c r="CW135" s="163">
        <v>1</v>
      </c>
      <c r="CX135" s="163">
        <v>1</v>
      </c>
      <c r="CY135" s="163">
        <v>1</v>
      </c>
      <c r="CZ135" s="163">
        <v>1</v>
      </c>
      <c r="DA135" s="163">
        <v>1</v>
      </c>
      <c r="DB135" s="163">
        <v>1</v>
      </c>
      <c r="DC135" s="163">
        <v>1</v>
      </c>
      <c r="DD135" s="163">
        <v>1</v>
      </c>
      <c r="DE135" s="163">
        <v>1</v>
      </c>
      <c r="DF135" s="163">
        <v>1</v>
      </c>
      <c r="DG135" s="163">
        <v>1</v>
      </c>
      <c r="DH135" s="347">
        <v>1</v>
      </c>
      <c r="DI135" s="163">
        <v>1</v>
      </c>
      <c r="DJ135" s="163">
        <v>1</v>
      </c>
      <c r="DK135" s="163">
        <v>1</v>
      </c>
      <c r="DL135" s="163">
        <v>1</v>
      </c>
      <c r="DM135" s="163">
        <v>1</v>
      </c>
      <c r="DN135" s="163">
        <v>1</v>
      </c>
      <c r="DO135" s="163">
        <v>1</v>
      </c>
      <c r="DP135" s="163">
        <v>1</v>
      </c>
      <c r="DQ135" s="163">
        <v>1</v>
      </c>
      <c r="DR135" s="163">
        <v>1</v>
      </c>
      <c r="DS135" s="163">
        <v>1</v>
      </c>
      <c r="DT135" s="163">
        <v>1</v>
      </c>
      <c r="DU135" s="163">
        <v>1</v>
      </c>
      <c r="DV135" s="163">
        <v>1</v>
      </c>
      <c r="DW135" s="163">
        <v>1</v>
      </c>
      <c r="DX135" s="163">
        <v>1</v>
      </c>
      <c r="DY135" s="163">
        <v>1</v>
      </c>
      <c r="DZ135" s="163">
        <v>1</v>
      </c>
      <c r="EA135" s="163">
        <v>1</v>
      </c>
      <c r="EB135" s="163">
        <v>1</v>
      </c>
      <c r="EC135" s="163">
        <v>1</v>
      </c>
      <c r="ED135" s="163">
        <v>1</v>
      </c>
      <c r="EE135" s="163">
        <v>1</v>
      </c>
      <c r="EF135" s="163">
        <v>1</v>
      </c>
      <c r="EG135" s="163">
        <v>1</v>
      </c>
      <c r="EH135" s="163">
        <v>1</v>
      </c>
      <c r="EI135" s="163">
        <v>1</v>
      </c>
      <c r="EJ135" s="163">
        <v>1</v>
      </c>
      <c r="EK135" s="163">
        <v>1</v>
      </c>
      <c r="EL135" s="163">
        <v>1</v>
      </c>
    </row>
    <row r="136" spans="2:142" hidden="1" outlineLevel="2" x14ac:dyDescent="0.3">
      <c r="B136" s="29"/>
      <c r="C136" s="30"/>
      <c r="D136" s="30"/>
      <c r="E136" s="52" t="s">
        <v>140</v>
      </c>
      <c r="F136" s="33">
        <v>40</v>
      </c>
      <c r="G136" s="162">
        <v>45707</v>
      </c>
      <c r="H136" s="162">
        <v>45769</v>
      </c>
      <c r="I136" s="33">
        <f>+F136</f>
        <v>40</v>
      </c>
      <c r="J136" s="35">
        <v>0.65</v>
      </c>
      <c r="K136" s="53"/>
      <c r="L136" s="127">
        <v>0</v>
      </c>
      <c r="M136" s="127">
        <v>0</v>
      </c>
      <c r="N136" s="127">
        <v>0</v>
      </c>
      <c r="O136" s="127">
        <v>0</v>
      </c>
      <c r="P136" s="127">
        <v>0</v>
      </c>
      <c r="Q136" s="127">
        <v>0</v>
      </c>
      <c r="R136" s="127">
        <v>0</v>
      </c>
      <c r="S136" s="127">
        <v>0</v>
      </c>
      <c r="T136" s="127">
        <v>0</v>
      </c>
      <c r="U136" s="127">
        <v>0</v>
      </c>
      <c r="V136" s="127">
        <v>0</v>
      </c>
      <c r="W136" s="127">
        <v>0</v>
      </c>
      <c r="X136" s="127">
        <v>0</v>
      </c>
      <c r="Y136" s="127">
        <v>0</v>
      </c>
      <c r="Z136" s="127">
        <v>0</v>
      </c>
      <c r="AA136" s="127">
        <v>0</v>
      </c>
      <c r="AB136" s="127">
        <v>0</v>
      </c>
      <c r="AC136" s="127">
        <v>0</v>
      </c>
      <c r="AD136" s="127">
        <v>0</v>
      </c>
      <c r="AE136" s="127">
        <v>0</v>
      </c>
      <c r="AF136" s="127">
        <v>0</v>
      </c>
      <c r="AG136" s="127">
        <v>0</v>
      </c>
      <c r="AH136" s="127">
        <v>0</v>
      </c>
      <c r="AI136" s="127">
        <v>0</v>
      </c>
      <c r="AJ136" s="127">
        <v>0</v>
      </c>
      <c r="AK136" s="127">
        <v>0</v>
      </c>
      <c r="AL136" s="127">
        <v>0</v>
      </c>
      <c r="AM136" s="127">
        <v>0</v>
      </c>
      <c r="AN136" s="127">
        <v>0</v>
      </c>
      <c r="AO136" s="127">
        <v>0</v>
      </c>
      <c r="AP136" s="127">
        <v>0</v>
      </c>
      <c r="AQ136" s="127">
        <v>0</v>
      </c>
      <c r="AR136" s="127">
        <v>0</v>
      </c>
      <c r="AS136" s="127">
        <v>0</v>
      </c>
      <c r="AT136" s="127">
        <v>0</v>
      </c>
      <c r="AU136" s="127">
        <v>0</v>
      </c>
      <c r="AV136" s="127">
        <v>0</v>
      </c>
      <c r="AW136" s="127">
        <v>0</v>
      </c>
      <c r="AX136" s="127">
        <v>0</v>
      </c>
      <c r="AY136" s="127">
        <v>0</v>
      </c>
      <c r="AZ136" s="127">
        <v>0</v>
      </c>
      <c r="BA136" s="127">
        <v>0</v>
      </c>
      <c r="BB136" s="127">
        <v>0</v>
      </c>
      <c r="BC136" s="127">
        <v>0</v>
      </c>
      <c r="BD136" s="127">
        <v>0</v>
      </c>
      <c r="BE136" s="127">
        <v>0</v>
      </c>
      <c r="BF136" s="127">
        <v>0</v>
      </c>
      <c r="BG136" s="127">
        <v>0</v>
      </c>
      <c r="BH136" s="127">
        <v>0</v>
      </c>
      <c r="BI136" s="127">
        <v>0</v>
      </c>
      <c r="BJ136" s="127">
        <v>0.125</v>
      </c>
      <c r="BK136" s="127">
        <v>0.25</v>
      </c>
      <c r="BL136" s="127">
        <v>0.375</v>
      </c>
      <c r="BM136" s="127">
        <v>0.5</v>
      </c>
      <c r="BN136" s="127">
        <v>0.625</v>
      </c>
      <c r="BO136" s="127">
        <v>0.75</v>
      </c>
      <c r="BP136" s="127">
        <v>0.875</v>
      </c>
      <c r="BQ136" s="127">
        <v>1</v>
      </c>
      <c r="BR136" s="163">
        <v>1</v>
      </c>
      <c r="BS136" s="163">
        <v>1</v>
      </c>
      <c r="BT136" s="163">
        <v>1</v>
      </c>
      <c r="BU136" s="163">
        <v>1</v>
      </c>
      <c r="BV136" s="163">
        <v>1</v>
      </c>
      <c r="BW136" s="163">
        <v>1</v>
      </c>
      <c r="BX136" s="163">
        <v>1</v>
      </c>
      <c r="BY136" s="163">
        <v>1</v>
      </c>
      <c r="BZ136" s="163">
        <v>1</v>
      </c>
      <c r="CA136" s="163">
        <v>1</v>
      </c>
      <c r="CB136" s="163">
        <v>1</v>
      </c>
      <c r="CC136" s="163">
        <v>1</v>
      </c>
      <c r="CD136" s="163">
        <v>1</v>
      </c>
      <c r="CE136" s="163">
        <v>1</v>
      </c>
      <c r="CF136" s="163">
        <v>1</v>
      </c>
      <c r="CG136" s="163">
        <v>1</v>
      </c>
      <c r="CH136" s="163">
        <v>1</v>
      </c>
      <c r="CI136" s="163">
        <v>1</v>
      </c>
      <c r="CJ136" s="163">
        <v>1</v>
      </c>
      <c r="CK136" s="163">
        <v>1</v>
      </c>
      <c r="CL136" s="163">
        <v>1</v>
      </c>
      <c r="CM136" s="163">
        <v>1</v>
      </c>
      <c r="CN136" s="163">
        <v>1</v>
      </c>
      <c r="CO136" s="163">
        <v>1</v>
      </c>
      <c r="CP136" s="163">
        <v>1</v>
      </c>
      <c r="CQ136" s="163">
        <v>1</v>
      </c>
      <c r="CR136" s="163">
        <v>1</v>
      </c>
      <c r="CS136" s="163">
        <v>1</v>
      </c>
      <c r="CT136" s="163">
        <v>1</v>
      </c>
      <c r="CU136" s="163">
        <v>1</v>
      </c>
      <c r="CV136" s="163">
        <v>1</v>
      </c>
      <c r="CW136" s="163">
        <v>1</v>
      </c>
      <c r="CX136" s="163">
        <v>1</v>
      </c>
      <c r="CY136" s="163">
        <v>1</v>
      </c>
      <c r="CZ136" s="163">
        <v>1</v>
      </c>
      <c r="DA136" s="163">
        <v>1</v>
      </c>
      <c r="DB136" s="163">
        <v>1</v>
      </c>
      <c r="DC136" s="163">
        <v>1</v>
      </c>
      <c r="DD136" s="163">
        <v>1</v>
      </c>
      <c r="DE136" s="163">
        <v>1</v>
      </c>
      <c r="DF136" s="163">
        <v>1</v>
      </c>
      <c r="DG136" s="163">
        <v>1</v>
      </c>
      <c r="DH136" s="347">
        <v>1</v>
      </c>
      <c r="DI136" s="163">
        <v>1</v>
      </c>
      <c r="DJ136" s="163">
        <v>1</v>
      </c>
      <c r="DK136" s="163">
        <v>1</v>
      </c>
      <c r="DL136" s="163">
        <v>1</v>
      </c>
      <c r="DM136" s="163">
        <v>1</v>
      </c>
      <c r="DN136" s="163">
        <v>1</v>
      </c>
      <c r="DO136" s="163">
        <v>1</v>
      </c>
      <c r="DP136" s="163">
        <v>1</v>
      </c>
      <c r="DQ136" s="163">
        <v>1</v>
      </c>
      <c r="DR136" s="163">
        <v>1</v>
      </c>
      <c r="DS136" s="163">
        <v>1</v>
      </c>
      <c r="DT136" s="163">
        <v>1</v>
      </c>
      <c r="DU136" s="163">
        <v>1</v>
      </c>
      <c r="DV136" s="163">
        <v>1</v>
      </c>
      <c r="DW136" s="163">
        <v>1</v>
      </c>
      <c r="DX136" s="163">
        <v>1</v>
      </c>
      <c r="DY136" s="163">
        <v>1</v>
      </c>
      <c r="DZ136" s="163">
        <v>1</v>
      </c>
      <c r="EA136" s="163">
        <v>1</v>
      </c>
      <c r="EB136" s="163">
        <v>1</v>
      </c>
      <c r="EC136" s="163">
        <v>1</v>
      </c>
      <c r="ED136" s="163">
        <v>1</v>
      </c>
      <c r="EE136" s="163">
        <v>1</v>
      </c>
      <c r="EF136" s="163">
        <v>1</v>
      </c>
      <c r="EG136" s="163">
        <v>1</v>
      </c>
      <c r="EH136" s="163">
        <v>1</v>
      </c>
      <c r="EI136" s="163">
        <v>1</v>
      </c>
      <c r="EJ136" s="163">
        <v>1</v>
      </c>
      <c r="EK136" s="163">
        <v>1</v>
      </c>
      <c r="EL136" s="163">
        <v>1</v>
      </c>
    </row>
    <row r="137" spans="2:142" ht="15" hidden="1" outlineLevel="1" collapsed="1" x14ac:dyDescent="0.3">
      <c r="B137" s="22"/>
      <c r="C137" s="23"/>
      <c r="D137" s="23" t="s">
        <v>79</v>
      </c>
      <c r="E137" s="50"/>
      <c r="F137" s="26">
        <v>56</v>
      </c>
      <c r="G137" s="160">
        <v>45754</v>
      </c>
      <c r="H137" s="160">
        <v>45835</v>
      </c>
      <c r="I137" s="26">
        <f>+SUM(I138:I140)</f>
        <v>55</v>
      </c>
      <c r="J137" s="28">
        <v>0.02</v>
      </c>
      <c r="K137" s="51"/>
      <c r="L137" s="28">
        <f>+SUMPRODUCT($J$138:$J$140,L138:L140)</f>
        <v>0</v>
      </c>
      <c r="M137" s="28">
        <f t="shared" ref="M137:BU137" si="336">+SUMPRODUCT($J$138:$J$140,M138:M140)</f>
        <v>0</v>
      </c>
      <c r="N137" s="28">
        <f t="shared" si="336"/>
        <v>0</v>
      </c>
      <c r="O137" s="28">
        <f t="shared" si="336"/>
        <v>0</v>
      </c>
      <c r="P137" s="28">
        <f t="shared" si="336"/>
        <v>0</v>
      </c>
      <c r="Q137" s="28">
        <f t="shared" si="336"/>
        <v>0</v>
      </c>
      <c r="R137" s="28">
        <f t="shared" si="336"/>
        <v>0</v>
      </c>
      <c r="S137" s="28">
        <f t="shared" si="336"/>
        <v>0</v>
      </c>
      <c r="T137" s="28">
        <f t="shared" si="336"/>
        <v>0</v>
      </c>
      <c r="U137" s="28">
        <f t="shared" si="336"/>
        <v>0</v>
      </c>
      <c r="V137" s="28">
        <f t="shared" si="336"/>
        <v>0</v>
      </c>
      <c r="W137" s="28">
        <f t="shared" si="336"/>
        <v>0</v>
      </c>
      <c r="X137" s="28">
        <f t="shared" si="336"/>
        <v>0</v>
      </c>
      <c r="Y137" s="28">
        <f t="shared" si="336"/>
        <v>0</v>
      </c>
      <c r="Z137" s="28">
        <f t="shared" si="336"/>
        <v>0</v>
      </c>
      <c r="AA137" s="28">
        <f t="shared" si="336"/>
        <v>0</v>
      </c>
      <c r="AB137" s="28">
        <f t="shared" si="336"/>
        <v>0</v>
      </c>
      <c r="AC137" s="28">
        <f t="shared" si="336"/>
        <v>0</v>
      </c>
      <c r="AD137" s="28">
        <f t="shared" si="336"/>
        <v>0</v>
      </c>
      <c r="AE137" s="28">
        <f t="shared" si="336"/>
        <v>0</v>
      </c>
      <c r="AF137" s="28">
        <f t="shared" si="336"/>
        <v>0</v>
      </c>
      <c r="AG137" s="28">
        <f t="shared" si="336"/>
        <v>0</v>
      </c>
      <c r="AH137" s="28">
        <f t="shared" si="336"/>
        <v>0</v>
      </c>
      <c r="AI137" s="28">
        <f t="shared" si="336"/>
        <v>0</v>
      </c>
      <c r="AJ137" s="28">
        <f t="shared" si="336"/>
        <v>0</v>
      </c>
      <c r="AK137" s="28">
        <f t="shared" si="336"/>
        <v>0</v>
      </c>
      <c r="AL137" s="28">
        <f t="shared" si="336"/>
        <v>0</v>
      </c>
      <c r="AM137" s="28">
        <f t="shared" si="336"/>
        <v>0</v>
      </c>
      <c r="AN137" s="28">
        <f t="shared" si="336"/>
        <v>0</v>
      </c>
      <c r="AO137" s="28">
        <f t="shared" si="336"/>
        <v>0</v>
      </c>
      <c r="AP137" s="28">
        <f t="shared" si="336"/>
        <v>0</v>
      </c>
      <c r="AQ137" s="28">
        <f t="shared" si="336"/>
        <v>0</v>
      </c>
      <c r="AR137" s="28">
        <f t="shared" si="336"/>
        <v>0</v>
      </c>
      <c r="AS137" s="28">
        <f t="shared" si="336"/>
        <v>0</v>
      </c>
      <c r="AT137" s="28">
        <f t="shared" si="336"/>
        <v>0</v>
      </c>
      <c r="AU137" s="28">
        <f t="shared" si="336"/>
        <v>0</v>
      </c>
      <c r="AV137" s="28">
        <f t="shared" si="336"/>
        <v>0</v>
      </c>
      <c r="AW137" s="28">
        <f t="shared" si="336"/>
        <v>0</v>
      </c>
      <c r="AX137" s="28">
        <f t="shared" si="336"/>
        <v>0</v>
      </c>
      <c r="AY137" s="28">
        <f t="shared" si="336"/>
        <v>0</v>
      </c>
      <c r="AZ137" s="28">
        <f t="shared" si="336"/>
        <v>0</v>
      </c>
      <c r="BA137" s="28">
        <f t="shared" si="336"/>
        <v>0</v>
      </c>
      <c r="BB137" s="28">
        <f t="shared" si="336"/>
        <v>0</v>
      </c>
      <c r="BC137" s="28">
        <f t="shared" si="336"/>
        <v>0</v>
      </c>
      <c r="BD137" s="28">
        <f t="shared" si="336"/>
        <v>0</v>
      </c>
      <c r="BE137" s="28">
        <f t="shared" si="336"/>
        <v>0</v>
      </c>
      <c r="BF137" s="28">
        <f t="shared" si="336"/>
        <v>0</v>
      </c>
      <c r="BG137" s="28">
        <f t="shared" si="336"/>
        <v>0</v>
      </c>
      <c r="BH137" s="28">
        <f t="shared" si="336"/>
        <v>0</v>
      </c>
      <c r="BI137" s="28">
        <f t="shared" si="336"/>
        <v>0</v>
      </c>
      <c r="BJ137" s="28">
        <f t="shared" si="336"/>
        <v>0</v>
      </c>
      <c r="BK137" s="28">
        <f t="shared" si="336"/>
        <v>0</v>
      </c>
      <c r="BL137" s="28">
        <f t="shared" si="336"/>
        <v>0</v>
      </c>
      <c r="BM137" s="28">
        <f t="shared" si="336"/>
        <v>0</v>
      </c>
      <c r="BN137" s="28">
        <f t="shared" si="336"/>
        <v>0</v>
      </c>
      <c r="BO137" s="28">
        <f t="shared" si="336"/>
        <v>0</v>
      </c>
      <c r="BP137" s="28">
        <f t="shared" si="336"/>
        <v>0</v>
      </c>
      <c r="BQ137" s="28">
        <f t="shared" si="336"/>
        <v>0</v>
      </c>
      <c r="BR137" s="161">
        <f t="shared" si="336"/>
        <v>0.36363636363636365</v>
      </c>
      <c r="BS137" s="161">
        <f t="shared" si="336"/>
        <v>1</v>
      </c>
      <c r="BT137" s="161">
        <f t="shared" si="336"/>
        <v>1</v>
      </c>
      <c r="BU137" s="161">
        <f t="shared" si="336"/>
        <v>1</v>
      </c>
      <c r="BV137" s="161">
        <f t="shared" ref="BV137:CL137" si="337">+SUMPRODUCT($J$138:$J$140,BV138:BV140)</f>
        <v>1</v>
      </c>
      <c r="BW137" s="161">
        <f t="shared" si="337"/>
        <v>1</v>
      </c>
      <c r="BX137" s="161">
        <f t="shared" si="337"/>
        <v>1</v>
      </c>
      <c r="BY137" s="161">
        <f t="shared" si="337"/>
        <v>1</v>
      </c>
      <c r="BZ137" s="161">
        <f t="shared" si="337"/>
        <v>1</v>
      </c>
      <c r="CA137" s="161">
        <f t="shared" si="337"/>
        <v>1</v>
      </c>
      <c r="CB137" s="161">
        <f t="shared" si="337"/>
        <v>1</v>
      </c>
      <c r="CC137" s="161">
        <f t="shared" si="337"/>
        <v>1</v>
      </c>
      <c r="CD137" s="161">
        <f t="shared" si="337"/>
        <v>1</v>
      </c>
      <c r="CE137" s="161">
        <f t="shared" si="337"/>
        <v>1</v>
      </c>
      <c r="CF137" s="161">
        <f t="shared" si="337"/>
        <v>1</v>
      </c>
      <c r="CG137" s="161">
        <f t="shared" si="337"/>
        <v>1</v>
      </c>
      <c r="CH137" s="161">
        <f t="shared" si="337"/>
        <v>1</v>
      </c>
      <c r="CI137" s="161">
        <f t="shared" si="337"/>
        <v>1</v>
      </c>
      <c r="CJ137" s="161">
        <f t="shared" si="337"/>
        <v>1</v>
      </c>
      <c r="CK137" s="161">
        <f t="shared" si="337"/>
        <v>1</v>
      </c>
      <c r="CL137" s="161">
        <f t="shared" si="337"/>
        <v>1</v>
      </c>
      <c r="CM137" s="161">
        <f t="shared" ref="CM137:CN137" si="338">+SUMPRODUCT($J$138:$J$140,CM138:CM140)</f>
        <v>1</v>
      </c>
      <c r="CN137" s="161">
        <f t="shared" si="338"/>
        <v>1</v>
      </c>
      <c r="CO137" s="161">
        <f t="shared" ref="CO137" si="339">+SUMPRODUCT($J$138:$J$140,CO138:CO140)</f>
        <v>1</v>
      </c>
      <c r="CP137" s="161">
        <f t="shared" ref="CP137:CV137" si="340">+SUMPRODUCT($J$138:$J$140,CP138:CP140)</f>
        <v>1</v>
      </c>
      <c r="CQ137" s="161">
        <f t="shared" si="340"/>
        <v>1</v>
      </c>
      <c r="CR137" s="161">
        <f t="shared" si="340"/>
        <v>1</v>
      </c>
      <c r="CS137" s="161">
        <f t="shared" si="340"/>
        <v>1</v>
      </c>
      <c r="CT137" s="161">
        <f t="shared" si="340"/>
        <v>1</v>
      </c>
      <c r="CU137" s="161">
        <f t="shared" si="340"/>
        <v>1</v>
      </c>
      <c r="CV137" s="161">
        <f t="shared" si="340"/>
        <v>1</v>
      </c>
      <c r="CW137" s="161">
        <f t="shared" ref="CW137:CY137" si="341">+SUMPRODUCT($J$138:$J$140,CW138:CW140)</f>
        <v>1</v>
      </c>
      <c r="CX137" s="161">
        <f t="shared" si="341"/>
        <v>1</v>
      </c>
      <c r="CY137" s="161">
        <f t="shared" si="341"/>
        <v>1</v>
      </c>
      <c r="CZ137" s="161">
        <f t="shared" ref="CZ137:DA137" si="342">+SUMPRODUCT($J$138:$J$140,CZ138:CZ140)</f>
        <v>1</v>
      </c>
      <c r="DA137" s="161">
        <f t="shared" si="342"/>
        <v>1</v>
      </c>
      <c r="DB137" s="161">
        <f t="shared" ref="DB137:DC137" si="343">+SUMPRODUCT($J$138:$J$140,DB138:DB140)</f>
        <v>1</v>
      </c>
      <c r="DC137" s="161">
        <f t="shared" si="343"/>
        <v>1</v>
      </c>
      <c r="DD137" s="161">
        <f t="shared" ref="DD137:DE137" si="344">+SUMPRODUCT($J$138:$J$140,DD138:DD140)</f>
        <v>1</v>
      </c>
      <c r="DE137" s="161">
        <f t="shared" si="344"/>
        <v>1</v>
      </c>
      <c r="DF137" s="161">
        <f t="shared" ref="DF137:DG137" si="345">+SUMPRODUCT($J$138:$J$140,DF138:DF140)</f>
        <v>1</v>
      </c>
      <c r="DG137" s="161">
        <f t="shared" si="345"/>
        <v>1</v>
      </c>
      <c r="DH137" s="346">
        <f t="shared" ref="DH137:EL137" si="346">+SUMPRODUCT($J$138:$J$140,DH138:DH140)</f>
        <v>1</v>
      </c>
      <c r="DI137" s="161">
        <f t="shared" si="346"/>
        <v>1</v>
      </c>
      <c r="DJ137" s="161">
        <f t="shared" si="346"/>
        <v>1</v>
      </c>
      <c r="DK137" s="161">
        <f t="shared" si="346"/>
        <v>1</v>
      </c>
      <c r="DL137" s="161">
        <f t="shared" si="346"/>
        <v>1</v>
      </c>
      <c r="DM137" s="161">
        <f t="shared" si="346"/>
        <v>1</v>
      </c>
      <c r="DN137" s="161">
        <f t="shared" si="346"/>
        <v>1</v>
      </c>
      <c r="DO137" s="161">
        <f t="shared" si="346"/>
        <v>1</v>
      </c>
      <c r="DP137" s="161">
        <f t="shared" si="346"/>
        <v>1</v>
      </c>
      <c r="DQ137" s="161">
        <f t="shared" si="346"/>
        <v>1</v>
      </c>
      <c r="DR137" s="161">
        <f t="shared" si="346"/>
        <v>1</v>
      </c>
      <c r="DS137" s="161">
        <f t="shared" si="346"/>
        <v>1</v>
      </c>
      <c r="DT137" s="161">
        <f t="shared" si="346"/>
        <v>1</v>
      </c>
      <c r="DU137" s="161">
        <f t="shared" si="346"/>
        <v>1</v>
      </c>
      <c r="DV137" s="161">
        <f t="shared" si="346"/>
        <v>1</v>
      </c>
      <c r="DW137" s="161">
        <f t="shared" si="346"/>
        <v>1</v>
      </c>
      <c r="DX137" s="161">
        <f t="shared" si="346"/>
        <v>1</v>
      </c>
      <c r="DY137" s="161">
        <f t="shared" si="346"/>
        <v>1</v>
      </c>
      <c r="DZ137" s="161">
        <f t="shared" si="346"/>
        <v>1</v>
      </c>
      <c r="EA137" s="161">
        <f t="shared" si="346"/>
        <v>1</v>
      </c>
      <c r="EB137" s="161">
        <f t="shared" si="346"/>
        <v>1</v>
      </c>
      <c r="EC137" s="161">
        <f t="shared" si="346"/>
        <v>1</v>
      </c>
      <c r="ED137" s="161">
        <f t="shared" si="346"/>
        <v>1</v>
      </c>
      <c r="EE137" s="161">
        <f t="shared" si="346"/>
        <v>1</v>
      </c>
      <c r="EF137" s="161">
        <f t="shared" si="346"/>
        <v>1</v>
      </c>
      <c r="EG137" s="161">
        <f t="shared" si="346"/>
        <v>1</v>
      </c>
      <c r="EH137" s="161">
        <f t="shared" si="346"/>
        <v>1</v>
      </c>
      <c r="EI137" s="161">
        <f t="shared" si="346"/>
        <v>1</v>
      </c>
      <c r="EJ137" s="161">
        <f t="shared" si="346"/>
        <v>1</v>
      </c>
      <c r="EK137" s="161">
        <f t="shared" si="346"/>
        <v>1</v>
      </c>
      <c r="EL137" s="161">
        <f t="shared" si="346"/>
        <v>1</v>
      </c>
    </row>
    <row r="138" spans="2:142" hidden="1" outlineLevel="2" x14ac:dyDescent="0.3">
      <c r="B138" s="29"/>
      <c r="C138" s="30"/>
      <c r="D138" s="30"/>
      <c r="E138" s="52" t="s">
        <v>141</v>
      </c>
      <c r="F138" s="33">
        <v>40</v>
      </c>
      <c r="G138" s="162">
        <v>45754</v>
      </c>
      <c r="H138" s="162">
        <v>45812</v>
      </c>
      <c r="I138" s="33">
        <f>+F138</f>
        <v>40</v>
      </c>
      <c r="J138" s="35">
        <v>0.72727272727272729</v>
      </c>
      <c r="K138" s="53"/>
      <c r="L138" s="127">
        <v>0</v>
      </c>
      <c r="M138" s="127">
        <v>0</v>
      </c>
      <c r="N138" s="127">
        <v>0</v>
      </c>
      <c r="O138" s="127">
        <v>0</v>
      </c>
      <c r="P138" s="127">
        <v>0</v>
      </c>
      <c r="Q138" s="127">
        <v>0</v>
      </c>
      <c r="R138" s="127">
        <v>0</v>
      </c>
      <c r="S138" s="127">
        <v>0</v>
      </c>
      <c r="T138" s="127">
        <v>0</v>
      </c>
      <c r="U138" s="127">
        <v>0</v>
      </c>
      <c r="V138" s="127">
        <v>0</v>
      </c>
      <c r="W138" s="127">
        <v>0</v>
      </c>
      <c r="X138" s="127">
        <v>0</v>
      </c>
      <c r="Y138" s="127">
        <v>0</v>
      </c>
      <c r="Z138" s="127">
        <v>0</v>
      </c>
      <c r="AA138" s="127">
        <v>0</v>
      </c>
      <c r="AB138" s="127">
        <v>0</v>
      </c>
      <c r="AC138" s="127">
        <v>0</v>
      </c>
      <c r="AD138" s="127">
        <v>0</v>
      </c>
      <c r="AE138" s="127">
        <v>0</v>
      </c>
      <c r="AF138" s="127">
        <v>0</v>
      </c>
      <c r="AG138" s="127">
        <v>0</v>
      </c>
      <c r="AH138" s="127">
        <v>0</v>
      </c>
      <c r="AI138" s="127">
        <v>0</v>
      </c>
      <c r="AJ138" s="127">
        <v>0</v>
      </c>
      <c r="AK138" s="127">
        <v>0</v>
      </c>
      <c r="AL138" s="127">
        <v>0</v>
      </c>
      <c r="AM138" s="127">
        <v>0</v>
      </c>
      <c r="AN138" s="127">
        <v>0</v>
      </c>
      <c r="AO138" s="127">
        <v>0</v>
      </c>
      <c r="AP138" s="127">
        <v>0</v>
      </c>
      <c r="AQ138" s="127">
        <v>0</v>
      </c>
      <c r="AR138" s="127">
        <v>0</v>
      </c>
      <c r="AS138" s="127">
        <v>0</v>
      </c>
      <c r="AT138" s="127">
        <v>0</v>
      </c>
      <c r="AU138" s="127">
        <v>0</v>
      </c>
      <c r="AV138" s="127">
        <v>0</v>
      </c>
      <c r="AW138" s="127">
        <v>0</v>
      </c>
      <c r="AX138" s="127">
        <v>0</v>
      </c>
      <c r="AY138" s="127">
        <v>0</v>
      </c>
      <c r="AZ138" s="127">
        <v>0</v>
      </c>
      <c r="BA138" s="127">
        <v>0</v>
      </c>
      <c r="BB138" s="127">
        <v>0</v>
      </c>
      <c r="BC138" s="127">
        <v>0</v>
      </c>
      <c r="BD138" s="127">
        <v>0</v>
      </c>
      <c r="BE138" s="127">
        <v>0</v>
      </c>
      <c r="BF138" s="127">
        <v>0</v>
      </c>
      <c r="BG138" s="127">
        <v>0</v>
      </c>
      <c r="BH138" s="127">
        <v>0</v>
      </c>
      <c r="BI138" s="127">
        <v>0</v>
      </c>
      <c r="BJ138" s="127">
        <v>0</v>
      </c>
      <c r="BK138" s="127">
        <v>0</v>
      </c>
      <c r="BL138" s="127">
        <v>0</v>
      </c>
      <c r="BM138" s="127">
        <v>0</v>
      </c>
      <c r="BN138" s="127">
        <v>0</v>
      </c>
      <c r="BO138" s="127">
        <v>0</v>
      </c>
      <c r="BP138" s="127">
        <v>0</v>
      </c>
      <c r="BQ138" s="127">
        <v>0</v>
      </c>
      <c r="BR138" s="163">
        <v>0.5</v>
      </c>
      <c r="BS138" s="163">
        <v>1</v>
      </c>
      <c r="BT138" s="163">
        <v>1</v>
      </c>
      <c r="BU138" s="163">
        <v>1</v>
      </c>
      <c r="BV138" s="163">
        <v>1</v>
      </c>
      <c r="BW138" s="163">
        <v>1</v>
      </c>
      <c r="BX138" s="163">
        <v>1</v>
      </c>
      <c r="BY138" s="163">
        <v>1</v>
      </c>
      <c r="BZ138" s="163">
        <v>1</v>
      </c>
      <c r="CA138" s="163">
        <v>1</v>
      </c>
      <c r="CB138" s="163">
        <v>1</v>
      </c>
      <c r="CC138" s="163">
        <v>1</v>
      </c>
      <c r="CD138" s="163">
        <v>1</v>
      </c>
      <c r="CE138" s="163">
        <v>1</v>
      </c>
      <c r="CF138" s="163">
        <v>1</v>
      </c>
      <c r="CG138" s="163">
        <v>1</v>
      </c>
      <c r="CH138" s="163">
        <v>1</v>
      </c>
      <c r="CI138" s="163">
        <v>1</v>
      </c>
      <c r="CJ138" s="163">
        <v>1</v>
      </c>
      <c r="CK138" s="163">
        <v>1</v>
      </c>
      <c r="CL138" s="163">
        <v>1</v>
      </c>
      <c r="CM138" s="163">
        <v>1</v>
      </c>
      <c r="CN138" s="163">
        <v>1</v>
      </c>
      <c r="CO138" s="163">
        <v>1</v>
      </c>
      <c r="CP138" s="163">
        <v>1</v>
      </c>
      <c r="CQ138" s="163">
        <v>1</v>
      </c>
      <c r="CR138" s="163">
        <v>1</v>
      </c>
      <c r="CS138" s="163">
        <v>1</v>
      </c>
      <c r="CT138" s="163">
        <v>1</v>
      </c>
      <c r="CU138" s="163">
        <v>1</v>
      </c>
      <c r="CV138" s="163">
        <v>1</v>
      </c>
      <c r="CW138" s="163">
        <v>1</v>
      </c>
      <c r="CX138" s="163">
        <v>1</v>
      </c>
      <c r="CY138" s="163">
        <v>1</v>
      </c>
      <c r="CZ138" s="163">
        <v>1</v>
      </c>
      <c r="DA138" s="163">
        <v>1</v>
      </c>
      <c r="DB138" s="163">
        <v>1</v>
      </c>
      <c r="DC138" s="163">
        <v>1</v>
      </c>
      <c r="DD138" s="163">
        <v>1</v>
      </c>
      <c r="DE138" s="163">
        <v>1</v>
      </c>
      <c r="DF138" s="163">
        <v>1</v>
      </c>
      <c r="DG138" s="163">
        <v>1</v>
      </c>
      <c r="DH138" s="347">
        <v>1</v>
      </c>
      <c r="DI138" s="163">
        <v>1</v>
      </c>
      <c r="DJ138" s="339">
        <v>1</v>
      </c>
      <c r="DK138" s="339">
        <v>1</v>
      </c>
      <c r="DL138" s="339">
        <v>1</v>
      </c>
      <c r="DM138" s="339">
        <v>1</v>
      </c>
      <c r="DN138" s="339">
        <v>1</v>
      </c>
      <c r="DO138" s="339">
        <v>1</v>
      </c>
      <c r="DP138" s="339">
        <v>1</v>
      </c>
      <c r="DQ138" s="339">
        <v>1</v>
      </c>
      <c r="DR138" s="339">
        <v>1</v>
      </c>
      <c r="DS138" s="339">
        <v>1</v>
      </c>
      <c r="DT138" s="339">
        <v>1</v>
      </c>
      <c r="DU138" s="339">
        <v>1</v>
      </c>
      <c r="DV138" s="339">
        <v>1</v>
      </c>
      <c r="DW138" s="339">
        <v>1</v>
      </c>
      <c r="DX138" s="339">
        <v>1</v>
      </c>
      <c r="DY138" s="339">
        <v>1</v>
      </c>
      <c r="DZ138" s="339">
        <v>1</v>
      </c>
      <c r="EA138" s="339">
        <v>1</v>
      </c>
      <c r="EB138" s="339">
        <v>1</v>
      </c>
      <c r="EC138" s="339">
        <v>1</v>
      </c>
      <c r="ED138" s="339">
        <v>1</v>
      </c>
      <c r="EE138" s="339">
        <v>1</v>
      </c>
      <c r="EF138" s="339">
        <v>1</v>
      </c>
      <c r="EG138" s="339">
        <v>1</v>
      </c>
      <c r="EH138" s="339">
        <v>1</v>
      </c>
      <c r="EI138" s="339">
        <v>1</v>
      </c>
      <c r="EJ138" s="339">
        <v>1</v>
      </c>
      <c r="EK138" s="339">
        <v>1</v>
      </c>
      <c r="EL138" s="339">
        <v>1</v>
      </c>
    </row>
    <row r="139" spans="2:142" hidden="1" outlineLevel="2" x14ac:dyDescent="0.3">
      <c r="B139" s="29"/>
      <c r="C139" s="30"/>
      <c r="D139" s="30"/>
      <c r="E139" s="52" t="s">
        <v>81</v>
      </c>
      <c r="F139" s="33">
        <v>15</v>
      </c>
      <c r="G139" s="162">
        <v>45814</v>
      </c>
      <c r="H139" s="162">
        <v>45835</v>
      </c>
      <c r="I139" s="33">
        <f>+F139</f>
        <v>15</v>
      </c>
      <c r="J139" s="35">
        <v>0.27272727272727271</v>
      </c>
      <c r="K139" s="53"/>
      <c r="L139" s="127">
        <v>0</v>
      </c>
      <c r="M139" s="127">
        <v>0</v>
      </c>
      <c r="N139" s="127">
        <v>0</v>
      </c>
      <c r="O139" s="127">
        <v>0</v>
      </c>
      <c r="P139" s="127">
        <v>0</v>
      </c>
      <c r="Q139" s="127">
        <v>0</v>
      </c>
      <c r="R139" s="127">
        <v>0</v>
      </c>
      <c r="S139" s="127">
        <v>0</v>
      </c>
      <c r="T139" s="127">
        <v>0</v>
      </c>
      <c r="U139" s="127">
        <v>0</v>
      </c>
      <c r="V139" s="127">
        <v>0</v>
      </c>
      <c r="W139" s="127">
        <v>0</v>
      </c>
      <c r="X139" s="127">
        <v>0</v>
      </c>
      <c r="Y139" s="127">
        <v>0</v>
      </c>
      <c r="Z139" s="127">
        <v>0</v>
      </c>
      <c r="AA139" s="127">
        <v>0</v>
      </c>
      <c r="AB139" s="127">
        <v>0</v>
      </c>
      <c r="AC139" s="127">
        <v>0</v>
      </c>
      <c r="AD139" s="127">
        <v>0</v>
      </c>
      <c r="AE139" s="127">
        <v>0</v>
      </c>
      <c r="AF139" s="127">
        <v>0</v>
      </c>
      <c r="AG139" s="127">
        <v>0</v>
      </c>
      <c r="AH139" s="127">
        <v>0</v>
      </c>
      <c r="AI139" s="127">
        <v>0</v>
      </c>
      <c r="AJ139" s="127">
        <v>0</v>
      </c>
      <c r="AK139" s="127">
        <v>0</v>
      </c>
      <c r="AL139" s="127">
        <v>0</v>
      </c>
      <c r="AM139" s="127">
        <v>0</v>
      </c>
      <c r="AN139" s="127">
        <v>0</v>
      </c>
      <c r="AO139" s="127">
        <v>0</v>
      </c>
      <c r="AP139" s="127">
        <v>0</v>
      </c>
      <c r="AQ139" s="127">
        <v>0</v>
      </c>
      <c r="AR139" s="127">
        <v>0</v>
      </c>
      <c r="AS139" s="127">
        <v>0</v>
      </c>
      <c r="AT139" s="127">
        <v>0</v>
      </c>
      <c r="AU139" s="127">
        <v>0</v>
      </c>
      <c r="AV139" s="127">
        <v>0</v>
      </c>
      <c r="AW139" s="127">
        <v>0</v>
      </c>
      <c r="AX139" s="127">
        <v>0</v>
      </c>
      <c r="AY139" s="127">
        <v>0</v>
      </c>
      <c r="AZ139" s="127">
        <v>0</v>
      </c>
      <c r="BA139" s="127">
        <v>0</v>
      </c>
      <c r="BB139" s="127">
        <v>0</v>
      </c>
      <c r="BC139" s="127">
        <v>0</v>
      </c>
      <c r="BD139" s="127">
        <v>0</v>
      </c>
      <c r="BE139" s="127">
        <v>0</v>
      </c>
      <c r="BF139" s="127">
        <v>0</v>
      </c>
      <c r="BG139" s="127">
        <v>0</v>
      </c>
      <c r="BH139" s="127">
        <v>0</v>
      </c>
      <c r="BI139" s="127">
        <v>0</v>
      </c>
      <c r="BJ139" s="127">
        <v>0</v>
      </c>
      <c r="BK139" s="127">
        <v>0</v>
      </c>
      <c r="BL139" s="127">
        <v>0</v>
      </c>
      <c r="BM139" s="127">
        <v>0</v>
      </c>
      <c r="BN139" s="127">
        <v>0</v>
      </c>
      <c r="BO139" s="127">
        <v>0</v>
      </c>
      <c r="BP139" s="127">
        <v>0</v>
      </c>
      <c r="BQ139" s="127">
        <v>0</v>
      </c>
      <c r="BR139" s="163">
        <v>0</v>
      </c>
      <c r="BS139" s="163">
        <v>1</v>
      </c>
      <c r="BT139" s="163">
        <v>1</v>
      </c>
      <c r="BU139" s="163">
        <v>1</v>
      </c>
      <c r="BV139" s="163">
        <v>1</v>
      </c>
      <c r="BW139" s="163">
        <v>1</v>
      </c>
      <c r="BX139" s="163">
        <v>1</v>
      </c>
      <c r="BY139" s="163">
        <v>1</v>
      </c>
      <c r="BZ139" s="163">
        <v>1</v>
      </c>
      <c r="CA139" s="163">
        <v>1</v>
      </c>
      <c r="CB139" s="163">
        <v>1</v>
      </c>
      <c r="CC139" s="163">
        <v>1</v>
      </c>
      <c r="CD139" s="163">
        <v>1</v>
      </c>
      <c r="CE139" s="163">
        <v>1</v>
      </c>
      <c r="CF139" s="163">
        <v>1</v>
      </c>
      <c r="CG139" s="163">
        <v>1</v>
      </c>
      <c r="CH139" s="163">
        <v>1</v>
      </c>
      <c r="CI139" s="163">
        <v>1</v>
      </c>
      <c r="CJ139" s="163">
        <v>1</v>
      </c>
      <c r="CK139" s="163">
        <v>1</v>
      </c>
      <c r="CL139" s="163">
        <v>1</v>
      </c>
      <c r="CM139" s="163">
        <v>1</v>
      </c>
      <c r="CN139" s="163">
        <v>1</v>
      </c>
      <c r="CO139" s="163">
        <v>1</v>
      </c>
      <c r="CP139" s="163">
        <v>1</v>
      </c>
      <c r="CQ139" s="163">
        <v>1</v>
      </c>
      <c r="CR139" s="163">
        <v>1</v>
      </c>
      <c r="CS139" s="163">
        <v>1</v>
      </c>
      <c r="CT139" s="163">
        <v>1</v>
      </c>
      <c r="CU139" s="163">
        <v>1</v>
      </c>
      <c r="CV139" s="163">
        <v>1</v>
      </c>
      <c r="CW139" s="163">
        <v>1</v>
      </c>
      <c r="CX139" s="163">
        <v>1</v>
      </c>
      <c r="CY139" s="163">
        <v>1</v>
      </c>
      <c r="CZ139" s="163">
        <v>1</v>
      </c>
      <c r="DA139" s="163">
        <v>1</v>
      </c>
      <c r="DB139" s="163">
        <v>1</v>
      </c>
      <c r="DC139" s="163">
        <v>1</v>
      </c>
      <c r="DD139" s="163">
        <v>1</v>
      </c>
      <c r="DE139" s="163">
        <v>1</v>
      </c>
      <c r="DF139" s="163">
        <v>1</v>
      </c>
      <c r="DG139" s="163">
        <v>1</v>
      </c>
      <c r="DH139" s="347">
        <v>1</v>
      </c>
      <c r="DI139" s="163">
        <v>1</v>
      </c>
      <c r="DJ139" s="339">
        <v>1</v>
      </c>
      <c r="DK139" s="339">
        <v>1</v>
      </c>
      <c r="DL139" s="339">
        <v>1</v>
      </c>
      <c r="DM139" s="339">
        <v>1</v>
      </c>
      <c r="DN139" s="339">
        <v>1</v>
      </c>
      <c r="DO139" s="339">
        <v>1</v>
      </c>
      <c r="DP139" s="339">
        <v>1</v>
      </c>
      <c r="DQ139" s="339">
        <v>1</v>
      </c>
      <c r="DR139" s="339">
        <v>1</v>
      </c>
      <c r="DS139" s="339">
        <v>1</v>
      </c>
      <c r="DT139" s="339">
        <v>1</v>
      </c>
      <c r="DU139" s="339">
        <v>1</v>
      </c>
      <c r="DV139" s="339">
        <v>1</v>
      </c>
      <c r="DW139" s="339">
        <v>1</v>
      </c>
      <c r="DX139" s="339">
        <v>1</v>
      </c>
      <c r="DY139" s="339">
        <v>1</v>
      </c>
      <c r="DZ139" s="339">
        <v>1</v>
      </c>
      <c r="EA139" s="339">
        <v>1</v>
      </c>
      <c r="EB139" s="339">
        <v>1</v>
      </c>
      <c r="EC139" s="339">
        <v>1</v>
      </c>
      <c r="ED139" s="339">
        <v>1</v>
      </c>
      <c r="EE139" s="339">
        <v>1</v>
      </c>
      <c r="EF139" s="339">
        <v>1</v>
      </c>
      <c r="EG139" s="339">
        <v>1</v>
      </c>
      <c r="EH139" s="339">
        <v>1</v>
      </c>
      <c r="EI139" s="339">
        <v>1</v>
      </c>
      <c r="EJ139" s="339">
        <v>1</v>
      </c>
      <c r="EK139" s="339">
        <v>1</v>
      </c>
      <c r="EL139" s="339">
        <v>1</v>
      </c>
    </row>
    <row r="140" spans="2:142" hidden="1" outlineLevel="2" x14ac:dyDescent="0.3">
      <c r="B140" s="56"/>
      <c r="C140" s="57"/>
      <c r="D140" s="57"/>
      <c r="E140" s="58" t="s">
        <v>82</v>
      </c>
      <c r="F140" s="41">
        <v>0</v>
      </c>
      <c r="G140" s="172">
        <v>45835</v>
      </c>
      <c r="H140" s="172">
        <v>45835</v>
      </c>
      <c r="I140" s="41">
        <f>+F140</f>
        <v>0</v>
      </c>
      <c r="J140" s="42">
        <v>1E-119</v>
      </c>
      <c r="K140" s="53"/>
      <c r="L140" s="173">
        <v>0</v>
      </c>
      <c r="M140" s="173">
        <v>0</v>
      </c>
      <c r="N140" s="173">
        <v>0</v>
      </c>
      <c r="O140" s="173">
        <v>0</v>
      </c>
      <c r="P140" s="173">
        <v>0</v>
      </c>
      <c r="Q140" s="173">
        <v>0</v>
      </c>
      <c r="R140" s="173">
        <v>0</v>
      </c>
      <c r="S140" s="173">
        <v>0</v>
      </c>
      <c r="T140" s="173">
        <v>0</v>
      </c>
      <c r="U140" s="173">
        <v>0</v>
      </c>
      <c r="V140" s="173">
        <v>0</v>
      </c>
      <c r="W140" s="173">
        <v>0</v>
      </c>
      <c r="X140" s="173">
        <v>0</v>
      </c>
      <c r="Y140" s="173">
        <v>0</v>
      </c>
      <c r="Z140" s="173">
        <v>0</v>
      </c>
      <c r="AA140" s="173">
        <v>0</v>
      </c>
      <c r="AB140" s="173">
        <v>0</v>
      </c>
      <c r="AC140" s="173">
        <v>0</v>
      </c>
      <c r="AD140" s="173">
        <v>0</v>
      </c>
      <c r="AE140" s="173">
        <v>0</v>
      </c>
      <c r="AF140" s="173">
        <v>0</v>
      </c>
      <c r="AG140" s="173">
        <v>0</v>
      </c>
      <c r="AH140" s="173">
        <v>0</v>
      </c>
      <c r="AI140" s="173">
        <v>0</v>
      </c>
      <c r="AJ140" s="173">
        <v>0</v>
      </c>
      <c r="AK140" s="173">
        <v>0</v>
      </c>
      <c r="AL140" s="173">
        <v>0</v>
      </c>
      <c r="AM140" s="173">
        <v>0</v>
      </c>
      <c r="AN140" s="173">
        <v>0</v>
      </c>
      <c r="AO140" s="173">
        <v>0</v>
      </c>
      <c r="AP140" s="173">
        <v>0</v>
      </c>
      <c r="AQ140" s="173">
        <v>0</v>
      </c>
      <c r="AR140" s="173">
        <v>0</v>
      </c>
      <c r="AS140" s="173">
        <v>0</v>
      </c>
      <c r="AT140" s="173">
        <v>0</v>
      </c>
      <c r="AU140" s="173">
        <v>0</v>
      </c>
      <c r="AV140" s="173">
        <v>0</v>
      </c>
      <c r="AW140" s="173">
        <v>0</v>
      </c>
      <c r="AX140" s="173">
        <v>0</v>
      </c>
      <c r="AY140" s="173">
        <v>0</v>
      </c>
      <c r="AZ140" s="173">
        <v>0</v>
      </c>
      <c r="BA140" s="173">
        <v>0</v>
      </c>
      <c r="BB140" s="173">
        <v>0</v>
      </c>
      <c r="BC140" s="173">
        <v>0</v>
      </c>
      <c r="BD140" s="173">
        <v>0</v>
      </c>
      <c r="BE140" s="173">
        <v>0</v>
      </c>
      <c r="BF140" s="173">
        <v>0</v>
      </c>
      <c r="BG140" s="173">
        <v>0</v>
      </c>
      <c r="BH140" s="173">
        <v>0</v>
      </c>
      <c r="BI140" s="173">
        <v>0</v>
      </c>
      <c r="BJ140" s="173">
        <v>0</v>
      </c>
      <c r="BK140" s="173">
        <v>0</v>
      </c>
      <c r="BL140" s="173">
        <v>0</v>
      </c>
      <c r="BM140" s="173">
        <v>0</v>
      </c>
      <c r="BN140" s="173">
        <v>0</v>
      </c>
      <c r="BO140" s="173">
        <v>0</v>
      </c>
      <c r="BP140" s="173">
        <v>0</v>
      </c>
      <c r="BQ140" s="173">
        <v>0</v>
      </c>
      <c r="BR140" s="174">
        <v>0</v>
      </c>
      <c r="BS140" s="174">
        <v>1</v>
      </c>
      <c r="BT140" s="174">
        <v>1</v>
      </c>
      <c r="BU140" s="174">
        <v>1</v>
      </c>
      <c r="BV140" s="174">
        <v>1</v>
      </c>
      <c r="BW140" s="174">
        <v>1</v>
      </c>
      <c r="BX140" s="174">
        <v>1</v>
      </c>
      <c r="BY140" s="174">
        <v>1</v>
      </c>
      <c r="BZ140" s="174">
        <v>1</v>
      </c>
      <c r="CA140" s="174">
        <v>1</v>
      </c>
      <c r="CB140" s="174">
        <v>1</v>
      </c>
      <c r="CC140" s="174">
        <v>1</v>
      </c>
      <c r="CD140" s="174">
        <v>1</v>
      </c>
      <c r="CE140" s="174">
        <v>1</v>
      </c>
      <c r="CF140" s="174">
        <v>1</v>
      </c>
      <c r="CG140" s="174">
        <v>1</v>
      </c>
      <c r="CH140" s="174">
        <v>1</v>
      </c>
      <c r="CI140" s="174">
        <v>1</v>
      </c>
      <c r="CJ140" s="174">
        <v>1</v>
      </c>
      <c r="CK140" s="174">
        <v>1</v>
      </c>
      <c r="CL140" s="174">
        <v>1</v>
      </c>
      <c r="CM140" s="174">
        <v>1</v>
      </c>
      <c r="CN140" s="174">
        <v>1</v>
      </c>
      <c r="CO140" s="174">
        <v>1</v>
      </c>
      <c r="CP140" s="174">
        <v>1</v>
      </c>
      <c r="CQ140" s="174">
        <v>1</v>
      </c>
      <c r="CR140" s="174">
        <v>1</v>
      </c>
      <c r="CS140" s="174">
        <v>1</v>
      </c>
      <c r="CT140" s="174">
        <v>1</v>
      </c>
      <c r="CU140" s="174">
        <v>1</v>
      </c>
      <c r="CV140" s="174">
        <v>1</v>
      </c>
      <c r="CW140" s="174">
        <v>1</v>
      </c>
      <c r="CX140" s="174">
        <v>1</v>
      </c>
      <c r="CY140" s="174">
        <v>1</v>
      </c>
      <c r="CZ140" s="174">
        <v>1</v>
      </c>
      <c r="DA140" s="174">
        <v>1</v>
      </c>
      <c r="DB140" s="174">
        <v>1</v>
      </c>
      <c r="DC140" s="174">
        <v>1</v>
      </c>
      <c r="DD140" s="174">
        <v>1</v>
      </c>
      <c r="DE140" s="174">
        <v>1</v>
      </c>
      <c r="DF140" s="174">
        <v>1</v>
      </c>
      <c r="DG140" s="174">
        <v>1</v>
      </c>
      <c r="DH140" s="348">
        <v>1</v>
      </c>
      <c r="DI140" s="174">
        <v>1</v>
      </c>
      <c r="DJ140" s="340">
        <v>1</v>
      </c>
      <c r="DK140" s="340">
        <v>1</v>
      </c>
      <c r="DL140" s="340">
        <v>1</v>
      </c>
      <c r="DM140" s="340">
        <v>1</v>
      </c>
      <c r="DN140" s="340">
        <v>1</v>
      </c>
      <c r="DO140" s="340">
        <v>1</v>
      </c>
      <c r="DP140" s="340">
        <v>1</v>
      </c>
      <c r="DQ140" s="340">
        <v>1</v>
      </c>
      <c r="DR140" s="340">
        <v>1</v>
      </c>
      <c r="DS140" s="340">
        <v>1</v>
      </c>
      <c r="DT140" s="340">
        <v>1</v>
      </c>
      <c r="DU140" s="340">
        <v>1</v>
      </c>
      <c r="DV140" s="340">
        <v>1</v>
      </c>
      <c r="DW140" s="340">
        <v>1</v>
      </c>
      <c r="DX140" s="340">
        <v>1</v>
      </c>
      <c r="DY140" s="340">
        <v>1</v>
      </c>
      <c r="DZ140" s="340">
        <v>1</v>
      </c>
      <c r="EA140" s="340">
        <v>1</v>
      </c>
      <c r="EB140" s="340">
        <v>1</v>
      </c>
      <c r="EC140" s="340">
        <v>1</v>
      </c>
      <c r="ED140" s="340">
        <v>1</v>
      </c>
      <c r="EE140" s="340">
        <v>1</v>
      </c>
      <c r="EF140" s="340">
        <v>1</v>
      </c>
      <c r="EG140" s="340">
        <v>1</v>
      </c>
      <c r="EH140" s="340">
        <v>1</v>
      </c>
      <c r="EI140" s="340">
        <v>1</v>
      </c>
      <c r="EJ140" s="340">
        <v>1</v>
      </c>
      <c r="EK140" s="340">
        <v>1</v>
      </c>
      <c r="EL140" s="340">
        <v>1</v>
      </c>
    </row>
    <row r="142" spans="2:142" collapsed="1" x14ac:dyDescent="0.3">
      <c r="B142" s="435" t="s">
        <v>448</v>
      </c>
      <c r="C142" s="435"/>
      <c r="D142" s="435"/>
      <c r="E142" s="435"/>
      <c r="F142" s="435"/>
      <c r="G142" s="435"/>
      <c r="H142" s="435"/>
      <c r="I142" s="435"/>
      <c r="J142" s="435"/>
      <c r="K142" s="435"/>
      <c r="L142" s="435"/>
      <c r="M142" s="435"/>
      <c r="N142" s="435"/>
      <c r="O142" s="435"/>
      <c r="P142" s="435"/>
      <c r="Q142" s="435"/>
      <c r="R142" s="435"/>
      <c r="S142" s="435"/>
      <c r="T142" s="435"/>
      <c r="U142" s="435"/>
      <c r="V142" s="435"/>
      <c r="W142" s="435"/>
      <c r="X142" s="435"/>
      <c r="Y142" s="435"/>
      <c r="Z142" s="435"/>
      <c r="AA142" s="435"/>
      <c r="AB142" s="435"/>
      <c r="AC142" s="435"/>
      <c r="AD142" s="435"/>
      <c r="AE142" s="435"/>
      <c r="AF142" s="435"/>
      <c r="AG142" s="435"/>
      <c r="AH142" s="435"/>
      <c r="AI142" s="435"/>
      <c r="AJ142" s="435"/>
      <c r="AK142" s="435"/>
      <c r="AL142" s="435"/>
      <c r="AM142" s="435"/>
      <c r="AN142" s="435"/>
      <c r="AO142" s="435"/>
      <c r="AP142" s="435"/>
      <c r="AQ142" s="435"/>
      <c r="AR142" s="435"/>
      <c r="AS142" s="435"/>
      <c r="AT142" s="435"/>
      <c r="AU142" s="435"/>
      <c r="AV142" s="435"/>
      <c r="AW142" s="435"/>
      <c r="AX142" s="435"/>
      <c r="AY142" s="435"/>
      <c r="AZ142" s="435"/>
      <c r="BA142" s="435"/>
      <c r="BB142" s="435"/>
      <c r="BC142" s="435"/>
      <c r="BD142" s="435"/>
      <c r="BE142" s="435"/>
      <c r="BF142" s="435"/>
      <c r="BG142" s="435"/>
      <c r="BH142" s="435"/>
      <c r="BI142" s="435"/>
      <c r="BJ142" s="435"/>
      <c r="BK142" s="435"/>
      <c r="BL142" s="435"/>
      <c r="BM142" s="435"/>
      <c r="BN142" s="435"/>
      <c r="BO142" s="435"/>
      <c r="BP142" s="435"/>
      <c r="BQ142" s="435"/>
      <c r="BR142" s="435"/>
      <c r="BS142" s="435"/>
      <c r="BT142" s="435"/>
      <c r="BU142" s="435"/>
      <c r="BV142" s="435"/>
      <c r="BW142" s="435"/>
      <c r="BX142" s="435"/>
      <c r="BY142" s="435"/>
      <c r="BZ142" s="435"/>
      <c r="CA142" s="435"/>
      <c r="CB142" s="435"/>
      <c r="CC142" s="435"/>
      <c r="CD142" s="435"/>
      <c r="CE142" s="435"/>
      <c r="CF142" s="435"/>
      <c r="CG142" s="435"/>
      <c r="CH142" s="435"/>
      <c r="CI142" s="435"/>
      <c r="CJ142" s="435"/>
      <c r="CK142" s="435"/>
      <c r="CL142" s="435"/>
      <c r="CM142" s="435"/>
      <c r="CN142" s="435"/>
      <c r="CO142" s="435"/>
      <c r="CP142" s="435"/>
      <c r="CQ142" s="435"/>
      <c r="CR142" s="435"/>
      <c r="CS142" s="435"/>
      <c r="CT142" s="435"/>
      <c r="CU142" s="435"/>
      <c r="CV142" s="435"/>
      <c r="CW142" s="435"/>
      <c r="CX142" s="435"/>
      <c r="CY142" s="435"/>
      <c r="CZ142" s="435"/>
      <c r="DA142" s="435"/>
      <c r="DB142" s="435"/>
      <c r="DC142" s="435"/>
      <c r="DD142" s="435"/>
      <c r="DE142" s="435"/>
      <c r="DF142" s="435"/>
      <c r="DG142" s="435"/>
      <c r="DH142" s="435"/>
    </row>
    <row r="143" spans="2:142" hidden="1" outlineLevel="1" x14ac:dyDescent="0.3">
      <c r="B143" s="317" t="s">
        <v>439</v>
      </c>
      <c r="C143" s="317"/>
      <c r="D143" s="317"/>
      <c r="E143" s="317"/>
      <c r="F143" s="317"/>
      <c r="G143" s="317"/>
      <c r="H143" s="317"/>
      <c r="I143" s="317">
        <f>+F143</f>
        <v>0</v>
      </c>
      <c r="J143" s="317"/>
      <c r="K143" s="317"/>
      <c r="L143" s="335">
        <f t="shared" ref="L143:AQ143" si="347">IF(MOD(L4-$L$4,14)=0, L5, "")</f>
        <v>8.7813632965295718E-5</v>
      </c>
      <c r="M143" s="335" t="str">
        <f t="shared" si="347"/>
        <v/>
      </c>
      <c r="N143" s="335">
        <f t="shared" si="347"/>
        <v>1.3453056290573008E-3</v>
      </c>
      <c r="O143" s="335" t="str">
        <f t="shared" si="347"/>
        <v/>
      </c>
      <c r="P143" s="335">
        <f t="shared" si="347"/>
        <v>4.1585334948187752E-3</v>
      </c>
      <c r="Q143" s="335" t="str">
        <f t="shared" si="347"/>
        <v/>
      </c>
      <c r="R143" s="335">
        <f t="shared" si="347"/>
        <v>1.8234166299858048E-2</v>
      </c>
      <c r="S143" s="335" t="str">
        <f t="shared" si="347"/>
        <v/>
      </c>
      <c r="T143" s="335">
        <f t="shared" si="347"/>
        <v>6.4491758140071215E-2</v>
      </c>
      <c r="U143" s="335" t="str">
        <f t="shared" si="347"/>
        <v/>
      </c>
      <c r="V143" s="335">
        <f t="shared" si="347"/>
        <v>0.1146234467659399</v>
      </c>
      <c r="W143" s="335" t="str">
        <f t="shared" si="347"/>
        <v/>
      </c>
      <c r="X143" s="335">
        <f t="shared" si="347"/>
        <v>0.13918839051965826</v>
      </c>
      <c r="Y143" s="335" t="str">
        <f t="shared" si="347"/>
        <v/>
      </c>
      <c r="Z143" s="335">
        <f t="shared" si="347"/>
        <v>0.16313526936210079</v>
      </c>
      <c r="AA143" s="335" t="str">
        <f t="shared" si="347"/>
        <v/>
      </c>
      <c r="AB143" s="335">
        <f t="shared" si="347"/>
        <v>0.20244558590632325</v>
      </c>
      <c r="AC143" s="335" t="str">
        <f t="shared" si="347"/>
        <v/>
      </c>
      <c r="AD143" s="335">
        <f t="shared" si="347"/>
        <v>0.26643267561223716</v>
      </c>
      <c r="AE143" s="335" t="str">
        <f t="shared" si="347"/>
        <v/>
      </c>
      <c r="AF143" s="335">
        <f t="shared" si="347"/>
        <v>0.3129128908072582</v>
      </c>
      <c r="AG143" s="335" t="str">
        <f t="shared" si="347"/>
        <v/>
      </c>
      <c r="AH143" s="335">
        <f t="shared" si="347"/>
        <v>0.35521971985243211</v>
      </c>
      <c r="AI143" s="335" t="str">
        <f t="shared" si="347"/>
        <v/>
      </c>
      <c r="AJ143" s="335">
        <f t="shared" si="347"/>
        <v>0.39055046494770779</v>
      </c>
      <c r="AK143" s="335" t="str">
        <f t="shared" si="347"/>
        <v/>
      </c>
      <c r="AL143" s="335">
        <f t="shared" si="347"/>
        <v>0.40022233281096736</v>
      </c>
      <c r="AM143" s="335" t="str">
        <f t="shared" si="347"/>
        <v/>
      </c>
      <c r="AN143" s="335">
        <f t="shared" si="347"/>
        <v>0.40517273761708056</v>
      </c>
      <c r="AO143" s="335" t="str">
        <f t="shared" si="347"/>
        <v/>
      </c>
      <c r="AP143" s="335">
        <f t="shared" si="347"/>
        <v>0.42226946656528047</v>
      </c>
      <c r="AQ143" s="335" t="str">
        <f t="shared" si="347"/>
        <v/>
      </c>
      <c r="AR143" s="335">
        <f t="shared" ref="AR143:BW143" si="348">IF(MOD(AR4-$L$4,14)=0, AR5, "")</f>
        <v>0.437870106814856</v>
      </c>
      <c r="AS143" s="335" t="str">
        <f t="shared" si="348"/>
        <v/>
      </c>
      <c r="AT143" s="335">
        <f t="shared" si="348"/>
        <v>0.45719828923287198</v>
      </c>
      <c r="AU143" s="335" t="str">
        <f t="shared" si="348"/>
        <v/>
      </c>
      <c r="AV143" s="335">
        <f t="shared" si="348"/>
        <v>0.48869814226497976</v>
      </c>
      <c r="AW143" s="335" t="str">
        <f t="shared" si="348"/>
        <v/>
      </c>
      <c r="AX143" s="335">
        <f t="shared" si="348"/>
        <v>0.52787303521555784</v>
      </c>
      <c r="AY143" s="335" t="str">
        <f t="shared" si="348"/>
        <v/>
      </c>
      <c r="AZ143" s="335">
        <f t="shared" si="348"/>
        <v>0.58030766896042707</v>
      </c>
      <c r="BA143" s="335" t="str">
        <f t="shared" si="348"/>
        <v/>
      </c>
      <c r="BB143" s="335">
        <f t="shared" si="348"/>
        <v>0.6712434547318078</v>
      </c>
      <c r="BC143" s="335" t="str">
        <f t="shared" si="348"/>
        <v/>
      </c>
      <c r="BD143" s="335">
        <f t="shared" si="348"/>
        <v>0.76303364454265243</v>
      </c>
      <c r="BE143" s="335" t="str">
        <f t="shared" si="348"/>
        <v/>
      </c>
      <c r="BF143" s="335">
        <f t="shared" si="348"/>
        <v>0.85135833115346771</v>
      </c>
      <c r="BG143" s="335" t="str">
        <f t="shared" si="348"/>
        <v/>
      </c>
      <c r="BH143" s="335">
        <f t="shared" si="348"/>
        <v>0.90836161176626251</v>
      </c>
      <c r="BI143" s="335" t="str">
        <f t="shared" si="348"/>
        <v/>
      </c>
      <c r="BJ143" s="335">
        <f t="shared" si="348"/>
        <v>0.95222153309458635</v>
      </c>
      <c r="BK143" s="335" t="str">
        <f t="shared" si="348"/>
        <v/>
      </c>
      <c r="BL143" s="335">
        <f t="shared" si="348"/>
        <v>0.96905095498710314</v>
      </c>
      <c r="BM143" s="335" t="str">
        <f t="shared" si="348"/>
        <v/>
      </c>
      <c r="BN143" s="335">
        <f t="shared" si="348"/>
        <v>0.97858599479572117</v>
      </c>
      <c r="BO143" s="335" t="str">
        <f t="shared" si="348"/>
        <v/>
      </c>
      <c r="BP143" s="335">
        <f t="shared" si="348"/>
        <v>0.99079818605180281</v>
      </c>
      <c r="BQ143" s="335" t="str">
        <f t="shared" si="348"/>
        <v/>
      </c>
      <c r="BR143" s="335">
        <f t="shared" si="348"/>
        <v>0.99614265623983411</v>
      </c>
      <c r="BS143" s="335" t="str">
        <f t="shared" si="348"/>
        <v/>
      </c>
      <c r="BT143" s="335">
        <f t="shared" si="348"/>
        <v>0.99999999999999978</v>
      </c>
      <c r="BU143" s="335" t="str">
        <f t="shared" si="348"/>
        <v/>
      </c>
      <c r="BV143" s="335">
        <f t="shared" si="348"/>
        <v>0.99999999999999978</v>
      </c>
      <c r="BW143" s="335" t="str">
        <f t="shared" si="348"/>
        <v/>
      </c>
      <c r="BX143" s="335">
        <f t="shared" ref="BX143:DH143" si="349">IF(MOD(BX4-$L$4,14)=0, BX5, "")</f>
        <v>0.99999999999999978</v>
      </c>
      <c r="BY143" s="335" t="str">
        <f t="shared" si="349"/>
        <v/>
      </c>
      <c r="BZ143" s="335">
        <f t="shared" si="349"/>
        <v>0.99999999999999978</v>
      </c>
      <c r="CA143" s="335" t="str">
        <f t="shared" si="349"/>
        <v/>
      </c>
      <c r="CB143" s="335">
        <f t="shared" si="349"/>
        <v>0.99999999999999978</v>
      </c>
      <c r="CC143" s="335" t="str">
        <f t="shared" si="349"/>
        <v/>
      </c>
      <c r="CD143" s="335">
        <f t="shared" si="349"/>
        <v>0.99999999999999978</v>
      </c>
      <c r="CE143" s="335" t="str">
        <f t="shared" si="349"/>
        <v/>
      </c>
      <c r="CF143" s="335">
        <f t="shared" si="349"/>
        <v>0.99999999999999978</v>
      </c>
      <c r="CG143" s="335" t="str">
        <f t="shared" si="349"/>
        <v/>
      </c>
      <c r="CH143" s="335">
        <f t="shared" si="349"/>
        <v>0.99999999999999978</v>
      </c>
      <c r="CI143" s="335" t="str">
        <f t="shared" si="349"/>
        <v/>
      </c>
      <c r="CJ143" s="335">
        <f t="shared" si="349"/>
        <v>0.99999999999999978</v>
      </c>
      <c r="CK143" s="335" t="str">
        <f t="shared" si="349"/>
        <v/>
      </c>
      <c r="CL143" s="335">
        <f t="shared" si="349"/>
        <v>0.99999999999999978</v>
      </c>
      <c r="CM143" s="335" t="str">
        <f t="shared" si="349"/>
        <v/>
      </c>
      <c r="CN143" s="335">
        <f t="shared" si="349"/>
        <v>0.99999999999999978</v>
      </c>
      <c r="CO143" s="335" t="str">
        <f t="shared" si="349"/>
        <v/>
      </c>
      <c r="CP143" s="335">
        <f t="shared" si="349"/>
        <v>0.99999999999999978</v>
      </c>
      <c r="CQ143" s="335" t="str">
        <f t="shared" si="349"/>
        <v/>
      </c>
      <c r="CR143" s="335">
        <f t="shared" si="349"/>
        <v>0.99999999999999978</v>
      </c>
      <c r="CS143" s="335" t="str">
        <f t="shared" si="349"/>
        <v/>
      </c>
      <c r="CT143" s="335">
        <f t="shared" si="349"/>
        <v>0.99999999999999978</v>
      </c>
      <c r="CU143" s="335" t="str">
        <f t="shared" si="349"/>
        <v/>
      </c>
      <c r="CV143" s="335">
        <f t="shared" si="349"/>
        <v>0.99999999999999978</v>
      </c>
      <c r="CW143" s="335" t="str">
        <f t="shared" si="349"/>
        <v/>
      </c>
      <c r="CX143" s="335">
        <f t="shared" si="349"/>
        <v>0.99999999999999978</v>
      </c>
      <c r="CY143" s="335" t="str">
        <f t="shared" si="349"/>
        <v/>
      </c>
      <c r="CZ143" s="335">
        <f t="shared" si="349"/>
        <v>0.99999999999999978</v>
      </c>
      <c r="DA143" s="335" t="str">
        <f t="shared" si="349"/>
        <v/>
      </c>
      <c r="DB143" s="335">
        <f t="shared" si="349"/>
        <v>0.99999999999999978</v>
      </c>
      <c r="DC143" s="335" t="str">
        <f t="shared" si="349"/>
        <v/>
      </c>
      <c r="DD143" s="335">
        <f t="shared" si="349"/>
        <v>0.99999999999999978</v>
      </c>
      <c r="DE143" s="335" t="str">
        <f t="shared" si="349"/>
        <v/>
      </c>
      <c r="DF143" s="335">
        <f t="shared" si="349"/>
        <v>0.99999999999999978</v>
      </c>
      <c r="DG143" s="335" t="str">
        <f t="shared" si="349"/>
        <v/>
      </c>
      <c r="DH143" s="349">
        <f t="shared" si="349"/>
        <v>0.99999999999999978</v>
      </c>
    </row>
    <row r="144" spans="2:142" hidden="1" outlineLevel="1" x14ac:dyDescent="0.3">
      <c r="B144" s="317" t="s">
        <v>440</v>
      </c>
      <c r="C144" s="317"/>
      <c r="D144" s="317"/>
      <c r="E144" s="317"/>
      <c r="F144" s="317"/>
      <c r="G144" s="317"/>
      <c r="H144" s="317"/>
      <c r="I144" s="317">
        <f>+F144</f>
        <v>0</v>
      </c>
      <c r="J144" s="317"/>
      <c r="K144" s="317"/>
      <c r="L144" s="335">
        <f t="shared" ref="L144:AQ144" si="350">IF(MOD(L4-$L$4,28)=0, L5, "")</f>
        <v>8.7813632965295718E-5</v>
      </c>
      <c r="M144" s="335" t="str">
        <f t="shared" si="350"/>
        <v/>
      </c>
      <c r="N144" s="335" t="str">
        <f t="shared" si="350"/>
        <v/>
      </c>
      <c r="O144" s="335" t="str">
        <f t="shared" si="350"/>
        <v/>
      </c>
      <c r="P144" s="335">
        <f t="shared" si="350"/>
        <v>4.1585334948187752E-3</v>
      </c>
      <c r="Q144" s="335" t="str">
        <f t="shared" si="350"/>
        <v/>
      </c>
      <c r="R144" s="335" t="str">
        <f t="shared" si="350"/>
        <v/>
      </c>
      <c r="S144" s="335" t="str">
        <f t="shared" si="350"/>
        <v/>
      </c>
      <c r="T144" s="335">
        <f t="shared" si="350"/>
        <v>6.4491758140071215E-2</v>
      </c>
      <c r="U144" s="335" t="str">
        <f t="shared" si="350"/>
        <v/>
      </c>
      <c r="V144" s="335" t="str">
        <f t="shared" si="350"/>
        <v/>
      </c>
      <c r="W144" s="335" t="str">
        <f t="shared" si="350"/>
        <v/>
      </c>
      <c r="X144" s="335">
        <f t="shared" si="350"/>
        <v>0.13918839051965826</v>
      </c>
      <c r="Y144" s="335" t="str">
        <f t="shared" si="350"/>
        <v/>
      </c>
      <c r="Z144" s="335" t="str">
        <f t="shared" si="350"/>
        <v/>
      </c>
      <c r="AA144" s="335" t="str">
        <f t="shared" si="350"/>
        <v/>
      </c>
      <c r="AB144" s="335">
        <f t="shared" si="350"/>
        <v>0.20244558590632325</v>
      </c>
      <c r="AC144" s="335" t="str">
        <f t="shared" si="350"/>
        <v/>
      </c>
      <c r="AD144" s="335" t="str">
        <f t="shared" si="350"/>
        <v/>
      </c>
      <c r="AE144" s="335" t="str">
        <f t="shared" si="350"/>
        <v/>
      </c>
      <c r="AF144" s="335">
        <f t="shared" si="350"/>
        <v>0.3129128908072582</v>
      </c>
      <c r="AG144" s="335" t="str">
        <f t="shared" si="350"/>
        <v/>
      </c>
      <c r="AH144" s="335" t="str">
        <f t="shared" si="350"/>
        <v/>
      </c>
      <c r="AI144" s="335" t="str">
        <f t="shared" si="350"/>
        <v/>
      </c>
      <c r="AJ144" s="335">
        <f t="shared" si="350"/>
        <v>0.39055046494770779</v>
      </c>
      <c r="AK144" s="335" t="str">
        <f t="shared" si="350"/>
        <v/>
      </c>
      <c r="AL144" s="335" t="str">
        <f t="shared" si="350"/>
        <v/>
      </c>
      <c r="AM144" s="335" t="str">
        <f t="shared" si="350"/>
        <v/>
      </c>
      <c r="AN144" s="335">
        <f t="shared" si="350"/>
        <v>0.40517273761708056</v>
      </c>
      <c r="AO144" s="335" t="str">
        <f t="shared" si="350"/>
        <v/>
      </c>
      <c r="AP144" s="335" t="str">
        <f t="shared" si="350"/>
        <v/>
      </c>
      <c r="AQ144" s="335" t="str">
        <f t="shared" si="350"/>
        <v/>
      </c>
      <c r="AR144" s="335">
        <f t="shared" ref="AR144:BW144" si="351">IF(MOD(AR4-$L$4,28)=0, AR5, "")</f>
        <v>0.437870106814856</v>
      </c>
      <c r="AS144" s="335" t="str">
        <f t="shared" si="351"/>
        <v/>
      </c>
      <c r="AT144" s="335" t="str">
        <f t="shared" si="351"/>
        <v/>
      </c>
      <c r="AU144" s="335" t="str">
        <f t="shared" si="351"/>
        <v/>
      </c>
      <c r="AV144" s="335">
        <f t="shared" si="351"/>
        <v>0.48869814226497976</v>
      </c>
      <c r="AW144" s="335" t="str">
        <f t="shared" si="351"/>
        <v/>
      </c>
      <c r="AX144" s="335" t="str">
        <f t="shared" si="351"/>
        <v/>
      </c>
      <c r="AY144" s="335" t="str">
        <f t="shared" si="351"/>
        <v/>
      </c>
      <c r="AZ144" s="335">
        <f t="shared" si="351"/>
        <v>0.58030766896042707</v>
      </c>
      <c r="BA144" s="335" t="str">
        <f t="shared" si="351"/>
        <v/>
      </c>
      <c r="BB144" s="335" t="str">
        <f t="shared" si="351"/>
        <v/>
      </c>
      <c r="BC144" s="335" t="str">
        <f t="shared" si="351"/>
        <v/>
      </c>
      <c r="BD144" s="335">
        <f t="shared" si="351"/>
        <v>0.76303364454265243</v>
      </c>
      <c r="BE144" s="335" t="str">
        <f t="shared" si="351"/>
        <v/>
      </c>
      <c r="BF144" s="335" t="str">
        <f t="shared" si="351"/>
        <v/>
      </c>
      <c r="BG144" s="335" t="str">
        <f t="shared" si="351"/>
        <v/>
      </c>
      <c r="BH144" s="335">
        <f t="shared" si="351"/>
        <v>0.90836161176626251</v>
      </c>
      <c r="BI144" s="335" t="str">
        <f t="shared" si="351"/>
        <v/>
      </c>
      <c r="BJ144" s="335" t="str">
        <f t="shared" si="351"/>
        <v/>
      </c>
      <c r="BK144" s="335" t="str">
        <f t="shared" si="351"/>
        <v/>
      </c>
      <c r="BL144" s="335">
        <f t="shared" si="351"/>
        <v>0.96905095498710314</v>
      </c>
      <c r="BM144" s="335" t="str">
        <f t="shared" si="351"/>
        <v/>
      </c>
      <c r="BN144" s="335" t="str">
        <f t="shared" si="351"/>
        <v/>
      </c>
      <c r="BO144" s="335" t="str">
        <f t="shared" si="351"/>
        <v/>
      </c>
      <c r="BP144" s="335">
        <f t="shared" si="351"/>
        <v>0.99079818605180281</v>
      </c>
      <c r="BQ144" s="335" t="str">
        <f t="shared" si="351"/>
        <v/>
      </c>
      <c r="BR144" s="335" t="str">
        <f t="shared" si="351"/>
        <v/>
      </c>
      <c r="BS144" s="335" t="str">
        <f t="shared" si="351"/>
        <v/>
      </c>
      <c r="BT144" s="335">
        <f t="shared" si="351"/>
        <v>0.99999999999999978</v>
      </c>
      <c r="BU144" s="335" t="str">
        <f t="shared" si="351"/>
        <v/>
      </c>
      <c r="BV144" s="335" t="str">
        <f t="shared" si="351"/>
        <v/>
      </c>
      <c r="BW144" s="335" t="str">
        <f t="shared" si="351"/>
        <v/>
      </c>
      <c r="BX144" s="335">
        <f t="shared" ref="BX144:DH144" si="352">IF(MOD(BX4-$L$4,28)=0, BX5, "")</f>
        <v>0.99999999999999978</v>
      </c>
      <c r="BY144" s="335" t="str">
        <f t="shared" si="352"/>
        <v/>
      </c>
      <c r="BZ144" s="335" t="str">
        <f t="shared" si="352"/>
        <v/>
      </c>
      <c r="CA144" s="335" t="str">
        <f t="shared" si="352"/>
        <v/>
      </c>
      <c r="CB144" s="335">
        <f t="shared" si="352"/>
        <v>0.99999999999999978</v>
      </c>
      <c r="CC144" s="335" t="str">
        <f t="shared" si="352"/>
        <v/>
      </c>
      <c r="CD144" s="335" t="str">
        <f t="shared" si="352"/>
        <v/>
      </c>
      <c r="CE144" s="335" t="str">
        <f t="shared" si="352"/>
        <v/>
      </c>
      <c r="CF144" s="335">
        <f t="shared" si="352"/>
        <v>0.99999999999999978</v>
      </c>
      <c r="CG144" s="335" t="str">
        <f t="shared" si="352"/>
        <v/>
      </c>
      <c r="CH144" s="335" t="str">
        <f t="shared" si="352"/>
        <v/>
      </c>
      <c r="CI144" s="335" t="str">
        <f t="shared" si="352"/>
        <v/>
      </c>
      <c r="CJ144" s="335">
        <f t="shared" si="352"/>
        <v>0.99999999999999978</v>
      </c>
      <c r="CK144" s="335" t="str">
        <f t="shared" si="352"/>
        <v/>
      </c>
      <c r="CL144" s="335" t="str">
        <f t="shared" si="352"/>
        <v/>
      </c>
      <c r="CM144" s="335" t="str">
        <f t="shared" si="352"/>
        <v/>
      </c>
      <c r="CN144" s="335">
        <f t="shared" si="352"/>
        <v>0.99999999999999978</v>
      </c>
      <c r="CO144" s="335" t="str">
        <f t="shared" si="352"/>
        <v/>
      </c>
      <c r="CP144" s="335" t="str">
        <f t="shared" si="352"/>
        <v/>
      </c>
      <c r="CQ144" s="335" t="str">
        <f t="shared" si="352"/>
        <v/>
      </c>
      <c r="CR144" s="335">
        <f t="shared" si="352"/>
        <v>0.99999999999999978</v>
      </c>
      <c r="CS144" s="335" t="str">
        <f t="shared" si="352"/>
        <v/>
      </c>
      <c r="CT144" s="335" t="str">
        <f t="shared" si="352"/>
        <v/>
      </c>
      <c r="CU144" s="335" t="str">
        <f t="shared" si="352"/>
        <v/>
      </c>
      <c r="CV144" s="335">
        <f t="shared" si="352"/>
        <v>0.99999999999999978</v>
      </c>
      <c r="CW144" s="335" t="str">
        <f t="shared" si="352"/>
        <v/>
      </c>
      <c r="CX144" s="335" t="str">
        <f t="shared" si="352"/>
        <v/>
      </c>
      <c r="CY144" s="335" t="str">
        <f t="shared" si="352"/>
        <v/>
      </c>
      <c r="CZ144" s="335">
        <f t="shared" si="352"/>
        <v>0.99999999999999978</v>
      </c>
      <c r="DA144" s="335" t="str">
        <f t="shared" si="352"/>
        <v/>
      </c>
      <c r="DB144" s="335" t="str">
        <f t="shared" si="352"/>
        <v/>
      </c>
      <c r="DC144" s="335" t="str">
        <f t="shared" si="352"/>
        <v/>
      </c>
      <c r="DD144" s="335">
        <f t="shared" si="352"/>
        <v>0.99999999999999978</v>
      </c>
      <c r="DE144" s="335" t="str">
        <f t="shared" si="352"/>
        <v/>
      </c>
      <c r="DF144" s="335" t="str">
        <f t="shared" si="352"/>
        <v/>
      </c>
      <c r="DG144" s="335" t="str">
        <f t="shared" si="352"/>
        <v/>
      </c>
      <c r="DH144" s="349">
        <f t="shared" si="352"/>
        <v>0.99999999999999978</v>
      </c>
    </row>
  </sheetData>
  <mergeCells count="3">
    <mergeCell ref="B142:DH142"/>
    <mergeCell ref="I2:J2"/>
    <mergeCell ref="I3:J3"/>
  </mergeCells>
  <phoneticPr fontId="1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2E59-CC9C-4CF9-961A-02E402C416A6}">
  <sheetPr>
    <tabColor theme="5" tint="0.79998168889431442"/>
    <outlinePr summaryBelow="0"/>
  </sheetPr>
  <dimension ref="B1:FJ224"/>
  <sheetViews>
    <sheetView showGridLines="0" zoomScale="80" zoomScaleNormal="80" workbookViewId="0">
      <pane xSplit="7" ySplit="6" topLeftCell="I123" activePane="bottomRight" state="frozen"/>
      <selection activeCell="H19" sqref="H19:M20"/>
      <selection pane="topRight" activeCell="H19" sqref="H19:M20"/>
      <selection pane="bottomLeft" activeCell="H19" sqref="H19:M20"/>
      <selection pane="bottomRight" activeCell="K123" sqref="K123"/>
    </sheetView>
  </sheetViews>
  <sheetFormatPr baseColWidth="10" defaultColWidth="11.44140625" defaultRowHeight="14.4" outlineLevelRow="3" outlineLevelCol="1" x14ac:dyDescent="0.3"/>
  <cols>
    <col min="1" max="1" width="4.109375" customWidth="1"/>
    <col min="2" max="3" width="3.109375" customWidth="1"/>
    <col min="4" max="4" width="5.6640625" customWidth="1"/>
    <col min="5" max="5" width="62.5546875" style="43" customWidth="1"/>
    <col min="6" max="6" width="7" hidden="1" customWidth="1"/>
    <col min="7" max="7" width="13.6640625" bestFit="1" customWidth="1"/>
    <col min="8" max="8" width="10.5546875" customWidth="1"/>
    <col min="9" max="9" width="13.6640625" customWidth="1" outlineLevel="1"/>
    <col min="10" max="10" width="12.6640625" customWidth="1" outlineLevel="1"/>
    <col min="11" max="11" width="12.33203125" customWidth="1" outlineLevel="1"/>
    <col min="12" max="14" width="12.6640625" customWidth="1" outlineLevel="1"/>
    <col min="15" max="16" width="12.33203125" customWidth="1" outlineLevel="1"/>
    <col min="17" max="19" width="12.6640625" customWidth="1" outlineLevel="1"/>
    <col min="20" max="20" width="12.33203125" customWidth="1" outlineLevel="1"/>
    <col min="21" max="22" width="12.6640625" customWidth="1" outlineLevel="1"/>
    <col min="23" max="23" width="12.33203125" customWidth="1" outlineLevel="1"/>
    <col min="24" max="25" width="11.88671875" customWidth="1" outlineLevel="1"/>
    <col min="26" max="26" width="12.33203125" customWidth="1" outlineLevel="1"/>
    <col min="27" max="27" width="11.88671875" customWidth="1" outlineLevel="1"/>
    <col min="28" max="28" width="11.33203125" customWidth="1" outlineLevel="1"/>
    <col min="29" max="29" width="11.6640625" customWidth="1" outlineLevel="1"/>
    <col min="30" max="30" width="11.88671875" customWidth="1" outlineLevel="1"/>
    <col min="31" max="32" width="12.33203125" customWidth="1" outlineLevel="1"/>
    <col min="33" max="33" width="11.88671875" customWidth="1" outlineLevel="1"/>
    <col min="34" max="36" width="12.33203125" customWidth="1" outlineLevel="1"/>
    <col min="37" max="37" width="11.88671875" customWidth="1" outlineLevel="1"/>
    <col min="38" max="39" width="12.33203125" customWidth="1" outlineLevel="1"/>
    <col min="40" max="40" width="12.6640625" customWidth="1" outlineLevel="1"/>
    <col min="41" max="42" width="12.33203125" customWidth="1" outlineLevel="1"/>
    <col min="43" max="44" width="12.6640625" customWidth="1" outlineLevel="1"/>
    <col min="45" max="46" width="12.33203125" customWidth="1" outlineLevel="1"/>
    <col min="47" max="47" width="12.6640625" customWidth="1" outlineLevel="1"/>
    <col min="48" max="48" width="12.33203125" customWidth="1" outlineLevel="1"/>
    <col min="49" max="49" width="12.6640625" customWidth="1" outlineLevel="1"/>
    <col min="50" max="51" width="12.33203125" customWidth="1" outlineLevel="1"/>
    <col min="52" max="53" width="12.6640625" customWidth="1" outlineLevel="1"/>
    <col min="54" max="86" width="12.33203125" customWidth="1" outlineLevel="1"/>
    <col min="87" max="87" width="13.33203125" customWidth="1" outlineLevel="1"/>
    <col min="88" max="109" width="12.33203125" bestFit="1" customWidth="1"/>
    <col min="112" max="115" width="11.44140625" customWidth="1"/>
  </cols>
  <sheetData>
    <row r="1" spans="2:166" ht="16.8" x14ac:dyDescent="0.4">
      <c r="E1"/>
      <c r="F1" s="117"/>
      <c r="G1" s="268" t="s">
        <v>505</v>
      </c>
      <c r="I1" s="59"/>
      <c r="J1" s="271"/>
      <c r="K1" s="271"/>
      <c r="L1" s="271"/>
      <c r="M1" s="271">
        <f t="shared" ref="M1:BQ1" si="0">M6-I6</f>
        <v>4.0707198618534796E-3</v>
      </c>
      <c r="N1" s="271">
        <f t="shared" si="0"/>
        <v>4.7449725353936652E-3</v>
      </c>
      <c r="O1" s="271">
        <f t="shared" si="0"/>
        <v>1.6888860670800747E-2</v>
      </c>
      <c r="P1" s="271">
        <f t="shared" si="0"/>
        <v>3.5265941381814679E-2</v>
      </c>
      <c r="Q1" s="271">
        <f t="shared" si="0"/>
        <v>6.033322464525244E-2</v>
      </c>
      <c r="R1" s="271">
        <f t="shared" si="0"/>
        <v>7.2918091985258643E-2</v>
      </c>
      <c r="S1" s="271">
        <f t="shared" si="0"/>
        <v>9.6389280466081848E-2</v>
      </c>
      <c r="T1" s="271">
        <f t="shared" si="0"/>
        <v>8.1198590940133E-2</v>
      </c>
      <c r="U1" s="271">
        <f t="shared" si="0"/>
        <v>7.4696632379587041E-2</v>
      </c>
      <c r="V1" s="271">
        <f t="shared" si="0"/>
        <v>7.4652115686987736E-2</v>
      </c>
      <c r="W1" s="271">
        <f t="shared" si="0"/>
        <v>4.8511822596160895E-2</v>
      </c>
      <c r="X1" s="271">
        <f t="shared" si="0"/>
        <v>5.8076219992662645E-2</v>
      </c>
      <c r="Y1" s="271">
        <f t="shared" si="0"/>
        <v>6.3257195386664994E-2</v>
      </c>
      <c r="Z1" s="271">
        <f t="shared" si="0"/>
        <v>8.1756508297485986E-2</v>
      </c>
      <c r="AA1" s="271">
        <f t="shared" si="0"/>
        <v>0.10329740625013636</v>
      </c>
      <c r="AB1" s="271">
        <f t="shared" si="0"/>
        <v>0.10600040075500877</v>
      </c>
      <c r="AC1" s="271">
        <f t="shared" si="0"/>
        <v>0.11046730490093495</v>
      </c>
      <c r="AD1" s="271">
        <f t="shared" si="0"/>
        <v>9.7106331246289229E-2</v>
      </c>
      <c r="AE1" s="271">
        <f t="shared" si="0"/>
        <v>8.8787044240194957E-2</v>
      </c>
      <c r="AF1" s="271">
        <f t="shared" si="0"/>
        <v>8.60851248604802E-2</v>
      </c>
      <c r="AG1" s="271">
        <f t="shared" si="0"/>
        <v>7.7637574140449583E-2</v>
      </c>
      <c r="AH1" s="271">
        <f t="shared" si="0"/>
        <v>6.8376191955810961E-2</v>
      </c>
      <c r="AI1" s="271">
        <f t="shared" si="0"/>
        <v>4.5002612958535249E-2</v>
      </c>
      <c r="AJ1" s="271">
        <f t="shared" si="0"/>
        <v>3.0852381106082183E-2</v>
      </c>
      <c r="AK1" s="271">
        <f t="shared" si="0"/>
        <v>1.4622272669372771E-2</v>
      </c>
      <c r="AL1" s="271">
        <f t="shared" si="0"/>
        <v>1.4545549247759082E-2</v>
      </c>
      <c r="AM1" s="271">
        <f t="shared" si="0"/>
        <v>2.1501596659792788E-2</v>
      </c>
      <c r="AN1" s="271">
        <f t="shared" si="0"/>
        <v>3.0594878505698919E-2</v>
      </c>
      <c r="AO1" s="271">
        <f t="shared" si="0"/>
        <v>4.3328337513757254E-2</v>
      </c>
      <c r="AP1" s="271">
        <f t="shared" si="0"/>
        <v>5.6783120604447179E-2</v>
      </c>
      <c r="AQ1" s="271">
        <f t="shared" si="0"/>
        <v>6.385576341753324E-2</v>
      </c>
      <c r="AR1" s="271">
        <f t="shared" si="0"/>
        <v>6.9380557689060596E-2</v>
      </c>
      <c r="AS1" s="271">
        <f t="shared" si="0"/>
        <v>5.5523131437857698E-2</v>
      </c>
      <c r="AT1" s="271">
        <f t="shared" si="0"/>
        <v>5.9759845345294216E-2</v>
      </c>
      <c r="AU1" s="271">
        <f t="shared" si="0"/>
        <v>4.7615984767003017E-2</v>
      </c>
      <c r="AV1" s="271">
        <f t="shared" si="0"/>
        <v>4.2679846862352377E-2</v>
      </c>
      <c r="AW1" s="271">
        <f t="shared" si="0"/>
        <v>4.9816590648413261E-2</v>
      </c>
      <c r="AX1" s="271">
        <f t="shared" si="0"/>
        <v>3.6489147260289956E-2</v>
      </c>
      <c r="AY1" s="271">
        <f t="shared" si="0"/>
        <v>3.4677729044075289E-2</v>
      </c>
      <c r="AZ1" s="271">
        <f t="shared" si="0"/>
        <v>3.7240698660260696E-2</v>
      </c>
      <c r="BA1" s="271">
        <f t="shared" si="0"/>
        <v>3.787664973717797E-2</v>
      </c>
      <c r="BB1" s="271">
        <f t="shared" si="0"/>
        <v>4.0538308782925858E-2</v>
      </c>
      <c r="BC1" s="271">
        <f t="shared" si="0"/>
        <v>4.9040622328394234E-2</v>
      </c>
      <c r="BD1" s="271">
        <f t="shared" si="0"/>
        <v>4.6047735993700822E-2</v>
      </c>
      <c r="BE1" s="271">
        <f t="shared" si="0"/>
        <v>4.8539716957346712E-2</v>
      </c>
      <c r="BF1" s="271">
        <f t="shared" si="0"/>
        <v>3.9601549282970328E-2</v>
      </c>
      <c r="BG1" s="271">
        <f t="shared" si="0"/>
        <v>4.2876055479588837E-2</v>
      </c>
      <c r="BH1" s="271">
        <f t="shared" si="0"/>
        <v>4.6870018021440529E-2</v>
      </c>
      <c r="BI1" s="271">
        <f t="shared" si="0"/>
        <v>4.690166485620173E-2</v>
      </c>
      <c r="BJ1" s="271">
        <f t="shared" si="0"/>
        <v>5.1885428318635296E-2</v>
      </c>
      <c r="BK1" s="271">
        <f t="shared" si="0"/>
        <v>4.7785793524733555E-2</v>
      </c>
      <c r="BL1" s="271">
        <f t="shared" si="0"/>
        <v>4.1701999998338013E-2</v>
      </c>
      <c r="BM1" s="271">
        <f t="shared" si="0"/>
        <v>3.4706947323881021E-2</v>
      </c>
      <c r="BN1" s="271">
        <f t="shared" si="0"/>
        <v>2.4677175857574785E-2</v>
      </c>
      <c r="BO1" s="271">
        <f t="shared" si="0"/>
        <v>2.5423805063741867E-2</v>
      </c>
      <c r="BP1" s="271">
        <f t="shared" si="0"/>
        <v>2.5218154786184388E-2</v>
      </c>
      <c r="BQ1" s="271">
        <f t="shared" si="0"/>
        <v>2.3160467097200432E-2</v>
      </c>
      <c r="BR1" s="271">
        <f>BR6-BN6</f>
        <v>2.5073824402185974E-2</v>
      </c>
      <c r="BS1" s="271">
        <f t="shared" ref="BS1:BZ1" si="1">BS6-BO6</f>
        <v>2.3210034605608998E-2</v>
      </c>
      <c r="BT1" s="271">
        <f t="shared" si="1"/>
        <v>2.3979700143243798E-2</v>
      </c>
      <c r="BU1" s="271">
        <f t="shared" si="1"/>
        <v>3.0832740430345118E-2</v>
      </c>
      <c r="BV1" s="271">
        <f t="shared" si="1"/>
        <v>3.4166600568710459E-2</v>
      </c>
      <c r="BW1" s="271">
        <f t="shared" si="1"/>
        <v>3.8283206758954025E-2</v>
      </c>
      <c r="BX1" s="271">
        <f t="shared" si="1"/>
        <v>3.1961406531200498E-2</v>
      </c>
      <c r="BY1" s="271">
        <f t="shared" si="1"/>
        <v>2.4563950595879347E-2</v>
      </c>
      <c r="BZ1" s="271">
        <f t="shared" si="1"/>
        <v>1.8501095086507879E-2</v>
      </c>
      <c r="CA1" s="271">
        <f t="shared" ref="CA1:CL1" si="2">CA6-BV6</f>
        <v>1.9474722464761451E-2</v>
      </c>
      <c r="CB1" s="271">
        <f t="shared" si="2"/>
        <v>1.5572991268990144E-2</v>
      </c>
      <c r="CC1" s="271">
        <f t="shared" si="2"/>
        <v>2.6813398969943614E-2</v>
      </c>
      <c r="CD1" s="271">
        <f t="shared" si="2"/>
        <v>2.515981737581019E-2</v>
      </c>
      <c r="CE1" s="271">
        <f t="shared" si="2"/>
        <v>2.9414762167089714E-2</v>
      </c>
      <c r="CF1" s="271">
        <f t="shared" si="2"/>
        <v>3.0868496756122021E-2</v>
      </c>
      <c r="CG1" s="271">
        <f t="shared" si="2"/>
        <v>2.5387509224687244E-2</v>
      </c>
      <c r="CH1" s="271">
        <f t="shared" si="2"/>
        <v>1.3329911484055934E-2</v>
      </c>
      <c r="CI1" s="271">
        <f t="shared" si="2"/>
        <v>1.0946303851069761E-2</v>
      </c>
      <c r="CJ1" s="271">
        <f t="shared" si="2"/>
        <v>4.8936114734250413E-3</v>
      </c>
      <c r="CK1" s="271">
        <f t="shared" si="2"/>
        <v>2.4778973895200895E-3</v>
      </c>
      <c r="CL1" s="271">
        <f t="shared" si="2"/>
        <v>1.1105741380934564E-3</v>
      </c>
      <c r="CM1" s="271">
        <f t="shared" ref="CM1" si="3">CM6-CH6</f>
        <v>1.8102977007871113E-3</v>
      </c>
      <c r="CN1" s="271">
        <f t="shared" ref="CN1" si="4">CN6-CI6</f>
        <v>2.1598066302406238E-3</v>
      </c>
      <c r="CO1" s="271">
        <f t="shared" ref="CO1" si="5">CO6-CJ6</f>
        <v>2.1365108634785468E-3</v>
      </c>
      <c r="CP1" s="271">
        <f t="shared" ref="CP1" si="6">CP6-CK6</f>
        <v>2.7225442668521449E-3</v>
      </c>
      <c r="CQ1" s="271">
        <f t="shared" ref="CQ1" si="7">CQ6-CL6</f>
        <v>2.7225442668521449E-3</v>
      </c>
      <c r="CR1" s="271">
        <f t="shared" ref="CR1" si="8">CR6-CM6</f>
        <v>5.3494511864599081E-3</v>
      </c>
      <c r="CS1" s="271">
        <f t="shared" ref="CS1" si="9">CS6-CN6</f>
        <v>4.9343021592753722E-3</v>
      </c>
      <c r="CT1" s="271">
        <f t="shared" ref="CT1" si="10">CT6-CO6</f>
        <v>5.8099424272568534E-3</v>
      </c>
      <c r="CU1" s="271">
        <f t="shared" ref="CU1" si="11">CU6-CP6</f>
        <v>6.9049315447856641E-3</v>
      </c>
      <c r="CV1" s="271">
        <f t="shared" ref="CV1:DE1" si="12">CV6-CQ6</f>
        <v>7.398974575068773E-3</v>
      </c>
      <c r="CW1" s="271">
        <f t="shared" si="12"/>
        <v>3.4851285903904072E-3</v>
      </c>
      <c r="CX1" s="271">
        <f t="shared" si="12"/>
        <v>4.1171350688529174E-3</v>
      </c>
      <c r="CY1" s="271">
        <f t="shared" si="12"/>
        <v>4.2003559864101092E-3</v>
      </c>
      <c r="CZ1" s="271">
        <f t="shared" si="12"/>
        <v>3.3665981666333167E-3</v>
      </c>
      <c r="DA1" s="271">
        <f t="shared" si="12"/>
        <v>3.3415782430012975E-3</v>
      </c>
      <c r="DB1" s="271">
        <f t="shared" si="12"/>
        <v>3.834359922056052E-3</v>
      </c>
      <c r="DC1" s="271">
        <f t="shared" si="12"/>
        <v>3.5348687657428268E-3</v>
      </c>
      <c r="DD1" s="271">
        <f t="shared" si="12"/>
        <v>2.9445021661248516E-3</v>
      </c>
      <c r="DE1" s="271">
        <f t="shared" si="12"/>
        <v>1.2030752212278673E-2</v>
      </c>
      <c r="DF1" s="271">
        <f t="shared" ref="DF1" si="13">DF6-DA6</f>
        <v>1.1930223691548281E-2</v>
      </c>
      <c r="DG1" s="271">
        <f t="shared" ref="DG1" si="14">DG6-DB6</f>
        <v>1.1703091803049515E-2</v>
      </c>
      <c r="DH1" s="271">
        <f t="shared" ref="DH1" si="15">DH6-DC6</f>
        <v>1.1647953557260449E-2</v>
      </c>
      <c r="DI1" s="271">
        <f t="shared" ref="DI1" si="16">DI6-DD6</f>
        <v>1.1871587289917662E-2</v>
      </c>
      <c r="DJ1" s="271">
        <f t="shared" ref="DJ1" si="17">DJ6-DE6</f>
        <v>-2.5024826190549798E-2</v>
      </c>
      <c r="DK1" s="271">
        <f t="shared" ref="DK1" si="18">DK6-DF6</f>
        <v>-2.5393320776470496E-2</v>
      </c>
      <c r="DL1" s="271">
        <f t="shared" ref="DL1" si="19">DL6-DG6</f>
        <v>-2.5658970567026484E-2</v>
      </c>
      <c r="DM1" s="271">
        <f t="shared" ref="DM1" si="20">DM6-DH6</f>
        <v>-2.6359122531229184E-2</v>
      </c>
      <c r="DN1" s="271">
        <f t="shared" ref="DN1" si="21">DN6-DI6</f>
        <v>-2.6951250849807096E-2</v>
      </c>
      <c r="DO1" s="271">
        <f t="shared" ref="DO1" si="22">DO6-DJ6</f>
        <v>0</v>
      </c>
      <c r="DP1" s="271">
        <f t="shared" ref="DP1" si="23">DP6-DK6</f>
        <v>0</v>
      </c>
      <c r="DQ1" s="271">
        <f t="shared" ref="DQ1" si="24">DQ6-DL6</f>
        <v>0</v>
      </c>
      <c r="DR1" s="271">
        <f t="shared" ref="DR1" si="25">DR6-DM6</f>
        <v>0</v>
      </c>
      <c r="DS1" s="271">
        <f t="shared" ref="DS1" si="26">DS6-DN6</f>
        <v>0</v>
      </c>
      <c r="DT1" s="271">
        <f t="shared" ref="DT1" si="27">DT6-DO6</f>
        <v>0</v>
      </c>
      <c r="DU1" s="271">
        <f t="shared" ref="DU1" si="28">DU6-DP6</f>
        <v>0</v>
      </c>
      <c r="DV1" s="271">
        <f t="shared" ref="DV1" si="29">DV6-DQ6</f>
        <v>0</v>
      </c>
      <c r="DW1" s="271">
        <f t="shared" ref="DW1" si="30">DW6-DR6</f>
        <v>0</v>
      </c>
      <c r="DX1" s="271">
        <f t="shared" ref="DX1" si="31">DX6-DS6</f>
        <v>0</v>
      </c>
      <c r="DY1" s="271">
        <f t="shared" ref="DY1" si="32">DY6-DT6</f>
        <v>0</v>
      </c>
      <c r="DZ1" s="271">
        <f t="shared" ref="DZ1" si="33">DZ6-DU6</f>
        <v>0</v>
      </c>
      <c r="EA1" s="271">
        <f t="shared" ref="EA1" si="34">EA6-DV6</f>
        <v>0</v>
      </c>
      <c r="EB1" s="271">
        <f t="shared" ref="EB1" si="35">EB6-DW6</f>
        <v>0</v>
      </c>
      <c r="EC1" s="271">
        <f t="shared" ref="EC1" si="36">EC6-DX6</f>
        <v>0</v>
      </c>
      <c r="ED1" s="271">
        <f t="shared" ref="ED1" si="37">ED6-DY6</f>
        <v>0</v>
      </c>
      <c r="EE1" s="271">
        <f t="shared" ref="EE1" si="38">EE6-DZ6</f>
        <v>0</v>
      </c>
      <c r="EF1" s="271">
        <f t="shared" ref="EF1" si="39">EF6-EA6</f>
        <v>0</v>
      </c>
      <c r="EG1" s="271">
        <f t="shared" ref="EG1" si="40">EG6-EB6</f>
        <v>0</v>
      </c>
      <c r="EH1" s="271">
        <f t="shared" ref="EH1" si="41">EH6-EC6</f>
        <v>0</v>
      </c>
      <c r="EI1" s="271">
        <f t="shared" ref="EI1" si="42">EI6-ED6</f>
        <v>1.4711168973968736E-2</v>
      </c>
    </row>
    <row r="2" spans="2:166" ht="15.6" customHeight="1" x14ac:dyDescent="0.4">
      <c r="E2"/>
      <c r="F2" s="353" t="s">
        <v>355</v>
      </c>
      <c r="G2" s="268" t="s">
        <v>503</v>
      </c>
      <c r="I2" s="39"/>
      <c r="J2" s="271">
        <f t="shared" ref="J2:O2" si="43">+J6-H6</f>
        <v>6.6812110374114548E-4</v>
      </c>
      <c r="K2" s="271">
        <f t="shared" si="43"/>
        <v>1.257491996092005E-3</v>
      </c>
      <c r="L2" s="271">
        <f t="shared" si="43"/>
        <v>2.0755526710447393E-3</v>
      </c>
      <c r="M2" s="271">
        <f t="shared" si="43"/>
        <v>2.8132278657614744E-3</v>
      </c>
      <c r="N2" s="271">
        <f t="shared" si="43"/>
        <v>2.6694198643489259E-3</v>
      </c>
      <c r="O2" s="271">
        <f t="shared" si="43"/>
        <v>1.4075632805039272E-2</v>
      </c>
      <c r="P2" s="271">
        <f>+P6-N6</f>
        <v>3.2596521517465754E-2</v>
      </c>
      <c r="Q2" s="271">
        <f t="shared" ref="Q2:CL2" si="44">+Q6-O6</f>
        <v>4.6257591840213164E-2</v>
      </c>
      <c r="R2" s="271">
        <f t="shared" si="44"/>
        <v>4.0321570467792889E-2</v>
      </c>
      <c r="S2" s="271">
        <f t="shared" si="44"/>
        <v>5.0131688625868684E-2</v>
      </c>
      <c r="T2" s="271">
        <f t="shared" si="44"/>
        <v>4.0877020472340111E-2</v>
      </c>
      <c r="U2" s="271">
        <f t="shared" si="44"/>
        <v>2.4564943753718357E-2</v>
      </c>
      <c r="V2" s="271">
        <f t="shared" si="44"/>
        <v>3.3775095214647624E-2</v>
      </c>
      <c r="W2" s="271">
        <f t="shared" si="44"/>
        <v>2.3946878842442537E-2</v>
      </c>
      <c r="X2" s="271">
        <f t="shared" si="44"/>
        <v>2.4301124778015021E-2</v>
      </c>
      <c r="Y2" s="271">
        <f t="shared" si="44"/>
        <v>3.9310316544222457E-2</v>
      </c>
      <c r="Z2" s="271">
        <f t="shared" si="44"/>
        <v>5.7455383519470965E-2</v>
      </c>
      <c r="AA2" s="271">
        <f>+AA6-Y6</f>
        <v>6.3987089705913908E-2</v>
      </c>
      <c r="AB2" s="271">
        <f t="shared" si="44"/>
        <v>4.8545017235537807E-2</v>
      </c>
      <c r="AC2" s="271">
        <f t="shared" si="44"/>
        <v>4.6480215195021046E-2</v>
      </c>
      <c r="AD2" s="271">
        <f t="shared" si="44"/>
        <v>4.8561314010751422E-2</v>
      </c>
      <c r="AE2" s="271">
        <f t="shared" si="44"/>
        <v>4.230682904517391E-2</v>
      </c>
      <c r="AF2" s="271">
        <f t="shared" si="44"/>
        <v>3.7523810849728778E-2</v>
      </c>
      <c r="AG2" s="271">
        <f t="shared" si="44"/>
        <v>3.5330745095275673E-2</v>
      </c>
      <c r="AH2" s="271">
        <f t="shared" si="44"/>
        <v>3.0852381106082183E-2</v>
      </c>
      <c r="AI2" s="271">
        <f t="shared" si="44"/>
        <v>9.6718678632595756E-3</v>
      </c>
      <c r="AJ2" s="271">
        <f t="shared" ref="AJ2:AU2" si="45">+AJ6-AI6</f>
        <v>0</v>
      </c>
      <c r="AK2" s="271">
        <f t="shared" si="45"/>
        <v>4.9504048061131956E-3</v>
      </c>
      <c r="AL2" s="271">
        <f t="shared" si="45"/>
        <v>9.5951444416458864E-3</v>
      </c>
      <c r="AM2" s="271">
        <f t="shared" si="45"/>
        <v>6.9560474120337057E-3</v>
      </c>
      <c r="AN2" s="271">
        <f t="shared" si="45"/>
        <v>9.0932818459061315E-3</v>
      </c>
      <c r="AO2" s="271">
        <f t="shared" si="45"/>
        <v>1.768386381417153E-2</v>
      </c>
      <c r="AP2" s="271">
        <f t="shared" si="45"/>
        <v>2.3049927532335812E-2</v>
      </c>
      <c r="AQ2" s="271">
        <f t="shared" si="45"/>
        <v>1.4028690225119766E-2</v>
      </c>
      <c r="AR2" s="271">
        <f t="shared" si="45"/>
        <v>1.4618076117433487E-2</v>
      </c>
      <c r="AS2" s="271">
        <f t="shared" si="45"/>
        <v>3.826437562968632E-3</v>
      </c>
      <c r="AT2" s="271">
        <f t="shared" si="45"/>
        <v>2.728664143977233E-2</v>
      </c>
      <c r="AU2" s="271">
        <f t="shared" si="45"/>
        <v>1.8848296468285675E-3</v>
      </c>
      <c r="AV2" s="271">
        <f>+AV6-AU6</f>
        <v>9.6819382127828479E-3</v>
      </c>
      <c r="AW2" s="271">
        <f t="shared" si="44"/>
        <v>2.0645119561812364E-2</v>
      </c>
      <c r="AX2" s="271">
        <f t="shared" si="44"/>
        <v>2.492237940067854E-2</v>
      </c>
      <c r="AY2" s="271">
        <f t="shared" si="44"/>
        <v>1.4032609482262925E-2</v>
      </c>
      <c r="AZ2" s="271">
        <f t="shared" si="44"/>
        <v>1.2318319259582156E-2</v>
      </c>
      <c r="BA2" s="271">
        <f t="shared" si="44"/>
        <v>2.3844040254915044E-2</v>
      </c>
      <c r="BB2" s="271">
        <f t="shared" si="44"/>
        <v>2.8219989523343703E-2</v>
      </c>
      <c r="BC2" s="271">
        <f t="shared" si="44"/>
        <v>2.519658207347919E-2</v>
      </c>
      <c r="BD2" s="271">
        <f t="shared" si="44"/>
        <v>1.782774647035712E-2</v>
      </c>
      <c r="BE2" s="271">
        <f t="shared" si="44"/>
        <v>2.3343134883867522E-2</v>
      </c>
      <c r="BF2" s="271">
        <f t="shared" si="44"/>
        <v>2.1773802812613208E-2</v>
      </c>
      <c r="BG2" s="271">
        <f t="shared" si="44"/>
        <v>1.9532920595721315E-2</v>
      </c>
      <c r="BH2" s="271">
        <f t="shared" si="44"/>
        <v>2.5096215208827322E-2</v>
      </c>
      <c r="BI2" s="271">
        <f t="shared" si="44"/>
        <v>2.7368744260480415E-2</v>
      </c>
      <c r="BJ2" s="271">
        <f t="shared" si="44"/>
        <v>2.6789213109807974E-2</v>
      </c>
      <c r="BK2" s="271">
        <f t="shared" si="44"/>
        <v>2.041704926425314E-2</v>
      </c>
      <c r="BL2" s="271">
        <f t="shared" si="44"/>
        <v>1.4912786888530039E-2</v>
      </c>
      <c r="BM2" s="271">
        <f t="shared" si="44"/>
        <v>1.4289898059627881E-2</v>
      </c>
      <c r="BN2" s="271">
        <f t="shared" si="44"/>
        <v>9.7643889690447461E-3</v>
      </c>
      <c r="BO2" s="271">
        <f t="shared" si="44"/>
        <v>1.1133907004113985E-2</v>
      </c>
      <c r="BP2" s="271">
        <f t="shared" si="44"/>
        <v>1.5453765817139642E-2</v>
      </c>
      <c r="BQ2" s="271">
        <f t="shared" si="44"/>
        <v>1.2026560093086447E-2</v>
      </c>
      <c r="BR2" s="271">
        <f t="shared" si="44"/>
        <v>9.6200585850463316E-3</v>
      </c>
      <c r="BS2" s="271">
        <f t="shared" si="44"/>
        <v>1.1183474512522551E-2</v>
      </c>
      <c r="BT2" s="271">
        <f t="shared" si="44"/>
        <v>1.4359641558197467E-2</v>
      </c>
      <c r="BU2" s="271">
        <f t="shared" si="44"/>
        <v>1.9649265917822567E-2</v>
      </c>
      <c r="BV2" s="271">
        <f t="shared" si="44"/>
        <v>1.9806959010512992E-2</v>
      </c>
      <c r="BW2" s="271">
        <f t="shared" si="44"/>
        <v>1.8633940841131458E-2</v>
      </c>
      <c r="BX2" s="271">
        <f t="shared" si="44"/>
        <v>1.2154447520687506E-2</v>
      </c>
      <c r="BY2" s="271">
        <f t="shared" si="44"/>
        <v>5.9300097547478892E-3</v>
      </c>
      <c r="BZ2" s="271">
        <f t="shared" si="44"/>
        <v>6.3466475658203736E-3</v>
      </c>
      <c r="CA2" s="271">
        <f t="shared" si="44"/>
        <v>2.7946707313808439E-3</v>
      </c>
      <c r="CB2" s="271">
        <f t="shared" si="44"/>
        <v>7.821938161114983E-3</v>
      </c>
      <c r="CC2" s="271">
        <f t="shared" si="44"/>
        <v>1.9493124025869668E-2</v>
      </c>
      <c r="CD2" s="271">
        <f t="shared" si="44"/>
        <v>1.5516835861567935E-2</v>
      </c>
      <c r="CE2" s="271">
        <f t="shared" si="44"/>
        <v>8.948010762966474E-3</v>
      </c>
      <c r="CF2" s="271">
        <f t="shared" si="44"/>
        <v>8.5033501116926757E-3</v>
      </c>
      <c r="CG2" s="271">
        <f t="shared" si="44"/>
        <v>3.7946852187125124E-3</v>
      </c>
      <c r="CH2" s="271">
        <f t="shared" si="44"/>
        <v>1.9545387538035808E-3</v>
      </c>
      <c r="CI2" s="271">
        <f t="shared" si="44"/>
        <v>1.0756304879504519E-3</v>
      </c>
      <c r="CJ2" s="271">
        <f t="shared" si="44"/>
        <v>5.1171075233558128E-4</v>
      </c>
      <c r="CK2" s="271">
        <f t="shared" si="44"/>
        <v>3.494365014300449E-5</v>
      </c>
      <c r="CL2" s="271">
        <f t="shared" si="44"/>
        <v>1.1647883380927482E-5</v>
      </c>
      <c r="CM2" s="271">
        <f t="shared" ref="CM2" si="46">+CM6-CK6</f>
        <v>1.2869390650706025E-3</v>
      </c>
      <c r="CN2" s="271">
        <f t="shared" ref="CN2" si="47">+CN6-CL6</f>
        <v>2.1248629800976193E-3</v>
      </c>
      <c r="CO2" s="271">
        <f t="shared" ref="CO2" si="48">+CO6-CM6</f>
        <v>8.379239150270168E-4</v>
      </c>
      <c r="CP2" s="271">
        <f t="shared" ref="CP2" si="49">+CP6-CN6</f>
        <v>5.9768128675452559E-4</v>
      </c>
      <c r="CQ2" s="271">
        <f t="shared" ref="CQ2" si="50">+CQ6-CO6</f>
        <v>5.9768128675452559E-4</v>
      </c>
      <c r="CR2" s="271">
        <f t="shared" ref="CR2" si="51">+CR6-CP6</f>
        <v>3.9138459846783658E-3</v>
      </c>
      <c r="CS2" s="271">
        <f t="shared" ref="CS2" si="52">+CS6-CQ6</f>
        <v>4.3366208725208466E-3</v>
      </c>
      <c r="CT2" s="271">
        <f t="shared" ref="CT2" si="53">+CT6-CR6</f>
        <v>1.2984151558239621E-3</v>
      </c>
      <c r="CU2" s="271">
        <f t="shared" ref="CU2" si="54">+CU6-CS6</f>
        <v>2.5683106722648175E-3</v>
      </c>
      <c r="CV2" s="271">
        <f t="shared" ref="CV2:DE2" si="55">+CV6-CT6</f>
        <v>2.1867134345664452E-3</v>
      </c>
      <c r="CW2" s="271">
        <f t="shared" si="55"/>
        <v>4.9404303028310892E-4</v>
      </c>
      <c r="CX2" s="271">
        <f t="shared" si="55"/>
        <v>1.054781366304991E-3</v>
      </c>
      <c r="CY2" s="271">
        <f t="shared" si="55"/>
        <v>2.013642551843664E-3</v>
      </c>
      <c r="CZ2" s="271">
        <f t="shared" si="55"/>
        <v>1.8177737700452168E-3</v>
      </c>
      <c r="DA2" s="271">
        <f t="shared" si="55"/>
        <v>1.3279356911576334E-3</v>
      </c>
      <c r="DB2" s="271">
        <f t="shared" si="55"/>
        <v>9.6180478570584427E-4</v>
      </c>
      <c r="DC2" s="271">
        <f t="shared" si="55"/>
        <v>1.2480718890465203E-3</v>
      </c>
      <c r="DD2" s="271">
        <f t="shared" si="55"/>
        <v>1.1237847959124636E-3</v>
      </c>
      <c r="DE2" s="271">
        <f t="shared" si="55"/>
        <v>1.0313657216581062E-2</v>
      </c>
      <c r="DF2" s="271">
        <f t="shared" ref="DF2" si="56">+DF6-DD6</f>
        <v>1.0313657216581062E-2</v>
      </c>
      <c r="DG2" s="271">
        <f t="shared" ref="DG2" si="57">+DG6-DE6</f>
        <v>6.3414437647668631E-4</v>
      </c>
      <c r="DH2" s="271">
        <f t="shared" ref="DH2" si="58">+DH6-DF6</f>
        <v>9.6580175475868835E-4</v>
      </c>
      <c r="DI2" s="271">
        <f t="shared" ref="DI2" si="59">+DI6-DG6</f>
        <v>1.2922802827806112E-3</v>
      </c>
      <c r="DJ2" s="271">
        <f t="shared" ref="DJ2" si="60">+DJ6-DH6</f>
        <v>-2.6359122531229184E-2</v>
      </c>
      <c r="DK2" s="271">
        <f t="shared" ref="DK2" si="61">+DK6-DI6</f>
        <v>-2.6951250849807096E-2</v>
      </c>
      <c r="DL2" s="271">
        <f t="shared" ref="DL2" si="62">+DL6-DJ6</f>
        <v>0</v>
      </c>
      <c r="DM2" s="271">
        <f t="shared" ref="DM2" si="63">+DM6-DK6</f>
        <v>0</v>
      </c>
      <c r="DN2" s="271">
        <f t="shared" ref="DN2" si="64">+DN6-DL6</f>
        <v>0</v>
      </c>
      <c r="DO2" s="271">
        <f t="shared" ref="DO2" si="65">+DO6-DM6</f>
        <v>0</v>
      </c>
      <c r="DP2" s="271">
        <f t="shared" ref="DP2" si="66">+DP6-DN6</f>
        <v>0</v>
      </c>
      <c r="DQ2" s="271">
        <f t="shared" ref="DQ2" si="67">+DQ6-DO6</f>
        <v>0</v>
      </c>
      <c r="DR2" s="271">
        <f t="shared" ref="DR2" si="68">+DR6-DP6</f>
        <v>0</v>
      </c>
      <c r="DS2" s="271">
        <f t="shared" ref="DS2" si="69">+DS6-DQ6</f>
        <v>0</v>
      </c>
      <c r="DT2" s="271">
        <f t="shared" ref="DT2" si="70">+DT6-DR6</f>
        <v>0</v>
      </c>
      <c r="DU2" s="271">
        <f t="shared" ref="DU2" si="71">+DU6-DS6</f>
        <v>0</v>
      </c>
      <c r="DV2" s="271">
        <f t="shared" ref="DV2" si="72">+DV6-DT6</f>
        <v>0</v>
      </c>
      <c r="DW2" s="271">
        <f t="shared" ref="DW2" si="73">+DW6-DU6</f>
        <v>0</v>
      </c>
      <c r="DX2" s="271">
        <f t="shared" ref="DX2" si="74">+DX6-DV6</f>
        <v>0</v>
      </c>
      <c r="DY2" s="271">
        <f t="shared" ref="DY2" si="75">+DY6-DW6</f>
        <v>0</v>
      </c>
      <c r="DZ2" s="271">
        <f t="shared" ref="DZ2" si="76">+DZ6-DX6</f>
        <v>0</v>
      </c>
      <c r="EA2" s="271">
        <f t="shared" ref="EA2" si="77">+EA6-DY6</f>
        <v>0</v>
      </c>
      <c r="EB2" s="271">
        <f t="shared" ref="EB2" si="78">+EB6-DZ6</f>
        <v>0</v>
      </c>
      <c r="EC2" s="271">
        <f t="shared" ref="EC2" si="79">+EC6-EA6</f>
        <v>0</v>
      </c>
      <c r="ED2" s="271">
        <f t="shared" ref="ED2" si="80">+ED6-EB6</f>
        <v>0</v>
      </c>
      <c r="EE2" s="271">
        <f t="shared" ref="EE2" si="81">+EE6-EC6</f>
        <v>0</v>
      </c>
      <c r="EF2" s="271">
        <f t="shared" ref="EF2" si="82">+EF6-ED6</f>
        <v>0</v>
      </c>
      <c r="EG2" s="271">
        <f t="shared" ref="EG2" si="83">+EG6-EE6</f>
        <v>0</v>
      </c>
      <c r="EH2" s="271">
        <f t="shared" ref="EH2" si="84">+EH6-EF6</f>
        <v>0</v>
      </c>
      <c r="EI2" s="271">
        <f t="shared" ref="EI2" si="85">+EI6-EG6</f>
        <v>1.4711168973968736E-2</v>
      </c>
    </row>
    <row r="3" spans="2:166" ht="16.8" x14ac:dyDescent="0.4">
      <c r="E3"/>
      <c r="F3" s="353"/>
      <c r="G3" s="268" t="s">
        <v>504</v>
      </c>
      <c r="I3" s="39"/>
      <c r="J3" s="271">
        <f t="shared" ref="J3:BT3" si="86">J6-I6</f>
        <v>5.8030747077584979E-4</v>
      </c>
      <c r="K3" s="271">
        <f t="shared" si="86"/>
        <v>6.7718452531615532E-4</v>
      </c>
      <c r="L3" s="271">
        <f t="shared" si="86"/>
        <v>1.3983681457285842E-3</v>
      </c>
      <c r="M3" s="271">
        <f t="shared" si="86"/>
        <v>1.4148597200328902E-3</v>
      </c>
      <c r="N3" s="271">
        <f t="shared" si="86"/>
        <v>1.2545601443160357E-3</v>
      </c>
      <c r="O3" s="271">
        <f t="shared" si="86"/>
        <v>1.2821072660723236E-2</v>
      </c>
      <c r="P3" s="271">
        <f t="shared" si="86"/>
        <v>1.9775448856742515E-2</v>
      </c>
      <c r="Q3" s="271">
        <f t="shared" si="86"/>
        <v>2.6482142983470652E-2</v>
      </c>
      <c r="R3" s="271">
        <f t="shared" si="86"/>
        <v>1.3839427484322236E-2</v>
      </c>
      <c r="S3" s="271">
        <f t="shared" si="86"/>
        <v>3.6292261141546447E-2</v>
      </c>
      <c r="T3" s="271">
        <f t="shared" si="86"/>
        <v>4.584759330793664E-3</v>
      </c>
      <c r="U3" s="271">
        <f t="shared" si="86"/>
        <v>1.9980184422924693E-2</v>
      </c>
      <c r="V3" s="271">
        <f t="shared" si="86"/>
        <v>1.3794910791722931E-2</v>
      </c>
      <c r="W3" s="271">
        <f t="shared" si="86"/>
        <v>1.0151968050719606E-2</v>
      </c>
      <c r="X3" s="271">
        <f t="shared" si="86"/>
        <v>1.4149156727295414E-2</v>
      </c>
      <c r="Y3" s="271">
        <f t="shared" si="86"/>
        <v>2.5161159816927042E-2</v>
      </c>
      <c r="Z3" s="271">
        <f t="shared" si="86"/>
        <v>3.2294223702543923E-2</v>
      </c>
      <c r="AA3" s="271">
        <f t="shared" si="86"/>
        <v>3.1692866003369985E-2</v>
      </c>
      <c r="AB3" s="271">
        <f t="shared" si="86"/>
        <v>1.6852151232167822E-2</v>
      </c>
      <c r="AC3" s="271">
        <f t="shared" si="86"/>
        <v>2.9628063962853224E-2</v>
      </c>
      <c r="AD3" s="271">
        <f t="shared" si="86"/>
        <v>1.8933250047898198E-2</v>
      </c>
      <c r="AE3" s="271">
        <f t="shared" si="86"/>
        <v>2.3373578997275712E-2</v>
      </c>
      <c r="AF3" s="271">
        <f t="shared" si="86"/>
        <v>1.4150231852453066E-2</v>
      </c>
      <c r="AG3" s="271">
        <f t="shared" si="86"/>
        <v>2.1180513242822607E-2</v>
      </c>
      <c r="AH3" s="271">
        <f t="shared" si="86"/>
        <v>9.6718678632595756E-3</v>
      </c>
      <c r="AI3" s="271">
        <f t="shared" si="86"/>
        <v>0</v>
      </c>
      <c r="AJ3" s="271">
        <f t="shared" si="86"/>
        <v>0</v>
      </c>
      <c r="AK3" s="271">
        <f t="shared" si="86"/>
        <v>4.9504048061131956E-3</v>
      </c>
      <c r="AL3" s="271">
        <f t="shared" si="86"/>
        <v>9.5951444416458864E-3</v>
      </c>
      <c r="AM3" s="271">
        <f t="shared" si="86"/>
        <v>6.9560474120337057E-3</v>
      </c>
      <c r="AN3" s="271">
        <f t="shared" si="86"/>
        <v>9.0932818459061315E-3</v>
      </c>
      <c r="AO3" s="271">
        <f t="shared" si="86"/>
        <v>1.768386381417153E-2</v>
      </c>
      <c r="AP3" s="271">
        <f t="shared" si="86"/>
        <v>2.3049927532335812E-2</v>
      </c>
      <c r="AQ3" s="271">
        <f t="shared" si="86"/>
        <v>1.4028690225119766E-2</v>
      </c>
      <c r="AR3" s="271">
        <f t="shared" si="86"/>
        <v>1.4618076117433487E-2</v>
      </c>
      <c r="AS3" s="271">
        <f t="shared" si="86"/>
        <v>3.826437562968632E-3</v>
      </c>
      <c r="AT3" s="271">
        <f t="shared" si="86"/>
        <v>2.728664143977233E-2</v>
      </c>
      <c r="AU3" s="271">
        <f t="shared" si="86"/>
        <v>1.8848296468285675E-3</v>
      </c>
      <c r="AV3" s="271">
        <f t="shared" si="86"/>
        <v>9.6819382127828479E-3</v>
      </c>
      <c r="AW3" s="271">
        <f t="shared" si="86"/>
        <v>1.0963181349029516E-2</v>
      </c>
      <c r="AX3" s="271">
        <f t="shared" si="86"/>
        <v>1.3959198051649024E-2</v>
      </c>
      <c r="AY3" s="271">
        <f t="shared" si="86"/>
        <v>7.3411430613901096E-5</v>
      </c>
      <c r="AZ3" s="271">
        <f t="shared" si="86"/>
        <v>1.2244907828968254E-2</v>
      </c>
      <c r="BA3" s="271">
        <f t="shared" si="86"/>
        <v>1.159913242594679E-2</v>
      </c>
      <c r="BB3" s="271">
        <f t="shared" si="86"/>
        <v>1.6620857097396913E-2</v>
      </c>
      <c r="BC3" s="271">
        <f t="shared" si="86"/>
        <v>8.5757249760822774E-3</v>
      </c>
      <c r="BD3" s="271">
        <f t="shared" si="86"/>
        <v>9.2520214942748424E-3</v>
      </c>
      <c r="BE3" s="271">
        <f t="shared" si="86"/>
        <v>1.409111338959268E-2</v>
      </c>
      <c r="BF3" s="271">
        <f t="shared" si="86"/>
        <v>7.6826894230205278E-3</v>
      </c>
      <c r="BG3" s="271">
        <f t="shared" si="86"/>
        <v>1.1850231172700787E-2</v>
      </c>
      <c r="BH3" s="271">
        <f t="shared" si="86"/>
        <v>1.3245984036126535E-2</v>
      </c>
      <c r="BI3" s="271">
        <f t="shared" si="86"/>
        <v>1.4122760224353881E-2</v>
      </c>
      <c r="BJ3" s="271">
        <f t="shared" si="86"/>
        <v>1.2666452885454094E-2</v>
      </c>
      <c r="BK3" s="271">
        <f t="shared" si="86"/>
        <v>7.7505963787990462E-3</v>
      </c>
      <c r="BL3" s="271">
        <f t="shared" si="86"/>
        <v>7.1621905097309924E-3</v>
      </c>
      <c r="BM3" s="271">
        <f t="shared" si="86"/>
        <v>7.1277075498968889E-3</v>
      </c>
      <c r="BN3" s="271">
        <f t="shared" si="86"/>
        <v>2.6366814191478571E-3</v>
      </c>
      <c r="BO3" s="271">
        <f t="shared" si="86"/>
        <v>8.4972255849661282E-3</v>
      </c>
      <c r="BP3" s="271">
        <f t="shared" si="86"/>
        <v>6.9565402321735137E-3</v>
      </c>
      <c r="BQ3" s="271">
        <f t="shared" si="86"/>
        <v>5.0700198609129332E-3</v>
      </c>
      <c r="BR3" s="271">
        <f t="shared" si="86"/>
        <v>4.5500387241333984E-3</v>
      </c>
      <c r="BS3" s="271">
        <f t="shared" si="86"/>
        <v>6.6334357883891526E-3</v>
      </c>
      <c r="BT3" s="271">
        <f t="shared" si="86"/>
        <v>7.7262057698083142E-3</v>
      </c>
      <c r="BU3" s="271">
        <f t="shared" ref="BU3:CL3" si="87">BU6-BT6</f>
        <v>1.1923060148014253E-2</v>
      </c>
      <c r="BV3" s="271">
        <f t="shared" si="87"/>
        <v>7.8838988624987394E-3</v>
      </c>
      <c r="BW3" s="271">
        <f t="shared" si="87"/>
        <v>1.0750041978632718E-2</v>
      </c>
      <c r="BX3" s="271">
        <f t="shared" si="87"/>
        <v>1.4044055420547874E-3</v>
      </c>
      <c r="BY3" s="271">
        <f t="shared" si="87"/>
        <v>4.5256042126931018E-3</v>
      </c>
      <c r="BZ3" s="271">
        <f t="shared" si="87"/>
        <v>1.8210433531272718E-3</v>
      </c>
      <c r="CA3" s="271">
        <f t="shared" si="87"/>
        <v>9.7362737825357204E-4</v>
      </c>
      <c r="CB3" s="271">
        <f t="shared" si="87"/>
        <v>6.8483107828614109E-3</v>
      </c>
      <c r="CC3" s="271">
        <f t="shared" si="87"/>
        <v>1.2644813243008257E-2</v>
      </c>
      <c r="CD3" s="271">
        <f t="shared" si="87"/>
        <v>2.8720226185596776E-3</v>
      </c>
      <c r="CE3" s="271">
        <f t="shared" si="87"/>
        <v>6.0759881444067965E-3</v>
      </c>
      <c r="CF3" s="271">
        <f t="shared" si="87"/>
        <v>2.4273619672858793E-3</v>
      </c>
      <c r="CG3" s="271">
        <f t="shared" si="87"/>
        <v>1.3673232514266331E-3</v>
      </c>
      <c r="CH3" s="271">
        <f t="shared" si="87"/>
        <v>5.8721550237694764E-4</v>
      </c>
      <c r="CI3" s="271">
        <f t="shared" si="87"/>
        <v>4.8841498557350427E-4</v>
      </c>
      <c r="CJ3" s="271">
        <f t="shared" si="87"/>
        <v>2.3295766762077008E-5</v>
      </c>
      <c r="CK3" s="271">
        <f t="shared" si="87"/>
        <v>1.1647883380927482E-5</v>
      </c>
      <c r="CL3" s="271">
        <f t="shared" si="87"/>
        <v>0</v>
      </c>
      <c r="CM3" s="271">
        <f t="shared" ref="CM3" si="88">CM6-CL6</f>
        <v>1.2869390650706025E-3</v>
      </c>
      <c r="CN3" s="271">
        <f t="shared" ref="CN3" si="89">CN6-CM6</f>
        <v>8.379239150270168E-4</v>
      </c>
      <c r="CO3" s="271">
        <f t="shared" ref="CO3" si="90">CO6-CN6</f>
        <v>0</v>
      </c>
      <c r="CP3" s="271">
        <f t="shared" ref="CP3" si="91">CP6-CO6</f>
        <v>5.9768128675452559E-4</v>
      </c>
      <c r="CQ3" s="271">
        <f t="shared" ref="CQ3" si="92">CQ6-CP6</f>
        <v>0</v>
      </c>
      <c r="CR3" s="271">
        <f t="shared" ref="CR3" si="93">CR6-CQ6</f>
        <v>3.9138459846783658E-3</v>
      </c>
      <c r="CS3" s="271">
        <f t="shared" ref="CS3" si="94">CS6-CR6</f>
        <v>4.2277488784248085E-4</v>
      </c>
      <c r="CT3" s="271">
        <f t="shared" ref="CT3" si="95">CT6-CS6</f>
        <v>8.756402679814812E-4</v>
      </c>
      <c r="CU3" s="271">
        <f t="shared" ref="CU3" si="96">CU6-CT6</f>
        <v>1.6926704042833363E-3</v>
      </c>
      <c r="CV3" s="271">
        <f t="shared" ref="CV3:DE3" si="97">CV6-CU6</f>
        <v>4.9404303028310892E-4</v>
      </c>
      <c r="CW3" s="271">
        <f t="shared" si="97"/>
        <v>0</v>
      </c>
      <c r="CX3" s="271">
        <f t="shared" si="97"/>
        <v>1.054781366304991E-3</v>
      </c>
      <c r="CY3" s="271">
        <f t="shared" si="97"/>
        <v>9.5886118553867306E-4</v>
      </c>
      <c r="CZ3" s="271">
        <f t="shared" si="97"/>
        <v>8.5891258450654373E-4</v>
      </c>
      <c r="DA3" s="271">
        <f t="shared" si="97"/>
        <v>4.6902310665108971E-4</v>
      </c>
      <c r="DB3" s="271">
        <f t="shared" si="97"/>
        <v>4.9278167905475456E-4</v>
      </c>
      <c r="DC3" s="271">
        <f t="shared" si="97"/>
        <v>7.5529020999176577E-4</v>
      </c>
      <c r="DD3" s="271">
        <f t="shared" si="97"/>
        <v>3.6849458592069784E-4</v>
      </c>
      <c r="DE3" s="271">
        <f t="shared" si="97"/>
        <v>9.9451626306603647E-3</v>
      </c>
      <c r="DF3" s="271">
        <f t="shared" ref="DF3" si="98">DF6-DE6</f>
        <v>3.6849458592069784E-4</v>
      </c>
      <c r="DG3" s="271">
        <f t="shared" ref="DG3" si="99">DG6-DF6</f>
        <v>2.6564979055598847E-4</v>
      </c>
      <c r="DH3" s="271">
        <f t="shared" ref="DH3" si="100">DH6-DG6</f>
        <v>7.0015196420269987E-4</v>
      </c>
      <c r="DI3" s="271">
        <f t="shared" ref="DI3" si="101">DI6-DH6</f>
        <v>5.9212831857791137E-4</v>
      </c>
      <c r="DJ3" s="271">
        <f t="shared" ref="DJ3" si="102">DJ6-DI6</f>
        <v>-2.6951250849807096E-2</v>
      </c>
      <c r="DK3" s="271">
        <f t="shared" ref="DK3" si="103">DK6-DJ6</f>
        <v>0</v>
      </c>
      <c r="DL3" s="271">
        <f t="shared" ref="DL3" si="104">DL6-DK6</f>
        <v>0</v>
      </c>
      <c r="DM3" s="271">
        <f t="shared" ref="DM3" si="105">DM6-DL6</f>
        <v>0</v>
      </c>
      <c r="DN3" s="271">
        <f t="shared" ref="DN3" si="106">DN6-DM6</f>
        <v>0</v>
      </c>
      <c r="DO3" s="271">
        <f t="shared" ref="DO3" si="107">DO6-DN6</f>
        <v>0</v>
      </c>
      <c r="DP3" s="271">
        <f t="shared" ref="DP3" si="108">DP6-DO6</f>
        <v>0</v>
      </c>
      <c r="DQ3" s="271">
        <f t="shared" ref="DQ3" si="109">DQ6-DP6</f>
        <v>0</v>
      </c>
      <c r="DR3" s="271">
        <f t="shared" ref="DR3" si="110">DR6-DQ6</f>
        <v>0</v>
      </c>
      <c r="DS3" s="271">
        <f t="shared" ref="DS3" si="111">DS6-DR6</f>
        <v>0</v>
      </c>
      <c r="DT3" s="271">
        <f t="shared" ref="DT3" si="112">DT6-DS6</f>
        <v>0</v>
      </c>
      <c r="DU3" s="271">
        <f t="shared" ref="DU3" si="113">DU6-DT6</f>
        <v>0</v>
      </c>
      <c r="DV3" s="271">
        <f t="shared" ref="DV3" si="114">DV6-DU6</f>
        <v>0</v>
      </c>
      <c r="DW3" s="271">
        <f t="shared" ref="DW3" si="115">DW6-DV6</f>
        <v>0</v>
      </c>
      <c r="DX3" s="271">
        <f t="shared" ref="DX3" si="116">DX6-DW6</f>
        <v>0</v>
      </c>
      <c r="DY3" s="271">
        <f t="shared" ref="DY3" si="117">DY6-DX6</f>
        <v>0</v>
      </c>
      <c r="DZ3" s="271">
        <f t="shared" ref="DZ3" si="118">DZ6-DY6</f>
        <v>0</v>
      </c>
      <c r="EA3" s="271">
        <f t="shared" ref="EA3" si="119">EA6-DZ6</f>
        <v>0</v>
      </c>
      <c r="EB3" s="271">
        <f t="shared" ref="EB3" si="120">EB6-EA6</f>
        <v>0</v>
      </c>
      <c r="EC3" s="271">
        <f t="shared" ref="EC3" si="121">EC6-EB6</f>
        <v>0</v>
      </c>
      <c r="ED3" s="271">
        <f t="shared" ref="ED3" si="122">ED6-EC6</f>
        <v>0</v>
      </c>
      <c r="EE3" s="271">
        <f t="shared" ref="EE3" si="123">EE6-ED6</f>
        <v>0</v>
      </c>
      <c r="EF3" s="271">
        <f t="shared" ref="EF3" si="124">EF6-EE6</f>
        <v>0</v>
      </c>
      <c r="EG3" s="271">
        <f t="shared" ref="EG3" si="125">EG6-EF6</f>
        <v>0</v>
      </c>
      <c r="EH3" s="271">
        <f t="shared" ref="EH3" si="126">EH6-EG6</f>
        <v>0</v>
      </c>
      <c r="EI3" s="271">
        <f t="shared" ref="EI3" si="127">EI6-EH6</f>
        <v>1.4711168973968736E-2</v>
      </c>
    </row>
    <row r="4" spans="2:166" ht="71.25" customHeight="1" x14ac:dyDescent="0.3">
      <c r="B4" s="441" t="s">
        <v>254</v>
      </c>
      <c r="C4" s="441"/>
      <c r="D4" s="441"/>
      <c r="E4" s="441"/>
      <c r="F4" s="218"/>
      <c r="G4" s="218" t="s">
        <v>8</v>
      </c>
      <c r="I4" s="235">
        <v>45474</v>
      </c>
      <c r="J4" s="235">
        <f>+I4+7</f>
        <v>45481</v>
      </c>
      <c r="K4" s="235">
        <f>+J4+7</f>
        <v>45488</v>
      </c>
      <c r="L4" s="235">
        <f>+K4+7</f>
        <v>45495</v>
      </c>
      <c r="M4" s="235">
        <f t="shared" ref="M4:CL4" si="128">+L4+7</f>
        <v>45502</v>
      </c>
      <c r="N4" s="236">
        <f t="shared" si="128"/>
        <v>45509</v>
      </c>
      <c r="O4" s="235">
        <f t="shared" si="128"/>
        <v>45516</v>
      </c>
      <c r="P4" s="235">
        <f t="shared" si="128"/>
        <v>45523</v>
      </c>
      <c r="Q4" s="235">
        <f t="shared" si="128"/>
        <v>45530</v>
      </c>
      <c r="R4" s="236">
        <f t="shared" si="128"/>
        <v>45537</v>
      </c>
      <c r="S4" s="235">
        <f t="shared" si="128"/>
        <v>45544</v>
      </c>
      <c r="T4" s="235">
        <f t="shared" si="128"/>
        <v>45551</v>
      </c>
      <c r="U4" s="235">
        <f t="shared" si="128"/>
        <v>45558</v>
      </c>
      <c r="V4" s="236">
        <f t="shared" si="128"/>
        <v>45565</v>
      </c>
      <c r="W4" s="235">
        <f t="shared" si="128"/>
        <v>45572</v>
      </c>
      <c r="X4" s="235">
        <f t="shared" si="128"/>
        <v>45579</v>
      </c>
      <c r="Y4" s="235">
        <f t="shared" si="128"/>
        <v>45586</v>
      </c>
      <c r="Z4" s="235">
        <f t="shared" si="128"/>
        <v>45593</v>
      </c>
      <c r="AA4" s="235">
        <f t="shared" si="128"/>
        <v>45600</v>
      </c>
      <c r="AB4" s="235">
        <f t="shared" si="128"/>
        <v>45607</v>
      </c>
      <c r="AC4" s="235">
        <f t="shared" si="128"/>
        <v>45614</v>
      </c>
      <c r="AD4" s="235">
        <f t="shared" si="128"/>
        <v>45621</v>
      </c>
      <c r="AE4" s="235">
        <f t="shared" si="128"/>
        <v>45628</v>
      </c>
      <c r="AF4" s="235">
        <f t="shared" si="128"/>
        <v>45635</v>
      </c>
      <c r="AG4" s="235">
        <f t="shared" si="128"/>
        <v>45642</v>
      </c>
      <c r="AH4" s="235">
        <f t="shared" si="128"/>
        <v>45649</v>
      </c>
      <c r="AI4" s="235">
        <f t="shared" si="128"/>
        <v>45656</v>
      </c>
      <c r="AJ4" s="235">
        <f t="shared" si="128"/>
        <v>45663</v>
      </c>
      <c r="AK4" s="235">
        <f t="shared" si="128"/>
        <v>45670</v>
      </c>
      <c r="AL4" s="235">
        <f t="shared" si="128"/>
        <v>45677</v>
      </c>
      <c r="AM4" s="235">
        <f>+AL4+7</f>
        <v>45684</v>
      </c>
      <c r="AN4" s="235">
        <f t="shared" si="128"/>
        <v>45691</v>
      </c>
      <c r="AO4" s="235">
        <f t="shared" si="128"/>
        <v>45698</v>
      </c>
      <c r="AP4" s="235">
        <f t="shared" si="128"/>
        <v>45705</v>
      </c>
      <c r="AQ4" s="235">
        <f>+AP4+7</f>
        <v>45712</v>
      </c>
      <c r="AR4" s="235">
        <f t="shared" si="128"/>
        <v>45719</v>
      </c>
      <c r="AS4" s="235">
        <f t="shared" si="128"/>
        <v>45726</v>
      </c>
      <c r="AT4" s="235">
        <f t="shared" si="128"/>
        <v>45733</v>
      </c>
      <c r="AU4" s="235">
        <f t="shared" si="128"/>
        <v>45740</v>
      </c>
      <c r="AV4" s="235">
        <f t="shared" si="128"/>
        <v>45747</v>
      </c>
      <c r="AW4" s="235">
        <f t="shared" si="128"/>
        <v>45754</v>
      </c>
      <c r="AX4" s="235">
        <f t="shared" si="128"/>
        <v>45761</v>
      </c>
      <c r="AY4" s="235">
        <f t="shared" si="128"/>
        <v>45768</v>
      </c>
      <c r="AZ4" s="235">
        <f t="shared" si="128"/>
        <v>45775</v>
      </c>
      <c r="BA4" s="235">
        <f t="shared" si="128"/>
        <v>45782</v>
      </c>
      <c r="BB4" s="235">
        <f t="shared" si="128"/>
        <v>45789</v>
      </c>
      <c r="BC4" s="235">
        <f t="shared" si="128"/>
        <v>45796</v>
      </c>
      <c r="BD4" s="235">
        <f t="shared" si="128"/>
        <v>45803</v>
      </c>
      <c r="BE4" s="235">
        <f t="shared" si="128"/>
        <v>45810</v>
      </c>
      <c r="BF4" s="235">
        <f t="shared" si="128"/>
        <v>45817</v>
      </c>
      <c r="BG4" s="235">
        <f t="shared" si="128"/>
        <v>45824</v>
      </c>
      <c r="BH4" s="235">
        <f t="shared" si="128"/>
        <v>45831</v>
      </c>
      <c r="BI4" s="235">
        <f t="shared" si="128"/>
        <v>45838</v>
      </c>
      <c r="BJ4" s="235">
        <f t="shared" si="128"/>
        <v>45845</v>
      </c>
      <c r="BK4" s="235">
        <f t="shared" si="128"/>
        <v>45852</v>
      </c>
      <c r="BL4" s="235">
        <f t="shared" si="128"/>
        <v>45859</v>
      </c>
      <c r="BM4" s="235">
        <f t="shared" si="128"/>
        <v>45866</v>
      </c>
      <c r="BN4" s="235">
        <f t="shared" si="128"/>
        <v>45873</v>
      </c>
      <c r="BO4" s="235">
        <f t="shared" si="128"/>
        <v>45880</v>
      </c>
      <c r="BP4" s="235">
        <f t="shared" si="128"/>
        <v>45887</v>
      </c>
      <c r="BQ4" s="235">
        <f t="shared" si="128"/>
        <v>45894</v>
      </c>
      <c r="BR4" s="235">
        <f t="shared" si="128"/>
        <v>45901</v>
      </c>
      <c r="BS4" s="235">
        <f t="shared" si="128"/>
        <v>45908</v>
      </c>
      <c r="BT4" s="235">
        <f t="shared" si="128"/>
        <v>45915</v>
      </c>
      <c r="BU4" s="235">
        <f t="shared" si="128"/>
        <v>45922</v>
      </c>
      <c r="BV4" s="235">
        <f t="shared" si="128"/>
        <v>45929</v>
      </c>
      <c r="BW4" s="235">
        <f t="shared" si="128"/>
        <v>45936</v>
      </c>
      <c r="BX4" s="235">
        <f t="shared" si="128"/>
        <v>45943</v>
      </c>
      <c r="BY4" s="235">
        <f t="shared" si="128"/>
        <v>45950</v>
      </c>
      <c r="BZ4" s="235">
        <f t="shared" si="128"/>
        <v>45957</v>
      </c>
      <c r="CA4" s="235">
        <f t="shared" si="128"/>
        <v>45964</v>
      </c>
      <c r="CB4" s="235">
        <f t="shared" si="128"/>
        <v>45971</v>
      </c>
      <c r="CC4" s="235">
        <f t="shared" si="128"/>
        <v>45978</v>
      </c>
      <c r="CD4" s="235">
        <f t="shared" si="128"/>
        <v>45985</v>
      </c>
      <c r="CE4" s="235">
        <f t="shared" si="128"/>
        <v>45992</v>
      </c>
      <c r="CF4" s="235">
        <f t="shared" si="128"/>
        <v>45999</v>
      </c>
      <c r="CG4" s="235">
        <f t="shared" si="128"/>
        <v>46006</v>
      </c>
      <c r="CH4" s="235">
        <f t="shared" si="128"/>
        <v>46013</v>
      </c>
      <c r="CI4" s="235">
        <f t="shared" si="128"/>
        <v>46020</v>
      </c>
      <c r="CJ4" s="235">
        <f t="shared" si="128"/>
        <v>46027</v>
      </c>
      <c r="CK4" s="235">
        <f t="shared" si="128"/>
        <v>46034</v>
      </c>
      <c r="CL4" s="235">
        <f t="shared" si="128"/>
        <v>46041</v>
      </c>
      <c r="CM4" s="235">
        <f t="shared" ref="CM4" si="129">+CL4+7</f>
        <v>46048</v>
      </c>
      <c r="CN4" s="235">
        <f t="shared" ref="CN4" si="130">+CM4+7</f>
        <v>46055</v>
      </c>
      <c r="CO4" s="235">
        <f t="shared" ref="CO4" si="131">+CN4+7</f>
        <v>46062</v>
      </c>
      <c r="CP4" s="235">
        <f t="shared" ref="CP4" si="132">+CO4+7</f>
        <v>46069</v>
      </c>
      <c r="CQ4" s="235">
        <f t="shared" ref="CQ4" si="133">+CP4+7</f>
        <v>46076</v>
      </c>
      <c r="CR4" s="235">
        <f t="shared" ref="CR4" si="134">+CQ4+7</f>
        <v>46083</v>
      </c>
      <c r="CS4" s="235">
        <f t="shared" ref="CS4" si="135">+CR4+7</f>
        <v>46090</v>
      </c>
      <c r="CT4" s="235">
        <f t="shared" ref="CT4" si="136">+CS4+7</f>
        <v>46097</v>
      </c>
      <c r="CU4" s="235">
        <f t="shared" ref="CU4" si="137">+CT4+7</f>
        <v>46104</v>
      </c>
      <c r="CV4" s="235">
        <f t="shared" ref="CV4:DE4" si="138">+CU4+7</f>
        <v>46111</v>
      </c>
      <c r="CW4" s="235">
        <f t="shared" si="138"/>
        <v>46118</v>
      </c>
      <c r="CX4" s="235">
        <f t="shared" si="138"/>
        <v>46125</v>
      </c>
      <c r="CY4" s="235">
        <f t="shared" si="138"/>
        <v>46132</v>
      </c>
      <c r="CZ4" s="235">
        <f t="shared" si="138"/>
        <v>46139</v>
      </c>
      <c r="DA4" s="235">
        <f t="shared" si="138"/>
        <v>46146</v>
      </c>
      <c r="DB4" s="235">
        <f t="shared" si="138"/>
        <v>46153</v>
      </c>
      <c r="DC4" s="235">
        <f t="shared" si="138"/>
        <v>46160</v>
      </c>
      <c r="DD4" s="235">
        <f t="shared" si="138"/>
        <v>46167</v>
      </c>
      <c r="DE4" s="355">
        <f t="shared" si="138"/>
        <v>46174</v>
      </c>
      <c r="DF4" s="355">
        <f t="shared" ref="DF4" si="139">+DE4+7</f>
        <v>46181</v>
      </c>
      <c r="DG4" s="355">
        <f t="shared" ref="DG4" si="140">+DF4+7</f>
        <v>46188</v>
      </c>
      <c r="DH4" s="369">
        <f t="shared" ref="DH4" si="141">+DG4+7</f>
        <v>46195</v>
      </c>
      <c r="DI4" s="370">
        <f t="shared" ref="DI4" si="142">+DH4+7</f>
        <v>46202</v>
      </c>
      <c r="DJ4" s="235">
        <f t="shared" ref="DJ4" si="143">+DI4+7</f>
        <v>46209</v>
      </c>
      <c r="DK4" s="235">
        <f t="shared" ref="DK4" si="144">+DJ4+7</f>
        <v>46216</v>
      </c>
      <c r="DL4" s="235">
        <f t="shared" ref="DL4" si="145">+DK4+7</f>
        <v>46223</v>
      </c>
      <c r="DM4" s="235">
        <f t="shared" ref="DM4" si="146">+DL4+7</f>
        <v>46230</v>
      </c>
      <c r="DN4" s="235">
        <f t="shared" ref="DN4" si="147">+DM4+7</f>
        <v>46237</v>
      </c>
      <c r="DO4" s="235">
        <f t="shared" ref="DO4" si="148">+DN4+7</f>
        <v>46244</v>
      </c>
      <c r="DP4" s="235">
        <f t="shared" ref="DP4" si="149">+DO4+7</f>
        <v>46251</v>
      </c>
      <c r="DQ4" s="235">
        <f t="shared" ref="DQ4" si="150">+DP4+7</f>
        <v>46258</v>
      </c>
      <c r="DR4" s="235">
        <f t="shared" ref="DR4" si="151">+DQ4+7</f>
        <v>46265</v>
      </c>
      <c r="DS4" s="235">
        <f t="shared" ref="DS4" si="152">+DR4+7</f>
        <v>46272</v>
      </c>
      <c r="DT4" s="235">
        <f t="shared" ref="DT4" si="153">+DS4+7</f>
        <v>46279</v>
      </c>
      <c r="DU4" s="235">
        <f t="shared" ref="DU4" si="154">+DT4+7</f>
        <v>46286</v>
      </c>
      <c r="DV4" s="235">
        <f t="shared" ref="DV4" si="155">+DU4+7</f>
        <v>46293</v>
      </c>
      <c r="DW4" s="235">
        <f t="shared" ref="DW4" si="156">+DV4+7</f>
        <v>46300</v>
      </c>
      <c r="DX4" s="235">
        <f t="shared" ref="DX4" si="157">+DW4+7</f>
        <v>46307</v>
      </c>
      <c r="DY4" s="235">
        <f t="shared" ref="DY4" si="158">+DX4+7</f>
        <v>46314</v>
      </c>
      <c r="DZ4" s="235">
        <f t="shared" ref="DZ4" si="159">+DY4+7</f>
        <v>46321</v>
      </c>
      <c r="EA4" s="235">
        <f t="shared" ref="EA4" si="160">+DZ4+7</f>
        <v>46328</v>
      </c>
      <c r="EB4" s="235">
        <f t="shared" ref="EB4" si="161">+EA4+7</f>
        <v>46335</v>
      </c>
      <c r="EC4" s="235">
        <f t="shared" ref="EC4" si="162">+EB4+7</f>
        <v>46342</v>
      </c>
      <c r="ED4" s="235">
        <f t="shared" ref="ED4" si="163">+EC4+7</f>
        <v>46349</v>
      </c>
      <c r="EE4" s="235">
        <f t="shared" ref="EE4" si="164">+ED4+7</f>
        <v>46356</v>
      </c>
      <c r="EF4" s="235">
        <f t="shared" ref="EF4" si="165">+EE4+7</f>
        <v>46363</v>
      </c>
      <c r="EG4" s="235">
        <f t="shared" ref="EG4" si="166">+EF4+7</f>
        <v>46370</v>
      </c>
      <c r="EH4" s="235">
        <f t="shared" ref="EH4" si="167">+EG4+7</f>
        <v>46377</v>
      </c>
      <c r="EI4" s="235">
        <f t="shared" ref="EI4" si="168">+EH4+7</f>
        <v>46384</v>
      </c>
      <c r="EJ4" s="235"/>
      <c r="EK4" s="235"/>
      <c r="EL4" s="235"/>
      <c r="EM4" s="235"/>
      <c r="EN4" s="235"/>
      <c r="EO4" s="235"/>
      <c r="EP4" s="235"/>
      <c r="EQ4" s="235"/>
      <c r="ER4" s="235"/>
      <c r="ES4" s="235"/>
      <c r="ET4" s="235"/>
      <c r="EU4" s="235"/>
      <c r="EV4" s="235"/>
      <c r="EW4" s="235"/>
      <c r="EX4" s="235"/>
      <c r="EY4" s="235"/>
      <c r="EZ4" s="235"/>
      <c r="FA4" s="235"/>
      <c r="FB4" s="235"/>
      <c r="FC4" s="235"/>
      <c r="FD4" s="235"/>
      <c r="FE4" s="235"/>
      <c r="FF4" s="235"/>
      <c r="FG4" s="235"/>
      <c r="FH4" s="235"/>
      <c r="FI4" s="235"/>
      <c r="FJ4" s="235"/>
    </row>
    <row r="5" spans="2:166" x14ac:dyDescent="0.3">
      <c r="B5" s="44" t="s">
        <v>0</v>
      </c>
      <c r="C5" s="243" t="s">
        <v>1</v>
      </c>
      <c r="D5" s="243" t="s">
        <v>2</v>
      </c>
      <c r="E5" s="244" t="s">
        <v>3</v>
      </c>
      <c r="F5" s="245" t="s">
        <v>7</v>
      </c>
      <c r="G5" s="246" t="s">
        <v>8</v>
      </c>
      <c r="H5" s="245" t="s">
        <v>142</v>
      </c>
      <c r="I5" s="247" t="s">
        <v>255</v>
      </c>
      <c r="J5" s="247" t="s">
        <v>256</v>
      </c>
      <c r="K5" s="247" t="s">
        <v>257</v>
      </c>
      <c r="L5" s="247" t="s">
        <v>258</v>
      </c>
      <c r="M5" s="247" t="s">
        <v>259</v>
      </c>
      <c r="N5" s="247" t="s">
        <v>260</v>
      </c>
      <c r="O5" s="247" t="s">
        <v>261</v>
      </c>
      <c r="P5" s="247" t="s">
        <v>262</v>
      </c>
      <c r="Q5" s="247" t="s">
        <v>263</v>
      </c>
      <c r="R5" s="247" t="s">
        <v>264</v>
      </c>
      <c r="S5" s="247" t="s">
        <v>265</v>
      </c>
      <c r="T5" s="247" t="s">
        <v>266</v>
      </c>
      <c r="U5" s="247" t="s">
        <v>267</v>
      </c>
      <c r="V5" s="247" t="s">
        <v>268</v>
      </c>
      <c r="W5" s="247" t="s">
        <v>269</v>
      </c>
      <c r="X5" s="247" t="s">
        <v>270</v>
      </c>
      <c r="Y5" s="247" t="s">
        <v>271</v>
      </c>
      <c r="Z5" s="247" t="s">
        <v>272</v>
      </c>
      <c r="AA5" s="247" t="s">
        <v>273</v>
      </c>
      <c r="AB5" s="247" t="s">
        <v>274</v>
      </c>
      <c r="AC5" s="247" t="s">
        <v>275</v>
      </c>
      <c r="AD5" s="247" t="s">
        <v>276</v>
      </c>
      <c r="AE5" s="247" t="s">
        <v>277</v>
      </c>
      <c r="AF5" s="247" t="s">
        <v>278</v>
      </c>
      <c r="AG5" s="247" t="s">
        <v>279</v>
      </c>
      <c r="AH5" s="247" t="s">
        <v>280</v>
      </c>
      <c r="AI5" s="247" t="s">
        <v>281</v>
      </c>
      <c r="AJ5" s="247" t="s">
        <v>282</v>
      </c>
      <c r="AK5" s="247" t="s">
        <v>283</v>
      </c>
      <c r="AL5" s="247" t="s">
        <v>284</v>
      </c>
      <c r="AM5" s="247" t="s">
        <v>285</v>
      </c>
      <c r="AN5" s="247" t="s">
        <v>286</v>
      </c>
      <c r="AO5" s="247" t="s">
        <v>287</v>
      </c>
      <c r="AP5" s="247" t="s">
        <v>288</v>
      </c>
      <c r="AQ5" s="247" t="s">
        <v>289</v>
      </c>
      <c r="AR5" s="247" t="s">
        <v>290</v>
      </c>
      <c r="AS5" s="247" t="s">
        <v>291</v>
      </c>
      <c r="AT5" s="247" t="s">
        <v>292</v>
      </c>
      <c r="AU5" s="247" t="s">
        <v>293</v>
      </c>
      <c r="AV5" s="247" t="s">
        <v>294</v>
      </c>
      <c r="AW5" s="247" t="s">
        <v>295</v>
      </c>
      <c r="AX5" s="247" t="s">
        <v>296</v>
      </c>
      <c r="AY5" s="247" t="s">
        <v>297</v>
      </c>
      <c r="AZ5" s="247" t="s">
        <v>298</v>
      </c>
      <c r="BA5" s="247" t="s">
        <v>299</v>
      </c>
      <c r="BB5" s="247" t="s">
        <v>300</v>
      </c>
      <c r="BC5" s="247" t="s">
        <v>301</v>
      </c>
      <c r="BD5" s="247" t="s">
        <v>302</v>
      </c>
      <c r="BE5" s="247" t="s">
        <v>303</v>
      </c>
      <c r="BF5" s="247" t="s">
        <v>304</v>
      </c>
      <c r="BG5" s="247" t="s">
        <v>305</v>
      </c>
      <c r="BH5" s="247" t="s">
        <v>306</v>
      </c>
      <c r="BI5" s="247" t="s">
        <v>307</v>
      </c>
      <c r="BJ5" s="247" t="s">
        <v>308</v>
      </c>
      <c r="BK5" s="247" t="s">
        <v>309</v>
      </c>
      <c r="BL5" s="247" t="s">
        <v>310</v>
      </c>
      <c r="BM5" s="247" t="s">
        <v>311</v>
      </c>
      <c r="BN5" s="247" t="s">
        <v>312</v>
      </c>
      <c r="BO5" s="247" t="s">
        <v>313</v>
      </c>
      <c r="BP5" s="247" t="s">
        <v>314</v>
      </c>
      <c r="BQ5" s="247" t="s">
        <v>315</v>
      </c>
      <c r="BR5" s="247" t="s">
        <v>316</v>
      </c>
      <c r="BS5" s="247" t="s">
        <v>317</v>
      </c>
      <c r="BT5" s="247" t="s">
        <v>318</v>
      </c>
      <c r="BU5" s="247" t="s">
        <v>319</v>
      </c>
      <c r="BV5" s="247" t="s">
        <v>320</v>
      </c>
      <c r="BW5" s="247" t="s">
        <v>321</v>
      </c>
      <c r="BX5" s="247" t="s">
        <v>322</v>
      </c>
      <c r="BY5" s="247" t="s">
        <v>323</v>
      </c>
      <c r="BZ5" s="247" t="s">
        <v>324</v>
      </c>
      <c r="CA5" s="247" t="s">
        <v>325</v>
      </c>
      <c r="CB5" s="247" t="s">
        <v>326</v>
      </c>
      <c r="CC5" s="269" t="s">
        <v>327</v>
      </c>
      <c r="CD5" s="269" t="s">
        <v>328</v>
      </c>
      <c r="CE5" s="247" t="s">
        <v>329</v>
      </c>
      <c r="CF5" s="270" t="s">
        <v>330</v>
      </c>
      <c r="CG5" s="247" t="s">
        <v>333</v>
      </c>
      <c r="CH5" s="247" t="s">
        <v>334</v>
      </c>
      <c r="CI5" s="247" t="s">
        <v>335</v>
      </c>
      <c r="CJ5" s="247" t="s">
        <v>358</v>
      </c>
      <c r="CK5" s="247" t="s">
        <v>359</v>
      </c>
      <c r="CL5" s="247" t="s">
        <v>361</v>
      </c>
      <c r="CM5" s="247" t="s">
        <v>374</v>
      </c>
      <c r="CN5" s="247" t="s">
        <v>375</v>
      </c>
      <c r="CO5" s="247" t="s">
        <v>376</v>
      </c>
      <c r="CP5" s="247" t="s">
        <v>377</v>
      </c>
      <c r="CQ5" s="247" t="s">
        <v>378</v>
      </c>
      <c r="CR5" s="247" t="s">
        <v>379</v>
      </c>
      <c r="CS5" s="247" t="s">
        <v>380</v>
      </c>
      <c r="CT5" s="247" t="s">
        <v>381</v>
      </c>
      <c r="CU5" s="247" t="s">
        <v>382</v>
      </c>
      <c r="CV5" s="247" t="s">
        <v>383</v>
      </c>
      <c r="CW5" s="247" t="s">
        <v>385</v>
      </c>
      <c r="CX5" s="247" t="s">
        <v>388</v>
      </c>
      <c r="CY5" s="247" t="s">
        <v>389</v>
      </c>
      <c r="CZ5" s="247" t="s">
        <v>390</v>
      </c>
      <c r="DA5" s="247" t="s">
        <v>391</v>
      </c>
      <c r="DB5" s="247" t="s">
        <v>387</v>
      </c>
      <c r="DC5" s="247" t="s">
        <v>392</v>
      </c>
      <c r="DD5" s="247" t="s">
        <v>393</v>
      </c>
      <c r="DE5" s="247" t="s">
        <v>394</v>
      </c>
      <c r="DF5" s="247" t="s">
        <v>406</v>
      </c>
      <c r="DG5" s="247" t="s">
        <v>407</v>
      </c>
      <c r="DH5" s="247" t="s">
        <v>408</v>
      </c>
      <c r="DI5" s="247" t="s">
        <v>409</v>
      </c>
      <c r="DJ5" s="247" t="s">
        <v>410</v>
      </c>
      <c r="DK5" s="247" t="s">
        <v>411</v>
      </c>
      <c r="DL5" s="247" t="s">
        <v>412</v>
      </c>
      <c r="DM5" s="247" t="s">
        <v>413</v>
      </c>
      <c r="DN5" s="247" t="s">
        <v>414</v>
      </c>
      <c r="DO5" s="247" t="s">
        <v>415</v>
      </c>
      <c r="DP5" s="247" t="s">
        <v>416</v>
      </c>
      <c r="DQ5" s="247" t="s">
        <v>417</v>
      </c>
      <c r="DR5" s="247" t="s">
        <v>418</v>
      </c>
      <c r="DS5" s="247" t="s">
        <v>419</v>
      </c>
      <c r="DT5" s="247" t="s">
        <v>420</v>
      </c>
      <c r="DU5" s="247" t="s">
        <v>421</v>
      </c>
      <c r="DV5" s="247" t="s">
        <v>422</v>
      </c>
      <c r="DW5" s="247" t="s">
        <v>423</v>
      </c>
      <c r="DX5" s="247" t="s">
        <v>424</v>
      </c>
      <c r="DY5" s="247" t="s">
        <v>425</v>
      </c>
      <c r="DZ5" s="247" t="s">
        <v>426</v>
      </c>
      <c r="EA5" s="247" t="s">
        <v>427</v>
      </c>
      <c r="EB5" s="247" t="s">
        <v>428</v>
      </c>
      <c r="EC5" s="247" t="s">
        <v>429</v>
      </c>
      <c r="ED5" s="247" t="s">
        <v>430</v>
      </c>
      <c r="EE5" s="247" t="s">
        <v>431</v>
      </c>
      <c r="EF5" s="247" t="s">
        <v>432</v>
      </c>
      <c r="EG5" s="247" t="s">
        <v>433</v>
      </c>
      <c r="EH5" s="247" t="s">
        <v>434</v>
      </c>
      <c r="EI5" s="247" t="s">
        <v>435</v>
      </c>
    </row>
    <row r="6" spans="2:166" ht="19.2" x14ac:dyDescent="0.3">
      <c r="B6" s="8" t="s">
        <v>11</v>
      </c>
      <c r="C6" s="9"/>
      <c r="D6" s="9"/>
      <c r="E6" s="46"/>
      <c r="F6" s="12">
        <f>+F7+F14+F79</f>
        <v>2650</v>
      </c>
      <c r="G6" s="14">
        <v>1</v>
      </c>
      <c r="H6" s="156"/>
      <c r="I6" s="14">
        <f t="shared" ref="I6:BD6" si="169">+I7*$G$7+I14*$G$14+I79*$G$79</f>
        <v>8.7813632965295718E-5</v>
      </c>
      <c r="J6" s="14">
        <f t="shared" si="169"/>
        <v>6.6812110374114548E-4</v>
      </c>
      <c r="K6" s="14">
        <f t="shared" si="169"/>
        <v>1.3453056290573008E-3</v>
      </c>
      <c r="L6" s="14">
        <f t="shared" si="169"/>
        <v>2.743673774785885E-3</v>
      </c>
      <c r="M6" s="62">
        <f t="shared" si="169"/>
        <v>4.1585334948187752E-3</v>
      </c>
      <c r="N6" s="62">
        <f t="shared" si="169"/>
        <v>5.4130936391348109E-3</v>
      </c>
      <c r="O6" s="14">
        <f t="shared" si="169"/>
        <v>1.8234166299858048E-2</v>
      </c>
      <c r="P6" s="14">
        <f t="shared" si="169"/>
        <v>3.8009615156600562E-2</v>
      </c>
      <c r="Q6" s="14">
        <f t="shared" si="169"/>
        <v>6.4491758140071215E-2</v>
      </c>
      <c r="R6" s="14">
        <f t="shared" si="169"/>
        <v>7.8331185624393451E-2</v>
      </c>
      <c r="S6" s="14">
        <f t="shared" si="169"/>
        <v>0.1146234467659399</v>
      </c>
      <c r="T6" s="14">
        <f t="shared" si="169"/>
        <v>0.11920820609673356</v>
      </c>
      <c r="U6" s="14">
        <f t="shared" si="169"/>
        <v>0.13918839051965826</v>
      </c>
      <c r="V6" s="14">
        <f t="shared" si="169"/>
        <v>0.15298330131138119</v>
      </c>
      <c r="W6" s="14">
        <f t="shared" si="169"/>
        <v>0.16313526936210079</v>
      </c>
      <c r="X6" s="14">
        <f t="shared" si="169"/>
        <v>0.17728442608939621</v>
      </c>
      <c r="Y6" s="14">
        <f t="shared" si="169"/>
        <v>0.20244558590632325</v>
      </c>
      <c r="Z6" s="14">
        <f t="shared" si="169"/>
        <v>0.23473980960886717</v>
      </c>
      <c r="AA6" s="14">
        <f t="shared" si="169"/>
        <v>0.26643267561223716</v>
      </c>
      <c r="AB6" s="14">
        <f t="shared" si="169"/>
        <v>0.28328482684440498</v>
      </c>
      <c r="AC6" s="14">
        <f t="shared" si="169"/>
        <v>0.3129128908072582</v>
      </c>
      <c r="AD6" s="14">
        <f t="shared" si="169"/>
        <v>0.3318461408551564</v>
      </c>
      <c r="AE6" s="14">
        <f t="shared" si="169"/>
        <v>0.35521971985243211</v>
      </c>
      <c r="AF6" s="14">
        <f t="shared" si="169"/>
        <v>0.36936995170488518</v>
      </c>
      <c r="AG6" s="14">
        <f t="shared" si="169"/>
        <v>0.39055046494770779</v>
      </c>
      <c r="AH6" s="14">
        <f t="shared" si="169"/>
        <v>0.40022233281096736</v>
      </c>
      <c r="AI6" s="14">
        <f t="shared" si="169"/>
        <v>0.40022233281096736</v>
      </c>
      <c r="AJ6" s="14">
        <f t="shared" si="169"/>
        <v>0.40022233281096736</v>
      </c>
      <c r="AK6" s="14">
        <f t="shared" si="169"/>
        <v>0.40517273761708056</v>
      </c>
      <c r="AL6" s="14">
        <f t="shared" si="169"/>
        <v>0.41476788205872644</v>
      </c>
      <c r="AM6" s="14">
        <f t="shared" si="169"/>
        <v>0.42172392947076015</v>
      </c>
      <c r="AN6" s="14">
        <f t="shared" si="169"/>
        <v>0.43081721131666628</v>
      </c>
      <c r="AO6" s="14">
        <f t="shared" si="169"/>
        <v>0.44850107513083781</v>
      </c>
      <c r="AP6" s="14">
        <f t="shared" si="169"/>
        <v>0.47155100266317362</v>
      </c>
      <c r="AQ6" s="14">
        <f t="shared" si="169"/>
        <v>0.48557969288829339</v>
      </c>
      <c r="AR6" s="14">
        <f t="shared" si="169"/>
        <v>0.50019776900572688</v>
      </c>
      <c r="AS6" s="14">
        <f t="shared" si="169"/>
        <v>0.50402420656869551</v>
      </c>
      <c r="AT6" s="14">
        <f t="shared" si="169"/>
        <v>0.53131084800846784</v>
      </c>
      <c r="AU6" s="14">
        <f t="shared" si="169"/>
        <v>0.53319567765529641</v>
      </c>
      <c r="AV6" s="14">
        <f t="shared" si="169"/>
        <v>0.54287761586807926</v>
      </c>
      <c r="AW6" s="14">
        <f t="shared" si="169"/>
        <v>0.55384079721710877</v>
      </c>
      <c r="AX6" s="14">
        <f t="shared" si="169"/>
        <v>0.5677999952687578</v>
      </c>
      <c r="AY6" s="14">
        <f t="shared" si="169"/>
        <v>0.5678734066993717</v>
      </c>
      <c r="AZ6" s="14">
        <f t="shared" si="169"/>
        <v>0.58011831452833995</v>
      </c>
      <c r="BA6" s="14">
        <f t="shared" si="169"/>
        <v>0.59171744695428674</v>
      </c>
      <c r="BB6" s="14">
        <f t="shared" si="169"/>
        <v>0.60833830405168365</v>
      </c>
      <c r="BC6" s="14">
        <f t="shared" si="169"/>
        <v>0.61691402902776593</v>
      </c>
      <c r="BD6" s="14">
        <f t="shared" si="169"/>
        <v>0.62616605052204077</v>
      </c>
      <c r="BE6" s="14">
        <f t="shared" ref="BE6:BF6" si="170">+BE7*$G$7+BE14*$G$14+BE79*$G$79</f>
        <v>0.64025716391163345</v>
      </c>
      <c r="BF6" s="14">
        <f t="shared" si="170"/>
        <v>0.64793985333465398</v>
      </c>
      <c r="BG6" s="157">
        <f t="shared" ref="BG6:BH6" si="171">+BG7*$G$7+BG14*$G$14+BG79*$G$79</f>
        <v>0.65979008450735477</v>
      </c>
      <c r="BH6" s="157">
        <f t="shared" si="171"/>
        <v>0.6730360685434813</v>
      </c>
      <c r="BI6" s="251">
        <f t="shared" ref="BI6:BJ6" si="172">+BI7*$G$7+BI14*$G$14+BI79*$G$79</f>
        <v>0.68715882876783518</v>
      </c>
      <c r="BJ6" s="251">
        <f t="shared" si="172"/>
        <v>0.69982528165328928</v>
      </c>
      <c r="BK6" s="251">
        <f t="shared" ref="BK6:BL6" si="173">+BK7*$G$7+BK14*$G$14+BK79*$G$79</f>
        <v>0.70757587803208832</v>
      </c>
      <c r="BL6" s="251">
        <f t="shared" si="173"/>
        <v>0.71473806854181932</v>
      </c>
      <c r="BM6" s="251">
        <f t="shared" ref="BM6:BN6" si="174">+BM7*$G$7+BM14*$G$14+BM79*$G$79</f>
        <v>0.7218657760917162</v>
      </c>
      <c r="BN6" s="251">
        <f t="shared" si="174"/>
        <v>0.72450245751086406</v>
      </c>
      <c r="BO6" s="251">
        <f t="shared" ref="BO6:BP6" si="175">+BO7*$G$7+BO14*$G$14+BO79*$G$79</f>
        <v>0.73299968309583019</v>
      </c>
      <c r="BP6" s="251">
        <f t="shared" si="175"/>
        <v>0.7399562233280037</v>
      </c>
      <c r="BQ6" s="251">
        <f t="shared" ref="BQ6:BR6" si="176">+BQ7*$G$7+BQ14*$G$14+BQ79*$G$79</f>
        <v>0.74502624318891664</v>
      </c>
      <c r="BR6" s="251">
        <f t="shared" si="176"/>
        <v>0.74957628191305004</v>
      </c>
      <c r="BS6" s="251">
        <f t="shared" ref="BS6:BT6" si="177">+BS7*$G$7+BS14*$G$14+BS79*$G$79</f>
        <v>0.75620971770143919</v>
      </c>
      <c r="BT6" s="251">
        <f t="shared" si="177"/>
        <v>0.7639359234712475</v>
      </c>
      <c r="BU6" s="251">
        <f t="shared" ref="BU6:BV6" si="178">+BU7*$G$7+BU14*$G$14+BU79*$G$79</f>
        <v>0.77585898361926176</v>
      </c>
      <c r="BV6" s="251">
        <f t="shared" si="178"/>
        <v>0.78374288248176049</v>
      </c>
      <c r="BW6" s="251">
        <f t="shared" ref="BW6:BX6" si="179">+BW7*$G$7+BW14*$G$14+BW79*$G$79</f>
        <v>0.79449292446039321</v>
      </c>
      <c r="BX6" s="251">
        <f t="shared" si="179"/>
        <v>0.795897330002448</v>
      </c>
      <c r="BY6" s="251">
        <f t="shared" ref="BY6:BZ6" si="180">+BY7*$G$7+BY14*$G$14+BY79*$G$79</f>
        <v>0.8004229342151411</v>
      </c>
      <c r="BZ6" s="251">
        <f t="shared" si="180"/>
        <v>0.80224397756826837</v>
      </c>
      <c r="CA6" s="251">
        <f t="shared" ref="CA6:CB6" si="181">+CA7*$G$7+CA14*$G$14+CA79*$G$79</f>
        <v>0.80321760494652195</v>
      </c>
      <c r="CB6" s="251">
        <f t="shared" si="181"/>
        <v>0.81006591572938336</v>
      </c>
      <c r="CC6" s="251">
        <f t="shared" ref="CC6:CD6" si="182">+CC7*$G$7+CC14*$G$14+CC79*$G$79</f>
        <v>0.82271072897239161</v>
      </c>
      <c r="CD6" s="251">
        <f t="shared" si="182"/>
        <v>0.82558275159095129</v>
      </c>
      <c r="CE6" s="251">
        <f t="shared" ref="CE6" si="183">+CE7*$G$7+CE14*$G$14+CE79*$G$79</f>
        <v>0.83165873973535809</v>
      </c>
      <c r="CF6" s="251">
        <f t="shared" ref="CF6" si="184">+CF7*$G$7+CF14*$G$14+CF79*$G$79</f>
        <v>0.83408610170264397</v>
      </c>
      <c r="CG6" s="251">
        <f t="shared" ref="CG6" si="185">+CG7*$G$7+CG14*$G$14+CG79*$G$79</f>
        <v>0.8354534249540706</v>
      </c>
      <c r="CH6" s="251">
        <f t="shared" ref="CH6" si="186">+CH7*$G$7+CH14*$G$14+CH79*$G$79</f>
        <v>0.83604064045644755</v>
      </c>
      <c r="CI6" s="251">
        <f t="shared" ref="CI6" si="187">+CI7*$G$7+CI14*$G$14+CI79*$G$79</f>
        <v>0.83652905544202105</v>
      </c>
      <c r="CJ6" s="251">
        <f t="shared" ref="CJ6:CK6" si="188">+CJ7*$G$7+CJ14*$G$14+CJ79*$G$79</f>
        <v>0.83655235120878313</v>
      </c>
      <c r="CK6" s="251">
        <f t="shared" si="188"/>
        <v>0.83656399909216406</v>
      </c>
      <c r="CL6" s="251">
        <f t="shared" ref="CL6:CV6" si="189">+CL7*$G$7+CL14*$G$14+CL79*$G$79</f>
        <v>0.83656399909216406</v>
      </c>
      <c r="CM6" s="251">
        <f t="shared" si="189"/>
        <v>0.83785093815723466</v>
      </c>
      <c r="CN6" s="251">
        <f t="shared" si="189"/>
        <v>0.83868886207226168</v>
      </c>
      <c r="CO6" s="251">
        <f t="shared" si="189"/>
        <v>0.83868886207226168</v>
      </c>
      <c r="CP6" s="251">
        <f t="shared" si="189"/>
        <v>0.8392865433590162</v>
      </c>
      <c r="CQ6" s="251">
        <f t="shared" si="189"/>
        <v>0.8392865433590162</v>
      </c>
      <c r="CR6" s="251">
        <f t="shared" si="189"/>
        <v>0.84320038934369457</v>
      </c>
      <c r="CS6" s="251">
        <f>+CS7*$G$7+CS14*$G$14+CS79*$G$79</f>
        <v>0.84362316423153705</v>
      </c>
      <c r="CT6" s="251">
        <f t="shared" si="189"/>
        <v>0.84449880449951853</v>
      </c>
      <c r="CU6" s="251">
        <f t="shared" si="189"/>
        <v>0.84619147490380187</v>
      </c>
      <c r="CV6" s="251">
        <f t="shared" si="189"/>
        <v>0.84668551793408497</v>
      </c>
      <c r="CW6" s="251">
        <f t="shared" ref="CW6" si="190">+CW7*$G$7+CW14*$G$14+CW79*$G$79</f>
        <v>0.84668551793408497</v>
      </c>
      <c r="CX6" s="251">
        <f t="shared" ref="CX6:CY6" si="191">+CX7*$G$7+CX14*$G$14+CX79*$G$79</f>
        <v>0.84774029930038997</v>
      </c>
      <c r="CY6" s="251">
        <f t="shared" si="191"/>
        <v>0.84869916048592864</v>
      </c>
      <c r="CZ6" s="251">
        <f t="shared" ref="CZ6" si="192">+CZ7*$G$7+CZ14*$G$14+CZ79*$G$79</f>
        <v>0.84955807307043518</v>
      </c>
      <c r="DA6" s="251">
        <f>+DA7*$G$7+DA14*$G$14+DA79*$G$79</f>
        <v>0.85002709617708627</v>
      </c>
      <c r="DB6" s="251">
        <f t="shared" ref="DB6:DC6" si="193">+DB7*$G$7+DB14*$G$14+DB79*$G$79</f>
        <v>0.85051987785614103</v>
      </c>
      <c r="DC6" s="251">
        <f t="shared" si="193"/>
        <v>0.85127516806613279</v>
      </c>
      <c r="DD6" s="251">
        <f t="shared" ref="DD6:DE6" si="194">+DD7*$G$7+DD14*$G$14+DD79*$G$79</f>
        <v>0.85164366265205349</v>
      </c>
      <c r="DE6" s="251">
        <f t="shared" si="194"/>
        <v>0.86158882528271385</v>
      </c>
      <c r="DF6" s="251">
        <f t="shared" ref="DF6:EI6" si="195">+DF7*$G$7+DF14*$G$14+DF79*$G$79</f>
        <v>0.86195731986863455</v>
      </c>
      <c r="DG6" s="251">
        <f t="shared" si="195"/>
        <v>0.86222296965919054</v>
      </c>
      <c r="DH6" s="251">
        <f t="shared" si="195"/>
        <v>0.86292312162339324</v>
      </c>
      <c r="DI6" s="251">
        <f t="shared" si="195"/>
        <v>0.86351524994197115</v>
      </c>
      <c r="DJ6" s="251">
        <f t="shared" si="195"/>
        <v>0.83656399909216406</v>
      </c>
      <c r="DK6" s="251">
        <f t="shared" si="195"/>
        <v>0.83656399909216406</v>
      </c>
      <c r="DL6" s="251">
        <f t="shared" si="195"/>
        <v>0.83656399909216406</v>
      </c>
      <c r="DM6" s="251">
        <f t="shared" si="195"/>
        <v>0.83656399909216406</v>
      </c>
      <c r="DN6" s="251">
        <f t="shared" si="195"/>
        <v>0.83656399909216406</v>
      </c>
      <c r="DO6" s="251">
        <f t="shared" si="195"/>
        <v>0.83656399909216406</v>
      </c>
      <c r="DP6" s="251">
        <f t="shared" si="195"/>
        <v>0.83656399909216406</v>
      </c>
      <c r="DQ6" s="251">
        <f t="shared" si="195"/>
        <v>0.83656399909216406</v>
      </c>
      <c r="DR6" s="251">
        <f t="shared" si="195"/>
        <v>0.83656399909216406</v>
      </c>
      <c r="DS6" s="251">
        <f t="shared" si="195"/>
        <v>0.83656399909216406</v>
      </c>
      <c r="DT6" s="251">
        <f t="shared" si="195"/>
        <v>0.83656399909216406</v>
      </c>
      <c r="DU6" s="251">
        <f t="shared" si="195"/>
        <v>0.83656399909216406</v>
      </c>
      <c r="DV6" s="251">
        <f t="shared" si="195"/>
        <v>0.83656399909216406</v>
      </c>
      <c r="DW6" s="251">
        <f t="shared" si="195"/>
        <v>0.83656399909216406</v>
      </c>
      <c r="DX6" s="251">
        <f t="shared" si="195"/>
        <v>0.83656399909216406</v>
      </c>
      <c r="DY6" s="251">
        <f t="shared" si="195"/>
        <v>0.83656399909216406</v>
      </c>
      <c r="DZ6" s="251">
        <f t="shared" si="195"/>
        <v>0.83656399909216406</v>
      </c>
      <c r="EA6" s="251">
        <f t="shared" si="195"/>
        <v>0.83656399909216406</v>
      </c>
      <c r="EB6" s="251">
        <f t="shared" si="195"/>
        <v>0.83656399909216406</v>
      </c>
      <c r="EC6" s="251">
        <f t="shared" si="195"/>
        <v>0.83656399909216406</v>
      </c>
      <c r="ED6" s="251">
        <f t="shared" si="195"/>
        <v>0.83656399909216406</v>
      </c>
      <c r="EE6" s="251">
        <f t="shared" si="195"/>
        <v>0.83656399909216406</v>
      </c>
      <c r="EF6" s="251">
        <f t="shared" si="195"/>
        <v>0.83656399909216406</v>
      </c>
      <c r="EG6" s="251">
        <f t="shared" si="195"/>
        <v>0.83656399909216406</v>
      </c>
      <c r="EH6" s="251">
        <f t="shared" si="195"/>
        <v>0.83656399909216406</v>
      </c>
      <c r="EI6" s="251">
        <f t="shared" si="195"/>
        <v>0.85127516806613279</v>
      </c>
    </row>
    <row r="7" spans="2:166" ht="16.8" outlineLevel="1" x14ac:dyDescent="0.3">
      <c r="B7" s="15"/>
      <c r="C7" s="16" t="s">
        <v>12</v>
      </c>
      <c r="D7" s="16"/>
      <c r="E7" s="48"/>
      <c r="F7" s="19">
        <f>+F8</f>
        <v>87</v>
      </c>
      <c r="G7" s="21">
        <v>9.9999999999999991E-146</v>
      </c>
      <c r="H7" s="158"/>
      <c r="I7" s="21">
        <f>+I8*$G$8</f>
        <v>0</v>
      </c>
      <c r="J7" s="21">
        <f>+J8*$G$8</f>
        <v>0.1310344827586207</v>
      </c>
      <c r="K7" s="21">
        <f t="shared" ref="K7:CM7" si="196">+K8*$G$8</f>
        <v>0.30804597701149428</v>
      </c>
      <c r="L7" s="21">
        <f t="shared" si="196"/>
        <v>0.46206896551724136</v>
      </c>
      <c r="M7" s="63">
        <f t="shared" si="196"/>
        <v>0.66206896551724137</v>
      </c>
      <c r="N7" s="63">
        <f t="shared" si="196"/>
        <v>0.78735632183908055</v>
      </c>
      <c r="O7" s="21">
        <f t="shared" si="196"/>
        <v>1</v>
      </c>
      <c r="P7" s="21">
        <f t="shared" si="196"/>
        <v>1</v>
      </c>
      <c r="Q7" s="21">
        <f t="shared" si="196"/>
        <v>1</v>
      </c>
      <c r="R7" s="21">
        <f t="shared" si="196"/>
        <v>1</v>
      </c>
      <c r="S7" s="21">
        <f t="shared" si="196"/>
        <v>1</v>
      </c>
      <c r="T7" s="21">
        <f t="shared" si="196"/>
        <v>1</v>
      </c>
      <c r="U7" s="21">
        <f t="shared" si="196"/>
        <v>1</v>
      </c>
      <c r="V7" s="21">
        <f t="shared" si="196"/>
        <v>1</v>
      </c>
      <c r="W7" s="21">
        <f t="shared" si="196"/>
        <v>1</v>
      </c>
      <c r="X7" s="21">
        <f t="shared" si="196"/>
        <v>1</v>
      </c>
      <c r="Y7" s="21">
        <f t="shared" si="196"/>
        <v>1</v>
      </c>
      <c r="Z7" s="21">
        <f t="shared" si="196"/>
        <v>1</v>
      </c>
      <c r="AA7" s="21">
        <f t="shared" si="196"/>
        <v>1</v>
      </c>
      <c r="AB7" s="21">
        <f t="shared" si="196"/>
        <v>1</v>
      </c>
      <c r="AC7" s="21">
        <f t="shared" si="196"/>
        <v>1</v>
      </c>
      <c r="AD7" s="21">
        <f t="shared" si="196"/>
        <v>1</v>
      </c>
      <c r="AE7" s="21">
        <f t="shared" si="196"/>
        <v>1</v>
      </c>
      <c r="AF7" s="21">
        <f t="shared" si="196"/>
        <v>1</v>
      </c>
      <c r="AG7" s="21">
        <f t="shared" si="196"/>
        <v>1</v>
      </c>
      <c r="AH7" s="21">
        <f t="shared" si="196"/>
        <v>1</v>
      </c>
      <c r="AI7" s="21">
        <f t="shared" si="196"/>
        <v>1</v>
      </c>
      <c r="AJ7" s="21">
        <f t="shared" si="196"/>
        <v>1</v>
      </c>
      <c r="AK7" s="21">
        <f t="shared" si="196"/>
        <v>1</v>
      </c>
      <c r="AL7" s="21">
        <f t="shared" si="196"/>
        <v>1</v>
      </c>
      <c r="AM7" s="21">
        <f t="shared" si="196"/>
        <v>1</v>
      </c>
      <c r="AN7" s="21">
        <f t="shared" si="196"/>
        <v>1</v>
      </c>
      <c r="AO7" s="21">
        <f t="shared" si="196"/>
        <v>1</v>
      </c>
      <c r="AP7" s="21">
        <f t="shared" si="196"/>
        <v>1</v>
      </c>
      <c r="AQ7" s="21">
        <f t="shared" si="196"/>
        <v>1</v>
      </c>
      <c r="AR7" s="21">
        <f t="shared" si="196"/>
        <v>1</v>
      </c>
      <c r="AS7" s="21">
        <f t="shared" si="196"/>
        <v>1</v>
      </c>
      <c r="AT7" s="21">
        <f t="shared" si="196"/>
        <v>1</v>
      </c>
      <c r="AU7" s="21">
        <f t="shared" si="196"/>
        <v>1</v>
      </c>
      <c r="AV7" s="21">
        <f t="shared" si="196"/>
        <v>1</v>
      </c>
      <c r="AW7" s="21">
        <f t="shared" si="196"/>
        <v>1</v>
      </c>
      <c r="AX7" s="21">
        <f t="shared" si="196"/>
        <v>1</v>
      </c>
      <c r="AY7" s="21">
        <f t="shared" si="196"/>
        <v>1</v>
      </c>
      <c r="AZ7" s="21">
        <f t="shared" si="196"/>
        <v>1</v>
      </c>
      <c r="BA7" s="21">
        <f t="shared" si="196"/>
        <v>1</v>
      </c>
      <c r="BB7" s="21">
        <f t="shared" si="196"/>
        <v>1</v>
      </c>
      <c r="BC7" s="21">
        <f t="shared" si="196"/>
        <v>1</v>
      </c>
      <c r="BD7" s="21">
        <f t="shared" si="196"/>
        <v>1</v>
      </c>
      <c r="BE7" s="21">
        <f t="shared" si="196"/>
        <v>1</v>
      </c>
      <c r="BF7" s="21">
        <f t="shared" si="196"/>
        <v>1</v>
      </c>
      <c r="BG7" s="159">
        <f t="shared" si="196"/>
        <v>1</v>
      </c>
      <c r="BH7" s="159">
        <f t="shared" si="196"/>
        <v>1</v>
      </c>
      <c r="BI7" s="21">
        <f t="shared" si="196"/>
        <v>1</v>
      </c>
      <c r="BJ7" s="21">
        <f t="shared" si="196"/>
        <v>1</v>
      </c>
      <c r="BK7" s="21">
        <f t="shared" si="196"/>
        <v>1</v>
      </c>
      <c r="BL7" s="21">
        <f t="shared" si="196"/>
        <v>1</v>
      </c>
      <c r="BM7" s="21">
        <f t="shared" si="196"/>
        <v>1</v>
      </c>
      <c r="BN7" s="21">
        <f t="shared" si="196"/>
        <v>1</v>
      </c>
      <c r="BO7" s="21">
        <f t="shared" si="196"/>
        <v>1</v>
      </c>
      <c r="BP7" s="21">
        <f t="shared" si="196"/>
        <v>1</v>
      </c>
      <c r="BQ7" s="21">
        <f t="shared" si="196"/>
        <v>1</v>
      </c>
      <c r="BR7" s="21">
        <f t="shared" si="196"/>
        <v>1</v>
      </c>
      <c r="BS7" s="21">
        <f t="shared" si="196"/>
        <v>1</v>
      </c>
      <c r="BT7" s="21">
        <f t="shared" si="196"/>
        <v>1</v>
      </c>
      <c r="BU7" s="21">
        <f t="shared" si="196"/>
        <v>1</v>
      </c>
      <c r="BV7" s="21">
        <f t="shared" si="196"/>
        <v>1</v>
      </c>
      <c r="BW7" s="21">
        <f t="shared" si="196"/>
        <v>1</v>
      </c>
      <c r="BX7" s="21">
        <f t="shared" si="196"/>
        <v>1</v>
      </c>
      <c r="BY7" s="21">
        <f t="shared" si="196"/>
        <v>1</v>
      </c>
      <c r="BZ7" s="21">
        <f t="shared" si="196"/>
        <v>1</v>
      </c>
      <c r="CA7" s="21">
        <f t="shared" si="196"/>
        <v>1</v>
      </c>
      <c r="CB7" s="21">
        <f t="shared" si="196"/>
        <v>1</v>
      </c>
      <c r="CC7" s="21">
        <f t="shared" si="196"/>
        <v>1</v>
      </c>
      <c r="CD7" s="21">
        <f t="shared" si="196"/>
        <v>1</v>
      </c>
      <c r="CE7" s="21">
        <f t="shared" si="196"/>
        <v>1</v>
      </c>
      <c r="CF7" s="21">
        <f t="shared" si="196"/>
        <v>1</v>
      </c>
      <c r="CG7" s="21">
        <f t="shared" si="196"/>
        <v>1</v>
      </c>
      <c r="CH7" s="21">
        <f t="shared" si="196"/>
        <v>1</v>
      </c>
      <c r="CI7" s="21">
        <f t="shared" si="196"/>
        <v>1</v>
      </c>
      <c r="CJ7" s="21">
        <f t="shared" si="196"/>
        <v>1</v>
      </c>
      <c r="CK7" s="21">
        <f t="shared" si="196"/>
        <v>1</v>
      </c>
      <c r="CL7" s="21">
        <f t="shared" si="196"/>
        <v>1</v>
      </c>
      <c r="CM7" s="21">
        <f t="shared" si="196"/>
        <v>1</v>
      </c>
      <c r="CN7" s="21">
        <f t="shared" ref="CN7:EI7" si="197">+CN8*$G$8</f>
        <v>1</v>
      </c>
      <c r="CO7" s="21">
        <f t="shared" si="197"/>
        <v>1</v>
      </c>
      <c r="CP7" s="21">
        <f t="shared" si="197"/>
        <v>1</v>
      </c>
      <c r="CQ7" s="21">
        <f t="shared" si="197"/>
        <v>1</v>
      </c>
      <c r="CR7" s="21">
        <f t="shared" si="197"/>
        <v>1</v>
      </c>
      <c r="CS7" s="21">
        <f t="shared" si="197"/>
        <v>1</v>
      </c>
      <c r="CT7" s="21">
        <f t="shared" si="197"/>
        <v>1</v>
      </c>
      <c r="CU7" s="21">
        <f t="shared" si="197"/>
        <v>1</v>
      </c>
      <c r="CV7" s="21">
        <f t="shared" si="197"/>
        <v>1</v>
      </c>
      <c r="CW7" s="21">
        <f t="shared" si="197"/>
        <v>1</v>
      </c>
      <c r="CX7" s="21">
        <f t="shared" si="197"/>
        <v>1</v>
      </c>
      <c r="CY7" s="21">
        <f t="shared" si="197"/>
        <v>1</v>
      </c>
      <c r="CZ7" s="21">
        <f t="shared" si="197"/>
        <v>1</v>
      </c>
      <c r="DA7" s="21">
        <f t="shared" si="197"/>
        <v>1</v>
      </c>
      <c r="DB7" s="21">
        <f t="shared" si="197"/>
        <v>1</v>
      </c>
      <c r="DC7" s="21">
        <f t="shared" si="197"/>
        <v>1</v>
      </c>
      <c r="DD7" s="21">
        <f t="shared" si="197"/>
        <v>1</v>
      </c>
      <c r="DE7" s="21">
        <f t="shared" si="197"/>
        <v>1</v>
      </c>
      <c r="DF7" s="21">
        <f t="shared" si="197"/>
        <v>1</v>
      </c>
      <c r="DG7" s="271">
        <f t="shared" si="197"/>
        <v>1</v>
      </c>
      <c r="DH7" s="271">
        <f t="shared" si="197"/>
        <v>1</v>
      </c>
      <c r="DI7" s="21">
        <f t="shared" si="197"/>
        <v>1</v>
      </c>
      <c r="DJ7" s="21">
        <f t="shared" si="197"/>
        <v>1</v>
      </c>
      <c r="DK7" s="21">
        <f t="shared" si="197"/>
        <v>1</v>
      </c>
      <c r="DL7" s="21">
        <f t="shared" si="197"/>
        <v>1</v>
      </c>
      <c r="DM7" s="21">
        <f t="shared" si="197"/>
        <v>1</v>
      </c>
      <c r="DN7" s="21">
        <f t="shared" si="197"/>
        <v>1</v>
      </c>
      <c r="DO7" s="21">
        <f t="shared" si="197"/>
        <v>1</v>
      </c>
      <c r="DP7" s="21">
        <f t="shared" si="197"/>
        <v>1</v>
      </c>
      <c r="DQ7" s="21">
        <f t="shared" si="197"/>
        <v>1</v>
      </c>
      <c r="DR7" s="21">
        <f t="shared" si="197"/>
        <v>1</v>
      </c>
      <c r="DS7" s="21">
        <f t="shared" si="197"/>
        <v>1</v>
      </c>
      <c r="DT7" s="21">
        <f t="shared" si="197"/>
        <v>1</v>
      </c>
      <c r="DU7" s="21">
        <f t="shared" si="197"/>
        <v>1</v>
      </c>
      <c r="DV7" s="21">
        <f t="shared" si="197"/>
        <v>1</v>
      </c>
      <c r="DW7" s="21">
        <f t="shared" si="197"/>
        <v>1</v>
      </c>
      <c r="DX7" s="21">
        <f t="shared" si="197"/>
        <v>1</v>
      </c>
      <c r="DY7" s="21">
        <f t="shared" si="197"/>
        <v>1</v>
      </c>
      <c r="DZ7" s="21">
        <f t="shared" si="197"/>
        <v>1</v>
      </c>
      <c r="EA7" s="21">
        <f t="shared" si="197"/>
        <v>1</v>
      </c>
      <c r="EB7" s="21">
        <f t="shared" si="197"/>
        <v>1</v>
      </c>
      <c r="EC7" s="21">
        <f t="shared" si="197"/>
        <v>1</v>
      </c>
      <c r="ED7" s="21">
        <f t="shared" si="197"/>
        <v>1</v>
      </c>
      <c r="EE7" s="21">
        <f t="shared" si="197"/>
        <v>1</v>
      </c>
      <c r="EF7" s="21">
        <f t="shared" si="197"/>
        <v>1</v>
      </c>
      <c r="EG7" s="21">
        <f t="shared" si="197"/>
        <v>1</v>
      </c>
      <c r="EH7" s="21">
        <f t="shared" si="197"/>
        <v>1</v>
      </c>
      <c r="EI7" s="21">
        <f t="shared" si="197"/>
        <v>1</v>
      </c>
    </row>
    <row r="8" spans="2:166" ht="15" outlineLevel="2" collapsed="1" x14ac:dyDescent="0.3">
      <c r="B8" s="22"/>
      <c r="C8" s="23"/>
      <c r="D8" s="23" t="s">
        <v>13</v>
      </c>
      <c r="E8" s="50"/>
      <c r="F8" s="26">
        <f>+SUM(F9:F13)</f>
        <v>87</v>
      </c>
      <c r="G8" s="28">
        <v>1</v>
      </c>
      <c r="H8" s="160"/>
      <c r="I8" s="28">
        <f t="shared" ref="I8:BD8" si="198">+SUMPRODUCT($G$9:$G$13,I9:I13)</f>
        <v>0</v>
      </c>
      <c r="J8" s="28">
        <f t="shared" si="198"/>
        <v>0.1310344827586207</v>
      </c>
      <c r="K8" s="28">
        <f t="shared" si="198"/>
        <v>0.30804597701149428</v>
      </c>
      <c r="L8" s="28">
        <f t="shared" si="198"/>
        <v>0.46206896551724136</v>
      </c>
      <c r="M8" s="64">
        <f t="shared" si="198"/>
        <v>0.66206896551724137</v>
      </c>
      <c r="N8" s="64">
        <f t="shared" si="198"/>
        <v>0.78735632183908055</v>
      </c>
      <c r="O8" s="28">
        <f t="shared" si="198"/>
        <v>1</v>
      </c>
      <c r="P8" s="28">
        <f t="shared" si="198"/>
        <v>1</v>
      </c>
      <c r="Q8" s="28">
        <f t="shared" si="198"/>
        <v>1</v>
      </c>
      <c r="R8" s="28">
        <f t="shared" si="198"/>
        <v>1</v>
      </c>
      <c r="S8" s="28">
        <f t="shared" si="198"/>
        <v>1</v>
      </c>
      <c r="T8" s="28">
        <f t="shared" si="198"/>
        <v>1</v>
      </c>
      <c r="U8" s="28">
        <f t="shared" si="198"/>
        <v>1</v>
      </c>
      <c r="V8" s="28">
        <f t="shared" si="198"/>
        <v>1</v>
      </c>
      <c r="W8" s="28">
        <f t="shared" si="198"/>
        <v>1</v>
      </c>
      <c r="X8" s="28">
        <f t="shared" si="198"/>
        <v>1</v>
      </c>
      <c r="Y8" s="28">
        <f t="shared" si="198"/>
        <v>1</v>
      </c>
      <c r="Z8" s="28">
        <f t="shared" si="198"/>
        <v>1</v>
      </c>
      <c r="AA8" s="28">
        <f t="shared" si="198"/>
        <v>1</v>
      </c>
      <c r="AB8" s="28">
        <f t="shared" si="198"/>
        <v>1</v>
      </c>
      <c r="AC8" s="28">
        <f t="shared" si="198"/>
        <v>1</v>
      </c>
      <c r="AD8" s="28">
        <f t="shared" si="198"/>
        <v>1</v>
      </c>
      <c r="AE8" s="28">
        <f t="shared" si="198"/>
        <v>1</v>
      </c>
      <c r="AF8" s="28">
        <f t="shared" si="198"/>
        <v>1</v>
      </c>
      <c r="AG8" s="28">
        <f t="shared" si="198"/>
        <v>1</v>
      </c>
      <c r="AH8" s="28">
        <f t="shared" si="198"/>
        <v>1</v>
      </c>
      <c r="AI8" s="28">
        <f t="shared" si="198"/>
        <v>1</v>
      </c>
      <c r="AJ8" s="28">
        <f t="shared" si="198"/>
        <v>1</v>
      </c>
      <c r="AK8" s="28">
        <f t="shared" si="198"/>
        <v>1</v>
      </c>
      <c r="AL8" s="28">
        <f t="shared" si="198"/>
        <v>1</v>
      </c>
      <c r="AM8" s="28">
        <f t="shared" si="198"/>
        <v>1</v>
      </c>
      <c r="AN8" s="28">
        <f t="shared" si="198"/>
        <v>1</v>
      </c>
      <c r="AO8" s="28">
        <f t="shared" si="198"/>
        <v>1</v>
      </c>
      <c r="AP8" s="28">
        <f t="shared" si="198"/>
        <v>1</v>
      </c>
      <c r="AQ8" s="28">
        <f t="shared" si="198"/>
        <v>1</v>
      </c>
      <c r="AR8" s="28">
        <f t="shared" si="198"/>
        <v>1</v>
      </c>
      <c r="AS8" s="28">
        <f t="shared" si="198"/>
        <v>1</v>
      </c>
      <c r="AT8" s="28">
        <f t="shared" si="198"/>
        <v>1</v>
      </c>
      <c r="AU8" s="28">
        <f t="shared" si="198"/>
        <v>1</v>
      </c>
      <c r="AV8" s="28">
        <f t="shared" si="198"/>
        <v>1</v>
      </c>
      <c r="AW8" s="28">
        <f t="shared" si="198"/>
        <v>1</v>
      </c>
      <c r="AX8" s="28">
        <f t="shared" si="198"/>
        <v>1</v>
      </c>
      <c r="AY8" s="28">
        <f t="shared" si="198"/>
        <v>1</v>
      </c>
      <c r="AZ8" s="28">
        <f t="shared" si="198"/>
        <v>1</v>
      </c>
      <c r="BA8" s="28">
        <f t="shared" si="198"/>
        <v>1</v>
      </c>
      <c r="BB8" s="28">
        <f t="shared" si="198"/>
        <v>1</v>
      </c>
      <c r="BC8" s="28">
        <f t="shared" si="198"/>
        <v>1</v>
      </c>
      <c r="BD8" s="28">
        <f t="shared" si="198"/>
        <v>1</v>
      </c>
      <c r="BE8" s="28">
        <f t="shared" ref="BE8:BF8" si="199">+SUMPRODUCT($G$9:$G$13,BE9:BE13)</f>
        <v>1</v>
      </c>
      <c r="BF8" s="28">
        <f t="shared" si="199"/>
        <v>1</v>
      </c>
      <c r="BG8" s="161">
        <f t="shared" ref="BG8:BH8" si="200">+SUMPRODUCT($G$9:$G$13,BG9:BG13)</f>
        <v>1</v>
      </c>
      <c r="BH8" s="161">
        <f t="shared" si="200"/>
        <v>1</v>
      </c>
      <c r="BI8" s="28">
        <f t="shared" ref="BI8:BJ8" si="201">+SUMPRODUCT($G$9:$G$13,BI9:BI13)</f>
        <v>1</v>
      </c>
      <c r="BJ8" s="28">
        <f t="shared" si="201"/>
        <v>1</v>
      </c>
      <c r="BK8" s="28">
        <f t="shared" ref="BK8:BL8" si="202">+SUMPRODUCT($G$9:$G$13,BK9:BK13)</f>
        <v>1</v>
      </c>
      <c r="BL8" s="28">
        <f t="shared" si="202"/>
        <v>1</v>
      </c>
      <c r="BM8" s="28">
        <f t="shared" ref="BM8:BN8" si="203">+SUMPRODUCT($G$9:$G$13,BM9:BM13)</f>
        <v>1</v>
      </c>
      <c r="BN8" s="28">
        <f t="shared" si="203"/>
        <v>1</v>
      </c>
      <c r="BO8" s="28">
        <f t="shared" ref="BO8:BP8" si="204">+SUMPRODUCT($G$9:$G$13,BO9:BO13)</f>
        <v>1</v>
      </c>
      <c r="BP8" s="28">
        <f t="shared" si="204"/>
        <v>1</v>
      </c>
      <c r="BQ8" s="28">
        <f t="shared" ref="BQ8:BR8" si="205">+SUMPRODUCT($G$9:$G$13,BQ9:BQ13)</f>
        <v>1</v>
      </c>
      <c r="BR8" s="28">
        <f t="shared" si="205"/>
        <v>1</v>
      </c>
      <c r="BS8" s="28">
        <f t="shared" ref="BS8:BT8" si="206">+SUMPRODUCT($G$9:$G$13,BS9:BS13)</f>
        <v>1</v>
      </c>
      <c r="BT8" s="28">
        <f t="shared" si="206"/>
        <v>1</v>
      </c>
      <c r="BU8" s="28">
        <f t="shared" ref="BU8:BV8" si="207">+SUMPRODUCT($G$9:$G$13,BU9:BU13)</f>
        <v>1</v>
      </c>
      <c r="BV8" s="28">
        <f t="shared" si="207"/>
        <v>1</v>
      </c>
      <c r="BW8" s="28">
        <f t="shared" ref="BW8:BX8" si="208">+SUMPRODUCT($G$9:$G$13,BW9:BW13)</f>
        <v>1</v>
      </c>
      <c r="BX8" s="28">
        <f t="shared" si="208"/>
        <v>1</v>
      </c>
      <c r="BY8" s="28">
        <f t="shared" ref="BY8:BZ8" si="209">+SUMPRODUCT($G$9:$G$13,BY9:BY13)</f>
        <v>1</v>
      </c>
      <c r="BZ8" s="28">
        <f t="shared" si="209"/>
        <v>1</v>
      </c>
      <c r="CA8" s="28">
        <f t="shared" ref="CA8:CB8" si="210">+SUMPRODUCT($G$9:$G$13,CA9:CA13)</f>
        <v>1</v>
      </c>
      <c r="CB8" s="28">
        <f t="shared" si="210"/>
        <v>1</v>
      </c>
      <c r="CC8" s="28">
        <f t="shared" ref="CC8:CD8" si="211">+SUMPRODUCT($G$9:$G$13,CC9:CC13)</f>
        <v>1</v>
      </c>
      <c r="CD8" s="28">
        <f t="shared" si="211"/>
        <v>1</v>
      </c>
      <c r="CE8" s="28">
        <f t="shared" ref="CE8" si="212">+SUMPRODUCT($G$9:$G$13,CE9:CE13)</f>
        <v>1</v>
      </c>
      <c r="CF8" s="28">
        <f t="shared" ref="CF8" si="213">+SUMPRODUCT($G$9:$G$13,CF9:CF13)</f>
        <v>1</v>
      </c>
      <c r="CG8" s="28">
        <f t="shared" ref="CG8" si="214">+SUMPRODUCT($G$9:$G$13,CG9:CG13)</f>
        <v>1</v>
      </c>
      <c r="CH8" s="28">
        <f t="shared" ref="CH8" si="215">+SUMPRODUCT($G$9:$G$13,CH9:CH13)</f>
        <v>1</v>
      </c>
      <c r="CI8" s="28">
        <f t="shared" ref="CI8" si="216">+SUMPRODUCT($G$9:$G$13,CI9:CI13)</f>
        <v>1</v>
      </c>
      <c r="CJ8" s="28">
        <f t="shared" ref="CJ8:CK8" si="217">+SUMPRODUCT($G$9:$G$13,CJ9:CJ13)</f>
        <v>1</v>
      </c>
      <c r="CK8" s="28">
        <f t="shared" si="217"/>
        <v>1</v>
      </c>
      <c r="CL8" s="28">
        <f t="shared" ref="CL8:CV8" si="218">+SUMPRODUCT($G$9:$G$13,CL9:CL13)</f>
        <v>1</v>
      </c>
      <c r="CM8" s="28">
        <f t="shared" si="218"/>
        <v>1</v>
      </c>
      <c r="CN8" s="28">
        <f t="shared" si="218"/>
        <v>1</v>
      </c>
      <c r="CO8" s="28">
        <f t="shared" si="218"/>
        <v>1</v>
      </c>
      <c r="CP8" s="28">
        <f t="shared" si="218"/>
        <v>1</v>
      </c>
      <c r="CQ8" s="28">
        <f t="shared" si="218"/>
        <v>1</v>
      </c>
      <c r="CR8" s="28">
        <f t="shared" si="218"/>
        <v>1</v>
      </c>
      <c r="CS8" s="28">
        <f t="shared" si="218"/>
        <v>1</v>
      </c>
      <c r="CT8" s="28">
        <f t="shared" si="218"/>
        <v>1</v>
      </c>
      <c r="CU8" s="28">
        <f t="shared" si="218"/>
        <v>1</v>
      </c>
      <c r="CV8" s="28">
        <f t="shared" si="218"/>
        <v>1</v>
      </c>
      <c r="CW8" s="28">
        <f t="shared" ref="CW8" si="219">+SUMPRODUCT($G$9:$G$13,CW9:CW13)</f>
        <v>1</v>
      </c>
      <c r="CX8" s="28">
        <f t="shared" ref="CX8:CY8" si="220">+SUMPRODUCT($G$9:$G$13,CX9:CX13)</f>
        <v>1</v>
      </c>
      <c r="CY8" s="28">
        <f t="shared" si="220"/>
        <v>1</v>
      </c>
      <c r="CZ8" s="28">
        <f t="shared" ref="CZ8:DA8" si="221">+SUMPRODUCT($G$9:$G$13,CZ9:CZ13)</f>
        <v>1</v>
      </c>
      <c r="DA8" s="28">
        <f t="shared" si="221"/>
        <v>1</v>
      </c>
      <c r="DB8" s="28">
        <f t="shared" ref="DB8:DC8" si="222">+SUMPRODUCT($G$9:$G$13,DB9:DB13)</f>
        <v>1</v>
      </c>
      <c r="DC8" s="28">
        <f t="shared" si="222"/>
        <v>1</v>
      </c>
      <c r="DD8" s="28">
        <f t="shared" ref="DD8:DE8" si="223">+SUMPRODUCT($G$9:$G$13,DD9:DD13)</f>
        <v>1</v>
      </c>
      <c r="DE8" s="28">
        <f t="shared" si="223"/>
        <v>1</v>
      </c>
      <c r="DF8" s="28">
        <f t="shared" ref="DF8:EI8" si="224">+SUMPRODUCT($G$9:$G$13,DF9:DF13)</f>
        <v>1</v>
      </c>
      <c r="DG8" s="28">
        <f t="shared" si="224"/>
        <v>1</v>
      </c>
      <c r="DH8" s="28">
        <f t="shared" si="224"/>
        <v>1</v>
      </c>
      <c r="DI8" s="28">
        <f t="shared" si="224"/>
        <v>1</v>
      </c>
      <c r="DJ8" s="28">
        <f t="shared" si="224"/>
        <v>1</v>
      </c>
      <c r="DK8" s="28">
        <f t="shared" si="224"/>
        <v>1</v>
      </c>
      <c r="DL8" s="28">
        <f t="shared" si="224"/>
        <v>1</v>
      </c>
      <c r="DM8" s="28">
        <f t="shared" si="224"/>
        <v>1</v>
      </c>
      <c r="DN8" s="28">
        <f t="shared" si="224"/>
        <v>1</v>
      </c>
      <c r="DO8" s="28">
        <f t="shared" si="224"/>
        <v>1</v>
      </c>
      <c r="DP8" s="28">
        <f t="shared" si="224"/>
        <v>1</v>
      </c>
      <c r="DQ8" s="28">
        <f t="shared" si="224"/>
        <v>1</v>
      </c>
      <c r="DR8" s="28">
        <f t="shared" si="224"/>
        <v>1</v>
      </c>
      <c r="DS8" s="28">
        <f t="shared" si="224"/>
        <v>1</v>
      </c>
      <c r="DT8" s="28">
        <f t="shared" si="224"/>
        <v>1</v>
      </c>
      <c r="DU8" s="28">
        <f t="shared" si="224"/>
        <v>1</v>
      </c>
      <c r="DV8" s="28">
        <f t="shared" si="224"/>
        <v>1</v>
      </c>
      <c r="DW8" s="28">
        <f t="shared" si="224"/>
        <v>1</v>
      </c>
      <c r="DX8" s="28">
        <f t="shared" si="224"/>
        <v>1</v>
      </c>
      <c r="DY8" s="28">
        <f t="shared" si="224"/>
        <v>1</v>
      </c>
      <c r="DZ8" s="28">
        <f t="shared" si="224"/>
        <v>1</v>
      </c>
      <c r="EA8" s="28">
        <f t="shared" si="224"/>
        <v>1</v>
      </c>
      <c r="EB8" s="28">
        <f t="shared" si="224"/>
        <v>1</v>
      </c>
      <c r="EC8" s="28">
        <f t="shared" si="224"/>
        <v>1</v>
      </c>
      <c r="ED8" s="28">
        <f t="shared" si="224"/>
        <v>1</v>
      </c>
      <c r="EE8" s="28">
        <f t="shared" si="224"/>
        <v>1</v>
      </c>
      <c r="EF8" s="28">
        <f t="shared" si="224"/>
        <v>1</v>
      </c>
      <c r="EG8" s="28">
        <f t="shared" si="224"/>
        <v>1</v>
      </c>
      <c r="EH8" s="28">
        <f t="shared" si="224"/>
        <v>1</v>
      </c>
      <c r="EI8" s="28">
        <f t="shared" si="224"/>
        <v>1</v>
      </c>
    </row>
    <row r="9" spans="2:166" hidden="1" outlineLevel="3" x14ac:dyDescent="0.3">
      <c r="B9" s="29"/>
      <c r="C9" s="30"/>
      <c r="D9" s="30"/>
      <c r="E9" s="52" t="s">
        <v>14</v>
      </c>
      <c r="F9" s="33">
        <v>0</v>
      </c>
      <c r="G9" s="35">
        <v>1E-119</v>
      </c>
      <c r="H9" s="162"/>
      <c r="I9" s="127">
        <v>0</v>
      </c>
      <c r="J9" s="127">
        <v>1</v>
      </c>
      <c r="K9" s="127">
        <v>1</v>
      </c>
      <c r="L9" s="127">
        <v>1</v>
      </c>
      <c r="M9" s="127">
        <v>1</v>
      </c>
      <c r="N9" s="127">
        <v>1</v>
      </c>
      <c r="O9" s="127">
        <v>1</v>
      </c>
      <c r="P9" s="127">
        <v>1</v>
      </c>
      <c r="Q9" s="127">
        <v>1</v>
      </c>
      <c r="R9" s="127">
        <v>1</v>
      </c>
      <c r="S9" s="127">
        <v>1</v>
      </c>
      <c r="T9" s="127">
        <v>1</v>
      </c>
      <c r="U9" s="127">
        <v>1</v>
      </c>
      <c r="V9" s="128">
        <v>1</v>
      </c>
      <c r="W9" s="128">
        <v>1</v>
      </c>
      <c r="X9" s="128">
        <v>1</v>
      </c>
      <c r="Y9" s="128">
        <v>1</v>
      </c>
      <c r="Z9" s="128">
        <v>1</v>
      </c>
      <c r="AA9" s="128">
        <v>1</v>
      </c>
      <c r="AB9" s="128">
        <v>1</v>
      </c>
      <c r="AC9" s="128">
        <v>1</v>
      </c>
      <c r="AD9" s="128">
        <v>1</v>
      </c>
      <c r="AE9" s="128">
        <v>1</v>
      </c>
      <c r="AF9" s="128">
        <v>1</v>
      </c>
      <c r="AG9" s="128">
        <v>1</v>
      </c>
      <c r="AH9" s="128">
        <v>1</v>
      </c>
      <c r="AI9" s="128">
        <v>1</v>
      </c>
      <c r="AJ9" s="128">
        <v>1</v>
      </c>
      <c r="AK9" s="128">
        <v>1</v>
      </c>
      <c r="AL9" s="128">
        <v>1</v>
      </c>
      <c r="AM9" s="128">
        <v>1</v>
      </c>
      <c r="AN9" s="128">
        <v>1</v>
      </c>
      <c r="AO9" s="128">
        <v>1</v>
      </c>
      <c r="AP9" s="128">
        <v>1</v>
      </c>
      <c r="AQ9" s="128">
        <v>1</v>
      </c>
      <c r="AR9" s="128">
        <v>1</v>
      </c>
      <c r="AS9" s="128">
        <v>1</v>
      </c>
      <c r="AT9" s="128">
        <v>1</v>
      </c>
      <c r="AU9" s="128">
        <v>1</v>
      </c>
      <c r="AV9" s="128">
        <v>1</v>
      </c>
      <c r="AW9" s="128">
        <v>1</v>
      </c>
      <c r="AX9" s="128">
        <v>1</v>
      </c>
      <c r="AY9" s="128">
        <v>1</v>
      </c>
      <c r="AZ9" s="128">
        <v>1</v>
      </c>
      <c r="BA9" s="128">
        <v>1</v>
      </c>
      <c r="BB9" s="128">
        <v>1</v>
      </c>
      <c r="BC9" s="128">
        <v>1</v>
      </c>
      <c r="BD9" s="128">
        <v>1</v>
      </c>
      <c r="BE9" s="128">
        <v>1</v>
      </c>
      <c r="BF9" s="128">
        <v>1</v>
      </c>
      <c r="BG9" s="248">
        <v>1</v>
      </c>
      <c r="BH9" s="248">
        <v>1</v>
      </c>
      <c r="BI9" s="128">
        <v>1</v>
      </c>
      <c r="BJ9" s="128">
        <v>1</v>
      </c>
      <c r="BK9" s="128">
        <v>1</v>
      </c>
      <c r="BL9" s="128">
        <v>1</v>
      </c>
      <c r="BM9" s="128">
        <v>1</v>
      </c>
      <c r="BN9" s="128">
        <v>1</v>
      </c>
      <c r="BO9" s="128">
        <v>1</v>
      </c>
      <c r="BP9" s="128">
        <v>1</v>
      </c>
      <c r="BQ9" s="128">
        <v>1</v>
      </c>
      <c r="BR9" s="128">
        <v>1</v>
      </c>
      <c r="BS9" s="128">
        <v>1</v>
      </c>
      <c r="BT9" s="128">
        <v>1</v>
      </c>
      <c r="BU9" s="128">
        <v>1</v>
      </c>
      <c r="BV9" s="128">
        <v>1</v>
      </c>
      <c r="BW9" s="128">
        <v>1</v>
      </c>
      <c r="BX9" s="128">
        <v>1</v>
      </c>
      <c r="BY9" s="128">
        <v>1</v>
      </c>
      <c r="BZ9" s="128">
        <v>1</v>
      </c>
      <c r="CA9" s="128">
        <v>1</v>
      </c>
      <c r="CB9" s="128">
        <v>1</v>
      </c>
      <c r="CC9" s="128">
        <v>1</v>
      </c>
      <c r="CD9" s="128">
        <v>1</v>
      </c>
      <c r="CE9" s="128">
        <v>1</v>
      </c>
      <c r="CF9" s="128">
        <v>1</v>
      </c>
      <c r="CG9" s="128">
        <v>1</v>
      </c>
      <c r="CH9" s="128">
        <v>1</v>
      </c>
      <c r="CI9" s="128">
        <v>1</v>
      </c>
      <c r="CJ9" s="128">
        <v>1</v>
      </c>
      <c r="CK9" s="128">
        <v>1</v>
      </c>
      <c r="CL9" s="128">
        <v>1</v>
      </c>
      <c r="CM9" s="128">
        <v>1</v>
      </c>
      <c r="CN9" s="128">
        <v>1</v>
      </c>
      <c r="CO9" s="128">
        <v>1</v>
      </c>
      <c r="CP9" s="128">
        <v>1</v>
      </c>
      <c r="CQ9" s="128">
        <v>1</v>
      </c>
      <c r="CR9" s="128">
        <v>1</v>
      </c>
      <c r="CS9" s="128">
        <v>1</v>
      </c>
      <c r="CT9" s="128">
        <v>1</v>
      </c>
      <c r="CU9" s="128">
        <v>1</v>
      </c>
      <c r="CV9" s="128">
        <v>1</v>
      </c>
      <c r="CW9" s="128">
        <v>1</v>
      </c>
      <c r="CX9" s="128">
        <v>1</v>
      </c>
      <c r="CY9" s="128">
        <v>1</v>
      </c>
      <c r="CZ9" s="128">
        <v>1</v>
      </c>
      <c r="DA9" s="128">
        <v>1</v>
      </c>
      <c r="DB9" s="128">
        <v>1</v>
      </c>
      <c r="DC9" s="128">
        <v>1</v>
      </c>
      <c r="DD9" s="128">
        <v>1</v>
      </c>
      <c r="DE9" s="128">
        <v>1</v>
      </c>
      <c r="DF9" s="128">
        <v>1</v>
      </c>
      <c r="DG9" s="128">
        <v>1</v>
      </c>
      <c r="DH9" s="128">
        <v>1</v>
      </c>
      <c r="DI9" s="128">
        <v>1</v>
      </c>
      <c r="DJ9" s="128">
        <v>1</v>
      </c>
      <c r="DK9" s="128">
        <v>1</v>
      </c>
      <c r="DL9" s="128">
        <v>1</v>
      </c>
      <c r="DM9" s="128">
        <v>1</v>
      </c>
      <c r="DN9" s="128">
        <v>1</v>
      </c>
      <c r="DO9" s="128">
        <v>1</v>
      </c>
      <c r="DP9" s="128">
        <v>1</v>
      </c>
      <c r="DQ9" s="128">
        <v>1</v>
      </c>
      <c r="DR9" s="128">
        <v>1</v>
      </c>
      <c r="DS9" s="128">
        <v>1</v>
      </c>
      <c r="DT9" s="128">
        <v>1</v>
      </c>
      <c r="DU9" s="128">
        <v>1</v>
      </c>
      <c r="DV9" s="128">
        <v>1</v>
      </c>
      <c r="DW9" s="128">
        <v>1</v>
      </c>
      <c r="DX9" s="128">
        <v>1</v>
      </c>
      <c r="DY9" s="128">
        <v>1</v>
      </c>
      <c r="DZ9" s="128">
        <v>1</v>
      </c>
      <c r="EA9" s="128">
        <v>1</v>
      </c>
      <c r="EB9" s="128">
        <v>1</v>
      </c>
      <c r="EC9" s="128">
        <v>1</v>
      </c>
      <c r="ED9" s="128">
        <v>1</v>
      </c>
      <c r="EE9" s="128">
        <v>1</v>
      </c>
      <c r="EF9" s="128">
        <v>1</v>
      </c>
      <c r="EG9" s="128">
        <v>1</v>
      </c>
      <c r="EH9" s="128">
        <v>1</v>
      </c>
      <c r="EI9" s="128">
        <v>1</v>
      </c>
    </row>
    <row r="10" spans="2:166" hidden="1" outlineLevel="3" x14ac:dyDescent="0.3">
      <c r="B10" s="29"/>
      <c r="C10" s="30"/>
      <c r="D10" s="30"/>
      <c r="E10" s="52" t="s">
        <v>15</v>
      </c>
      <c r="F10" s="33">
        <v>0</v>
      </c>
      <c r="G10" s="35">
        <v>1E-119</v>
      </c>
      <c r="H10" s="162"/>
      <c r="I10" s="127">
        <v>0</v>
      </c>
      <c r="J10" s="127">
        <v>0</v>
      </c>
      <c r="K10" s="127">
        <v>0</v>
      </c>
      <c r="L10" s="127">
        <v>0</v>
      </c>
      <c r="M10" s="127">
        <v>0</v>
      </c>
      <c r="N10" s="127">
        <v>0</v>
      </c>
      <c r="O10" s="127">
        <v>0</v>
      </c>
      <c r="P10" s="127">
        <v>0</v>
      </c>
      <c r="Q10" s="127">
        <v>0</v>
      </c>
      <c r="R10" s="127">
        <v>0</v>
      </c>
      <c r="S10" s="127">
        <v>0</v>
      </c>
      <c r="T10" s="127">
        <v>0</v>
      </c>
      <c r="U10" s="127">
        <v>0</v>
      </c>
      <c r="V10" s="128">
        <v>0</v>
      </c>
      <c r="W10" s="128">
        <v>0</v>
      </c>
      <c r="X10" s="128">
        <v>0</v>
      </c>
      <c r="Y10" s="128">
        <v>0</v>
      </c>
      <c r="Z10" s="128">
        <v>0</v>
      </c>
      <c r="AA10" s="128">
        <v>0</v>
      </c>
      <c r="AB10" s="128">
        <v>0</v>
      </c>
      <c r="AC10" s="128">
        <v>0</v>
      </c>
      <c r="AD10" s="128">
        <v>0</v>
      </c>
      <c r="AE10" s="128">
        <v>0</v>
      </c>
      <c r="AF10" s="128">
        <v>0</v>
      </c>
      <c r="AG10" s="128">
        <v>0</v>
      </c>
      <c r="AH10" s="128">
        <v>0</v>
      </c>
      <c r="AI10" s="128">
        <v>0</v>
      </c>
      <c r="AJ10" s="128">
        <v>0</v>
      </c>
      <c r="AK10" s="128">
        <v>0</v>
      </c>
      <c r="AL10" s="128">
        <v>0</v>
      </c>
      <c r="AM10" s="128">
        <v>0</v>
      </c>
      <c r="AN10" s="128">
        <v>0</v>
      </c>
      <c r="AO10" s="128">
        <v>0</v>
      </c>
      <c r="AP10" s="128">
        <v>0</v>
      </c>
      <c r="AQ10" s="128">
        <v>0</v>
      </c>
      <c r="AR10" s="128">
        <v>0</v>
      </c>
      <c r="AS10" s="128">
        <v>0</v>
      </c>
      <c r="AT10" s="128">
        <v>0</v>
      </c>
      <c r="AU10" s="128">
        <v>0</v>
      </c>
      <c r="AV10" s="128">
        <v>0</v>
      </c>
      <c r="AW10" s="128">
        <v>0</v>
      </c>
      <c r="AX10" s="128">
        <v>0</v>
      </c>
      <c r="AY10" s="128">
        <v>0</v>
      </c>
      <c r="AZ10" s="128">
        <v>0</v>
      </c>
      <c r="BA10" s="128">
        <v>0</v>
      </c>
      <c r="BB10" s="128">
        <v>0</v>
      </c>
      <c r="BC10" s="128">
        <v>0</v>
      </c>
      <c r="BD10" s="128">
        <v>0</v>
      </c>
      <c r="BE10" s="128">
        <v>0</v>
      </c>
      <c r="BF10" s="128">
        <v>0</v>
      </c>
      <c r="BG10" s="248">
        <v>0</v>
      </c>
      <c r="BH10" s="248">
        <v>0</v>
      </c>
      <c r="BI10" s="128">
        <v>0</v>
      </c>
      <c r="BJ10" s="128">
        <v>0</v>
      </c>
      <c r="BK10" s="128">
        <v>0</v>
      </c>
      <c r="BL10" s="128">
        <v>0</v>
      </c>
      <c r="BM10" s="128">
        <v>0</v>
      </c>
      <c r="BN10" s="128">
        <v>0</v>
      </c>
      <c r="BO10" s="128">
        <v>0</v>
      </c>
      <c r="BP10" s="128">
        <v>0</v>
      </c>
      <c r="BQ10" s="128">
        <v>0</v>
      </c>
      <c r="BR10" s="128">
        <v>0</v>
      </c>
      <c r="BS10" s="128">
        <v>0</v>
      </c>
      <c r="BT10" s="128">
        <v>0</v>
      </c>
      <c r="BU10" s="128">
        <v>0</v>
      </c>
      <c r="BV10" s="128">
        <v>0</v>
      </c>
      <c r="BW10" s="128">
        <v>0</v>
      </c>
      <c r="BX10" s="128">
        <v>0</v>
      </c>
      <c r="BY10" s="128">
        <v>0</v>
      </c>
      <c r="BZ10" s="128">
        <v>0</v>
      </c>
      <c r="CA10" s="128">
        <v>0</v>
      </c>
      <c r="CB10" s="128">
        <v>0</v>
      </c>
      <c r="CC10" s="128">
        <v>0</v>
      </c>
      <c r="CD10" s="128">
        <v>0</v>
      </c>
      <c r="CE10" s="128">
        <v>0</v>
      </c>
      <c r="CF10" s="128">
        <v>0</v>
      </c>
      <c r="CG10" s="128">
        <v>0</v>
      </c>
      <c r="CH10" s="128">
        <v>0</v>
      </c>
      <c r="CI10" s="128">
        <v>0</v>
      </c>
      <c r="CJ10" s="128">
        <v>0</v>
      </c>
      <c r="CK10" s="128">
        <v>0</v>
      </c>
      <c r="CL10" s="128">
        <v>0</v>
      </c>
      <c r="CM10" s="128">
        <v>0</v>
      </c>
      <c r="CN10" s="128">
        <v>0</v>
      </c>
      <c r="CO10" s="128">
        <v>0</v>
      </c>
      <c r="CP10" s="128">
        <v>0</v>
      </c>
      <c r="CQ10" s="128">
        <v>0</v>
      </c>
      <c r="CR10" s="128">
        <v>0</v>
      </c>
      <c r="CS10" s="128">
        <v>0</v>
      </c>
      <c r="CT10" s="128">
        <v>0</v>
      </c>
      <c r="CU10" s="128">
        <v>0</v>
      </c>
      <c r="CV10" s="128">
        <v>0</v>
      </c>
      <c r="CW10" s="128">
        <v>0</v>
      </c>
      <c r="CX10" s="128">
        <v>0</v>
      </c>
      <c r="CY10" s="128">
        <v>0</v>
      </c>
      <c r="CZ10" s="128">
        <v>0</v>
      </c>
      <c r="DA10" s="128">
        <v>0</v>
      </c>
      <c r="DB10" s="128">
        <v>0</v>
      </c>
      <c r="DC10" s="128">
        <v>0</v>
      </c>
      <c r="DD10" s="128">
        <v>0</v>
      </c>
      <c r="DE10" s="128">
        <v>0</v>
      </c>
      <c r="DF10" s="128">
        <v>0</v>
      </c>
      <c r="DG10" s="128">
        <v>0</v>
      </c>
      <c r="DH10" s="128">
        <v>0</v>
      </c>
      <c r="DI10" s="128">
        <v>0</v>
      </c>
      <c r="DJ10" s="128">
        <v>0</v>
      </c>
      <c r="DK10" s="128">
        <v>0</v>
      </c>
      <c r="DL10" s="128">
        <v>0</v>
      </c>
      <c r="DM10" s="128">
        <v>0</v>
      </c>
      <c r="DN10" s="128">
        <v>0</v>
      </c>
      <c r="DO10" s="128">
        <v>0</v>
      </c>
      <c r="DP10" s="128">
        <v>0</v>
      </c>
      <c r="DQ10" s="128">
        <v>0</v>
      </c>
      <c r="DR10" s="128">
        <v>0</v>
      </c>
      <c r="DS10" s="128">
        <v>0</v>
      </c>
      <c r="DT10" s="128">
        <v>0</v>
      </c>
      <c r="DU10" s="128">
        <v>0</v>
      </c>
      <c r="DV10" s="128">
        <v>0</v>
      </c>
      <c r="DW10" s="128">
        <v>0</v>
      </c>
      <c r="DX10" s="128">
        <v>0</v>
      </c>
      <c r="DY10" s="128">
        <v>0</v>
      </c>
      <c r="DZ10" s="128">
        <v>0</v>
      </c>
      <c r="EA10" s="128">
        <v>0</v>
      </c>
      <c r="EB10" s="128">
        <v>0</v>
      </c>
      <c r="EC10" s="128">
        <v>0</v>
      </c>
      <c r="ED10" s="128">
        <v>0</v>
      </c>
      <c r="EE10" s="128">
        <v>0</v>
      </c>
      <c r="EF10" s="128">
        <v>0</v>
      </c>
      <c r="EG10" s="128">
        <v>0</v>
      </c>
      <c r="EH10" s="128">
        <v>0</v>
      </c>
      <c r="EI10" s="128">
        <v>0</v>
      </c>
    </row>
    <row r="11" spans="2:166" hidden="1" outlineLevel="3" x14ac:dyDescent="0.3">
      <c r="B11" s="29"/>
      <c r="C11" s="30"/>
      <c r="D11" s="30"/>
      <c r="E11" s="52" t="s">
        <v>16</v>
      </c>
      <c r="F11" s="33">
        <v>25</v>
      </c>
      <c r="G11" s="35">
        <v>0.28735632183908044</v>
      </c>
      <c r="H11" s="162"/>
      <c r="I11" s="127">
        <v>0</v>
      </c>
      <c r="J11" s="127">
        <v>0.2</v>
      </c>
      <c r="K11" s="127">
        <v>0.4</v>
      </c>
      <c r="L11" s="127">
        <v>0.6</v>
      </c>
      <c r="M11" s="128">
        <v>0.8</v>
      </c>
      <c r="N11" s="128">
        <v>0.9</v>
      </c>
      <c r="O11" s="127">
        <v>1</v>
      </c>
      <c r="P11" s="127">
        <v>1</v>
      </c>
      <c r="Q11" s="127">
        <v>1</v>
      </c>
      <c r="R11" s="127">
        <v>1</v>
      </c>
      <c r="S11" s="127">
        <v>1</v>
      </c>
      <c r="T11" s="127">
        <v>1</v>
      </c>
      <c r="U11" s="127">
        <v>1</v>
      </c>
      <c r="V11" s="128">
        <v>1</v>
      </c>
      <c r="W11" s="128">
        <v>1</v>
      </c>
      <c r="X11" s="128">
        <v>1</v>
      </c>
      <c r="Y11" s="128">
        <v>1</v>
      </c>
      <c r="Z11" s="128">
        <v>1</v>
      </c>
      <c r="AA11" s="128">
        <v>1</v>
      </c>
      <c r="AB11" s="128">
        <v>1</v>
      </c>
      <c r="AC11" s="128">
        <v>1</v>
      </c>
      <c r="AD11" s="128">
        <v>1</v>
      </c>
      <c r="AE11" s="128">
        <v>1</v>
      </c>
      <c r="AF11" s="128">
        <v>1</v>
      </c>
      <c r="AG11" s="128">
        <v>1</v>
      </c>
      <c r="AH11" s="128">
        <v>1</v>
      </c>
      <c r="AI11" s="128">
        <v>1</v>
      </c>
      <c r="AJ11" s="128">
        <v>1</v>
      </c>
      <c r="AK11" s="128">
        <v>1</v>
      </c>
      <c r="AL11" s="128">
        <v>1</v>
      </c>
      <c r="AM11" s="128">
        <v>1</v>
      </c>
      <c r="AN11" s="128">
        <v>1</v>
      </c>
      <c r="AO11" s="128">
        <v>1</v>
      </c>
      <c r="AP11" s="128">
        <v>1</v>
      </c>
      <c r="AQ11" s="128">
        <v>1</v>
      </c>
      <c r="AR11" s="128">
        <v>1</v>
      </c>
      <c r="AS11" s="128">
        <v>1</v>
      </c>
      <c r="AT11" s="128">
        <v>1</v>
      </c>
      <c r="AU11" s="128">
        <v>1</v>
      </c>
      <c r="AV11" s="128">
        <v>1</v>
      </c>
      <c r="AW11" s="128">
        <v>1</v>
      </c>
      <c r="AX11" s="128">
        <v>1</v>
      </c>
      <c r="AY11" s="128">
        <v>1</v>
      </c>
      <c r="AZ11" s="128">
        <v>1</v>
      </c>
      <c r="BA11" s="128">
        <v>1</v>
      </c>
      <c r="BB11" s="128">
        <v>1</v>
      </c>
      <c r="BC11" s="128">
        <v>1</v>
      </c>
      <c r="BD11" s="128">
        <v>1</v>
      </c>
      <c r="BE11" s="128">
        <v>1</v>
      </c>
      <c r="BF11" s="128">
        <v>1</v>
      </c>
      <c r="BG11" s="248">
        <v>1</v>
      </c>
      <c r="BH11" s="248">
        <v>1</v>
      </c>
      <c r="BI11" s="128">
        <v>1</v>
      </c>
      <c r="BJ11" s="128">
        <v>1</v>
      </c>
      <c r="BK11" s="128">
        <v>1</v>
      </c>
      <c r="BL11" s="128">
        <v>1</v>
      </c>
      <c r="BM11" s="128">
        <v>1</v>
      </c>
      <c r="BN11" s="128">
        <v>1</v>
      </c>
      <c r="BO11" s="128">
        <v>1</v>
      </c>
      <c r="BP11" s="128">
        <v>1</v>
      </c>
      <c r="BQ11" s="128">
        <v>1</v>
      </c>
      <c r="BR11" s="128">
        <v>1</v>
      </c>
      <c r="BS11" s="128">
        <v>1</v>
      </c>
      <c r="BT11" s="128">
        <v>1</v>
      </c>
      <c r="BU11" s="128">
        <v>1</v>
      </c>
      <c r="BV11" s="128">
        <v>1</v>
      </c>
      <c r="BW11" s="128">
        <v>1</v>
      </c>
      <c r="BX11" s="128">
        <v>1</v>
      </c>
      <c r="BY11" s="128">
        <v>1</v>
      </c>
      <c r="BZ11" s="128">
        <v>1</v>
      </c>
      <c r="CA11" s="128">
        <v>1</v>
      </c>
      <c r="CB11" s="128">
        <v>1</v>
      </c>
      <c r="CC11" s="128">
        <v>1</v>
      </c>
      <c r="CD11" s="128">
        <v>1</v>
      </c>
      <c r="CE11" s="128">
        <v>1</v>
      </c>
      <c r="CF11" s="128">
        <v>1</v>
      </c>
      <c r="CG11" s="128">
        <v>1</v>
      </c>
      <c r="CH11" s="128">
        <v>1</v>
      </c>
      <c r="CI11" s="128">
        <v>1</v>
      </c>
      <c r="CJ11" s="128">
        <v>1</v>
      </c>
      <c r="CK11" s="128">
        <v>1</v>
      </c>
      <c r="CL11" s="128">
        <v>1</v>
      </c>
      <c r="CM11" s="128">
        <v>1</v>
      </c>
      <c r="CN11" s="128">
        <v>1</v>
      </c>
      <c r="CO11" s="128">
        <v>1</v>
      </c>
      <c r="CP11" s="128">
        <v>1</v>
      </c>
      <c r="CQ11" s="128">
        <v>1</v>
      </c>
      <c r="CR11" s="128">
        <v>1</v>
      </c>
      <c r="CS11" s="128">
        <v>1</v>
      </c>
      <c r="CT11" s="128">
        <v>1</v>
      </c>
      <c r="CU11" s="128">
        <v>1</v>
      </c>
      <c r="CV11" s="128">
        <v>1</v>
      </c>
      <c r="CW11" s="128">
        <v>1</v>
      </c>
      <c r="CX11" s="128">
        <v>1</v>
      </c>
      <c r="CY11" s="128">
        <v>1</v>
      </c>
      <c r="CZ11" s="128">
        <v>1</v>
      </c>
      <c r="DA11" s="128">
        <v>1</v>
      </c>
      <c r="DB11" s="128">
        <v>1</v>
      </c>
      <c r="DC11" s="128">
        <v>1</v>
      </c>
      <c r="DD11" s="128">
        <v>1</v>
      </c>
      <c r="DE11" s="128">
        <v>1</v>
      </c>
      <c r="DF11" s="128">
        <v>1</v>
      </c>
      <c r="DG11" s="128">
        <v>1</v>
      </c>
      <c r="DH11" s="128">
        <v>1</v>
      </c>
      <c r="DI11" s="128">
        <v>1</v>
      </c>
      <c r="DJ11" s="128">
        <v>1</v>
      </c>
      <c r="DK11" s="128">
        <v>1</v>
      </c>
      <c r="DL11" s="128">
        <v>1</v>
      </c>
      <c r="DM11" s="128">
        <v>1</v>
      </c>
      <c r="DN11" s="128">
        <v>1</v>
      </c>
      <c r="DO11" s="128">
        <v>1</v>
      </c>
      <c r="DP11" s="128">
        <v>1</v>
      </c>
      <c r="DQ11" s="128">
        <v>1</v>
      </c>
      <c r="DR11" s="128">
        <v>1</v>
      </c>
      <c r="DS11" s="128">
        <v>1</v>
      </c>
      <c r="DT11" s="128">
        <v>1</v>
      </c>
      <c r="DU11" s="128">
        <v>1</v>
      </c>
      <c r="DV11" s="128">
        <v>1</v>
      </c>
      <c r="DW11" s="128">
        <v>1</v>
      </c>
      <c r="DX11" s="128">
        <v>1</v>
      </c>
      <c r="DY11" s="128">
        <v>1</v>
      </c>
      <c r="DZ11" s="128">
        <v>1</v>
      </c>
      <c r="EA11" s="128">
        <v>1</v>
      </c>
      <c r="EB11" s="128">
        <v>1</v>
      </c>
      <c r="EC11" s="128">
        <v>1</v>
      </c>
      <c r="ED11" s="128">
        <v>1</v>
      </c>
      <c r="EE11" s="128">
        <v>1</v>
      </c>
      <c r="EF11" s="128">
        <v>1</v>
      </c>
      <c r="EG11" s="128">
        <v>1</v>
      </c>
      <c r="EH11" s="128">
        <v>1</v>
      </c>
      <c r="EI11" s="128">
        <v>1</v>
      </c>
    </row>
    <row r="12" spans="2:166" hidden="1" outlineLevel="3" x14ac:dyDescent="0.3">
      <c r="B12" s="29"/>
      <c r="C12" s="30"/>
      <c r="D12" s="30"/>
      <c r="E12" s="52" t="s">
        <v>17</v>
      </c>
      <c r="F12" s="33">
        <v>22</v>
      </c>
      <c r="G12" s="35">
        <v>0.25287356321839083</v>
      </c>
      <c r="H12" s="162"/>
      <c r="I12" s="127">
        <v>0</v>
      </c>
      <c r="J12" s="127">
        <v>0.2</v>
      </c>
      <c r="K12" s="127">
        <v>0.4</v>
      </c>
      <c r="L12" s="127">
        <v>0.6</v>
      </c>
      <c r="M12" s="128">
        <v>0.8</v>
      </c>
      <c r="N12" s="128">
        <v>1</v>
      </c>
      <c r="O12" s="127">
        <v>1</v>
      </c>
      <c r="P12" s="127">
        <v>1</v>
      </c>
      <c r="Q12" s="127">
        <v>1</v>
      </c>
      <c r="R12" s="127">
        <v>1</v>
      </c>
      <c r="S12" s="127">
        <v>1</v>
      </c>
      <c r="T12" s="127">
        <v>1</v>
      </c>
      <c r="U12" s="127">
        <v>1</v>
      </c>
      <c r="V12" s="128">
        <v>1</v>
      </c>
      <c r="W12" s="128">
        <v>1</v>
      </c>
      <c r="X12" s="128">
        <v>1</v>
      </c>
      <c r="Y12" s="128">
        <v>1</v>
      </c>
      <c r="Z12" s="128">
        <v>1</v>
      </c>
      <c r="AA12" s="128">
        <v>1</v>
      </c>
      <c r="AB12" s="128">
        <v>1</v>
      </c>
      <c r="AC12" s="128">
        <v>1</v>
      </c>
      <c r="AD12" s="128">
        <v>1</v>
      </c>
      <c r="AE12" s="128">
        <v>1</v>
      </c>
      <c r="AF12" s="128">
        <v>1</v>
      </c>
      <c r="AG12" s="128">
        <v>1</v>
      </c>
      <c r="AH12" s="128">
        <v>1</v>
      </c>
      <c r="AI12" s="128">
        <v>1</v>
      </c>
      <c r="AJ12" s="128">
        <v>1</v>
      </c>
      <c r="AK12" s="128">
        <v>1</v>
      </c>
      <c r="AL12" s="128">
        <v>1</v>
      </c>
      <c r="AM12" s="128">
        <v>1</v>
      </c>
      <c r="AN12" s="128">
        <v>1</v>
      </c>
      <c r="AO12" s="128">
        <v>1</v>
      </c>
      <c r="AP12" s="128">
        <v>1</v>
      </c>
      <c r="AQ12" s="128">
        <v>1</v>
      </c>
      <c r="AR12" s="128">
        <v>1</v>
      </c>
      <c r="AS12" s="128">
        <v>1</v>
      </c>
      <c r="AT12" s="128">
        <v>1</v>
      </c>
      <c r="AU12" s="128">
        <v>1</v>
      </c>
      <c r="AV12" s="128">
        <v>1</v>
      </c>
      <c r="AW12" s="128">
        <v>1</v>
      </c>
      <c r="AX12" s="128">
        <v>1</v>
      </c>
      <c r="AY12" s="128">
        <v>1</v>
      </c>
      <c r="AZ12" s="128">
        <v>1</v>
      </c>
      <c r="BA12" s="128">
        <v>1</v>
      </c>
      <c r="BB12" s="128">
        <v>1</v>
      </c>
      <c r="BC12" s="128">
        <v>1</v>
      </c>
      <c r="BD12" s="128">
        <v>1</v>
      </c>
      <c r="BE12" s="128">
        <v>1</v>
      </c>
      <c r="BF12" s="128">
        <v>1</v>
      </c>
      <c r="BG12" s="248">
        <v>1</v>
      </c>
      <c r="BH12" s="248">
        <v>1</v>
      </c>
      <c r="BI12" s="128">
        <v>1</v>
      </c>
      <c r="BJ12" s="128">
        <v>1</v>
      </c>
      <c r="BK12" s="128">
        <v>1</v>
      </c>
      <c r="BL12" s="128">
        <v>1</v>
      </c>
      <c r="BM12" s="128">
        <v>1</v>
      </c>
      <c r="BN12" s="128">
        <v>1</v>
      </c>
      <c r="BO12" s="128">
        <v>1</v>
      </c>
      <c r="BP12" s="128">
        <v>1</v>
      </c>
      <c r="BQ12" s="128">
        <v>1</v>
      </c>
      <c r="BR12" s="128">
        <v>1</v>
      </c>
      <c r="BS12" s="128">
        <v>1</v>
      </c>
      <c r="BT12" s="128">
        <v>1</v>
      </c>
      <c r="BU12" s="128">
        <v>1</v>
      </c>
      <c r="BV12" s="128">
        <v>1</v>
      </c>
      <c r="BW12" s="128">
        <v>1</v>
      </c>
      <c r="BX12" s="128">
        <v>1</v>
      </c>
      <c r="BY12" s="128">
        <v>1</v>
      </c>
      <c r="BZ12" s="128">
        <v>1</v>
      </c>
      <c r="CA12" s="128">
        <v>1</v>
      </c>
      <c r="CB12" s="128">
        <v>1</v>
      </c>
      <c r="CC12" s="128">
        <v>1</v>
      </c>
      <c r="CD12" s="128">
        <v>1</v>
      </c>
      <c r="CE12" s="128">
        <v>1</v>
      </c>
      <c r="CF12" s="128">
        <v>1</v>
      </c>
      <c r="CG12" s="128">
        <v>1</v>
      </c>
      <c r="CH12" s="128">
        <v>1</v>
      </c>
      <c r="CI12" s="128">
        <v>1</v>
      </c>
      <c r="CJ12" s="128">
        <v>1</v>
      </c>
      <c r="CK12" s="128">
        <v>1</v>
      </c>
      <c r="CL12" s="128">
        <v>1</v>
      </c>
      <c r="CM12" s="128">
        <v>1</v>
      </c>
      <c r="CN12" s="128">
        <v>1</v>
      </c>
      <c r="CO12" s="128">
        <v>1</v>
      </c>
      <c r="CP12" s="128">
        <v>1</v>
      </c>
      <c r="CQ12" s="128">
        <v>1</v>
      </c>
      <c r="CR12" s="128">
        <v>1</v>
      </c>
      <c r="CS12" s="128">
        <v>1</v>
      </c>
      <c r="CT12" s="128">
        <v>1</v>
      </c>
      <c r="CU12" s="128">
        <v>1</v>
      </c>
      <c r="CV12" s="128">
        <v>1</v>
      </c>
      <c r="CW12" s="128">
        <v>1</v>
      </c>
      <c r="CX12" s="128">
        <v>1</v>
      </c>
      <c r="CY12" s="128">
        <v>1</v>
      </c>
      <c r="CZ12" s="128">
        <v>1</v>
      </c>
      <c r="DA12" s="128">
        <v>1</v>
      </c>
      <c r="DB12" s="128">
        <v>1</v>
      </c>
      <c r="DC12" s="128">
        <v>1</v>
      </c>
      <c r="DD12" s="128">
        <v>1</v>
      </c>
      <c r="DE12" s="128">
        <v>1</v>
      </c>
      <c r="DF12" s="128">
        <v>1</v>
      </c>
      <c r="DG12" s="128">
        <v>1</v>
      </c>
      <c r="DH12" s="128">
        <v>1</v>
      </c>
      <c r="DI12" s="128">
        <v>1</v>
      </c>
      <c r="DJ12" s="128">
        <v>1</v>
      </c>
      <c r="DK12" s="128">
        <v>1</v>
      </c>
      <c r="DL12" s="128">
        <v>1</v>
      </c>
      <c r="DM12" s="128">
        <v>1</v>
      </c>
      <c r="DN12" s="128">
        <v>1</v>
      </c>
      <c r="DO12" s="128">
        <v>1</v>
      </c>
      <c r="DP12" s="128">
        <v>1</v>
      </c>
      <c r="DQ12" s="128">
        <v>1</v>
      </c>
      <c r="DR12" s="128">
        <v>1</v>
      </c>
      <c r="DS12" s="128">
        <v>1</v>
      </c>
      <c r="DT12" s="128">
        <v>1</v>
      </c>
      <c r="DU12" s="128">
        <v>1</v>
      </c>
      <c r="DV12" s="128">
        <v>1</v>
      </c>
      <c r="DW12" s="128">
        <v>1</v>
      </c>
      <c r="DX12" s="128">
        <v>1</v>
      </c>
      <c r="DY12" s="128">
        <v>1</v>
      </c>
      <c r="DZ12" s="128">
        <v>1</v>
      </c>
      <c r="EA12" s="128">
        <v>1</v>
      </c>
      <c r="EB12" s="128">
        <v>1</v>
      </c>
      <c r="EC12" s="128">
        <v>1</v>
      </c>
      <c r="ED12" s="128">
        <v>1</v>
      </c>
      <c r="EE12" s="128">
        <v>1</v>
      </c>
      <c r="EF12" s="128">
        <v>1</v>
      </c>
      <c r="EG12" s="128">
        <v>1</v>
      </c>
      <c r="EH12" s="128">
        <v>1</v>
      </c>
      <c r="EI12" s="128">
        <v>1</v>
      </c>
    </row>
    <row r="13" spans="2:166" hidden="1" outlineLevel="3" x14ac:dyDescent="0.3">
      <c r="B13" s="29"/>
      <c r="C13" s="30"/>
      <c r="D13" s="30"/>
      <c r="E13" s="52" t="s">
        <v>18</v>
      </c>
      <c r="F13" s="33">
        <v>40</v>
      </c>
      <c r="G13" s="35">
        <v>0.45977011494252873</v>
      </c>
      <c r="H13" s="162"/>
      <c r="I13" s="127">
        <v>0</v>
      </c>
      <c r="J13" s="127">
        <v>0.05</v>
      </c>
      <c r="K13" s="127">
        <v>0.2</v>
      </c>
      <c r="L13" s="127">
        <v>0.3</v>
      </c>
      <c r="M13" s="128">
        <v>0.5</v>
      </c>
      <c r="N13" s="128">
        <v>0.6</v>
      </c>
      <c r="O13" s="127">
        <v>1</v>
      </c>
      <c r="P13" s="127">
        <v>1</v>
      </c>
      <c r="Q13" s="127">
        <v>1</v>
      </c>
      <c r="R13" s="127">
        <v>1</v>
      </c>
      <c r="S13" s="127">
        <v>1</v>
      </c>
      <c r="T13" s="127">
        <v>1</v>
      </c>
      <c r="U13" s="127">
        <v>1</v>
      </c>
      <c r="V13" s="128">
        <v>1</v>
      </c>
      <c r="W13" s="128">
        <v>1</v>
      </c>
      <c r="X13" s="128">
        <v>1</v>
      </c>
      <c r="Y13" s="128">
        <v>1</v>
      </c>
      <c r="Z13" s="128">
        <v>1</v>
      </c>
      <c r="AA13" s="128">
        <v>1</v>
      </c>
      <c r="AB13" s="128">
        <v>1</v>
      </c>
      <c r="AC13" s="128">
        <v>1</v>
      </c>
      <c r="AD13" s="128">
        <v>1</v>
      </c>
      <c r="AE13" s="128">
        <v>1</v>
      </c>
      <c r="AF13" s="128">
        <v>1</v>
      </c>
      <c r="AG13" s="128">
        <v>1</v>
      </c>
      <c r="AH13" s="128">
        <v>1</v>
      </c>
      <c r="AI13" s="128">
        <v>1</v>
      </c>
      <c r="AJ13" s="128">
        <v>1</v>
      </c>
      <c r="AK13" s="128">
        <v>1</v>
      </c>
      <c r="AL13" s="128">
        <v>1</v>
      </c>
      <c r="AM13" s="128">
        <v>1</v>
      </c>
      <c r="AN13" s="128">
        <v>1</v>
      </c>
      <c r="AO13" s="128">
        <v>1</v>
      </c>
      <c r="AP13" s="128">
        <v>1</v>
      </c>
      <c r="AQ13" s="128">
        <v>1</v>
      </c>
      <c r="AR13" s="128">
        <v>1</v>
      </c>
      <c r="AS13" s="128">
        <v>1</v>
      </c>
      <c r="AT13" s="128">
        <v>1</v>
      </c>
      <c r="AU13" s="128">
        <v>1</v>
      </c>
      <c r="AV13" s="128">
        <v>1</v>
      </c>
      <c r="AW13" s="128">
        <v>1</v>
      </c>
      <c r="AX13" s="128">
        <v>1</v>
      </c>
      <c r="AY13" s="128">
        <v>1</v>
      </c>
      <c r="AZ13" s="128">
        <v>1</v>
      </c>
      <c r="BA13" s="128">
        <v>1</v>
      </c>
      <c r="BB13" s="128">
        <v>1</v>
      </c>
      <c r="BC13" s="128">
        <v>1</v>
      </c>
      <c r="BD13" s="128">
        <v>1</v>
      </c>
      <c r="BE13" s="128">
        <v>1</v>
      </c>
      <c r="BF13" s="128">
        <v>1</v>
      </c>
      <c r="BG13" s="248">
        <v>1</v>
      </c>
      <c r="BH13" s="248">
        <v>1</v>
      </c>
      <c r="BI13" s="128">
        <v>1</v>
      </c>
      <c r="BJ13" s="128">
        <v>1</v>
      </c>
      <c r="BK13" s="128">
        <v>1</v>
      </c>
      <c r="BL13" s="128">
        <v>1</v>
      </c>
      <c r="BM13" s="128">
        <v>1</v>
      </c>
      <c r="BN13" s="128">
        <v>1</v>
      </c>
      <c r="BO13" s="128">
        <v>1</v>
      </c>
      <c r="BP13" s="128">
        <v>1</v>
      </c>
      <c r="BQ13" s="128">
        <v>1</v>
      </c>
      <c r="BR13" s="128">
        <v>1</v>
      </c>
      <c r="BS13" s="128">
        <v>1</v>
      </c>
      <c r="BT13" s="128">
        <v>1</v>
      </c>
      <c r="BU13" s="128">
        <v>1</v>
      </c>
      <c r="BV13" s="128">
        <v>1</v>
      </c>
      <c r="BW13" s="128">
        <v>1</v>
      </c>
      <c r="BX13" s="128">
        <v>1</v>
      </c>
      <c r="BY13" s="128">
        <v>1</v>
      </c>
      <c r="BZ13" s="128">
        <v>1</v>
      </c>
      <c r="CA13" s="128">
        <v>1</v>
      </c>
      <c r="CB13" s="128">
        <v>1</v>
      </c>
      <c r="CC13" s="128">
        <v>1</v>
      </c>
      <c r="CD13" s="128">
        <v>1</v>
      </c>
      <c r="CE13" s="128">
        <v>1</v>
      </c>
      <c r="CF13" s="128">
        <v>1</v>
      </c>
      <c r="CG13" s="128">
        <v>1</v>
      </c>
      <c r="CH13" s="128">
        <v>1</v>
      </c>
      <c r="CI13" s="128">
        <v>1</v>
      </c>
      <c r="CJ13" s="128">
        <v>1</v>
      </c>
      <c r="CK13" s="128">
        <v>1</v>
      </c>
      <c r="CL13" s="128">
        <v>1</v>
      </c>
      <c r="CM13" s="128">
        <v>1</v>
      </c>
      <c r="CN13" s="128">
        <v>1</v>
      </c>
      <c r="CO13" s="128">
        <v>1</v>
      </c>
      <c r="CP13" s="128">
        <v>1</v>
      </c>
      <c r="CQ13" s="128">
        <v>1</v>
      </c>
      <c r="CR13" s="128">
        <v>1</v>
      </c>
      <c r="CS13" s="128">
        <v>1</v>
      </c>
      <c r="CT13" s="128">
        <v>1</v>
      </c>
      <c r="CU13" s="128">
        <v>1</v>
      </c>
      <c r="CV13" s="128">
        <v>1</v>
      </c>
      <c r="CW13" s="128">
        <v>1</v>
      </c>
      <c r="CX13" s="128">
        <v>1</v>
      </c>
      <c r="CY13" s="128">
        <v>1</v>
      </c>
      <c r="CZ13" s="128">
        <v>1</v>
      </c>
      <c r="DA13" s="128">
        <v>1</v>
      </c>
      <c r="DB13" s="128">
        <v>1</v>
      </c>
      <c r="DC13" s="128">
        <v>1</v>
      </c>
      <c r="DD13" s="128">
        <v>1</v>
      </c>
      <c r="DE13" s="128">
        <v>1</v>
      </c>
      <c r="DF13" s="128">
        <v>1</v>
      </c>
      <c r="DG13" s="128">
        <v>1</v>
      </c>
      <c r="DH13" s="128">
        <v>1</v>
      </c>
      <c r="DI13" s="128">
        <v>1</v>
      </c>
      <c r="DJ13" s="128">
        <v>1</v>
      </c>
      <c r="DK13" s="128">
        <v>1</v>
      </c>
      <c r="DL13" s="128">
        <v>1</v>
      </c>
      <c r="DM13" s="128">
        <v>1</v>
      </c>
      <c r="DN13" s="128">
        <v>1</v>
      </c>
      <c r="DO13" s="128">
        <v>1</v>
      </c>
      <c r="DP13" s="128">
        <v>1</v>
      </c>
      <c r="DQ13" s="128">
        <v>1</v>
      </c>
      <c r="DR13" s="128">
        <v>1</v>
      </c>
      <c r="DS13" s="128">
        <v>1</v>
      </c>
      <c r="DT13" s="128">
        <v>1</v>
      </c>
      <c r="DU13" s="128">
        <v>1</v>
      </c>
      <c r="DV13" s="128">
        <v>1</v>
      </c>
      <c r="DW13" s="128">
        <v>1</v>
      </c>
      <c r="DX13" s="128">
        <v>1</v>
      </c>
      <c r="DY13" s="128">
        <v>1</v>
      </c>
      <c r="DZ13" s="128">
        <v>1</v>
      </c>
      <c r="EA13" s="128">
        <v>1</v>
      </c>
      <c r="EB13" s="128">
        <v>1</v>
      </c>
      <c r="EC13" s="128">
        <v>1</v>
      </c>
      <c r="ED13" s="128">
        <v>1</v>
      </c>
      <c r="EE13" s="128">
        <v>1</v>
      </c>
      <c r="EF13" s="128">
        <v>1</v>
      </c>
      <c r="EG13" s="128">
        <v>1</v>
      </c>
      <c r="EH13" s="128">
        <v>1</v>
      </c>
      <c r="EI13" s="128">
        <v>1</v>
      </c>
    </row>
    <row r="14" spans="2:166" ht="16.8" outlineLevel="1" x14ac:dyDescent="0.3">
      <c r="B14" s="15"/>
      <c r="C14" s="16" t="s">
        <v>19</v>
      </c>
      <c r="D14" s="16"/>
      <c r="E14" s="48"/>
      <c r="F14" s="19">
        <f>+F15+F18+F25+F27+F35+F39+F42+F44+F49+F59+F73+F75</f>
        <v>1775</v>
      </c>
      <c r="G14" s="21">
        <v>0.77282549416377599</v>
      </c>
      <c r="H14" s="158"/>
      <c r="I14" s="21">
        <f t="shared" ref="I14:BD14" si="225">+I15*$G$15+I18*$G$18+I25*$G$25+I27*$G$27+I35*$G$35+I39*$G$39+I42*$G$42+I44*$G$44+I49*$G$49+I59*$G$59+I73*$G$73+I75*$G$75</f>
        <v>0</v>
      </c>
      <c r="J14" s="21">
        <f t="shared" si="225"/>
        <v>5.3986962477996139E-4</v>
      </c>
      <c r="K14" s="21">
        <f t="shared" si="225"/>
        <v>1.0914668926610568E-3</v>
      </c>
      <c r="L14" s="21">
        <f t="shared" si="225"/>
        <v>2.5762419941652188E-3</v>
      </c>
      <c r="M14" s="63">
        <f t="shared" si="225"/>
        <v>4.0823564205607664E-3</v>
      </c>
      <c r="N14" s="63">
        <f t="shared" si="225"/>
        <v>5.3810507023992239E-3</v>
      </c>
      <c r="O14" s="21">
        <f t="shared" si="225"/>
        <v>2.1646270550170994E-2</v>
      </c>
      <c r="P14" s="21">
        <f t="shared" si="225"/>
        <v>4.6910127539881469E-2</v>
      </c>
      <c r="Q14" s="21">
        <f t="shared" si="225"/>
        <v>8.1176780469240692E-2</v>
      </c>
      <c r="R14" s="21">
        <f t="shared" si="225"/>
        <v>9.9084351568841877E-2</v>
      </c>
      <c r="S14" s="21">
        <f t="shared" si="225"/>
        <v>0.14595810273815393</v>
      </c>
      <c r="T14" s="21">
        <f t="shared" si="225"/>
        <v>0.15184483208704802</v>
      </c>
      <c r="U14" s="21">
        <f t="shared" si="225"/>
        <v>0.17747798110847807</v>
      </c>
      <c r="V14" s="21">
        <f t="shared" si="225"/>
        <v>0.19525694282220687</v>
      </c>
      <c r="W14" s="21">
        <f t="shared" si="225"/>
        <v>0.20552526791357717</v>
      </c>
      <c r="X14" s="21">
        <f t="shared" si="225"/>
        <v>0.21810966328090151</v>
      </c>
      <c r="Y14" s="21">
        <f t="shared" si="225"/>
        <v>0.24881461678397965</v>
      </c>
      <c r="Z14" s="21">
        <f t="shared" si="225"/>
        <v>0.28748286374451876</v>
      </c>
      <c r="AA14" s="21">
        <f t="shared" si="225"/>
        <v>0.32452651571883234</v>
      </c>
      <c r="AB14" s="21">
        <f t="shared" si="225"/>
        <v>0.34628853894604605</v>
      </c>
      <c r="AC14" s="21">
        <f t="shared" si="225"/>
        <v>0.37695697719304799</v>
      </c>
      <c r="AD14" s="21">
        <f t="shared" si="225"/>
        <v>0.39633601580674849</v>
      </c>
      <c r="AE14" s="21">
        <f t="shared" si="225"/>
        <v>0.42373299725857255</v>
      </c>
      <c r="AF14" s="21">
        <f t="shared" si="225"/>
        <v>0.43918860721210362</v>
      </c>
      <c r="AG14" s="21">
        <f t="shared" si="225"/>
        <v>0.46438523117898528</v>
      </c>
      <c r="AH14" s="21">
        <f t="shared" si="225"/>
        <v>0.47183938519262214</v>
      </c>
      <c r="AI14" s="21">
        <f t="shared" si="225"/>
        <v>0.47183938519262214</v>
      </c>
      <c r="AJ14" s="21">
        <f t="shared" si="225"/>
        <v>0.47183938519262214</v>
      </c>
      <c r="AK14" s="21">
        <f t="shared" si="225"/>
        <v>0.47746679346783022</v>
      </c>
      <c r="AL14" s="21">
        <f t="shared" si="225"/>
        <v>0.48886881336448729</v>
      </c>
      <c r="AM14" s="21">
        <f t="shared" si="225"/>
        <v>0.49714512691148782</v>
      </c>
      <c r="AN14" s="21">
        <f t="shared" si="225"/>
        <v>0.5040198838722425</v>
      </c>
      <c r="AO14" s="21">
        <f t="shared" si="225"/>
        <v>0.52529883574855973</v>
      </c>
      <c r="AP14" s="21">
        <f t="shared" si="225"/>
        <v>0.54369533656080726</v>
      </c>
      <c r="AQ14" s="21">
        <f t="shared" si="225"/>
        <v>0.56092574318126864</v>
      </c>
      <c r="AR14" s="21">
        <f t="shared" si="225"/>
        <v>0.57969555889450497</v>
      </c>
      <c r="AS14" s="21">
        <f t="shared" si="225"/>
        <v>0.58236171696556649</v>
      </c>
      <c r="AT14" s="21">
        <f t="shared" si="225"/>
        <v>0.58552634757849054</v>
      </c>
      <c r="AU14" s="21">
        <f t="shared" si="225"/>
        <v>0.58788967894422817</v>
      </c>
      <c r="AV14" s="21">
        <f t="shared" si="225"/>
        <v>0.59881684875112884</v>
      </c>
      <c r="AW14" s="21">
        <f t="shared" si="225"/>
        <v>0.61287335738017867</v>
      </c>
      <c r="AX14" s="21">
        <f t="shared" si="225"/>
        <v>0.62579105515127109</v>
      </c>
      <c r="AY14" s="21">
        <f t="shared" si="225"/>
        <v>0.62579105515127109</v>
      </c>
      <c r="AZ14" s="21">
        <f t="shared" si="225"/>
        <v>0.63793344115697359</v>
      </c>
      <c r="BA14" s="21">
        <f t="shared" si="225"/>
        <v>0.65284673933339754</v>
      </c>
      <c r="BB14" s="21">
        <f t="shared" si="225"/>
        <v>0.67430088804201982</v>
      </c>
      <c r="BC14" s="21">
        <f t="shared" si="225"/>
        <v>0.6852807228288379</v>
      </c>
      <c r="BD14" s="21">
        <f t="shared" si="225"/>
        <v>0.69461045056845638</v>
      </c>
      <c r="BE14" s="21">
        <f t="shared" ref="BE14:BF14" si="226">+BE15*$G$15+BE18*$G$18+BE25*$G$25+BE27*$G$27+BE35*$G$35+BE39*$G$39+BE42*$G$42+BE44*$G$44+BE49*$G$49+BE59*$G$59+BE73*$G$73+BE75*$G$75</f>
        <v>0.70992519552282984</v>
      </c>
      <c r="BF14" s="21">
        <f t="shared" si="226"/>
        <v>0.71948436245701064</v>
      </c>
      <c r="BG14" s="159">
        <f t="shared" ref="BG14:BH14" si="227">+BG15*$G$15+BG18*$G$18+BG25*$G$25+BG27*$G$27+BG35*$G$35+BG39*$G$39+BG42*$G$42+BG44*$G$44+BG49*$G$49+BG59*$G$59+BG73*$G$73+BG75*$G$75</f>
        <v>0.73197534545335563</v>
      </c>
      <c r="BH14" s="159">
        <f t="shared" si="227"/>
        <v>0.7485025049310533</v>
      </c>
      <c r="BI14" s="21">
        <f t="shared" ref="BI14:BJ14" si="228">+BI15*$G$15+BI18*$G$18+BI25*$G$25+BI27*$G$27+BI35*$G$35+BI39*$G$39+BI42*$G$42+BI44*$G$44+BI49*$G$49+BI59*$G$59+BI73*$G$73+BI75*$G$75</f>
        <v>0.76589927446143757</v>
      </c>
      <c r="BJ14" s="21">
        <f t="shared" si="228"/>
        <v>0.7819721945071425</v>
      </c>
      <c r="BK14" s="21">
        <f t="shared" ref="BK14:BL14" si="229">+BK15*$G$15+BK18*$G$18+BK25*$G$25+BK27*$G$27+BK35*$G$35+BK39*$G$39+BK42*$G$42+BK44*$G$44+BK49*$G$49+BK59*$G$59+BK73*$G$73+BK75*$G$75</f>
        <v>0.79171093071439425</v>
      </c>
      <c r="BL14" s="21">
        <f t="shared" si="229"/>
        <v>0.80088101792663269</v>
      </c>
      <c r="BM14" s="21">
        <f t="shared" ref="BM14:BN14" si="230">+BM15*$G$15+BM18*$G$18+BM25*$G$25+BM27*$G$27+BM35*$G$35+BM39*$G$39+BM42*$G$42+BM44*$G$44+BM49*$G$49+BM59*$G$59+BM73*$G$73+BM75*$G$75</f>
        <v>0.80959627521509758</v>
      </c>
      <c r="BN14" s="21">
        <f t="shared" si="230"/>
        <v>0.81299748022921481</v>
      </c>
      <c r="BO14" s="21">
        <f t="shared" ref="BO14:BP14" si="231">+BO15*$G$15+BO18*$G$18+BO25*$G$25+BO27*$G$27+BO35*$G$35+BO39*$G$39+BO42*$G$42+BO44*$G$44+BO49*$G$49+BO59*$G$59+BO73*$G$73+BO75*$G$75</f>
        <v>0.82367115897078758</v>
      </c>
      <c r="BP14" s="21">
        <f t="shared" si="231"/>
        <v>0.83158041823113482</v>
      </c>
      <c r="BQ14" s="21">
        <f t="shared" ref="BQ14:BR14" si="232">+BQ15*$G$15+BQ18*$G$18+BQ25*$G$25+BQ27*$G$27+BQ35*$G$35+BQ39*$G$39+BQ42*$G$42+BQ44*$G$44+BQ49*$G$49+BQ59*$G$59+BQ73*$G$73+BQ75*$G$75</f>
        <v>0.83770750880197953</v>
      </c>
      <c r="BR14" s="21">
        <f t="shared" si="232"/>
        <v>0.84333053832045535</v>
      </c>
      <c r="BS14" s="21">
        <f t="shared" ref="BS14:BT14" si="233">+BS15*$G$15+BS18*$G$18+BS25*$G$25+BS27*$G$27+BS35*$G$35+BS39*$G$39+BS42*$G$42+BS44*$G$44+BS49*$G$49+BS59*$G$59+BS73*$G$73+BS75*$G$75</f>
        <v>0.84974673417238022</v>
      </c>
      <c r="BT14" s="21">
        <f t="shared" si="233"/>
        <v>0.85744012067928699</v>
      </c>
      <c r="BU14" s="21">
        <f t="shared" ref="BU14:BV14" si="234">+BU15*$G$15+BU18*$G$18+BU25*$G$25+BU27*$G$27+BU35*$G$35+BU39*$G$39+BU42*$G$42+BU44*$G$44+BU49*$G$49+BU59*$G$59+BU73*$G$73+BU75*$G$75</f>
        <v>0.86114693013667154</v>
      </c>
      <c r="BV14" s="21">
        <f t="shared" si="234"/>
        <v>0.86556179031068059</v>
      </c>
      <c r="BW14" s="21">
        <f t="shared" ref="BW14:BX14" si="235">+BW15*$G$15+BW18*$G$18+BW25*$G$25+BW27*$G$27+BW35*$G$35+BW39*$G$39+BW42*$G$42+BW44*$G$44+BW49*$G$49+BW59*$G$59+BW73*$G$73+BW75*$G$75</f>
        <v>0.86913035057687005</v>
      </c>
      <c r="BX14" s="21">
        <f t="shared" si="235"/>
        <v>0.86932266746425146</v>
      </c>
      <c r="BY14" s="21">
        <f t="shared" ref="BY14:BZ14" si="236">+BY15*$G$15+BY18*$G$18+BY25*$G$25+BY27*$G$27+BY35*$G$35+BY39*$G$39+BY42*$G$42+BY44*$G$44+BY49*$G$49+BY59*$G$59+BY73*$G$73+BY75*$G$75</f>
        <v>0.87456923228922567</v>
      </c>
      <c r="BZ14" s="21">
        <f t="shared" si="236"/>
        <v>0.8763994666607523</v>
      </c>
      <c r="CA14" s="21">
        <f t="shared" ref="CA14:CB14" si="237">+CA15*$G$15+CA18*$G$18+CA25*$G$25+CA27*$G$27+CA35*$G$35+CA39*$G$39+CA42*$G$42+CA44*$G$44+CA49*$G$49+CA59*$G$59+CA73*$G$73+CA75*$G$75</f>
        <v>0.87676327275315191</v>
      </c>
      <c r="CB14" s="21">
        <f t="shared" si="237"/>
        <v>0.8851128341047666</v>
      </c>
      <c r="CC14" s="21">
        <f t="shared" ref="CC14:CD14" si="238">+CC15*$G$15+CC18*$G$18+CC25*$G$25+CC27*$G$27+CC35*$G$35+CC39*$G$39+CC42*$G$42+CC44*$G$44+CC49*$G$49+CC59*$G$59+CC73*$G$73+CC75*$G$75</f>
        <v>0.8884152296539527</v>
      </c>
      <c r="CD14" s="21">
        <f t="shared" si="238"/>
        <v>0.89072495982007649</v>
      </c>
      <c r="CE14" s="21">
        <f t="shared" ref="CE14" si="239">+CE15*$G$15+CE18*$G$18+CE25*$G$25+CE27*$G$27+CE35*$G$35+CE39*$G$39+CE42*$G$42+CE44*$G$44+CE49*$G$49+CE59*$G$59+CE73*$G$73+CE75*$G$75</f>
        <v>0.89313542999852258</v>
      </c>
      <c r="CF14" s="21">
        <f t="shared" ref="CF14" si="240">+CF15*$G$15+CF18*$G$18+CF25*$G$25+CF27*$G$27+CF35*$G$35+CF39*$G$39+CF42*$G$42+CF44*$G$44+CF49*$G$49+CF59*$G$59+CF73*$G$73+CF75*$G$75</f>
        <v>0.89424358015395389</v>
      </c>
      <c r="CG14" s="21">
        <f t="shared" ref="CG14" si="241">+CG15*$G$15+CG18*$G$18+CG25*$G$25+CG27*$G$27+CG35*$G$35+CG39*$G$39+CG42*$G$42+CG44*$G$44+CG49*$G$49+CG59*$G$59+CG73*$G$73+CG75*$G$75</f>
        <v>0.89587301275387798</v>
      </c>
      <c r="CH14" s="271">
        <f t="shared" ref="CH14" si="242">+CH15*$G$15+CH18*$G$18+CH25*$G$25+CH27*$G$27+CH35*$G$35+CH39*$G$39+CH42*$G$42+CH44*$G$44+CH49*$G$49+CH59*$G$59+CH73*$G$73+CH75*$G$75</f>
        <v>0.89663284211614869</v>
      </c>
      <c r="CI14" s="271">
        <f t="shared" ref="CI14" si="243">+CI15*$G$15+CI18*$G$18+CI25*$G$25+CI27*$G$27+CI35*$G$35+CI39*$G$39+CI42*$G$42+CI44*$G$44+CI49*$G$49+CI59*$G$59+CI73*$G$73+CI75*$G$75</f>
        <v>0.89726482823625209</v>
      </c>
      <c r="CJ14" s="21">
        <f t="shared" ref="CJ14:CK14" si="244">+CJ15*$G$15+CJ18*$G$18+CJ25*$G$25+CJ27*$G$27+CJ35*$G$35+CJ39*$G$39+CJ42*$G$42+CJ44*$G$44+CJ49*$G$49+CJ59*$G$59+CJ73*$G$73+CJ75*$G$75</f>
        <v>0.89729497186756069</v>
      </c>
      <c r="CK14" s="21">
        <f t="shared" si="244"/>
        <v>0.89731004368321499</v>
      </c>
      <c r="CL14" s="21">
        <f t="shared" ref="CL14:CV14" si="245">+CL15*$G$15+CL18*$G$18+CL25*$G$25+CL27*$G$27+CL35*$G$35+CL39*$G$39+CL42*$G$42+CL44*$G$44+CL49*$G$49+CL59*$G$59+CL73*$G$73+CL75*$G$75</f>
        <v>0.89731004368321499</v>
      </c>
      <c r="CM14" s="21">
        <f t="shared" si="245"/>
        <v>0.89824037207305063</v>
      </c>
      <c r="CN14" s="21">
        <f t="shared" si="245"/>
        <v>0.89891721165251137</v>
      </c>
      <c r="CO14" s="21">
        <f t="shared" si="245"/>
        <v>0.89891721165251137</v>
      </c>
      <c r="CP14" s="21">
        <f t="shared" si="245"/>
        <v>0.89969058324968054</v>
      </c>
      <c r="CQ14" s="21">
        <f t="shared" si="245"/>
        <v>0.89969058324968054</v>
      </c>
      <c r="CR14" s="21">
        <f t="shared" si="245"/>
        <v>0.90122091518596592</v>
      </c>
      <c r="CS14" s="21">
        <f t="shared" si="245"/>
        <v>0.90162158210919718</v>
      </c>
      <c r="CT14" s="21">
        <f t="shared" si="245"/>
        <v>0.90236853880487122</v>
      </c>
      <c r="CU14" s="21">
        <f t="shared" si="245"/>
        <v>0.90421267027368402</v>
      </c>
      <c r="CV14" s="21">
        <f t="shared" si="245"/>
        <v>0.90481196278389209</v>
      </c>
      <c r="CW14" s="21">
        <f t="shared" ref="CW14" si="246">+CW15*$G$15+CW18*$G$18+CW25*$G$25+CW27*$G$27+CW35*$G$35+CW39*$G$39+CW42*$G$42+CW44*$G$44+CW49*$G$49+CW59*$G$59+CW73*$G$73+CW75*$G$75</f>
        <v>0.90481196278389209</v>
      </c>
      <c r="CX14" s="21">
        <f t="shared" ref="CX14:CY14" si="247">+CX15*$G$15+CX18*$G$18+CX25*$G$25+CX27*$G$27+CX35*$G$35+CX39*$G$39+CX42*$G$42+CX44*$G$44+CX49*$G$49+CX59*$G$59+CX73*$G$73+CX75*$G$75</f>
        <v>0.90579071967207603</v>
      </c>
      <c r="CY14" s="21">
        <f t="shared" si="247"/>
        <v>0.90668533637424842</v>
      </c>
      <c r="CZ14" s="21">
        <f t="shared" ref="CZ14:DA14" si="248">+CZ15*$G$15+CZ18*$G$18+CZ25*$G$25+CZ27*$G$27+CZ35*$G$35+CZ39*$G$39+CZ42*$G$42+CZ44*$G$44+CZ49*$G$49+CZ59*$G$59+CZ73*$G$73+CZ75*$G$75</f>
        <v>0.90752550554557088</v>
      </c>
      <c r="DA14" s="21">
        <f t="shared" si="248"/>
        <v>0.90786117599007909</v>
      </c>
      <c r="DB14" s="21">
        <f t="shared" ref="DB14:DC14" si="249">+DB15*$G$15+DB18*$G$18+DB25*$G$25+DB27*$G$27+DB35*$G$35+DB39*$G$39+DB42*$G$42+DB44*$G$44+DB49*$G$49+DB59*$G$59+DB73*$G$73+DB75*$G$75</f>
        <v>0.9079665070100964</v>
      </c>
      <c r="DC14" s="21">
        <f t="shared" si="249"/>
        <v>0.90854458812578343</v>
      </c>
      <c r="DD14" s="21">
        <f t="shared" ref="DD14:DE14" si="250">+DD15*$G$15+DD18*$G$18+DD25*$G$25+DD27*$G$27+DD35*$G$35+DD39*$G$39+DD42*$G$42+DD44*$G$44+DD49*$G$49+DD59*$G$59+DD73*$G$73+DD75*$G$75</f>
        <v>0.90875525016581793</v>
      </c>
      <c r="DE14" s="21">
        <f t="shared" si="250"/>
        <v>0.90931749614286594</v>
      </c>
      <c r="DF14" s="21">
        <f t="shared" ref="DF14:EI14" si="251">+DF15*$G$15+DF18*$G$18+DF25*$G$25+DF27*$G$27+DF35*$G$35+DF39*$G$39+DF42*$G$42+DF44*$G$44+DF49*$G$49+DF59*$G$59+DF73*$G$73+DF75*$G$75</f>
        <v>0.90952815818290045</v>
      </c>
      <c r="DG14" s="271">
        <f t="shared" si="251"/>
        <v>0.90973882022293495</v>
      </c>
      <c r="DH14" s="21">
        <f t="shared" si="251"/>
        <v>0.91030135804306711</v>
      </c>
      <c r="DI14" s="21">
        <f t="shared" si="251"/>
        <v>0.9108013916609623</v>
      </c>
      <c r="DJ14" s="21">
        <f t="shared" si="251"/>
        <v>0.89731004368321499</v>
      </c>
      <c r="DK14" s="21">
        <f t="shared" si="251"/>
        <v>0.89731004368321499</v>
      </c>
      <c r="DL14" s="21">
        <f t="shared" si="251"/>
        <v>0.89731004368321499</v>
      </c>
      <c r="DM14" s="21">
        <f t="shared" si="251"/>
        <v>0.89731004368321499</v>
      </c>
      <c r="DN14" s="21">
        <f t="shared" si="251"/>
        <v>0.89731004368321499</v>
      </c>
      <c r="DO14" s="21">
        <f t="shared" si="251"/>
        <v>0.89731004368321499</v>
      </c>
      <c r="DP14" s="21">
        <f t="shared" si="251"/>
        <v>0.89731004368321499</v>
      </c>
      <c r="DQ14" s="21">
        <f t="shared" si="251"/>
        <v>0.89731004368321499</v>
      </c>
      <c r="DR14" s="21">
        <f t="shared" si="251"/>
        <v>0.89731004368321499</v>
      </c>
      <c r="DS14" s="21">
        <f t="shared" si="251"/>
        <v>0.89731004368321499</v>
      </c>
      <c r="DT14" s="21">
        <f t="shared" si="251"/>
        <v>0.89731004368321499</v>
      </c>
      <c r="DU14" s="21">
        <f t="shared" si="251"/>
        <v>0.89731004368321499</v>
      </c>
      <c r="DV14" s="21">
        <f t="shared" si="251"/>
        <v>0.89731004368321499</v>
      </c>
      <c r="DW14" s="21">
        <f t="shared" si="251"/>
        <v>0.89731004368321499</v>
      </c>
      <c r="DX14" s="21">
        <f t="shared" si="251"/>
        <v>0.89731004368321499</v>
      </c>
      <c r="DY14" s="21">
        <f t="shared" si="251"/>
        <v>0.89731004368321499</v>
      </c>
      <c r="DZ14" s="21">
        <f t="shared" si="251"/>
        <v>0.89731004368321499</v>
      </c>
      <c r="EA14" s="21">
        <f t="shared" si="251"/>
        <v>0.89731004368321499</v>
      </c>
      <c r="EB14" s="21">
        <f t="shared" si="251"/>
        <v>0.89731004368321499</v>
      </c>
      <c r="EC14" s="21">
        <f t="shared" si="251"/>
        <v>0.89731004368321499</v>
      </c>
      <c r="ED14" s="21">
        <f t="shared" si="251"/>
        <v>0.89731004368321499</v>
      </c>
      <c r="EE14" s="21">
        <f t="shared" si="251"/>
        <v>0.89731004368321499</v>
      </c>
      <c r="EF14" s="21">
        <f t="shared" si="251"/>
        <v>0.89731004368321499</v>
      </c>
      <c r="EG14" s="21">
        <f t="shared" si="251"/>
        <v>0.89731004368321499</v>
      </c>
      <c r="EH14" s="21">
        <f t="shared" si="251"/>
        <v>0.89731004368321499</v>
      </c>
      <c r="EI14" s="21">
        <f t="shared" si="251"/>
        <v>0.90854458812578343</v>
      </c>
    </row>
    <row r="15" spans="2:166" ht="15" outlineLevel="2" collapsed="1" x14ac:dyDescent="0.3">
      <c r="B15" s="22"/>
      <c r="C15" s="23"/>
      <c r="D15" s="23" t="s">
        <v>13</v>
      </c>
      <c r="E15" s="50"/>
      <c r="F15" s="26">
        <f>+SUM(F16:F17)</f>
        <v>75</v>
      </c>
      <c r="G15" s="28">
        <v>0.02</v>
      </c>
      <c r="H15" s="160"/>
      <c r="I15" s="28">
        <f t="shared" ref="I15:BD15" si="252">+SUMPRODUCT($G$16:$G$17,I16:I17)</f>
        <v>0</v>
      </c>
      <c r="J15" s="28">
        <f t="shared" si="252"/>
        <v>2.6666666666666668E-2</v>
      </c>
      <c r="K15" s="28">
        <f t="shared" si="252"/>
        <v>5.3333333333333337E-2</v>
      </c>
      <c r="L15" s="28">
        <f t="shared" si="252"/>
        <v>0.10666666666666667</v>
      </c>
      <c r="M15" s="64">
        <f t="shared" si="252"/>
        <v>0.16</v>
      </c>
      <c r="N15" s="64">
        <f t="shared" si="252"/>
        <v>0.21333333333333335</v>
      </c>
      <c r="O15" s="28">
        <f t="shared" si="252"/>
        <v>0.24</v>
      </c>
      <c r="P15" s="28">
        <f t="shared" si="252"/>
        <v>0.26666666666666666</v>
      </c>
      <c r="Q15" s="28">
        <f t="shared" si="252"/>
        <v>0.26666666666666666</v>
      </c>
      <c r="R15" s="28">
        <f t="shared" si="252"/>
        <v>0.37666666666666665</v>
      </c>
      <c r="S15" s="28">
        <f t="shared" si="252"/>
        <v>0.38547505627554857</v>
      </c>
      <c r="T15" s="28">
        <f t="shared" si="252"/>
        <v>0.43226925434798685</v>
      </c>
      <c r="U15" s="28">
        <f t="shared" si="252"/>
        <v>0.43226925434798685</v>
      </c>
      <c r="V15" s="28">
        <f t="shared" si="252"/>
        <v>0.53840172512088014</v>
      </c>
      <c r="W15" s="28">
        <f t="shared" si="252"/>
        <v>0.71007801178546359</v>
      </c>
      <c r="X15" s="28">
        <f t="shared" si="252"/>
        <v>0.76590619178134478</v>
      </c>
      <c r="Y15" s="28">
        <f t="shared" si="252"/>
        <v>0.82274736632022716</v>
      </c>
      <c r="Z15" s="28">
        <f t="shared" si="252"/>
        <v>1</v>
      </c>
      <c r="AA15" s="28">
        <f t="shared" si="252"/>
        <v>1</v>
      </c>
      <c r="AB15" s="28">
        <f t="shared" si="252"/>
        <v>1</v>
      </c>
      <c r="AC15" s="28">
        <f t="shared" si="252"/>
        <v>1</v>
      </c>
      <c r="AD15" s="28">
        <f t="shared" si="252"/>
        <v>1</v>
      </c>
      <c r="AE15" s="28">
        <f t="shared" si="252"/>
        <v>1</v>
      </c>
      <c r="AF15" s="28">
        <f t="shared" si="252"/>
        <v>1</v>
      </c>
      <c r="AG15" s="28">
        <f t="shared" si="252"/>
        <v>1</v>
      </c>
      <c r="AH15" s="28">
        <f t="shared" si="252"/>
        <v>1</v>
      </c>
      <c r="AI15" s="28">
        <f t="shared" si="252"/>
        <v>1</v>
      </c>
      <c r="AJ15" s="28">
        <f t="shared" si="252"/>
        <v>1</v>
      </c>
      <c r="AK15" s="28">
        <f t="shared" si="252"/>
        <v>1</v>
      </c>
      <c r="AL15" s="28">
        <f t="shared" si="252"/>
        <v>1</v>
      </c>
      <c r="AM15" s="28">
        <f t="shared" si="252"/>
        <v>1</v>
      </c>
      <c r="AN15" s="28">
        <f t="shared" si="252"/>
        <v>1</v>
      </c>
      <c r="AO15" s="28">
        <f t="shared" si="252"/>
        <v>1</v>
      </c>
      <c r="AP15" s="28">
        <f t="shared" si="252"/>
        <v>1</v>
      </c>
      <c r="AQ15" s="28">
        <f t="shared" si="252"/>
        <v>1</v>
      </c>
      <c r="AR15" s="28">
        <f t="shared" si="252"/>
        <v>1</v>
      </c>
      <c r="AS15" s="28">
        <f t="shared" si="252"/>
        <v>1</v>
      </c>
      <c r="AT15" s="28">
        <f t="shared" si="252"/>
        <v>1</v>
      </c>
      <c r="AU15" s="28">
        <f t="shared" si="252"/>
        <v>1</v>
      </c>
      <c r="AV15" s="28">
        <f t="shared" si="252"/>
        <v>1</v>
      </c>
      <c r="AW15" s="28">
        <f t="shared" si="252"/>
        <v>1</v>
      </c>
      <c r="AX15" s="28">
        <f t="shared" si="252"/>
        <v>1</v>
      </c>
      <c r="AY15" s="28">
        <f t="shared" si="252"/>
        <v>1</v>
      </c>
      <c r="AZ15" s="28">
        <f t="shared" si="252"/>
        <v>1</v>
      </c>
      <c r="BA15" s="28">
        <f t="shared" si="252"/>
        <v>1</v>
      </c>
      <c r="BB15" s="28">
        <f t="shared" si="252"/>
        <v>1</v>
      </c>
      <c r="BC15" s="28">
        <f t="shared" si="252"/>
        <v>1</v>
      </c>
      <c r="BD15" s="28">
        <f t="shared" si="252"/>
        <v>1</v>
      </c>
      <c r="BE15" s="28">
        <f t="shared" ref="BE15:BF15" si="253">+SUMPRODUCT($G$16:$G$17,BE16:BE17)</f>
        <v>1</v>
      </c>
      <c r="BF15" s="28">
        <f t="shared" si="253"/>
        <v>1</v>
      </c>
      <c r="BG15" s="161">
        <f t="shared" ref="BG15:BH15" si="254">+SUMPRODUCT($G$16:$G$17,BG16:BG17)</f>
        <v>1</v>
      </c>
      <c r="BH15" s="161">
        <f t="shared" si="254"/>
        <v>1</v>
      </c>
      <c r="BI15" s="28">
        <f t="shared" ref="BI15:BJ15" si="255">+SUMPRODUCT($G$16:$G$17,BI16:BI17)</f>
        <v>1</v>
      </c>
      <c r="BJ15" s="28">
        <f t="shared" si="255"/>
        <v>1</v>
      </c>
      <c r="BK15" s="28">
        <f t="shared" ref="BK15:BL15" si="256">+SUMPRODUCT($G$16:$G$17,BK16:BK17)</f>
        <v>1</v>
      </c>
      <c r="BL15" s="28">
        <f t="shared" si="256"/>
        <v>1</v>
      </c>
      <c r="BM15" s="28">
        <f t="shared" ref="BM15:BN15" si="257">+SUMPRODUCT($G$16:$G$17,BM16:BM17)</f>
        <v>1</v>
      </c>
      <c r="BN15" s="28">
        <f t="shared" si="257"/>
        <v>1</v>
      </c>
      <c r="BO15" s="28">
        <f t="shared" ref="BO15:BP15" si="258">+SUMPRODUCT($G$16:$G$17,BO16:BO17)</f>
        <v>1</v>
      </c>
      <c r="BP15" s="28">
        <f t="shared" si="258"/>
        <v>1</v>
      </c>
      <c r="BQ15" s="28">
        <f t="shared" ref="BQ15:BR15" si="259">+SUMPRODUCT($G$16:$G$17,BQ16:BQ17)</f>
        <v>1</v>
      </c>
      <c r="BR15" s="28">
        <f t="shared" si="259"/>
        <v>1</v>
      </c>
      <c r="BS15" s="28">
        <f t="shared" ref="BS15:BT15" si="260">+SUMPRODUCT($G$16:$G$17,BS16:BS17)</f>
        <v>1</v>
      </c>
      <c r="BT15" s="28">
        <f t="shared" si="260"/>
        <v>1</v>
      </c>
      <c r="BU15" s="28">
        <f t="shared" ref="BU15:BV15" si="261">+SUMPRODUCT($G$16:$G$17,BU16:BU17)</f>
        <v>1</v>
      </c>
      <c r="BV15" s="28">
        <f t="shared" si="261"/>
        <v>1</v>
      </c>
      <c r="BW15" s="28">
        <f t="shared" ref="BW15:BX15" si="262">+SUMPRODUCT($G$16:$G$17,BW16:BW17)</f>
        <v>1</v>
      </c>
      <c r="BX15" s="28">
        <f t="shared" si="262"/>
        <v>1</v>
      </c>
      <c r="BY15" s="28">
        <f t="shared" ref="BY15:BZ15" si="263">+SUMPRODUCT($G$16:$G$17,BY16:BY17)</f>
        <v>1</v>
      </c>
      <c r="BZ15" s="28">
        <f t="shared" si="263"/>
        <v>1</v>
      </c>
      <c r="CA15" s="28">
        <f t="shared" ref="CA15:CB15" si="264">+SUMPRODUCT($G$16:$G$17,CA16:CA17)</f>
        <v>1</v>
      </c>
      <c r="CB15" s="28">
        <f t="shared" si="264"/>
        <v>1</v>
      </c>
      <c r="CC15" s="28">
        <f t="shared" ref="CC15:CD15" si="265">+SUMPRODUCT($G$16:$G$17,CC16:CC17)</f>
        <v>1</v>
      </c>
      <c r="CD15" s="28">
        <f t="shared" si="265"/>
        <v>1</v>
      </c>
      <c r="CE15" s="28">
        <f t="shared" ref="CE15" si="266">+SUMPRODUCT($G$16:$G$17,CE16:CE17)</f>
        <v>1</v>
      </c>
      <c r="CF15" s="28">
        <f t="shared" ref="CF15" si="267">+SUMPRODUCT($G$16:$G$17,CF16:CF17)</f>
        <v>1</v>
      </c>
      <c r="CG15" s="28">
        <f t="shared" ref="CG15" si="268">+SUMPRODUCT($G$16:$G$17,CG16:CG17)</f>
        <v>1</v>
      </c>
      <c r="CH15" s="28">
        <f t="shared" ref="CH15" si="269">+SUMPRODUCT($G$16:$G$17,CH16:CH17)</f>
        <v>1</v>
      </c>
      <c r="CI15" s="28">
        <f t="shared" ref="CI15" si="270">+SUMPRODUCT($G$16:$G$17,CI16:CI17)</f>
        <v>1</v>
      </c>
      <c r="CJ15" s="28">
        <f t="shared" ref="CJ15:CK15" si="271">+SUMPRODUCT($G$16:$G$17,CJ16:CJ17)</f>
        <v>1</v>
      </c>
      <c r="CK15" s="28">
        <f t="shared" si="271"/>
        <v>1</v>
      </c>
      <c r="CL15" s="28">
        <f t="shared" ref="CL15:CV15" si="272">+SUMPRODUCT($G$16:$G$17,CL16:CL17)</f>
        <v>1</v>
      </c>
      <c r="CM15" s="28">
        <f t="shared" si="272"/>
        <v>1</v>
      </c>
      <c r="CN15" s="28">
        <f t="shared" si="272"/>
        <v>1</v>
      </c>
      <c r="CO15" s="28">
        <f t="shared" si="272"/>
        <v>1</v>
      </c>
      <c r="CP15" s="28">
        <f t="shared" si="272"/>
        <v>1</v>
      </c>
      <c r="CQ15" s="28">
        <f t="shared" si="272"/>
        <v>1</v>
      </c>
      <c r="CR15" s="28">
        <f t="shared" si="272"/>
        <v>1</v>
      </c>
      <c r="CS15" s="28">
        <f t="shared" si="272"/>
        <v>1</v>
      </c>
      <c r="CT15" s="28">
        <f t="shared" si="272"/>
        <v>1</v>
      </c>
      <c r="CU15" s="28">
        <f t="shared" si="272"/>
        <v>1</v>
      </c>
      <c r="CV15" s="28">
        <f t="shared" si="272"/>
        <v>1</v>
      </c>
      <c r="CW15" s="28">
        <f t="shared" ref="CW15" si="273">+SUMPRODUCT($G$16:$G$17,CW16:CW17)</f>
        <v>1</v>
      </c>
      <c r="CX15" s="28">
        <f t="shared" ref="CX15:CY15" si="274">+SUMPRODUCT($G$16:$G$17,CX16:CX17)</f>
        <v>1</v>
      </c>
      <c r="CY15" s="28">
        <f t="shared" si="274"/>
        <v>1</v>
      </c>
      <c r="CZ15" s="28">
        <f t="shared" ref="CZ15:DA15" si="275">+SUMPRODUCT($G$16:$G$17,CZ16:CZ17)</f>
        <v>1</v>
      </c>
      <c r="DA15" s="28">
        <f t="shared" si="275"/>
        <v>1</v>
      </c>
      <c r="DB15" s="28">
        <f t="shared" ref="DB15:DC15" si="276">+SUMPRODUCT($G$16:$G$17,DB16:DB17)</f>
        <v>1</v>
      </c>
      <c r="DC15" s="28">
        <f t="shared" si="276"/>
        <v>1</v>
      </c>
      <c r="DD15" s="28">
        <f t="shared" ref="DD15:DE15" si="277">+SUMPRODUCT($G$16:$G$17,DD16:DD17)</f>
        <v>1</v>
      </c>
      <c r="DE15" s="28">
        <f t="shared" si="277"/>
        <v>1</v>
      </c>
      <c r="DF15" s="28">
        <f t="shared" ref="DF15" si="278">+SUMPRODUCT($G$16:$G$17,DF16:DF17)</f>
        <v>1</v>
      </c>
      <c r="DG15" s="28">
        <f t="shared" ref="DG15:EI15" si="279">+SUMPRODUCT($G$16:$G$17,DG16:DG17)</f>
        <v>1</v>
      </c>
      <c r="DH15" s="28">
        <f t="shared" si="279"/>
        <v>1</v>
      </c>
      <c r="DI15" s="28">
        <f t="shared" si="279"/>
        <v>1</v>
      </c>
      <c r="DJ15" s="28">
        <f t="shared" si="279"/>
        <v>1</v>
      </c>
      <c r="DK15" s="28">
        <f t="shared" si="279"/>
        <v>1</v>
      </c>
      <c r="DL15" s="28">
        <f t="shared" si="279"/>
        <v>1</v>
      </c>
      <c r="DM15" s="28">
        <f t="shared" si="279"/>
        <v>1</v>
      </c>
      <c r="DN15" s="28">
        <f t="shared" si="279"/>
        <v>1</v>
      </c>
      <c r="DO15" s="28">
        <f t="shared" si="279"/>
        <v>1</v>
      </c>
      <c r="DP15" s="28">
        <f t="shared" si="279"/>
        <v>1</v>
      </c>
      <c r="DQ15" s="28">
        <f t="shared" si="279"/>
        <v>1</v>
      </c>
      <c r="DR15" s="28">
        <f t="shared" si="279"/>
        <v>1</v>
      </c>
      <c r="DS15" s="28">
        <f t="shared" si="279"/>
        <v>1</v>
      </c>
      <c r="DT15" s="28">
        <f t="shared" si="279"/>
        <v>1</v>
      </c>
      <c r="DU15" s="28">
        <f t="shared" si="279"/>
        <v>1</v>
      </c>
      <c r="DV15" s="28">
        <f t="shared" si="279"/>
        <v>1</v>
      </c>
      <c r="DW15" s="28">
        <f t="shared" si="279"/>
        <v>1</v>
      </c>
      <c r="DX15" s="28">
        <f t="shared" si="279"/>
        <v>1</v>
      </c>
      <c r="DY15" s="28">
        <f t="shared" si="279"/>
        <v>1</v>
      </c>
      <c r="DZ15" s="28">
        <f t="shared" si="279"/>
        <v>1</v>
      </c>
      <c r="EA15" s="28">
        <f t="shared" si="279"/>
        <v>1</v>
      </c>
      <c r="EB15" s="28">
        <f t="shared" si="279"/>
        <v>1</v>
      </c>
      <c r="EC15" s="28">
        <f t="shared" si="279"/>
        <v>1</v>
      </c>
      <c r="ED15" s="28">
        <f t="shared" si="279"/>
        <v>1</v>
      </c>
      <c r="EE15" s="28">
        <f t="shared" si="279"/>
        <v>1</v>
      </c>
      <c r="EF15" s="28">
        <f t="shared" si="279"/>
        <v>1</v>
      </c>
      <c r="EG15" s="28">
        <f t="shared" si="279"/>
        <v>1</v>
      </c>
      <c r="EH15" s="28">
        <f t="shared" si="279"/>
        <v>1</v>
      </c>
      <c r="EI15" s="28">
        <f t="shared" si="279"/>
        <v>1</v>
      </c>
    </row>
    <row r="16" spans="2:166" hidden="1" outlineLevel="3" x14ac:dyDescent="0.3">
      <c r="B16" s="29"/>
      <c r="C16" s="30"/>
      <c r="D16" s="30"/>
      <c r="E16" s="52" t="s">
        <v>20</v>
      </c>
      <c r="F16" s="33">
        <v>20</v>
      </c>
      <c r="G16" s="35">
        <v>0.26666666666666666</v>
      </c>
      <c r="H16" s="162"/>
      <c r="I16" s="127">
        <v>0</v>
      </c>
      <c r="J16" s="127">
        <v>0.1</v>
      </c>
      <c r="K16" s="127">
        <v>0.2</v>
      </c>
      <c r="L16" s="127">
        <v>0.4</v>
      </c>
      <c r="M16" s="128">
        <v>0.6</v>
      </c>
      <c r="N16" s="128">
        <v>0.8</v>
      </c>
      <c r="O16" s="127">
        <v>0.9</v>
      </c>
      <c r="P16" s="127">
        <v>1</v>
      </c>
      <c r="Q16" s="127">
        <v>1</v>
      </c>
      <c r="R16" s="127">
        <v>1</v>
      </c>
      <c r="S16" s="127">
        <v>1</v>
      </c>
      <c r="T16" s="127">
        <v>1</v>
      </c>
      <c r="U16" s="127">
        <v>1</v>
      </c>
      <c r="V16" s="127">
        <v>1</v>
      </c>
      <c r="W16" s="127">
        <v>1</v>
      </c>
      <c r="X16" s="127">
        <v>1</v>
      </c>
      <c r="Y16" s="127">
        <v>1</v>
      </c>
      <c r="Z16" s="127">
        <v>1</v>
      </c>
      <c r="AA16" s="127">
        <v>1</v>
      </c>
      <c r="AB16" s="127">
        <v>1</v>
      </c>
      <c r="AC16" s="127">
        <v>1</v>
      </c>
      <c r="AD16" s="127">
        <v>1</v>
      </c>
      <c r="AE16" s="127">
        <v>1</v>
      </c>
      <c r="AF16" s="127">
        <v>1</v>
      </c>
      <c r="AG16" s="127">
        <v>1</v>
      </c>
      <c r="AH16" s="127">
        <v>1</v>
      </c>
      <c r="AI16" s="127">
        <v>1</v>
      </c>
      <c r="AJ16" s="127">
        <v>1</v>
      </c>
      <c r="AK16" s="127">
        <v>1</v>
      </c>
      <c r="AL16" s="127">
        <v>1</v>
      </c>
      <c r="AM16" s="127">
        <v>1</v>
      </c>
      <c r="AN16" s="127">
        <v>1</v>
      </c>
      <c r="AO16" s="127">
        <v>1</v>
      </c>
      <c r="AP16" s="127">
        <v>1</v>
      </c>
      <c r="AQ16" s="127">
        <v>1</v>
      </c>
      <c r="AR16" s="127">
        <v>1</v>
      </c>
      <c r="AS16" s="127">
        <v>1</v>
      </c>
      <c r="AT16" s="127">
        <v>1</v>
      </c>
      <c r="AU16" s="127">
        <v>1</v>
      </c>
      <c r="AV16" s="127">
        <v>1</v>
      </c>
      <c r="AW16" s="127">
        <v>1</v>
      </c>
      <c r="AX16" s="127">
        <v>1</v>
      </c>
      <c r="AY16" s="127">
        <v>1</v>
      </c>
      <c r="AZ16" s="127">
        <v>1</v>
      </c>
      <c r="BA16" s="127">
        <v>1</v>
      </c>
      <c r="BB16" s="127">
        <v>1</v>
      </c>
      <c r="BC16" s="127">
        <v>1</v>
      </c>
      <c r="BD16" s="127">
        <v>1</v>
      </c>
      <c r="BE16" s="127">
        <v>1</v>
      </c>
      <c r="BF16" s="127">
        <v>1</v>
      </c>
      <c r="BG16" s="163">
        <v>1</v>
      </c>
      <c r="BH16" s="163">
        <v>1</v>
      </c>
      <c r="BI16" s="127">
        <v>1</v>
      </c>
      <c r="BJ16" s="127">
        <v>1</v>
      </c>
      <c r="BK16" s="127">
        <v>1</v>
      </c>
      <c r="BL16" s="127">
        <v>1</v>
      </c>
      <c r="BM16" s="127">
        <v>1</v>
      </c>
      <c r="BN16" s="127">
        <v>1</v>
      </c>
      <c r="BO16" s="127">
        <v>1</v>
      </c>
      <c r="BP16" s="127">
        <v>1</v>
      </c>
      <c r="BQ16" s="127">
        <v>1</v>
      </c>
      <c r="BR16" s="127">
        <v>1</v>
      </c>
      <c r="BS16" s="127">
        <v>1</v>
      </c>
      <c r="BT16" s="127">
        <v>1</v>
      </c>
      <c r="BU16" s="127">
        <v>1</v>
      </c>
      <c r="BV16" s="127">
        <v>1</v>
      </c>
      <c r="BW16" s="127">
        <v>1</v>
      </c>
      <c r="BX16" s="127">
        <v>1</v>
      </c>
      <c r="BY16" s="127">
        <v>1</v>
      </c>
      <c r="BZ16" s="127">
        <v>1</v>
      </c>
      <c r="CA16" s="127">
        <v>1</v>
      </c>
      <c r="CB16" s="127">
        <v>1</v>
      </c>
      <c r="CC16" s="127">
        <v>1</v>
      </c>
      <c r="CD16" s="127">
        <v>1</v>
      </c>
      <c r="CE16" s="127">
        <v>1</v>
      </c>
      <c r="CF16" s="127">
        <v>1</v>
      </c>
      <c r="CG16" s="127">
        <v>1</v>
      </c>
      <c r="CH16" s="127">
        <v>1</v>
      </c>
      <c r="CI16" s="127">
        <v>1</v>
      </c>
      <c r="CJ16" s="127">
        <v>1</v>
      </c>
      <c r="CK16" s="127">
        <v>1</v>
      </c>
      <c r="CL16" s="127">
        <v>1</v>
      </c>
      <c r="CM16" s="127">
        <v>1</v>
      </c>
      <c r="CN16" s="127">
        <v>1</v>
      </c>
      <c r="CO16" s="127">
        <v>1</v>
      </c>
      <c r="CP16" s="127">
        <v>1</v>
      </c>
      <c r="CQ16" s="127">
        <v>1</v>
      </c>
      <c r="CR16" s="127">
        <v>1</v>
      </c>
      <c r="CS16" s="127">
        <v>1</v>
      </c>
      <c r="CT16" s="127">
        <v>1</v>
      </c>
      <c r="CU16" s="127">
        <v>1</v>
      </c>
      <c r="CV16" s="127">
        <v>1</v>
      </c>
      <c r="CW16" s="127">
        <v>1</v>
      </c>
      <c r="CX16" s="127">
        <v>1</v>
      </c>
      <c r="CY16" s="127">
        <v>1</v>
      </c>
      <c r="CZ16" s="127">
        <v>1</v>
      </c>
      <c r="DA16" s="127">
        <v>1</v>
      </c>
      <c r="DB16" s="127">
        <v>1</v>
      </c>
      <c r="DC16" s="127">
        <v>1</v>
      </c>
      <c r="DD16" s="127">
        <v>1</v>
      </c>
      <c r="DE16" s="127">
        <v>1</v>
      </c>
      <c r="DF16" s="127">
        <v>1</v>
      </c>
      <c r="DG16" s="127">
        <v>1</v>
      </c>
      <c r="DH16" s="127">
        <v>1</v>
      </c>
      <c r="DI16" s="127">
        <v>1</v>
      </c>
      <c r="DJ16" s="127">
        <v>1</v>
      </c>
      <c r="DK16" s="127">
        <v>1</v>
      </c>
      <c r="DL16" s="127">
        <v>1</v>
      </c>
      <c r="DM16" s="127">
        <v>1</v>
      </c>
      <c r="DN16" s="127">
        <v>1</v>
      </c>
      <c r="DO16" s="127">
        <v>1</v>
      </c>
      <c r="DP16" s="127">
        <v>1</v>
      </c>
      <c r="DQ16" s="127">
        <v>1</v>
      </c>
      <c r="DR16" s="127">
        <v>1</v>
      </c>
      <c r="DS16" s="127">
        <v>1</v>
      </c>
      <c r="DT16" s="127">
        <v>1</v>
      </c>
      <c r="DU16" s="127">
        <v>1</v>
      </c>
      <c r="DV16" s="127">
        <v>1</v>
      </c>
      <c r="DW16" s="127">
        <v>1</v>
      </c>
      <c r="DX16" s="127">
        <v>1</v>
      </c>
      <c r="DY16" s="127">
        <v>1</v>
      </c>
      <c r="DZ16" s="127">
        <v>1</v>
      </c>
      <c r="EA16" s="127">
        <v>1</v>
      </c>
      <c r="EB16" s="127">
        <v>1</v>
      </c>
      <c r="EC16" s="127">
        <v>1</v>
      </c>
      <c r="ED16" s="127">
        <v>1</v>
      </c>
      <c r="EE16" s="127">
        <v>1</v>
      </c>
      <c r="EF16" s="127">
        <v>1</v>
      </c>
      <c r="EG16" s="127">
        <v>1</v>
      </c>
      <c r="EH16" s="127">
        <v>1</v>
      </c>
      <c r="EI16" s="127">
        <v>1</v>
      </c>
    </row>
    <row r="17" spans="2:139" hidden="1" outlineLevel="3" x14ac:dyDescent="0.3">
      <c r="B17" s="29"/>
      <c r="C17" s="30"/>
      <c r="D17" s="30"/>
      <c r="E17" s="52" t="s">
        <v>21</v>
      </c>
      <c r="F17" s="33">
        <v>55</v>
      </c>
      <c r="G17" s="35">
        <v>0.73333333333333328</v>
      </c>
      <c r="H17" s="162"/>
      <c r="I17" s="127">
        <v>0</v>
      </c>
      <c r="J17" s="127">
        <v>0</v>
      </c>
      <c r="K17" s="127">
        <v>0</v>
      </c>
      <c r="L17" s="127">
        <v>0</v>
      </c>
      <c r="M17" s="128">
        <v>0</v>
      </c>
      <c r="N17" s="128">
        <v>0</v>
      </c>
      <c r="O17" s="127">
        <v>0</v>
      </c>
      <c r="P17" s="127">
        <v>0</v>
      </c>
      <c r="Q17" s="127">
        <v>0</v>
      </c>
      <c r="R17" s="127">
        <v>0.15</v>
      </c>
      <c r="S17" s="127">
        <v>0.16201144037574811</v>
      </c>
      <c r="T17" s="127">
        <v>0.22582171047452754</v>
      </c>
      <c r="U17" s="127">
        <v>0.22582171047452754</v>
      </c>
      <c r="V17" s="127">
        <v>0.37054780698301837</v>
      </c>
      <c r="W17" s="127">
        <v>0.60465183425290492</v>
      </c>
      <c r="X17" s="127">
        <v>0.68078117061092469</v>
      </c>
      <c r="Y17" s="127">
        <v>0.75829186316394614</v>
      </c>
      <c r="Z17" s="127">
        <v>1</v>
      </c>
      <c r="AA17" s="127">
        <v>1</v>
      </c>
      <c r="AB17" s="127">
        <v>1</v>
      </c>
      <c r="AC17" s="127">
        <v>1</v>
      </c>
      <c r="AD17" s="127">
        <v>1</v>
      </c>
      <c r="AE17" s="127">
        <v>1</v>
      </c>
      <c r="AF17" s="127">
        <v>1</v>
      </c>
      <c r="AG17" s="127">
        <v>1</v>
      </c>
      <c r="AH17" s="127">
        <v>1</v>
      </c>
      <c r="AI17" s="127">
        <v>1</v>
      </c>
      <c r="AJ17" s="127">
        <v>1</v>
      </c>
      <c r="AK17" s="127">
        <v>1</v>
      </c>
      <c r="AL17" s="127">
        <v>1</v>
      </c>
      <c r="AM17" s="127">
        <v>1</v>
      </c>
      <c r="AN17" s="127">
        <v>1</v>
      </c>
      <c r="AO17" s="127">
        <v>1</v>
      </c>
      <c r="AP17" s="127">
        <v>1</v>
      </c>
      <c r="AQ17" s="127">
        <v>1</v>
      </c>
      <c r="AR17" s="127">
        <v>1</v>
      </c>
      <c r="AS17" s="127">
        <v>1</v>
      </c>
      <c r="AT17" s="127">
        <v>1</v>
      </c>
      <c r="AU17" s="127">
        <v>1</v>
      </c>
      <c r="AV17" s="127">
        <v>1</v>
      </c>
      <c r="AW17" s="127">
        <v>1</v>
      </c>
      <c r="AX17" s="127">
        <v>1</v>
      </c>
      <c r="AY17" s="127">
        <v>1</v>
      </c>
      <c r="AZ17" s="127">
        <v>1</v>
      </c>
      <c r="BA17" s="127">
        <v>1</v>
      </c>
      <c r="BB17" s="127">
        <v>1</v>
      </c>
      <c r="BC17" s="127">
        <v>1</v>
      </c>
      <c r="BD17" s="127">
        <v>1</v>
      </c>
      <c r="BE17" s="127">
        <v>1</v>
      </c>
      <c r="BF17" s="127">
        <v>1</v>
      </c>
      <c r="BG17" s="163">
        <v>1</v>
      </c>
      <c r="BH17" s="163">
        <v>1</v>
      </c>
      <c r="BI17" s="127">
        <v>1</v>
      </c>
      <c r="BJ17" s="127">
        <v>1</v>
      </c>
      <c r="BK17" s="127">
        <v>1</v>
      </c>
      <c r="BL17" s="127">
        <v>1</v>
      </c>
      <c r="BM17" s="127">
        <v>1</v>
      </c>
      <c r="BN17" s="127">
        <v>1</v>
      </c>
      <c r="BO17" s="127">
        <v>1</v>
      </c>
      <c r="BP17" s="127">
        <v>1</v>
      </c>
      <c r="BQ17" s="127">
        <v>1</v>
      </c>
      <c r="BR17" s="127">
        <v>1</v>
      </c>
      <c r="BS17" s="127">
        <v>1</v>
      </c>
      <c r="BT17" s="127">
        <v>1</v>
      </c>
      <c r="BU17" s="127">
        <v>1</v>
      </c>
      <c r="BV17" s="127">
        <v>1</v>
      </c>
      <c r="BW17" s="127">
        <v>1</v>
      </c>
      <c r="BX17" s="127">
        <v>1</v>
      </c>
      <c r="BY17" s="127">
        <v>1</v>
      </c>
      <c r="BZ17" s="127">
        <v>1</v>
      </c>
      <c r="CA17" s="127">
        <v>1</v>
      </c>
      <c r="CB17" s="127">
        <v>1</v>
      </c>
      <c r="CC17" s="127">
        <v>1</v>
      </c>
      <c r="CD17" s="127">
        <v>1</v>
      </c>
      <c r="CE17" s="127">
        <v>1</v>
      </c>
      <c r="CF17" s="127">
        <v>1</v>
      </c>
      <c r="CG17" s="127">
        <v>1</v>
      </c>
      <c r="CH17" s="127">
        <v>1</v>
      </c>
      <c r="CI17" s="127">
        <v>1</v>
      </c>
      <c r="CJ17" s="127">
        <v>1</v>
      </c>
      <c r="CK17" s="127">
        <v>1</v>
      </c>
      <c r="CL17" s="127">
        <v>1</v>
      </c>
      <c r="CM17" s="127">
        <v>1</v>
      </c>
      <c r="CN17" s="127">
        <v>1</v>
      </c>
      <c r="CO17" s="127">
        <v>1</v>
      </c>
      <c r="CP17" s="127">
        <v>1</v>
      </c>
      <c r="CQ17" s="127">
        <v>1</v>
      </c>
      <c r="CR17" s="127">
        <v>1</v>
      </c>
      <c r="CS17" s="127">
        <v>1</v>
      </c>
      <c r="CT17" s="127">
        <v>1</v>
      </c>
      <c r="CU17" s="127">
        <v>1</v>
      </c>
      <c r="CV17" s="127">
        <v>1</v>
      </c>
      <c r="CW17" s="127">
        <v>1</v>
      </c>
      <c r="CX17" s="127">
        <v>1</v>
      </c>
      <c r="CY17" s="127">
        <v>1</v>
      </c>
      <c r="CZ17" s="127">
        <v>1</v>
      </c>
      <c r="DA17" s="127">
        <v>1</v>
      </c>
      <c r="DB17" s="127">
        <v>1</v>
      </c>
      <c r="DC17" s="127">
        <v>1</v>
      </c>
      <c r="DD17" s="127">
        <v>1</v>
      </c>
      <c r="DE17" s="127">
        <v>1</v>
      </c>
      <c r="DF17" s="127">
        <v>1</v>
      </c>
      <c r="DG17" s="127">
        <v>1</v>
      </c>
      <c r="DH17" s="127">
        <v>1</v>
      </c>
      <c r="DI17" s="127">
        <v>1</v>
      </c>
      <c r="DJ17" s="127">
        <v>1</v>
      </c>
      <c r="DK17" s="127">
        <v>1</v>
      </c>
      <c r="DL17" s="127">
        <v>1</v>
      </c>
      <c r="DM17" s="127">
        <v>1</v>
      </c>
      <c r="DN17" s="127">
        <v>1</v>
      </c>
      <c r="DO17" s="127">
        <v>1</v>
      </c>
      <c r="DP17" s="127">
        <v>1</v>
      </c>
      <c r="DQ17" s="127">
        <v>1</v>
      </c>
      <c r="DR17" s="127">
        <v>1</v>
      </c>
      <c r="DS17" s="127">
        <v>1</v>
      </c>
      <c r="DT17" s="127">
        <v>1</v>
      </c>
      <c r="DU17" s="127">
        <v>1</v>
      </c>
      <c r="DV17" s="127">
        <v>1</v>
      </c>
      <c r="DW17" s="127">
        <v>1</v>
      </c>
      <c r="DX17" s="127">
        <v>1</v>
      </c>
      <c r="DY17" s="127">
        <v>1</v>
      </c>
      <c r="DZ17" s="127">
        <v>1</v>
      </c>
      <c r="EA17" s="127">
        <v>1</v>
      </c>
      <c r="EB17" s="127">
        <v>1</v>
      </c>
      <c r="EC17" s="127">
        <v>1</v>
      </c>
      <c r="ED17" s="127">
        <v>1</v>
      </c>
      <c r="EE17" s="127">
        <v>1</v>
      </c>
      <c r="EF17" s="127">
        <v>1</v>
      </c>
      <c r="EG17" s="127">
        <v>1</v>
      </c>
      <c r="EH17" s="127">
        <v>1</v>
      </c>
      <c r="EI17" s="127">
        <v>1</v>
      </c>
    </row>
    <row r="18" spans="2:139" ht="15" outlineLevel="2" collapsed="1" x14ac:dyDescent="0.3">
      <c r="B18" s="22"/>
      <c r="C18" s="23"/>
      <c r="D18" s="23" t="s">
        <v>22</v>
      </c>
      <c r="E18" s="50"/>
      <c r="F18" s="26">
        <f>+SUM(F19:F24)</f>
        <v>195</v>
      </c>
      <c r="G18" s="28">
        <v>0.20327658227712506</v>
      </c>
      <c r="H18" s="160"/>
      <c r="I18" s="28">
        <f t="shared" ref="I18:BD18" si="280">+SUMPRODUCT($G$19:$G$24,I19:I24)</f>
        <v>0</v>
      </c>
      <c r="J18" s="28">
        <f t="shared" si="280"/>
        <v>0</v>
      </c>
      <c r="K18" s="28">
        <f t="shared" si="280"/>
        <v>0</v>
      </c>
      <c r="L18" s="28">
        <f t="shared" si="280"/>
        <v>0</v>
      </c>
      <c r="M18" s="64">
        <f t="shared" si="280"/>
        <v>0</v>
      </c>
      <c r="N18" s="64">
        <f t="shared" si="280"/>
        <v>0</v>
      </c>
      <c r="O18" s="28">
        <f t="shared" si="280"/>
        <v>4.4497231905633518E-2</v>
      </c>
      <c r="P18" s="28">
        <f t="shared" si="280"/>
        <v>0.11434790962780973</v>
      </c>
      <c r="Q18" s="28">
        <f t="shared" si="280"/>
        <v>0.16930294954238911</v>
      </c>
      <c r="R18" s="28">
        <f t="shared" si="280"/>
        <v>0.19432363425605897</v>
      </c>
      <c r="S18" s="28">
        <f t="shared" si="280"/>
        <v>0.2050076899214851</v>
      </c>
      <c r="T18" s="28">
        <f t="shared" si="280"/>
        <v>0.20747184624163564</v>
      </c>
      <c r="U18" s="28">
        <f t="shared" si="280"/>
        <v>0.26031641732596139</v>
      </c>
      <c r="V18" s="28">
        <f t="shared" si="280"/>
        <v>0.28055341483607049</v>
      </c>
      <c r="W18" s="28">
        <f t="shared" si="280"/>
        <v>0.28387537919455558</v>
      </c>
      <c r="X18" s="28">
        <f t="shared" si="280"/>
        <v>0.2995897310162195</v>
      </c>
      <c r="Y18" s="28">
        <f t="shared" si="280"/>
        <v>0.31996535675693016</v>
      </c>
      <c r="Z18" s="28">
        <f t="shared" si="280"/>
        <v>0.32809737671005562</v>
      </c>
      <c r="AA18" s="28">
        <f t="shared" si="280"/>
        <v>0.33066073380050942</v>
      </c>
      <c r="AB18" s="28">
        <f t="shared" si="280"/>
        <v>0.33236672238852438</v>
      </c>
      <c r="AC18" s="28">
        <f t="shared" si="280"/>
        <v>0.42243543929767535</v>
      </c>
      <c r="AD18" s="28">
        <f t="shared" si="280"/>
        <v>0.46397093497542718</v>
      </c>
      <c r="AE18" s="28">
        <f t="shared" si="280"/>
        <v>0.51549243016182067</v>
      </c>
      <c r="AF18" s="28">
        <f t="shared" si="280"/>
        <v>0.5678199957032446</v>
      </c>
      <c r="AG18" s="28">
        <f t="shared" si="280"/>
        <v>0.65288169685770348</v>
      </c>
      <c r="AH18" s="28">
        <f t="shared" si="280"/>
        <v>0.67493414408897245</v>
      </c>
      <c r="AI18" s="28">
        <f t="shared" si="280"/>
        <v>0.67493414408897245</v>
      </c>
      <c r="AJ18" s="28">
        <f t="shared" si="280"/>
        <v>0.67493414408897245</v>
      </c>
      <c r="AK18" s="28">
        <f t="shared" si="280"/>
        <v>0.67594525195390998</v>
      </c>
      <c r="AL18" s="28">
        <f t="shared" si="280"/>
        <v>0.67594525195390998</v>
      </c>
      <c r="AM18" s="28">
        <f t="shared" si="280"/>
        <v>0.67594525195390998</v>
      </c>
      <c r="AN18" s="28">
        <f t="shared" si="280"/>
        <v>0.67594525195390998</v>
      </c>
      <c r="AO18" s="28">
        <f t="shared" si="280"/>
        <v>0.6969553346416536</v>
      </c>
      <c r="AP18" s="28">
        <f t="shared" si="280"/>
        <v>0.71259059531828628</v>
      </c>
      <c r="AQ18" s="28">
        <f t="shared" si="280"/>
        <v>0.71259059531828628</v>
      </c>
      <c r="AR18" s="28">
        <f t="shared" si="280"/>
        <v>0.72456325273225786</v>
      </c>
      <c r="AS18" s="28">
        <f t="shared" si="280"/>
        <v>0.72456325273225786</v>
      </c>
      <c r="AT18" s="28">
        <f t="shared" si="280"/>
        <v>0.72565752787224458</v>
      </c>
      <c r="AU18" s="28">
        <f t="shared" si="280"/>
        <v>0.72565752787224458</v>
      </c>
      <c r="AV18" s="28">
        <f t="shared" si="280"/>
        <v>0.73071050425394757</v>
      </c>
      <c r="AW18" s="28">
        <f t="shared" si="280"/>
        <v>0.75025377977224694</v>
      </c>
      <c r="AX18" s="28">
        <f t="shared" si="280"/>
        <v>0.75822172946358224</v>
      </c>
      <c r="AY18" s="28">
        <f t="shared" si="280"/>
        <v>0.75822172946358224</v>
      </c>
      <c r="AZ18" s="28">
        <f t="shared" si="280"/>
        <v>0.78675201185931998</v>
      </c>
      <c r="BA18" s="28">
        <f t="shared" si="280"/>
        <v>0.78675201185931998</v>
      </c>
      <c r="BB18" s="28">
        <f t="shared" si="280"/>
        <v>0.79213002889079898</v>
      </c>
      <c r="BC18" s="28">
        <f t="shared" si="280"/>
        <v>0.79506678875293246</v>
      </c>
      <c r="BD18" s="28">
        <f t="shared" si="280"/>
        <v>0.79779328424210783</v>
      </c>
      <c r="BE18" s="28">
        <f t="shared" ref="BE18:BF18" si="281">+SUMPRODUCT($G$19:$G$24,BE19:BE24)</f>
        <v>0.7991797293745293</v>
      </c>
      <c r="BF18" s="28">
        <f t="shared" si="281"/>
        <v>0.80628094921368498</v>
      </c>
      <c r="BG18" s="161">
        <f t="shared" ref="BG18:BH18" si="282">+SUMPRODUCT($G$19:$G$24,BG19:BG24)</f>
        <v>0.82490348142462067</v>
      </c>
      <c r="BH18" s="161">
        <f t="shared" si="282"/>
        <v>0.82782211313945708</v>
      </c>
      <c r="BI18" s="28">
        <f t="shared" ref="BI18:BJ18" si="283">+SUMPRODUCT($G$19:$G$24,BI19:BI24)</f>
        <v>0.82968931231106036</v>
      </c>
      <c r="BJ18" s="28">
        <f t="shared" si="283"/>
        <v>0.82996123452051729</v>
      </c>
      <c r="BK18" s="28">
        <f t="shared" ref="BK18:BL18" si="284">+SUMPRODUCT($G$19:$G$24,BK19:BK24)</f>
        <v>0.83103079521104728</v>
      </c>
      <c r="BL18" s="28">
        <f t="shared" si="284"/>
        <v>0.83146587074617828</v>
      </c>
      <c r="BM18" s="28">
        <f t="shared" ref="BM18:BN18" si="285">+SUMPRODUCT($G$19:$G$24,BM19:BM24)</f>
        <v>0.83255355958400545</v>
      </c>
      <c r="BN18" s="28">
        <f t="shared" si="285"/>
        <v>0.83313366029751335</v>
      </c>
      <c r="BO18" s="28">
        <f t="shared" ref="BO18:BP18" si="286">+SUMPRODUCT($G$19:$G$24,BO19:BO24)</f>
        <v>0.83400381136777513</v>
      </c>
      <c r="BP18" s="28">
        <f t="shared" si="286"/>
        <v>0.83487396243803691</v>
      </c>
      <c r="BQ18" s="28">
        <f t="shared" ref="BQ18:BR18" si="287">+SUMPRODUCT($G$19:$G$24,BQ19:BQ24)</f>
        <v>0.84152094978031433</v>
      </c>
      <c r="BR18" s="28">
        <f t="shared" si="287"/>
        <v>0.84793115120732987</v>
      </c>
      <c r="BS18" s="28">
        <f t="shared" ref="BS18:BT18" si="288">+SUMPRODUCT($G$19:$G$24,BS19:BS24)</f>
        <v>0.85870665477486929</v>
      </c>
      <c r="BT18" s="28">
        <f t="shared" si="288"/>
        <v>0.86658165477486926</v>
      </c>
      <c r="BU18" s="28">
        <f t="shared" ref="BU18:BV18" si="289">+SUMPRODUCT($G$19:$G$24,BU19:BU24)</f>
        <v>0.87751532381989539</v>
      </c>
      <c r="BV18" s="28">
        <f t="shared" si="289"/>
        <v>0.87751532381989539</v>
      </c>
      <c r="BW18" s="28">
        <f t="shared" ref="BW18:BX18" si="290">+SUMPRODUCT($G$19:$G$24,BW19:BW24)</f>
        <v>0.88154657381989543</v>
      </c>
      <c r="BX18" s="28">
        <f t="shared" si="290"/>
        <v>0.88154657381989543</v>
      </c>
      <c r="BY18" s="28">
        <f t="shared" ref="BY18:BZ18" si="291">+SUMPRODUCT($G$19:$G$24,BY19:BY24)</f>
        <v>0.8844821583424084</v>
      </c>
      <c r="BZ18" s="28">
        <f t="shared" si="291"/>
        <v>0.88635715834240836</v>
      </c>
      <c r="CA18" s="28">
        <f t="shared" ref="CA18:CB18" si="292">+SUMPRODUCT($G$19:$G$24,CA19:CA24)</f>
        <v>0.88712590834240834</v>
      </c>
      <c r="CB18" s="28">
        <f t="shared" si="292"/>
        <v>0.88712590834240834</v>
      </c>
      <c r="CC18" s="28">
        <f t="shared" ref="CC18:CD18" si="293">+SUMPRODUCT($G$19:$G$24,CC19:CC24)</f>
        <v>0.88950715834240834</v>
      </c>
      <c r="CD18" s="28">
        <f t="shared" si="293"/>
        <v>0.9008696583424084</v>
      </c>
      <c r="CE18" s="28">
        <f t="shared" ref="CE18" si="294">+SUMPRODUCT($G$19:$G$24,CE19:CE24)</f>
        <v>0.90139465834240839</v>
      </c>
      <c r="CF18" s="28">
        <f t="shared" ref="CF18" si="295">+SUMPRODUCT($G$19:$G$24,CF19:CF24)</f>
        <v>0.90549886697303672</v>
      </c>
      <c r="CG18" s="28">
        <f t="shared" ref="CG18" si="296">+SUMPRODUCT($G$19:$G$24,CG19:CG24)</f>
        <v>0.90549886697303672</v>
      </c>
      <c r="CH18" s="28">
        <f t="shared" ref="CH18" si="297">+SUMPRODUCT($G$19:$G$24,CH19:CH24)</f>
        <v>0.90574057560366505</v>
      </c>
      <c r="CI18" s="28">
        <f t="shared" ref="CI18" si="298">+SUMPRODUCT($G$19:$G$24,CI19:CI24)</f>
        <v>0.90574057560366505</v>
      </c>
      <c r="CJ18" s="28">
        <f t="shared" ref="CJ18:CK18" si="299">+SUMPRODUCT($G$19:$G$24,CJ19:CJ24)</f>
        <v>0.90574057560366505</v>
      </c>
      <c r="CK18" s="28">
        <f t="shared" si="299"/>
        <v>0.90574057560366505</v>
      </c>
      <c r="CL18" s="28">
        <f t="shared" ref="CL18:CV18" si="300">+SUMPRODUCT($G$19:$G$24,CL19:CL24)</f>
        <v>0.90574057560366505</v>
      </c>
      <c r="CM18" s="28">
        <f t="shared" si="300"/>
        <v>0.90574057560366505</v>
      </c>
      <c r="CN18" s="28">
        <f t="shared" si="300"/>
        <v>0.90574057560366505</v>
      </c>
      <c r="CO18" s="28">
        <f t="shared" si="300"/>
        <v>0.90574057560366505</v>
      </c>
      <c r="CP18" s="28">
        <f t="shared" si="300"/>
        <v>0.90574057560366505</v>
      </c>
      <c r="CQ18" s="28">
        <f t="shared" si="300"/>
        <v>0.90574057560366505</v>
      </c>
      <c r="CR18" s="28">
        <f t="shared" si="300"/>
        <v>0.90821557560366506</v>
      </c>
      <c r="CS18" s="28">
        <f t="shared" si="300"/>
        <v>0.90966582738743462</v>
      </c>
      <c r="CT18" s="28">
        <f t="shared" si="300"/>
        <v>0.91111607917120419</v>
      </c>
      <c r="CU18" s="28">
        <f t="shared" si="300"/>
        <v>0.91358291369371725</v>
      </c>
      <c r="CV18" s="28">
        <f t="shared" si="300"/>
        <v>0.91358291369371725</v>
      </c>
      <c r="CW18" s="28">
        <f t="shared" ref="CW18" si="301">+SUMPRODUCT($G$19:$G$24,CW19:CW24)</f>
        <v>0.91358291369371725</v>
      </c>
      <c r="CX18" s="28">
        <f t="shared" ref="CX18:CY18" si="302">+SUMPRODUCT($G$19:$G$24,CX19:CX24)</f>
        <v>0.91551658273874348</v>
      </c>
      <c r="CY18" s="28">
        <f t="shared" si="302"/>
        <v>0.91599999999999993</v>
      </c>
      <c r="CZ18" s="28">
        <f t="shared" ref="CZ18:DA18" si="303">+SUMPRODUCT($G$19:$G$24,CZ19:CZ24)</f>
        <v>0.91900000000000004</v>
      </c>
      <c r="DA18" s="28">
        <f t="shared" si="303"/>
        <v>0.91900000000000004</v>
      </c>
      <c r="DB18" s="28">
        <f t="shared" ref="DB18:DC18" si="304">+SUMPRODUCT($G$19:$G$24,DB19:DB24)</f>
        <v>0.91900000000000004</v>
      </c>
      <c r="DC18" s="28">
        <f t="shared" si="304"/>
        <v>0.92049999999999998</v>
      </c>
      <c r="DD18" s="28">
        <f t="shared" ref="DD18:DE18" si="305">+SUMPRODUCT($G$19:$G$24,DD19:DD24)</f>
        <v>0.92049999999999998</v>
      </c>
      <c r="DE18" s="28">
        <f t="shared" si="305"/>
        <v>0.92049999999999998</v>
      </c>
      <c r="DF18" s="28">
        <f t="shared" ref="DF18" si="306">+SUMPRODUCT($G$19:$G$24,DF19:DF24)</f>
        <v>0.92049999999999998</v>
      </c>
      <c r="DG18" s="28">
        <f t="shared" ref="DG18:EI18" si="307">+SUMPRODUCT($G$19:$G$24,DG19:DG24)</f>
        <v>0.92049999999999998</v>
      </c>
      <c r="DH18" s="28">
        <f t="shared" si="307"/>
        <v>0.92049999999999998</v>
      </c>
      <c r="DI18" s="28">
        <f t="shared" si="307"/>
        <v>0.92049999999999998</v>
      </c>
      <c r="DJ18" s="28">
        <f t="shared" si="307"/>
        <v>0.90574057560366505</v>
      </c>
      <c r="DK18" s="28">
        <f t="shared" si="307"/>
        <v>0.90574057560366505</v>
      </c>
      <c r="DL18" s="28">
        <f t="shared" si="307"/>
        <v>0.90574057560366505</v>
      </c>
      <c r="DM18" s="28">
        <f t="shared" si="307"/>
        <v>0.90574057560366505</v>
      </c>
      <c r="DN18" s="28">
        <f t="shared" si="307"/>
        <v>0.90574057560366505</v>
      </c>
      <c r="DO18" s="28">
        <f t="shared" si="307"/>
        <v>0.90574057560366505</v>
      </c>
      <c r="DP18" s="28">
        <f t="shared" si="307"/>
        <v>0.90574057560366505</v>
      </c>
      <c r="DQ18" s="28">
        <f t="shared" si="307"/>
        <v>0.90574057560366505</v>
      </c>
      <c r="DR18" s="28">
        <f t="shared" si="307"/>
        <v>0.90574057560366505</v>
      </c>
      <c r="DS18" s="28">
        <f t="shared" si="307"/>
        <v>0.90574057560366505</v>
      </c>
      <c r="DT18" s="28">
        <f t="shared" si="307"/>
        <v>0.90574057560366505</v>
      </c>
      <c r="DU18" s="28">
        <f t="shared" si="307"/>
        <v>0.90574057560366505</v>
      </c>
      <c r="DV18" s="28">
        <f t="shared" si="307"/>
        <v>0.90574057560366505</v>
      </c>
      <c r="DW18" s="28">
        <f t="shared" si="307"/>
        <v>0.90574057560366505</v>
      </c>
      <c r="DX18" s="28">
        <f t="shared" si="307"/>
        <v>0.90574057560366505</v>
      </c>
      <c r="DY18" s="28">
        <f t="shared" si="307"/>
        <v>0.90574057560366505</v>
      </c>
      <c r="DZ18" s="28">
        <f t="shared" si="307"/>
        <v>0.90574057560366505</v>
      </c>
      <c r="EA18" s="28">
        <f t="shared" si="307"/>
        <v>0.90574057560366505</v>
      </c>
      <c r="EB18" s="28">
        <f t="shared" si="307"/>
        <v>0.90574057560366505</v>
      </c>
      <c r="EC18" s="28">
        <f t="shared" si="307"/>
        <v>0.90574057560366505</v>
      </c>
      <c r="ED18" s="28">
        <f t="shared" si="307"/>
        <v>0.90574057560366505</v>
      </c>
      <c r="EE18" s="28">
        <f t="shared" si="307"/>
        <v>0.90574057560366505</v>
      </c>
      <c r="EF18" s="28">
        <f t="shared" si="307"/>
        <v>0.90574057560366505</v>
      </c>
      <c r="EG18" s="28">
        <f t="shared" si="307"/>
        <v>0.90574057560366505</v>
      </c>
      <c r="EH18" s="28">
        <f t="shared" si="307"/>
        <v>0.90574057560366505</v>
      </c>
      <c r="EI18" s="28">
        <f t="shared" si="307"/>
        <v>0.92049999999999998</v>
      </c>
    </row>
    <row r="19" spans="2:139" ht="15" hidden="1" customHeight="1" outlineLevel="3" x14ac:dyDescent="0.3">
      <c r="B19" s="29"/>
      <c r="C19" s="30"/>
      <c r="D19" s="30"/>
      <c r="E19" s="52" t="s">
        <v>23</v>
      </c>
      <c r="F19" s="33">
        <v>10</v>
      </c>
      <c r="G19" s="35">
        <v>0.05</v>
      </c>
      <c r="H19" s="162"/>
      <c r="I19" s="127">
        <v>0</v>
      </c>
      <c r="J19" s="127">
        <v>0</v>
      </c>
      <c r="K19" s="127">
        <v>0</v>
      </c>
      <c r="L19" s="127">
        <v>0</v>
      </c>
      <c r="M19" s="128">
        <v>0</v>
      </c>
      <c r="N19" s="128">
        <v>0</v>
      </c>
      <c r="O19" s="127">
        <v>0</v>
      </c>
      <c r="P19" s="127">
        <v>0.5</v>
      </c>
      <c r="Q19" s="127">
        <v>0.5</v>
      </c>
      <c r="R19" s="127">
        <v>0.5</v>
      </c>
      <c r="S19" s="127">
        <v>0.5</v>
      </c>
      <c r="T19" s="127">
        <v>0.5</v>
      </c>
      <c r="U19" s="127">
        <v>0.5</v>
      </c>
      <c r="V19" s="127">
        <v>0.5</v>
      </c>
      <c r="W19" s="127">
        <v>0.5</v>
      </c>
      <c r="X19" s="127">
        <v>0.5</v>
      </c>
      <c r="Y19" s="127">
        <v>0.5</v>
      </c>
      <c r="Z19" s="127">
        <v>0.6</v>
      </c>
      <c r="AA19" s="127">
        <v>0.6</v>
      </c>
      <c r="AB19" s="127">
        <v>0.6</v>
      </c>
      <c r="AC19" s="127">
        <v>0.6</v>
      </c>
      <c r="AD19" s="127">
        <v>1</v>
      </c>
      <c r="AE19" s="127">
        <v>1</v>
      </c>
      <c r="AF19" s="127">
        <v>1</v>
      </c>
      <c r="AG19" s="127">
        <v>1</v>
      </c>
      <c r="AH19" s="127">
        <v>1</v>
      </c>
      <c r="AI19" s="127">
        <v>1</v>
      </c>
      <c r="AJ19" s="127">
        <v>1</v>
      </c>
      <c r="AK19" s="127">
        <v>1</v>
      </c>
      <c r="AL19" s="127">
        <v>1</v>
      </c>
      <c r="AM19" s="127">
        <v>1</v>
      </c>
      <c r="AN19" s="127">
        <v>1</v>
      </c>
      <c r="AO19" s="127">
        <v>1</v>
      </c>
      <c r="AP19" s="127">
        <v>1</v>
      </c>
      <c r="AQ19" s="127">
        <v>1</v>
      </c>
      <c r="AR19" s="127">
        <v>1</v>
      </c>
      <c r="AS19" s="127">
        <v>1</v>
      </c>
      <c r="AT19" s="127">
        <v>1</v>
      </c>
      <c r="AU19" s="127">
        <v>1</v>
      </c>
      <c r="AV19" s="127">
        <v>1</v>
      </c>
      <c r="AW19" s="127">
        <v>1</v>
      </c>
      <c r="AX19" s="127">
        <v>1</v>
      </c>
      <c r="AY19" s="127">
        <v>1</v>
      </c>
      <c r="AZ19" s="127">
        <v>1</v>
      </c>
      <c r="BA19" s="127">
        <v>1</v>
      </c>
      <c r="BB19" s="127">
        <v>1</v>
      </c>
      <c r="BC19" s="127">
        <v>1</v>
      </c>
      <c r="BD19" s="127">
        <v>1</v>
      </c>
      <c r="BE19" s="127">
        <v>1</v>
      </c>
      <c r="BF19" s="127">
        <v>1</v>
      </c>
      <c r="BG19" s="163">
        <v>1</v>
      </c>
      <c r="BH19" s="163">
        <v>1</v>
      </c>
      <c r="BI19" s="127">
        <v>1</v>
      </c>
      <c r="BJ19" s="127">
        <v>1</v>
      </c>
      <c r="BK19" s="127">
        <v>1</v>
      </c>
      <c r="BL19" s="127">
        <v>1</v>
      </c>
      <c r="BM19" s="127">
        <v>1</v>
      </c>
      <c r="BN19" s="127">
        <v>1</v>
      </c>
      <c r="BO19" s="127">
        <v>1</v>
      </c>
      <c r="BP19" s="127">
        <v>1</v>
      </c>
      <c r="BQ19" s="127">
        <v>1</v>
      </c>
      <c r="BR19" s="127">
        <v>1</v>
      </c>
      <c r="BS19" s="127">
        <v>1</v>
      </c>
      <c r="BT19" s="127">
        <v>1</v>
      </c>
      <c r="BU19" s="127">
        <v>1</v>
      </c>
      <c r="BV19" s="127">
        <v>1</v>
      </c>
      <c r="BW19" s="127">
        <v>1</v>
      </c>
      <c r="BX19" s="127">
        <v>1</v>
      </c>
      <c r="BY19" s="127">
        <v>1</v>
      </c>
      <c r="BZ19" s="127">
        <v>1</v>
      </c>
      <c r="CA19" s="127">
        <v>1</v>
      </c>
      <c r="CB19" s="127">
        <v>1</v>
      </c>
      <c r="CC19" s="127">
        <v>1</v>
      </c>
      <c r="CD19" s="127">
        <v>1</v>
      </c>
      <c r="CE19" s="127">
        <v>1</v>
      </c>
      <c r="CF19" s="127">
        <v>1</v>
      </c>
      <c r="CG19" s="127">
        <v>1</v>
      </c>
      <c r="CH19" s="127">
        <v>1</v>
      </c>
      <c r="CI19" s="127">
        <v>1</v>
      </c>
      <c r="CJ19" s="127">
        <v>1</v>
      </c>
      <c r="CK19" s="127">
        <v>1</v>
      </c>
      <c r="CL19" s="127">
        <v>1</v>
      </c>
      <c r="CM19" s="127">
        <v>1</v>
      </c>
      <c r="CN19" s="127">
        <v>1</v>
      </c>
      <c r="CO19" s="127">
        <v>1</v>
      </c>
      <c r="CP19" s="127">
        <v>1</v>
      </c>
      <c r="CQ19" s="127">
        <v>1</v>
      </c>
      <c r="CR19" s="127">
        <v>1</v>
      </c>
      <c r="CS19" s="127">
        <v>1</v>
      </c>
      <c r="CT19" s="127">
        <v>1</v>
      </c>
      <c r="CU19" s="127">
        <v>1</v>
      </c>
      <c r="CV19" s="127">
        <v>1</v>
      </c>
      <c r="CW19" s="127">
        <v>1</v>
      </c>
      <c r="CX19" s="127">
        <v>1</v>
      </c>
      <c r="CY19" s="127">
        <v>1</v>
      </c>
      <c r="CZ19" s="127">
        <v>1</v>
      </c>
      <c r="DA19" s="127">
        <v>1</v>
      </c>
      <c r="DB19" s="127">
        <v>1</v>
      </c>
      <c r="DC19" s="127">
        <v>1</v>
      </c>
      <c r="DD19" s="127">
        <v>1</v>
      </c>
      <c r="DE19" s="127">
        <v>1</v>
      </c>
      <c r="DF19" s="127">
        <v>1</v>
      </c>
      <c r="DG19" s="127">
        <v>1</v>
      </c>
      <c r="DH19" s="127">
        <v>1</v>
      </c>
      <c r="DI19" s="127">
        <v>1</v>
      </c>
      <c r="DJ19" s="127">
        <v>1</v>
      </c>
      <c r="DK19" s="127">
        <v>1</v>
      </c>
      <c r="DL19" s="127">
        <v>1</v>
      </c>
      <c r="DM19" s="127">
        <v>1</v>
      </c>
      <c r="DN19" s="127">
        <v>1</v>
      </c>
      <c r="DO19" s="127">
        <v>1</v>
      </c>
      <c r="DP19" s="127">
        <v>1</v>
      </c>
      <c r="DQ19" s="127">
        <v>1</v>
      </c>
      <c r="DR19" s="127">
        <v>1</v>
      </c>
      <c r="DS19" s="127">
        <v>1</v>
      </c>
      <c r="DT19" s="127">
        <v>1</v>
      </c>
      <c r="DU19" s="127">
        <v>1</v>
      </c>
      <c r="DV19" s="127">
        <v>1</v>
      </c>
      <c r="DW19" s="127">
        <v>1</v>
      </c>
      <c r="DX19" s="127">
        <v>1</v>
      </c>
      <c r="DY19" s="127">
        <v>1</v>
      </c>
      <c r="DZ19" s="127">
        <v>1</v>
      </c>
      <c r="EA19" s="127">
        <v>1</v>
      </c>
      <c r="EB19" s="127">
        <v>1</v>
      </c>
      <c r="EC19" s="127">
        <v>1</v>
      </c>
      <c r="ED19" s="127">
        <v>1</v>
      </c>
      <c r="EE19" s="127">
        <v>1</v>
      </c>
      <c r="EF19" s="127">
        <v>1</v>
      </c>
      <c r="EG19" s="127">
        <v>1</v>
      </c>
      <c r="EH19" s="127">
        <v>1</v>
      </c>
      <c r="EI19" s="127">
        <v>1</v>
      </c>
    </row>
    <row r="20" spans="2:139" ht="15" hidden="1" customHeight="1" outlineLevel="3" x14ac:dyDescent="0.3">
      <c r="B20" s="29"/>
      <c r="C20" s="30"/>
      <c r="D20" s="30"/>
      <c r="E20" s="52" t="s">
        <v>24</v>
      </c>
      <c r="F20" s="33">
        <v>40</v>
      </c>
      <c r="G20" s="35">
        <v>0.08</v>
      </c>
      <c r="H20" s="162"/>
      <c r="I20" s="127">
        <v>0</v>
      </c>
      <c r="J20" s="127">
        <v>0</v>
      </c>
      <c r="K20" s="127">
        <v>0</v>
      </c>
      <c r="L20" s="127">
        <v>0</v>
      </c>
      <c r="M20" s="128">
        <v>0</v>
      </c>
      <c r="N20" s="128">
        <v>0</v>
      </c>
      <c r="O20" s="127">
        <v>0</v>
      </c>
      <c r="P20" s="127">
        <v>4.4180727067836415E-3</v>
      </c>
      <c r="Q20" s="127">
        <v>0.28170638427477523</v>
      </c>
      <c r="R20" s="127">
        <v>0.44661817128029491</v>
      </c>
      <c r="S20" s="127">
        <v>0.44682734455115225</v>
      </c>
      <c r="T20" s="127">
        <v>0.44714110445743832</v>
      </c>
      <c r="U20" s="127">
        <v>0.44741302970955293</v>
      </c>
      <c r="V20" s="127">
        <v>0.44749669901789585</v>
      </c>
      <c r="W20" s="127">
        <v>0.44751761634498161</v>
      </c>
      <c r="X20" s="127">
        <v>0.44751761634498161</v>
      </c>
      <c r="Y20" s="127">
        <v>0.44751761634498161</v>
      </c>
      <c r="Z20" s="127">
        <v>0.44751761634498161</v>
      </c>
      <c r="AA20" s="127">
        <v>0.44751761634498161</v>
      </c>
      <c r="AB20" s="127">
        <v>0.44751761634498161</v>
      </c>
      <c r="AC20" s="127">
        <v>0.44751761634498161</v>
      </c>
      <c r="AD20" s="127">
        <v>0.44751761634498161</v>
      </c>
      <c r="AE20" s="127">
        <v>0.50268846060026617</v>
      </c>
      <c r="AF20" s="127">
        <v>0.7437746259304584</v>
      </c>
      <c r="AG20" s="127">
        <v>0.85568156482974034</v>
      </c>
      <c r="AH20" s="127">
        <v>1</v>
      </c>
      <c r="AI20" s="127">
        <v>1</v>
      </c>
      <c r="AJ20" s="127">
        <v>1</v>
      </c>
      <c r="AK20" s="127">
        <v>1</v>
      </c>
      <c r="AL20" s="127">
        <v>1</v>
      </c>
      <c r="AM20" s="127">
        <v>1</v>
      </c>
      <c r="AN20" s="127">
        <v>1</v>
      </c>
      <c r="AO20" s="127">
        <v>1</v>
      </c>
      <c r="AP20" s="127">
        <v>1</v>
      </c>
      <c r="AQ20" s="127">
        <v>1</v>
      </c>
      <c r="AR20" s="127">
        <v>1</v>
      </c>
      <c r="AS20" s="127">
        <v>1</v>
      </c>
      <c r="AT20" s="127">
        <v>1</v>
      </c>
      <c r="AU20" s="127">
        <v>1</v>
      </c>
      <c r="AV20" s="127">
        <v>1</v>
      </c>
      <c r="AW20" s="127">
        <v>1</v>
      </c>
      <c r="AX20" s="127">
        <v>1</v>
      </c>
      <c r="AY20" s="127">
        <v>1</v>
      </c>
      <c r="AZ20" s="127">
        <v>1</v>
      </c>
      <c r="BA20" s="127">
        <v>1</v>
      </c>
      <c r="BB20" s="127">
        <v>1</v>
      </c>
      <c r="BC20" s="127">
        <v>1</v>
      </c>
      <c r="BD20" s="127">
        <v>1</v>
      </c>
      <c r="BE20" s="127">
        <v>1</v>
      </c>
      <c r="BF20" s="127">
        <v>1</v>
      </c>
      <c r="BG20" s="163">
        <v>1</v>
      </c>
      <c r="BH20" s="163">
        <v>1</v>
      </c>
      <c r="BI20" s="127">
        <v>1</v>
      </c>
      <c r="BJ20" s="127">
        <v>1</v>
      </c>
      <c r="BK20" s="127">
        <v>1</v>
      </c>
      <c r="BL20" s="127">
        <v>1</v>
      </c>
      <c r="BM20" s="127">
        <v>1</v>
      </c>
      <c r="BN20" s="127">
        <v>1</v>
      </c>
      <c r="BO20" s="127">
        <v>1</v>
      </c>
      <c r="BP20" s="127">
        <v>1</v>
      </c>
      <c r="BQ20" s="127">
        <v>1</v>
      </c>
      <c r="BR20" s="127">
        <v>1</v>
      </c>
      <c r="BS20" s="127">
        <v>1</v>
      </c>
      <c r="BT20" s="127">
        <v>1</v>
      </c>
      <c r="BU20" s="127">
        <v>1</v>
      </c>
      <c r="BV20" s="127">
        <v>1</v>
      </c>
      <c r="BW20" s="127">
        <v>1</v>
      </c>
      <c r="BX20" s="127">
        <v>1</v>
      </c>
      <c r="BY20" s="127">
        <v>1</v>
      </c>
      <c r="BZ20" s="127">
        <v>1</v>
      </c>
      <c r="CA20" s="127">
        <v>1</v>
      </c>
      <c r="CB20" s="127">
        <v>1</v>
      </c>
      <c r="CC20" s="127">
        <v>1</v>
      </c>
      <c r="CD20" s="127">
        <v>1</v>
      </c>
      <c r="CE20" s="127">
        <v>1</v>
      </c>
      <c r="CF20" s="127">
        <v>1</v>
      </c>
      <c r="CG20" s="127">
        <v>1</v>
      </c>
      <c r="CH20" s="127">
        <v>1</v>
      </c>
      <c r="CI20" s="127">
        <v>1</v>
      </c>
      <c r="CJ20" s="127">
        <v>1</v>
      </c>
      <c r="CK20" s="127">
        <v>1</v>
      </c>
      <c r="CL20" s="127">
        <v>1</v>
      </c>
      <c r="CM20" s="127">
        <v>1</v>
      </c>
      <c r="CN20" s="127">
        <v>1</v>
      </c>
      <c r="CO20" s="127">
        <v>1</v>
      </c>
      <c r="CP20" s="127">
        <v>1</v>
      </c>
      <c r="CQ20" s="127">
        <v>1</v>
      </c>
      <c r="CR20" s="127">
        <v>1</v>
      </c>
      <c r="CS20" s="127">
        <v>1</v>
      </c>
      <c r="CT20" s="127">
        <v>1</v>
      </c>
      <c r="CU20" s="127">
        <v>1</v>
      </c>
      <c r="CV20" s="127">
        <v>1</v>
      </c>
      <c r="CW20" s="127">
        <v>1</v>
      </c>
      <c r="CX20" s="127">
        <v>1</v>
      </c>
      <c r="CY20" s="127">
        <v>1</v>
      </c>
      <c r="CZ20" s="127">
        <v>1</v>
      </c>
      <c r="DA20" s="127">
        <v>1</v>
      </c>
      <c r="DB20" s="127">
        <v>1</v>
      </c>
      <c r="DC20" s="127">
        <v>1</v>
      </c>
      <c r="DD20" s="127">
        <v>1</v>
      </c>
      <c r="DE20" s="127">
        <v>1</v>
      </c>
      <c r="DF20" s="127">
        <v>1</v>
      </c>
      <c r="DG20" s="127">
        <v>1</v>
      </c>
      <c r="DH20" s="127">
        <v>1</v>
      </c>
      <c r="DI20" s="127">
        <v>1</v>
      </c>
      <c r="DJ20" s="127">
        <v>1</v>
      </c>
      <c r="DK20" s="127">
        <v>1</v>
      </c>
      <c r="DL20" s="127">
        <v>1</v>
      </c>
      <c r="DM20" s="127">
        <v>1</v>
      </c>
      <c r="DN20" s="127">
        <v>1</v>
      </c>
      <c r="DO20" s="127">
        <v>1</v>
      </c>
      <c r="DP20" s="127">
        <v>1</v>
      </c>
      <c r="DQ20" s="127">
        <v>1</v>
      </c>
      <c r="DR20" s="127">
        <v>1</v>
      </c>
      <c r="DS20" s="127">
        <v>1</v>
      </c>
      <c r="DT20" s="127">
        <v>1</v>
      </c>
      <c r="DU20" s="127">
        <v>1</v>
      </c>
      <c r="DV20" s="127">
        <v>1</v>
      </c>
      <c r="DW20" s="127">
        <v>1</v>
      </c>
      <c r="DX20" s="127">
        <v>1</v>
      </c>
      <c r="DY20" s="127">
        <v>1</v>
      </c>
      <c r="DZ20" s="127">
        <v>1</v>
      </c>
      <c r="EA20" s="127">
        <v>1</v>
      </c>
      <c r="EB20" s="127">
        <v>1</v>
      </c>
      <c r="EC20" s="127">
        <v>1</v>
      </c>
      <c r="ED20" s="127">
        <v>1</v>
      </c>
      <c r="EE20" s="127">
        <v>1</v>
      </c>
      <c r="EF20" s="127">
        <v>1</v>
      </c>
      <c r="EG20" s="127">
        <v>1</v>
      </c>
      <c r="EH20" s="127">
        <v>1</v>
      </c>
      <c r="EI20" s="127">
        <v>1</v>
      </c>
    </row>
    <row r="21" spans="2:139" ht="15" hidden="1" customHeight="1" outlineLevel="3" x14ac:dyDescent="0.3">
      <c r="B21" s="29"/>
      <c r="C21" s="30"/>
      <c r="D21" s="30"/>
      <c r="E21" s="52" t="s">
        <v>25</v>
      </c>
      <c r="F21" s="33">
        <v>40</v>
      </c>
      <c r="G21" s="35">
        <v>0.2</v>
      </c>
      <c r="H21" s="162"/>
      <c r="I21" s="127">
        <v>0</v>
      </c>
      <c r="J21" s="127">
        <v>0</v>
      </c>
      <c r="K21" s="127">
        <v>0</v>
      </c>
      <c r="L21" s="127">
        <v>0</v>
      </c>
      <c r="M21" s="129">
        <v>0</v>
      </c>
      <c r="N21" s="129">
        <v>0</v>
      </c>
      <c r="O21" s="127">
        <v>0.22248615952816758</v>
      </c>
      <c r="P21" s="127">
        <v>0.44497231905633516</v>
      </c>
      <c r="Q21" s="127">
        <v>0.60883219400203537</v>
      </c>
      <c r="R21" s="127">
        <v>0.66797090276817694</v>
      </c>
      <c r="S21" s="127">
        <v>0.72130751178696462</v>
      </c>
      <c r="T21" s="127">
        <v>0.73350278942520286</v>
      </c>
      <c r="U21" s="127">
        <v>0.75644306225462654</v>
      </c>
      <c r="V21" s="127">
        <v>0.85058690624567956</v>
      </c>
      <c r="W21" s="127">
        <v>0.8671883611072706</v>
      </c>
      <c r="X21" s="127">
        <v>0.9259707057749279</v>
      </c>
      <c r="Y21" s="127">
        <v>0.9259707057749279</v>
      </c>
      <c r="Z21" s="127">
        <v>0.9259707057749279</v>
      </c>
      <c r="AA21" s="127">
        <v>0.9259707057749279</v>
      </c>
      <c r="AB21" s="127">
        <v>0.9259707057749279</v>
      </c>
      <c r="AC21" s="127">
        <v>0.9259707057749279</v>
      </c>
      <c r="AD21" s="127">
        <v>0.9259707057749279</v>
      </c>
      <c r="AE21" s="127">
        <v>0.9259707057749279</v>
      </c>
      <c r="AF21" s="127">
        <v>0.9259707057749279</v>
      </c>
      <c r="AG21" s="127">
        <v>0.9259707057749279</v>
      </c>
      <c r="AH21" s="127">
        <v>0.9259707057749279</v>
      </c>
      <c r="AI21" s="127">
        <v>0.9259707057749279</v>
      </c>
      <c r="AJ21" s="127">
        <v>0.9259707057749279</v>
      </c>
      <c r="AK21" s="127">
        <v>0.9259707057749279</v>
      </c>
      <c r="AL21" s="127">
        <v>0.9259707057749279</v>
      </c>
      <c r="AM21" s="127">
        <v>0.9259707057749279</v>
      </c>
      <c r="AN21" s="127">
        <v>0.9259707057749279</v>
      </c>
      <c r="AO21" s="127">
        <v>0.9259707057749279</v>
      </c>
      <c r="AP21" s="127">
        <v>0.9259707057749279</v>
      </c>
      <c r="AQ21" s="127">
        <v>0.9259707057749279</v>
      </c>
      <c r="AR21" s="127">
        <v>0.9259707057749279</v>
      </c>
      <c r="AS21" s="127">
        <v>0.9259707057749279</v>
      </c>
      <c r="AT21" s="127">
        <v>0.9259707057749279</v>
      </c>
      <c r="AU21" s="127">
        <v>0.9259707057749279</v>
      </c>
      <c r="AV21" s="127">
        <v>0.9259707057749279</v>
      </c>
      <c r="AW21" s="127">
        <v>0.9259707057749279</v>
      </c>
      <c r="AX21" s="127">
        <v>0.9259707057749279</v>
      </c>
      <c r="AY21" s="127">
        <v>0.9259707057749279</v>
      </c>
      <c r="AZ21" s="127">
        <v>0.9259707057749279</v>
      </c>
      <c r="BA21" s="127">
        <v>0.9259707057749279</v>
      </c>
      <c r="BB21" s="127">
        <f>Real[[#This Row],[05/05/25]]+(1-Real[[#This Row],[05/05/25]])*'Avance 39'!I9</f>
        <v>0.9259707057749279</v>
      </c>
      <c r="BC21" s="127">
        <f>Real[[#This Row],[05/05/25]]+(1-Real[[#This Row],[05/05/25]])*'Avance 39'!J9</f>
        <v>0.9259707057749279</v>
      </c>
      <c r="BD21" s="127">
        <f>Real[[#This Row],[05/05/25]]+(1-Real[[#This Row],[05/05/25]])*'Avance 39'!K9</f>
        <v>0.9259707057749279</v>
      </c>
      <c r="BE21" s="127">
        <f>Real[[#This Row],[05/05/25]]+(1-Real[[#This Row],[05/05/25]])*'Avance 39'!L9</f>
        <v>0.9259707057749279</v>
      </c>
      <c r="BF21" s="127">
        <f>Real[[#This Row],[05/05/25]]+(1-Real[[#This Row],[05/05/25]])*'Avance 39'!M9</f>
        <v>0.9259707057749279</v>
      </c>
      <c r="BG21" s="163">
        <f>Real[[#This Row],[05/05/25]]+(1-Real[[#This Row],[05/05/25]])*'Avance 39'!N9</f>
        <v>1</v>
      </c>
      <c r="BH21" s="163">
        <f>Real[[#This Row],[05/05/25]]+(1-Real[[#This Row],[05/05/25]])*'Avance 39'!O9</f>
        <v>1</v>
      </c>
      <c r="BI21" s="127">
        <f>Real[[#This Row],[05/05/25]]+(1-Real[[#This Row],[05/05/25]])*'Avance 39'!P9</f>
        <v>1</v>
      </c>
      <c r="BJ21" s="127">
        <f>Real[[#This Row],[05/05/25]]+(1-Real[[#This Row],[05/05/25]])*'Avance 39'!Q9</f>
        <v>1</v>
      </c>
      <c r="BK21" s="127">
        <f>Real[[#This Row],[05/05/25]]+(1-Real[[#This Row],[05/05/25]])*'Avance 39'!R9</f>
        <v>1</v>
      </c>
      <c r="BL21" s="127">
        <f>Real[[#This Row],[05/05/25]]+(1-Real[[#This Row],[05/05/25]])*'Avance 39'!S9</f>
        <v>1</v>
      </c>
      <c r="BM21" s="127">
        <f>Real[[#This Row],[05/05/25]]+(1-Real[[#This Row],[05/05/25]])*'Avance 39'!T9</f>
        <v>1</v>
      </c>
      <c r="BN21" s="127">
        <f>Real[[#This Row],[05/05/25]]+(1-Real[[#This Row],[05/05/25]])*'Avance 39'!U9</f>
        <v>1</v>
      </c>
      <c r="BO21" s="127">
        <f>Real[[#This Row],[05/05/25]]+(1-Real[[#This Row],[05/05/25]])*'Avance 39'!V9</f>
        <v>1</v>
      </c>
      <c r="BP21" s="127">
        <f>Real[[#This Row],[05/05/25]]+(1-Real[[#This Row],[05/05/25]])*'Avance 39'!W9</f>
        <v>1</v>
      </c>
      <c r="BQ21" s="127">
        <f>Real[[#This Row],[05/05/25]]+(1-Real[[#This Row],[05/05/25]])*'Avance 39'!X9</f>
        <v>1</v>
      </c>
      <c r="BR21" s="127">
        <f>Real[[#This Row],[05/05/25]]+(1-Real[[#This Row],[05/05/25]])*'Avance 39'!Y9</f>
        <v>1</v>
      </c>
      <c r="BS21" s="127">
        <f>Real[[#This Row],[05/05/25]]+(1-Real[[#This Row],[05/05/25]])*'Avance 39'!Z9</f>
        <v>1</v>
      </c>
      <c r="BT21" s="127">
        <f>Real[[#This Row],[05/05/25]]+(1-Real[[#This Row],[05/05/25]])*'Avance 39'!AA9</f>
        <v>1</v>
      </c>
      <c r="BU21" s="127">
        <f>Real[[#This Row],[05/05/25]]+(1-Real[[#This Row],[05/05/25]])*'Avance 39'!AB9</f>
        <v>1</v>
      </c>
      <c r="BV21" s="127">
        <f>Real[[#This Row],[05/05/25]]+(1-Real[[#This Row],[05/05/25]])*'Avance 39'!AC9</f>
        <v>1</v>
      </c>
      <c r="BW21" s="127">
        <f>Real[[#This Row],[05/05/25]]+(1-Real[[#This Row],[05/05/25]])*'Avance 39'!AD9</f>
        <v>1</v>
      </c>
      <c r="BX21" s="127">
        <f>Real[[#This Row],[05/05/25]]+(1-Real[[#This Row],[05/05/25]])*'Avance 39'!AE9</f>
        <v>1</v>
      </c>
      <c r="BY21" s="127">
        <f>Real[[#This Row],[05/05/25]]+(1-Real[[#This Row],[05/05/25]])*'Avance 39'!AF9</f>
        <v>1</v>
      </c>
      <c r="BZ21" s="127">
        <f>Real[[#This Row],[05/05/25]]+(1-Real[[#This Row],[05/05/25]])*'Avance 39'!AG9</f>
        <v>1</v>
      </c>
      <c r="CA21" s="127">
        <f>Real[[#This Row],[05/05/25]]+(1-Real[[#This Row],[05/05/25]])*'Avance 39'!AH9</f>
        <v>1</v>
      </c>
      <c r="CB21" s="127">
        <f>Real[[#This Row],[05/05/25]]+(1-Real[[#This Row],[05/05/25]])*'Avance 39'!AI9</f>
        <v>1</v>
      </c>
      <c r="CC21" s="127">
        <f>Real[[#This Row],[05/05/25]]+(1-Real[[#This Row],[05/05/25]])*'Avance 39'!AJ9</f>
        <v>1</v>
      </c>
      <c r="CD21" s="127">
        <f>Real[[#This Row],[05/05/25]]+(1-Real[[#This Row],[05/05/25]])*'Avance 39'!AK9</f>
        <v>1</v>
      </c>
      <c r="CE21" s="127">
        <f>Real[[#This Row],[05/05/25]]+(1-Real[[#This Row],[05/05/25]])*'Avance 39'!AL9</f>
        <v>1</v>
      </c>
      <c r="CF21" s="127">
        <f>Real[[#This Row],[05/05/25]]+(1-Real[[#This Row],[05/05/25]])*'Avance 39'!AM9</f>
        <v>1</v>
      </c>
      <c r="CG21" s="127">
        <f>Real[[#This Row],[05/05/25]]+(1-Real[[#This Row],[05/05/25]])*'Avance 39'!AN9</f>
        <v>1</v>
      </c>
      <c r="CH21" s="127">
        <f>Real[[#This Row],[05/05/25]]+(1-Real[[#This Row],[05/05/25]])*'Avance 39'!AO9</f>
        <v>1</v>
      </c>
      <c r="CI21" s="127">
        <f>Real[[#This Row],[05/05/25]]+(1-Real[[#This Row],[05/05/25]])*'Avance 39'!AP9</f>
        <v>1</v>
      </c>
      <c r="CJ21" s="127">
        <f>Real[[#This Row],[05/05/25]]+(1-Real[[#This Row],[05/05/25]])*'Avance 39'!AQ9</f>
        <v>1</v>
      </c>
      <c r="CK21" s="127">
        <f>Real[[#This Row],[05/05/25]]+(1-Real[[#This Row],[05/05/25]])*'Avance 39'!AR9</f>
        <v>1</v>
      </c>
      <c r="CL21" s="127">
        <f>Real[[#This Row],[05/05/25]]+(1-Real[[#This Row],[05/05/25]])*'Avance 39'!AS9</f>
        <v>1</v>
      </c>
      <c r="CM21" s="127">
        <f>Real[[#This Row],[05/05/25]]+(1-Real[[#This Row],[05/05/25]])*'Avance 39'!AT9</f>
        <v>1</v>
      </c>
      <c r="CN21" s="127">
        <f>Real[[#This Row],[05/05/25]]+(1-Real[[#This Row],[05/05/25]])*'Avance 39'!AU9</f>
        <v>1</v>
      </c>
      <c r="CO21" s="127">
        <f>Real[[#This Row],[05/05/25]]+(1-Real[[#This Row],[05/05/25]])*'Avance 39'!AV9</f>
        <v>1</v>
      </c>
      <c r="CP21" s="127">
        <f>Real[[#This Row],[05/05/25]]+(1-Real[[#This Row],[05/05/25]])*'Avance 39'!AW9</f>
        <v>1</v>
      </c>
      <c r="CQ21" s="127">
        <f>Real[[#This Row],[05/05/25]]+(1-Real[[#This Row],[05/05/25]])*'Avance 39'!AX9</f>
        <v>1</v>
      </c>
      <c r="CR21" s="127">
        <f>Real[[#This Row],[05/05/25]]+(1-Real[[#This Row],[05/05/25]])*'Avance 39'!AY9</f>
        <v>1</v>
      </c>
      <c r="CS21" s="127">
        <f>Real[[#This Row],[05/05/25]]+(1-Real[[#This Row],[05/05/25]])*'Avance 39'!AZ9</f>
        <v>1</v>
      </c>
      <c r="CT21" s="127">
        <f>Real[[#This Row],[05/05/25]]+(1-Real[[#This Row],[05/05/25]])*'Avance 39'!BA9</f>
        <v>1</v>
      </c>
      <c r="CU21" s="127">
        <f>Real[[#This Row],[05/05/25]]+(1-Real[[#This Row],[05/05/25]])*'Avance 39'!BB9</f>
        <v>1</v>
      </c>
      <c r="CV21" s="127">
        <f>Real[[#This Row],[05/05/25]]+(1-Real[[#This Row],[05/05/25]])*'Avance 39'!BC9</f>
        <v>1</v>
      </c>
      <c r="CW21" s="127">
        <f>Real[[#This Row],[05/05/25]]+(1-Real[[#This Row],[05/05/25]])*'Avance 39'!BD9</f>
        <v>1</v>
      </c>
      <c r="CX21" s="127">
        <f>Real[[#This Row],[05/05/25]]+(1-Real[[#This Row],[05/05/25]])*'Avance 39'!BE9</f>
        <v>1</v>
      </c>
      <c r="CY21" s="127">
        <f>Real[[#This Row],[05/05/25]]+(1-Real[[#This Row],[05/05/25]])*'Avance 39'!BF9</f>
        <v>1</v>
      </c>
      <c r="CZ21" s="127">
        <f>Real[[#This Row],[05/05/25]]+(1-Real[[#This Row],[05/05/25]])*'Avance 39'!BG9</f>
        <v>1</v>
      </c>
      <c r="DA21" s="127">
        <f>Real[[#This Row],[05/05/25]]+(1-Real[[#This Row],[05/05/25]])*'Avance 39'!BH9</f>
        <v>1</v>
      </c>
      <c r="DB21" s="127">
        <f>Real[[#This Row],[05/05/25]]+(1-Real[[#This Row],[05/05/25]])*'Avance 39'!BI9</f>
        <v>1</v>
      </c>
      <c r="DC21" s="127">
        <f>Real[[#This Row],[05/05/25]]+(1-Real[[#This Row],[05/05/25]])*'Avance 39'!BJ9</f>
        <v>1</v>
      </c>
      <c r="DD21" s="127">
        <f>Real[[#This Row],[05/05/25]]+(1-Real[[#This Row],[05/05/25]])*'Avance 39'!BK9</f>
        <v>1</v>
      </c>
      <c r="DE21" s="127">
        <f>Real[[#This Row],[05/05/25]]+(1-Real[[#This Row],[05/05/25]])*'Avance 39'!BL9</f>
        <v>1</v>
      </c>
      <c r="DF21" s="127">
        <f>Real[[#This Row],[05/05/25]]+(1-Real[[#This Row],[05/05/25]])*'Avance 39'!BM9</f>
        <v>1</v>
      </c>
      <c r="DG21" s="127">
        <f>Real[[#This Row],[05/05/25]]+(1-Real[[#This Row],[05/05/25]])*'Avance 39'!BN9</f>
        <v>1</v>
      </c>
      <c r="DH21" s="127">
        <f>Real[[#This Row],[05/05/25]]+(1-Real[[#This Row],[05/05/25]])*'Avance 39'!BO9</f>
        <v>1</v>
      </c>
      <c r="DI21" s="127">
        <f>Real[[#This Row],[05/05/25]]+(1-Real[[#This Row],[05/05/25]])*'Avance 39'!BP9</f>
        <v>1</v>
      </c>
      <c r="DJ21" s="127">
        <f>Real[[#This Row],[05/05/25]]+(1-Real[[#This Row],[05/05/25]])*'Avance 39'!BQ9</f>
        <v>1</v>
      </c>
      <c r="DK21" s="127">
        <f>Real[[#This Row],[05/05/25]]+(1-Real[[#This Row],[05/05/25]])*'Avance 39'!BR9</f>
        <v>1</v>
      </c>
      <c r="DL21" s="127">
        <f>Real[[#This Row],[05/05/25]]+(1-Real[[#This Row],[05/05/25]])*'Avance 39'!BS9</f>
        <v>1</v>
      </c>
      <c r="DM21" s="127">
        <f>Real[[#This Row],[05/05/25]]+(1-Real[[#This Row],[05/05/25]])*'Avance 39'!BT9</f>
        <v>1</v>
      </c>
      <c r="DN21" s="127">
        <f>Real[[#This Row],[05/05/25]]+(1-Real[[#This Row],[05/05/25]])*'Avance 39'!BU9</f>
        <v>1</v>
      </c>
      <c r="DO21" s="127">
        <f>Real[[#This Row],[05/05/25]]+(1-Real[[#This Row],[05/05/25]])*'Avance 39'!BV9</f>
        <v>1</v>
      </c>
      <c r="DP21" s="127">
        <f>Real[[#This Row],[05/05/25]]+(1-Real[[#This Row],[05/05/25]])*'Avance 39'!BW9</f>
        <v>1</v>
      </c>
      <c r="DQ21" s="127">
        <f>Real[[#This Row],[05/05/25]]+(1-Real[[#This Row],[05/05/25]])*'Avance 39'!BX9</f>
        <v>1</v>
      </c>
      <c r="DR21" s="127">
        <f>Real[[#This Row],[05/05/25]]+(1-Real[[#This Row],[05/05/25]])*'Avance 39'!BY9</f>
        <v>1</v>
      </c>
      <c r="DS21" s="127">
        <f>Real[[#This Row],[05/05/25]]+(1-Real[[#This Row],[05/05/25]])*'Avance 39'!BZ9</f>
        <v>1</v>
      </c>
      <c r="DT21" s="127">
        <f>Real[[#This Row],[05/05/25]]+(1-Real[[#This Row],[05/05/25]])*'Avance 39'!CA9</f>
        <v>1</v>
      </c>
      <c r="DU21" s="127">
        <f>Real[[#This Row],[05/05/25]]+(1-Real[[#This Row],[05/05/25]])*'Avance 39'!CB9</f>
        <v>1</v>
      </c>
      <c r="DV21" s="127">
        <f>Real[[#This Row],[05/05/25]]+(1-Real[[#This Row],[05/05/25]])*'Avance 39'!CC9</f>
        <v>1</v>
      </c>
      <c r="DW21" s="127">
        <f>Real[[#This Row],[05/05/25]]+(1-Real[[#This Row],[05/05/25]])*'Avance 39'!CD9</f>
        <v>1</v>
      </c>
      <c r="DX21" s="127">
        <f>Real[[#This Row],[05/05/25]]+(1-Real[[#This Row],[05/05/25]])*'Avance 39'!CE9</f>
        <v>1</v>
      </c>
      <c r="DY21" s="127">
        <f>Real[[#This Row],[05/05/25]]+(1-Real[[#This Row],[05/05/25]])*'Avance 39'!CF9</f>
        <v>1</v>
      </c>
      <c r="DZ21" s="127">
        <f>Real[[#This Row],[05/05/25]]+(1-Real[[#This Row],[05/05/25]])*'Avance 39'!CG9</f>
        <v>1</v>
      </c>
      <c r="EA21" s="127">
        <f>Real[[#This Row],[05/05/25]]+(1-Real[[#This Row],[05/05/25]])*'Avance 39'!CH9</f>
        <v>1</v>
      </c>
      <c r="EB21" s="127">
        <f>Real[[#This Row],[05/05/25]]+(1-Real[[#This Row],[05/05/25]])*'Avance 39'!CI9</f>
        <v>1</v>
      </c>
      <c r="EC21" s="127">
        <f>Real[[#This Row],[05/05/25]]+(1-Real[[#This Row],[05/05/25]])*'Avance 39'!CJ9</f>
        <v>1</v>
      </c>
      <c r="ED21" s="127">
        <f>Real[[#This Row],[05/05/25]]+(1-Real[[#This Row],[05/05/25]])*'Avance 39'!CK9</f>
        <v>1</v>
      </c>
      <c r="EE21" s="127">
        <f>Real[[#This Row],[05/05/25]]+(1-Real[[#This Row],[05/05/25]])*'Avance 39'!CL9</f>
        <v>1</v>
      </c>
      <c r="EF21" s="127">
        <f>Real[[#This Row],[05/05/25]]+(1-Real[[#This Row],[05/05/25]])*'Avance 39'!CM9</f>
        <v>1</v>
      </c>
      <c r="EG21" s="127">
        <f>Real[[#This Row],[05/05/25]]+(1-Real[[#This Row],[05/05/25]])*'Avance 39'!CN9</f>
        <v>1</v>
      </c>
      <c r="EH21" s="127">
        <f>Real[[#This Row],[05/05/25]]+(1-Real[[#This Row],[05/05/25]])*'Avance 39'!CO9</f>
        <v>1</v>
      </c>
      <c r="EI21" s="127">
        <f>Real[[#This Row],[05/05/25]]+(1-Real[[#This Row],[05/05/25]])*'Avance 39'!CP9</f>
        <v>1</v>
      </c>
    </row>
    <row r="22" spans="2:139" ht="15" hidden="1" customHeight="1" outlineLevel="3" x14ac:dyDescent="0.3">
      <c r="B22" s="29"/>
      <c r="C22" s="30"/>
      <c r="D22" s="30"/>
      <c r="E22" s="52" t="s">
        <v>26</v>
      </c>
      <c r="F22" s="33">
        <v>35</v>
      </c>
      <c r="G22" s="35">
        <v>0.4</v>
      </c>
      <c r="H22" s="162"/>
      <c r="I22" s="127">
        <v>0</v>
      </c>
      <c r="J22" s="127">
        <v>0</v>
      </c>
      <c r="K22" s="127">
        <v>0</v>
      </c>
      <c r="L22" s="127">
        <v>0</v>
      </c>
      <c r="M22" s="128">
        <v>0</v>
      </c>
      <c r="N22" s="128">
        <v>0</v>
      </c>
      <c r="O22" s="127">
        <v>0</v>
      </c>
      <c r="P22" s="127">
        <v>0</v>
      </c>
      <c r="Q22" s="127">
        <v>0</v>
      </c>
      <c r="R22" s="127">
        <v>0</v>
      </c>
      <c r="S22" s="127">
        <v>0</v>
      </c>
      <c r="T22" s="127">
        <v>0</v>
      </c>
      <c r="U22" s="127">
        <v>0</v>
      </c>
      <c r="V22" s="127">
        <v>0</v>
      </c>
      <c r="W22" s="127">
        <v>0</v>
      </c>
      <c r="X22" s="127">
        <v>0</v>
      </c>
      <c r="Y22" s="127">
        <v>5.0939064351776628E-2</v>
      </c>
      <c r="Z22" s="127">
        <v>5.8769114234590192E-2</v>
      </c>
      <c r="AA22" s="127">
        <v>6.5177506960724621E-2</v>
      </c>
      <c r="AB22" s="127">
        <v>6.9442478430762025E-2</v>
      </c>
      <c r="AC22" s="127">
        <v>0.29461427070363955</v>
      </c>
      <c r="AD22" s="127">
        <v>0.34845300989801925</v>
      </c>
      <c r="AE22" s="127">
        <v>0.45892498751449445</v>
      </c>
      <c r="AF22" s="127">
        <v>0.54152666830201579</v>
      </c>
      <c r="AG22" s="127">
        <v>0.66956246242384254</v>
      </c>
      <c r="AH22" s="127">
        <v>0.69582989346796309</v>
      </c>
      <c r="AI22" s="127">
        <v>0.69582989346796309</v>
      </c>
      <c r="AJ22" s="127">
        <v>0.69582989346796309</v>
      </c>
      <c r="AK22" s="127">
        <v>0.69835766313030723</v>
      </c>
      <c r="AL22" s="127">
        <v>0.69835766313030723</v>
      </c>
      <c r="AM22" s="127">
        <v>0.69835766313030723</v>
      </c>
      <c r="AN22" s="127">
        <v>0.69835766313030723</v>
      </c>
      <c r="AO22" s="127">
        <v>0.75088286984966612</v>
      </c>
      <c r="AP22" s="127">
        <v>0.78997102154124788</v>
      </c>
      <c r="AQ22" s="127">
        <v>0.78997102154124788</v>
      </c>
      <c r="AR22" s="127">
        <v>0.81990266507617671</v>
      </c>
      <c r="AS22" s="127">
        <v>0.81990266507617671</v>
      </c>
      <c r="AT22" s="127">
        <v>0.8226383529261434</v>
      </c>
      <c r="AU22" s="127">
        <v>0.8226383529261434</v>
      </c>
      <c r="AV22" s="127">
        <v>0.83527079388040093</v>
      </c>
      <c r="AW22" s="127">
        <v>0.85836321779041325</v>
      </c>
      <c r="AX22" s="127">
        <v>0.86974266642118558</v>
      </c>
      <c r="AY22" s="127">
        <v>0.86974266642118558</v>
      </c>
      <c r="AZ22" s="127">
        <v>0.87914568468586485</v>
      </c>
      <c r="BA22" s="127">
        <v>0.87914568468586485</v>
      </c>
      <c r="BB22" s="127">
        <f>Real[[#This Row],[05/05/25]]+(1-Real[[#This Row],[05/05/25]])*'Avance 39'!I10</f>
        <v>0.89259072726456234</v>
      </c>
      <c r="BC22" s="127">
        <f>Real[[#This Row],[05/05/25]]+(1-Real[[#This Row],[05/05/25]])*'Avance 39'!J10</f>
        <v>0.89993262691989606</v>
      </c>
      <c r="BD22" s="127">
        <f>Real[[#This Row],[05/05/25]]+(1-Real[[#This Row],[05/05/25]])*'Avance 39'!K10</f>
        <v>0.90346761564283451</v>
      </c>
      <c r="BE22" s="127">
        <f>Real[[#This Row],[05/05/25]]+(1-Real[[#This Row],[05/05/25]])*'Avance 39'!L10</f>
        <v>0.90627747847388818</v>
      </c>
      <c r="BF22" s="127">
        <f>Real[[#This Row],[05/05/25]]+(1-Real[[#This Row],[05/05/25]])*'Avance 39'!M10</f>
        <v>0.91484302807177753</v>
      </c>
      <c r="BG22" s="163">
        <f>Real[[#This Row],[05/05/25]]+(1-Real[[#This Row],[05/05/25]])*'Avance 39'!N10</f>
        <v>0.92413370356155167</v>
      </c>
      <c r="BH22" s="163">
        <f>Real[[#This Row],[05/05/25]]+(1-Real[[#This Row],[05/05/25]])*'Avance 39'!O10</f>
        <v>0.9314302828486426</v>
      </c>
      <c r="BI22" s="127">
        <f>Real[[#This Row],[05/05/25]]+(1-Real[[#This Row],[05/05/25]])*'Avance 39'!P10</f>
        <v>0.936098280777651</v>
      </c>
      <c r="BJ22" s="127">
        <f>Real[[#This Row],[05/05/25]]+(1-Real[[#This Row],[05/05/25]])*'Avance 39'!Q10</f>
        <v>0.93677808630129311</v>
      </c>
      <c r="BK22" s="127">
        <f>Real[[#This Row],[05/05/25]]+(1-Real[[#This Row],[05/05/25]])*'Avance 39'!R10</f>
        <v>0.93945198802761831</v>
      </c>
      <c r="BL22" s="127">
        <f>Real[[#This Row],[05/05/25]]+(1-Real[[#This Row],[05/05/25]])*'Avance 39'!S10</f>
        <v>0.94053967686544548</v>
      </c>
      <c r="BM22" s="127">
        <f>Real[[#This Row],[05/05/25]]+(1-Real[[#This Row],[05/05/25]])*'Avance 39'!T10</f>
        <v>0.94325889896001358</v>
      </c>
      <c r="BN22" s="127">
        <f>Real[[#This Row],[05/05/25]]+(1-Real[[#This Row],[05/05/25]])*'Avance 39'!U10</f>
        <v>0.94470915074378314</v>
      </c>
      <c r="BO22" s="127">
        <f>Real[[#This Row],[05/05/25]]+(1-Real[[#This Row],[05/05/25]])*'Avance 39'!V10</f>
        <v>0.9468845284194376</v>
      </c>
      <c r="BP22" s="127">
        <f>Real[[#This Row],[05/05/25]]+(1-Real[[#This Row],[05/05/25]])*'Avance 39'!W10</f>
        <v>0.94905990609509205</v>
      </c>
      <c r="BQ22" s="127">
        <f>Real[[#This Row],[05/05/25]]+(1-Real[[#This Row],[05/05/25]])*'Avance 39'!X10</f>
        <v>0.96567737445078561</v>
      </c>
      <c r="BR22" s="127">
        <f>Real[[#This Row],[05/05/25]]+(1-Real[[#This Row],[05/05/25]])*'Avance 39'!Y10</f>
        <v>0.96857787801832484</v>
      </c>
      <c r="BS22" s="127">
        <f>Real[[#This Row],[05/05/25]]+(1-Real[[#This Row],[05/05/25]])*'Avance 39'!Z10</f>
        <v>0.97582913693717299</v>
      </c>
      <c r="BT22" s="127">
        <f>Real[[#This Row],[05/05/25]]+(1-Real[[#This Row],[05/05/25]])*'Avance 39'!AA10</f>
        <v>0.97582913693717299</v>
      </c>
      <c r="BU22" s="127">
        <f>Real[[#This Row],[05/05/25]]+(1-Real[[#This Row],[05/05/25]])*'Avance 39'!AB10</f>
        <v>0.98066330954973835</v>
      </c>
      <c r="BV22" s="127">
        <f>Real[[#This Row],[05/05/25]]+(1-Real[[#This Row],[05/05/25]])*'Avance 39'!AC10</f>
        <v>0.98066330954973835</v>
      </c>
      <c r="BW22" s="127">
        <f>Real[[#This Row],[05/05/25]]+(1-Real[[#This Row],[05/05/25]])*'Avance 39'!AD10</f>
        <v>0.98066330954973835</v>
      </c>
      <c r="BX22" s="127">
        <f>Real[[#This Row],[05/05/25]]+(1-Real[[#This Row],[05/05/25]])*'Avance 39'!AE10</f>
        <v>0.98066330954973835</v>
      </c>
      <c r="BY22" s="127">
        <f>Real[[#This Row],[05/05/25]]+(1-Real[[#This Row],[05/05/25]])*'Avance 39'!AF10</f>
        <v>0.98308039585602103</v>
      </c>
      <c r="BZ22" s="127">
        <f>Real[[#This Row],[05/05/25]]+(1-Real[[#This Row],[05/05/25]])*'Avance 39'!AG10</f>
        <v>0.98308039585602103</v>
      </c>
      <c r="CA22" s="127">
        <f>Real[[#This Row],[05/05/25]]+(1-Real[[#This Row],[05/05/25]])*'Avance 39'!AH10</f>
        <v>0.98308039585602103</v>
      </c>
      <c r="CB22" s="127">
        <f>Real[[#This Row],[05/05/25]]+(1-Real[[#This Row],[05/05/25]])*'Avance 39'!AI10</f>
        <v>0.98308039585602103</v>
      </c>
      <c r="CC22" s="127">
        <f>Real[[#This Row],[05/05/25]]+(1-Real[[#This Row],[05/05/25]])*'Avance 39'!AJ10</f>
        <v>0.98308039585602103</v>
      </c>
      <c r="CD22" s="127">
        <f>Real[[#This Row],[05/05/25]]+(1-Real[[#This Row],[05/05/25]])*'Avance 39'!AK10</f>
        <v>0.98308039585602103</v>
      </c>
      <c r="CE22" s="127">
        <f>Real[[#This Row],[05/05/25]]+(1-Real[[#This Row],[05/05/25]])*'Avance 39'!AL10</f>
        <v>0.98308039585602103</v>
      </c>
      <c r="CF22" s="127">
        <f>Real[[#This Row],[05/05/25]]+(1-Real[[#This Row],[05/05/25]])*'Avance 39'!AM10</f>
        <v>0.98368466743259175</v>
      </c>
      <c r="CG22" s="127">
        <f>Real[[#This Row],[05/05/25]]+(1-Real[[#This Row],[05/05/25]])*'Avance 39'!AN10</f>
        <v>0.98368466743259175</v>
      </c>
      <c r="CH22" s="127">
        <f>Real[[#This Row],[05/05/25]]+(1-Real[[#This Row],[05/05/25]])*'Avance 39'!AO10</f>
        <v>0.98428893900916248</v>
      </c>
      <c r="CI22" s="127">
        <f>Real[[#This Row],[05/05/25]]+(1-Real[[#This Row],[05/05/25]])*'Avance 39'!AP10</f>
        <v>0.98428893900916248</v>
      </c>
      <c r="CJ22" s="127">
        <f>Real[[#This Row],[05/05/25]]+(1-Real[[#This Row],[05/05/25]])*'Avance 39'!AQ10</f>
        <v>0.98428893900916248</v>
      </c>
      <c r="CK22" s="127">
        <f>Real[[#This Row],[05/05/25]]+(1-Real[[#This Row],[05/05/25]])*'Avance 39'!AR10</f>
        <v>0.98428893900916248</v>
      </c>
      <c r="CL22" s="127">
        <f>Real[[#This Row],[05/05/25]]+(1-Real[[#This Row],[05/05/25]])*'Avance 39'!AS10</f>
        <v>0.98428893900916248</v>
      </c>
      <c r="CM22" s="127">
        <f>Real[[#This Row],[05/05/25]]+(1-Real[[#This Row],[05/05/25]])*'Avance 39'!AT10</f>
        <v>0.98428893900916248</v>
      </c>
      <c r="CN22" s="127">
        <f>Real[[#This Row],[05/05/25]]+(1-Real[[#This Row],[05/05/25]])*'Avance 39'!AU10</f>
        <v>0.98428893900916248</v>
      </c>
      <c r="CO22" s="127">
        <f>Real[[#This Row],[05/05/25]]+(1-Real[[#This Row],[05/05/25]])*'Avance 39'!AV10</f>
        <v>0.98428893900916248</v>
      </c>
      <c r="CP22" s="127">
        <f>Real[[#This Row],[05/05/25]]+(1-Real[[#This Row],[05/05/25]])*'Avance 39'!AW10</f>
        <v>0.98428893900916248</v>
      </c>
      <c r="CQ22" s="127">
        <f>Real[[#This Row],[05/05/25]]+(1-Real[[#This Row],[05/05/25]])*'Avance 39'!AX10</f>
        <v>0.98428893900916248</v>
      </c>
      <c r="CR22" s="127">
        <f>Real[[#This Row],[05/05/25]]+(1-Real[[#This Row],[05/05/25]])*'Avance 39'!AY10</f>
        <v>0.98428893900916248</v>
      </c>
      <c r="CS22" s="127">
        <f>Real[[#This Row],[05/05/25]]+(1-Real[[#This Row],[05/05/25]])*'Avance 39'!AZ10</f>
        <v>0.9879145684685865</v>
      </c>
      <c r="CT22" s="127">
        <f>Real[[#This Row],[05/05/25]]+(1-Real[[#This Row],[05/05/25]])*'Avance 39'!BA10</f>
        <v>0.99154019792801051</v>
      </c>
      <c r="CU22" s="127">
        <f>Real[[#This Row],[05/05/25]]+(1-Real[[#This Row],[05/05/25]])*'Avance 39'!BB10</f>
        <v>0.99395728423429319</v>
      </c>
      <c r="CV22" s="127">
        <f>Real[[#This Row],[05/05/25]]+(1-Real[[#This Row],[05/05/25]])*'Avance 39'!BC10</f>
        <v>0.99395728423429319</v>
      </c>
      <c r="CW22" s="127">
        <f>Real[[#This Row],[05/05/25]]+(1-Real[[#This Row],[05/05/25]])*'Avance 39'!BD10</f>
        <v>0.99395728423429319</v>
      </c>
      <c r="CX22" s="127">
        <f>Real[[#This Row],[05/05/25]]+(1-Real[[#This Row],[05/05/25]])*'Avance 39'!BE10</f>
        <v>0.99879145684685866</v>
      </c>
      <c r="CY22" s="127">
        <f>Real[[#This Row],[05/05/25]]+(1-Real[[#This Row],[05/05/25]])*'Avance 39'!BF10</f>
        <v>1</v>
      </c>
      <c r="CZ22" s="127">
        <f>Real[[#This Row],[05/05/25]]+(1-Real[[#This Row],[05/05/25]])*'Avance 39'!BG10</f>
        <v>1</v>
      </c>
      <c r="DA22" s="127">
        <f>Real[[#This Row],[05/05/25]]+(1-Real[[#This Row],[05/05/25]])*'Avance 39'!BH10</f>
        <v>1</v>
      </c>
      <c r="DB22" s="127">
        <f>Real[[#This Row],[05/05/25]]+(1-Real[[#This Row],[05/05/25]])*'Avance 39'!BI10</f>
        <v>1</v>
      </c>
      <c r="DC22" s="127">
        <f>Real[[#This Row],[05/05/25]]+(1-Real[[#This Row],[05/05/25]])*'Avance 39'!BJ10</f>
        <v>1</v>
      </c>
      <c r="DD22" s="127">
        <f>Real[[#This Row],[05/05/25]]+(1-Real[[#This Row],[05/05/25]])*'Avance 39'!BK10</f>
        <v>1</v>
      </c>
      <c r="DE22" s="127">
        <f>Real[[#This Row],[05/05/25]]+(1-Real[[#This Row],[05/05/25]])*'Avance 39'!BL10</f>
        <v>1</v>
      </c>
      <c r="DF22" s="127">
        <f>Real[[#This Row],[05/05/25]]+(1-Real[[#This Row],[05/05/25]])*'Avance 39'!BM10</f>
        <v>1</v>
      </c>
      <c r="DG22" s="127">
        <f>Real[[#This Row],[05/05/25]]+(1-Real[[#This Row],[05/05/25]])*'Avance 39'!BN10</f>
        <v>1</v>
      </c>
      <c r="DH22" s="127">
        <f>Real[[#This Row],[05/05/25]]+(1-Real[[#This Row],[05/05/25]])*'Avance 39'!BO10</f>
        <v>1</v>
      </c>
      <c r="DI22" s="127">
        <f>Real[[#This Row],[05/05/25]]+(1-Real[[#This Row],[05/05/25]])*'Avance 39'!BP10</f>
        <v>1</v>
      </c>
      <c r="DJ22" s="127">
        <f>Real[[#This Row],[05/05/25]]+(1-Real[[#This Row],[05/05/25]])*'Avance 39'!BQ10</f>
        <v>0.98428893900916248</v>
      </c>
      <c r="DK22" s="127">
        <f>Real[[#This Row],[05/05/25]]+(1-Real[[#This Row],[05/05/25]])*'Avance 39'!BR10</f>
        <v>0.98428893900916248</v>
      </c>
      <c r="DL22" s="127">
        <f>Real[[#This Row],[05/05/25]]+(1-Real[[#This Row],[05/05/25]])*'Avance 39'!BS10</f>
        <v>0.98428893900916248</v>
      </c>
      <c r="DM22" s="127">
        <f>Real[[#This Row],[05/05/25]]+(1-Real[[#This Row],[05/05/25]])*'Avance 39'!BT10</f>
        <v>0.98428893900916248</v>
      </c>
      <c r="DN22" s="127">
        <f>Real[[#This Row],[05/05/25]]+(1-Real[[#This Row],[05/05/25]])*'Avance 39'!BU10</f>
        <v>0.98428893900916248</v>
      </c>
      <c r="DO22" s="127">
        <f>Real[[#This Row],[05/05/25]]+(1-Real[[#This Row],[05/05/25]])*'Avance 39'!BV10</f>
        <v>0.98428893900916248</v>
      </c>
      <c r="DP22" s="127">
        <f>Real[[#This Row],[05/05/25]]+(1-Real[[#This Row],[05/05/25]])*'Avance 39'!BW10</f>
        <v>0.98428893900916248</v>
      </c>
      <c r="DQ22" s="127">
        <f>Real[[#This Row],[05/05/25]]+(1-Real[[#This Row],[05/05/25]])*'Avance 39'!BX10</f>
        <v>0.98428893900916248</v>
      </c>
      <c r="DR22" s="127">
        <f>Real[[#This Row],[05/05/25]]+(1-Real[[#This Row],[05/05/25]])*'Avance 39'!BY10</f>
        <v>0.98428893900916248</v>
      </c>
      <c r="DS22" s="127">
        <f>Real[[#This Row],[05/05/25]]+(1-Real[[#This Row],[05/05/25]])*'Avance 39'!BZ10</f>
        <v>0.98428893900916248</v>
      </c>
      <c r="DT22" s="127">
        <f>Real[[#This Row],[05/05/25]]+(1-Real[[#This Row],[05/05/25]])*'Avance 39'!CA10</f>
        <v>0.98428893900916248</v>
      </c>
      <c r="DU22" s="127">
        <f>Real[[#This Row],[05/05/25]]+(1-Real[[#This Row],[05/05/25]])*'Avance 39'!CB10</f>
        <v>0.98428893900916248</v>
      </c>
      <c r="DV22" s="127">
        <f>Real[[#This Row],[05/05/25]]+(1-Real[[#This Row],[05/05/25]])*'Avance 39'!CC10</f>
        <v>0.98428893900916248</v>
      </c>
      <c r="DW22" s="127">
        <f>Real[[#This Row],[05/05/25]]+(1-Real[[#This Row],[05/05/25]])*'Avance 39'!CD10</f>
        <v>0.98428893900916248</v>
      </c>
      <c r="DX22" s="127">
        <f>Real[[#This Row],[05/05/25]]+(1-Real[[#This Row],[05/05/25]])*'Avance 39'!CE10</f>
        <v>0.98428893900916248</v>
      </c>
      <c r="DY22" s="127">
        <f>Real[[#This Row],[05/05/25]]+(1-Real[[#This Row],[05/05/25]])*'Avance 39'!CF10</f>
        <v>0.98428893900916248</v>
      </c>
      <c r="DZ22" s="127">
        <f>Real[[#This Row],[05/05/25]]+(1-Real[[#This Row],[05/05/25]])*'Avance 39'!CG10</f>
        <v>0.98428893900916248</v>
      </c>
      <c r="EA22" s="127">
        <f>Real[[#This Row],[05/05/25]]+(1-Real[[#This Row],[05/05/25]])*'Avance 39'!CH10</f>
        <v>0.98428893900916248</v>
      </c>
      <c r="EB22" s="127">
        <f>Real[[#This Row],[05/05/25]]+(1-Real[[#This Row],[05/05/25]])*'Avance 39'!CI10</f>
        <v>0.98428893900916248</v>
      </c>
      <c r="EC22" s="127">
        <f>Real[[#This Row],[05/05/25]]+(1-Real[[#This Row],[05/05/25]])*'Avance 39'!CJ10</f>
        <v>0.98428893900916248</v>
      </c>
      <c r="ED22" s="127">
        <f>Real[[#This Row],[05/05/25]]+(1-Real[[#This Row],[05/05/25]])*'Avance 39'!CK10</f>
        <v>0.98428893900916248</v>
      </c>
      <c r="EE22" s="127">
        <f>Real[[#This Row],[05/05/25]]+(1-Real[[#This Row],[05/05/25]])*'Avance 39'!CL10</f>
        <v>0.98428893900916248</v>
      </c>
      <c r="EF22" s="127">
        <f>Real[[#This Row],[05/05/25]]+(1-Real[[#This Row],[05/05/25]])*'Avance 39'!CM10</f>
        <v>0.98428893900916248</v>
      </c>
      <c r="EG22" s="127">
        <f>Real[[#This Row],[05/05/25]]+(1-Real[[#This Row],[05/05/25]])*'Avance 39'!CN10</f>
        <v>0.98428893900916248</v>
      </c>
      <c r="EH22" s="127">
        <f>Real[[#This Row],[05/05/25]]+(1-Real[[#This Row],[05/05/25]])*'Avance 39'!CO10</f>
        <v>0.98428893900916248</v>
      </c>
      <c r="EI22" s="127">
        <f>Real[[#This Row],[05/05/25]]+(1-Real[[#This Row],[05/05/25]])*'Avance 39'!CP10</f>
        <v>1</v>
      </c>
    </row>
    <row r="23" spans="2:139" ht="15" hidden="1" customHeight="1" outlineLevel="3" x14ac:dyDescent="0.3">
      <c r="B23" s="29"/>
      <c r="C23" s="30"/>
      <c r="D23" s="30"/>
      <c r="E23" s="52" t="s">
        <v>27</v>
      </c>
      <c r="F23" s="33">
        <v>35</v>
      </c>
      <c r="G23" s="35">
        <v>0.12</v>
      </c>
      <c r="H23" s="162"/>
      <c r="I23" s="127">
        <v>0</v>
      </c>
      <c r="J23" s="127">
        <v>0</v>
      </c>
      <c r="K23" s="127">
        <v>0</v>
      </c>
      <c r="L23" s="127">
        <v>0</v>
      </c>
      <c r="M23" s="128">
        <v>0</v>
      </c>
      <c r="N23" s="128">
        <v>0</v>
      </c>
      <c r="O23" s="127">
        <v>0</v>
      </c>
      <c r="P23" s="127">
        <v>0</v>
      </c>
      <c r="Q23" s="127">
        <v>0</v>
      </c>
      <c r="R23" s="127">
        <v>0</v>
      </c>
      <c r="S23" s="127">
        <v>0</v>
      </c>
      <c r="T23" s="127">
        <v>0</v>
      </c>
      <c r="U23" s="127">
        <v>0.40195635415226544</v>
      </c>
      <c r="V23" s="127">
        <v>0.41363581387919096</v>
      </c>
      <c r="W23" s="127">
        <v>0.41363581387919096</v>
      </c>
      <c r="X23" s="127">
        <v>0.44661817128029491</v>
      </c>
      <c r="Y23" s="127">
        <v>0.44661817128029491</v>
      </c>
      <c r="Z23" s="127">
        <v>0.44661817128029491</v>
      </c>
      <c r="AA23" s="127">
        <v>0.44661817128029491</v>
      </c>
      <c r="AB23" s="127">
        <v>0.44661817128029491</v>
      </c>
      <c r="AC23" s="127">
        <v>0.44661817128029491</v>
      </c>
      <c r="AD23" s="127">
        <v>0.44661817128029491</v>
      </c>
      <c r="AE23" s="127">
        <v>0.470943476275133</v>
      </c>
      <c r="AF23" s="127">
        <v>0.470943476275133</v>
      </c>
      <c r="AG23" s="127">
        <v>0.67840037955667998</v>
      </c>
      <c r="AH23" s="127">
        <v>0.67840037955667998</v>
      </c>
      <c r="AI23" s="127">
        <v>0.67840037955667998</v>
      </c>
      <c r="AJ23" s="127">
        <v>0.67840037955667998</v>
      </c>
      <c r="AK23" s="127">
        <v>0.67840037955667998</v>
      </c>
      <c r="AL23" s="127">
        <v>0.67840037955667998</v>
      </c>
      <c r="AM23" s="127">
        <v>0.67840037955667998</v>
      </c>
      <c r="AN23" s="127">
        <v>0.67840037955667998</v>
      </c>
      <c r="AO23" s="127">
        <v>0.67840037955667998</v>
      </c>
      <c r="AP23" s="127">
        <v>0.67840037955667998</v>
      </c>
      <c r="AQ23" s="127">
        <v>0.67840037955667998</v>
      </c>
      <c r="AR23" s="127">
        <v>0.67840037955667998</v>
      </c>
      <c r="AS23" s="127">
        <v>0.67840037955667998</v>
      </c>
      <c r="AT23" s="127">
        <v>0.67840037955667998</v>
      </c>
      <c r="AU23" s="127">
        <v>0.67840037955667998</v>
      </c>
      <c r="AV23" s="127">
        <v>0.67840037955667998</v>
      </c>
      <c r="AW23" s="127">
        <v>0.76428626250913412</v>
      </c>
      <c r="AX23" s="127">
        <v>0.79275434783435328</v>
      </c>
      <c r="AY23" s="127">
        <v>0.79275434783435328</v>
      </c>
      <c r="AZ23" s="127">
        <v>0.9991633069165704</v>
      </c>
      <c r="BA23" s="127">
        <v>0.9991633069165704</v>
      </c>
      <c r="BB23" s="127">
        <f>Real[[#This Row],[05/05/25]]+(1-Real[[#This Row],[05/05/25]])*'Avance 39'!I11</f>
        <v>0.9991633069165704</v>
      </c>
      <c r="BC23" s="127">
        <f>Real[[#This Row],[05/05/25]]+(1-Real[[#This Row],[05/05/25]])*'Avance 39'!J11</f>
        <v>0.9991633069165704</v>
      </c>
      <c r="BD23" s="127">
        <f>Real[[#This Row],[05/05/25]]+(1-Real[[#This Row],[05/05/25]])*'Avance 39'!K11</f>
        <v>0.9991633069165704</v>
      </c>
      <c r="BE23" s="127">
        <f>Real[[#This Row],[05/05/25]]+(1-Real[[#This Row],[05/05/25]])*'Avance 39'!L11</f>
        <v>0.9991633069165704</v>
      </c>
      <c r="BF23" s="127">
        <f>Real[[#This Row],[05/05/25]]+(1-Real[[#This Row],[05/05/25]])*'Avance 39'!M11</f>
        <v>0.9991633069165704</v>
      </c>
      <c r="BG23" s="163">
        <f>Real[[#This Row],[05/05/25]]+(1-Real[[#This Row],[05/05/25]])*'Avance 39'!N11</f>
        <v>1</v>
      </c>
      <c r="BH23" s="163">
        <f>Real[[#This Row],[05/05/25]]+(1-Real[[#This Row],[05/05/25]])*'Avance 39'!O11</f>
        <v>1</v>
      </c>
      <c r="BI23" s="127">
        <f>Real[[#This Row],[05/05/25]]+(1-Real[[#This Row],[05/05/25]])*'Avance 39'!P11</f>
        <v>1</v>
      </c>
      <c r="BJ23" s="127">
        <f>Real[[#This Row],[05/05/25]]+(1-Real[[#This Row],[05/05/25]])*'Avance 39'!Q11</f>
        <v>1</v>
      </c>
      <c r="BK23" s="127">
        <f>Real[[#This Row],[05/05/25]]+(1-Real[[#This Row],[05/05/25]])*'Avance 39'!R11</f>
        <v>1</v>
      </c>
      <c r="BL23" s="127">
        <f>Real[[#This Row],[05/05/25]]+(1-Real[[#This Row],[05/05/25]])*'Avance 39'!S11</f>
        <v>1</v>
      </c>
      <c r="BM23" s="127">
        <f>Real[[#This Row],[05/05/25]]+(1-Real[[#This Row],[05/05/25]])*'Avance 39'!T11</f>
        <v>1</v>
      </c>
      <c r="BN23" s="127">
        <f>Real[[#This Row],[05/05/25]]+(1-Real[[#This Row],[05/05/25]])*'Avance 39'!U11</f>
        <v>1</v>
      </c>
      <c r="BO23" s="127">
        <f>Real[[#This Row],[05/05/25]]+(1-Real[[#This Row],[05/05/25]])*'Avance 39'!V11</f>
        <v>1</v>
      </c>
      <c r="BP23" s="127">
        <f>Real[[#This Row],[05/05/25]]+(1-Real[[#This Row],[05/05/25]])*'Avance 39'!W11</f>
        <v>1</v>
      </c>
      <c r="BQ23" s="127">
        <f>Real[[#This Row],[05/05/25]]+(1-Real[[#This Row],[05/05/25]])*'Avance 39'!X11</f>
        <v>1</v>
      </c>
      <c r="BR23" s="127">
        <f>Real[[#This Row],[05/05/25]]+(1-Real[[#This Row],[05/05/25]])*'Avance 39'!Y11</f>
        <v>1</v>
      </c>
      <c r="BS23" s="127">
        <f>Real[[#This Row],[05/05/25]]+(1-Real[[#This Row],[05/05/25]])*'Avance 39'!Z11</f>
        <v>1</v>
      </c>
      <c r="BT23" s="127">
        <f>Real[[#This Row],[05/05/25]]+(1-Real[[#This Row],[05/05/25]])*'Avance 39'!AA11</f>
        <v>1</v>
      </c>
      <c r="BU23" s="127">
        <f>Real[[#This Row],[05/05/25]]+(1-Real[[#This Row],[05/05/25]])*'Avance 39'!AB11</f>
        <v>1</v>
      </c>
      <c r="BV23" s="127">
        <f>Real[[#This Row],[05/05/25]]+(1-Real[[#This Row],[05/05/25]])*'Avance 39'!AC11</f>
        <v>1</v>
      </c>
      <c r="BW23" s="127">
        <f>Real[[#This Row],[05/05/25]]+(1-Real[[#This Row],[05/05/25]])*'Avance 39'!AD11</f>
        <v>1</v>
      </c>
      <c r="BX23" s="127">
        <f>Real[[#This Row],[05/05/25]]+(1-Real[[#This Row],[05/05/25]])*'Avance 39'!AE11</f>
        <v>1</v>
      </c>
      <c r="BY23" s="127">
        <f>Real[[#This Row],[05/05/25]]+(1-Real[[#This Row],[05/05/25]])*'Avance 39'!AF11</f>
        <v>1</v>
      </c>
      <c r="BZ23" s="127">
        <f>Real[[#This Row],[05/05/25]]+(1-Real[[#This Row],[05/05/25]])*'Avance 39'!AG11</f>
        <v>1</v>
      </c>
      <c r="CA23" s="127">
        <f>Real[[#This Row],[05/05/25]]+(1-Real[[#This Row],[05/05/25]])*'Avance 39'!AH11</f>
        <v>1</v>
      </c>
      <c r="CB23" s="127">
        <f>Real[[#This Row],[05/05/25]]+(1-Real[[#This Row],[05/05/25]])*'Avance 39'!AI11</f>
        <v>1</v>
      </c>
      <c r="CC23" s="127">
        <f>Real[[#This Row],[05/05/25]]+(1-Real[[#This Row],[05/05/25]])*'Avance 39'!AJ11</f>
        <v>1</v>
      </c>
      <c r="CD23" s="127">
        <f>Real[[#This Row],[05/05/25]]+(1-Real[[#This Row],[05/05/25]])*'Avance 39'!AK11</f>
        <v>1</v>
      </c>
      <c r="CE23" s="127">
        <f>Real[[#This Row],[05/05/25]]+(1-Real[[#This Row],[05/05/25]])*'Avance 39'!AL11</f>
        <v>1</v>
      </c>
      <c r="CF23" s="127">
        <f>Real[[#This Row],[05/05/25]]+(1-Real[[#This Row],[05/05/25]])*'Avance 39'!AM11</f>
        <v>1</v>
      </c>
      <c r="CG23" s="127">
        <f>Real[[#This Row],[05/05/25]]+(1-Real[[#This Row],[05/05/25]])*'Avance 39'!AN11</f>
        <v>1</v>
      </c>
      <c r="CH23" s="127">
        <f>Real[[#This Row],[05/05/25]]+(1-Real[[#This Row],[05/05/25]])*'Avance 39'!AO11</f>
        <v>1</v>
      </c>
      <c r="CI23" s="127">
        <f>Real[[#This Row],[05/05/25]]+(1-Real[[#This Row],[05/05/25]])*'Avance 39'!AP11</f>
        <v>1</v>
      </c>
      <c r="CJ23" s="127">
        <f>Real[[#This Row],[05/05/25]]+(1-Real[[#This Row],[05/05/25]])*'Avance 39'!AQ11</f>
        <v>1</v>
      </c>
      <c r="CK23" s="127">
        <f>Real[[#This Row],[05/05/25]]+(1-Real[[#This Row],[05/05/25]])*'Avance 39'!AR11</f>
        <v>1</v>
      </c>
      <c r="CL23" s="127">
        <f>Real[[#This Row],[05/05/25]]+(1-Real[[#This Row],[05/05/25]])*'Avance 39'!AS11</f>
        <v>1</v>
      </c>
      <c r="CM23" s="127">
        <f>Real[[#This Row],[05/05/25]]+(1-Real[[#This Row],[05/05/25]])*'Avance 39'!AT11</f>
        <v>1</v>
      </c>
      <c r="CN23" s="127">
        <f>Real[[#This Row],[05/05/25]]+(1-Real[[#This Row],[05/05/25]])*'Avance 39'!AU11</f>
        <v>1</v>
      </c>
      <c r="CO23" s="127">
        <f>Real[[#This Row],[05/05/25]]+(1-Real[[#This Row],[05/05/25]])*'Avance 39'!AV11</f>
        <v>1</v>
      </c>
      <c r="CP23" s="127">
        <f>Real[[#This Row],[05/05/25]]+(1-Real[[#This Row],[05/05/25]])*'Avance 39'!AW11</f>
        <v>1</v>
      </c>
      <c r="CQ23" s="127">
        <f>Real[[#This Row],[05/05/25]]+(1-Real[[#This Row],[05/05/25]])*'Avance 39'!AX11</f>
        <v>1</v>
      </c>
      <c r="CR23" s="127">
        <f>Real[[#This Row],[05/05/25]]+(1-Real[[#This Row],[05/05/25]])*'Avance 39'!AY11</f>
        <v>1</v>
      </c>
      <c r="CS23" s="127">
        <f>Real[[#This Row],[05/05/25]]+(1-Real[[#This Row],[05/05/25]])*'Avance 39'!AZ11</f>
        <v>1</v>
      </c>
      <c r="CT23" s="127">
        <f>Real[[#This Row],[05/05/25]]+(1-Real[[#This Row],[05/05/25]])*'Avance 39'!BA11</f>
        <v>1</v>
      </c>
      <c r="CU23" s="127">
        <f>Real[[#This Row],[05/05/25]]+(1-Real[[#This Row],[05/05/25]])*'Avance 39'!BB11</f>
        <v>1</v>
      </c>
      <c r="CV23" s="127">
        <f>Real[[#This Row],[05/05/25]]+(1-Real[[#This Row],[05/05/25]])*'Avance 39'!BC11</f>
        <v>1</v>
      </c>
      <c r="CW23" s="127">
        <f>Real[[#This Row],[05/05/25]]+(1-Real[[#This Row],[05/05/25]])*'Avance 39'!BD11</f>
        <v>1</v>
      </c>
      <c r="CX23" s="127">
        <f>Real[[#This Row],[05/05/25]]+(1-Real[[#This Row],[05/05/25]])*'Avance 39'!BE11</f>
        <v>1</v>
      </c>
      <c r="CY23" s="127">
        <f>Real[[#This Row],[05/05/25]]+(1-Real[[#This Row],[05/05/25]])*'Avance 39'!BF11</f>
        <v>1</v>
      </c>
      <c r="CZ23" s="127">
        <f>Real[[#This Row],[05/05/25]]+(1-Real[[#This Row],[05/05/25]])*'Avance 39'!BG11</f>
        <v>1</v>
      </c>
      <c r="DA23" s="127">
        <f>Real[[#This Row],[05/05/25]]+(1-Real[[#This Row],[05/05/25]])*'Avance 39'!BH11</f>
        <v>1</v>
      </c>
      <c r="DB23" s="127">
        <f>Real[[#This Row],[05/05/25]]+(1-Real[[#This Row],[05/05/25]])*'Avance 39'!BI11</f>
        <v>1</v>
      </c>
      <c r="DC23" s="127">
        <f>Real[[#This Row],[05/05/25]]+(1-Real[[#This Row],[05/05/25]])*'Avance 39'!BJ11</f>
        <v>1</v>
      </c>
      <c r="DD23" s="127">
        <f>Real[[#This Row],[05/05/25]]+(1-Real[[#This Row],[05/05/25]])*'Avance 39'!BK11</f>
        <v>1</v>
      </c>
      <c r="DE23" s="127">
        <f>Real[[#This Row],[05/05/25]]+(1-Real[[#This Row],[05/05/25]])*'Avance 39'!BL11</f>
        <v>1</v>
      </c>
      <c r="DF23" s="127">
        <f>Real[[#This Row],[05/05/25]]+(1-Real[[#This Row],[05/05/25]])*'Avance 39'!BM11</f>
        <v>1</v>
      </c>
      <c r="DG23" s="127">
        <f>Real[[#This Row],[05/05/25]]+(1-Real[[#This Row],[05/05/25]])*'Avance 39'!BN11</f>
        <v>1</v>
      </c>
      <c r="DH23" s="127">
        <f>Real[[#This Row],[05/05/25]]+(1-Real[[#This Row],[05/05/25]])*'Avance 39'!BO11</f>
        <v>1</v>
      </c>
      <c r="DI23" s="127">
        <f>Real[[#This Row],[05/05/25]]+(1-Real[[#This Row],[05/05/25]])*'Avance 39'!BP11</f>
        <v>1</v>
      </c>
      <c r="DJ23" s="127">
        <f>Real[[#This Row],[05/05/25]]+(1-Real[[#This Row],[05/05/25]])*'Avance 39'!BQ11</f>
        <v>1</v>
      </c>
      <c r="DK23" s="127">
        <f>Real[[#This Row],[05/05/25]]+(1-Real[[#This Row],[05/05/25]])*'Avance 39'!BR11</f>
        <v>1</v>
      </c>
      <c r="DL23" s="127">
        <f>Real[[#This Row],[05/05/25]]+(1-Real[[#This Row],[05/05/25]])*'Avance 39'!BS11</f>
        <v>1</v>
      </c>
      <c r="DM23" s="127">
        <f>Real[[#This Row],[05/05/25]]+(1-Real[[#This Row],[05/05/25]])*'Avance 39'!BT11</f>
        <v>1</v>
      </c>
      <c r="DN23" s="127">
        <f>Real[[#This Row],[05/05/25]]+(1-Real[[#This Row],[05/05/25]])*'Avance 39'!BU11</f>
        <v>1</v>
      </c>
      <c r="DO23" s="127">
        <f>Real[[#This Row],[05/05/25]]+(1-Real[[#This Row],[05/05/25]])*'Avance 39'!BV11</f>
        <v>1</v>
      </c>
      <c r="DP23" s="127">
        <f>Real[[#This Row],[05/05/25]]+(1-Real[[#This Row],[05/05/25]])*'Avance 39'!BW11</f>
        <v>1</v>
      </c>
      <c r="DQ23" s="127">
        <f>Real[[#This Row],[05/05/25]]+(1-Real[[#This Row],[05/05/25]])*'Avance 39'!BX11</f>
        <v>1</v>
      </c>
      <c r="DR23" s="127">
        <f>Real[[#This Row],[05/05/25]]+(1-Real[[#This Row],[05/05/25]])*'Avance 39'!BY11</f>
        <v>1</v>
      </c>
      <c r="DS23" s="127">
        <f>Real[[#This Row],[05/05/25]]+(1-Real[[#This Row],[05/05/25]])*'Avance 39'!BZ11</f>
        <v>1</v>
      </c>
      <c r="DT23" s="127">
        <f>Real[[#This Row],[05/05/25]]+(1-Real[[#This Row],[05/05/25]])*'Avance 39'!CA11</f>
        <v>1</v>
      </c>
      <c r="DU23" s="127">
        <f>Real[[#This Row],[05/05/25]]+(1-Real[[#This Row],[05/05/25]])*'Avance 39'!CB11</f>
        <v>1</v>
      </c>
      <c r="DV23" s="127">
        <f>Real[[#This Row],[05/05/25]]+(1-Real[[#This Row],[05/05/25]])*'Avance 39'!CC11</f>
        <v>1</v>
      </c>
      <c r="DW23" s="127">
        <f>Real[[#This Row],[05/05/25]]+(1-Real[[#This Row],[05/05/25]])*'Avance 39'!CD11</f>
        <v>1</v>
      </c>
      <c r="DX23" s="127">
        <f>Real[[#This Row],[05/05/25]]+(1-Real[[#This Row],[05/05/25]])*'Avance 39'!CE11</f>
        <v>1</v>
      </c>
      <c r="DY23" s="127">
        <f>Real[[#This Row],[05/05/25]]+(1-Real[[#This Row],[05/05/25]])*'Avance 39'!CF11</f>
        <v>1</v>
      </c>
      <c r="DZ23" s="127">
        <f>Real[[#This Row],[05/05/25]]+(1-Real[[#This Row],[05/05/25]])*'Avance 39'!CG11</f>
        <v>1</v>
      </c>
      <c r="EA23" s="127">
        <f>Real[[#This Row],[05/05/25]]+(1-Real[[#This Row],[05/05/25]])*'Avance 39'!CH11</f>
        <v>1</v>
      </c>
      <c r="EB23" s="127">
        <f>Real[[#This Row],[05/05/25]]+(1-Real[[#This Row],[05/05/25]])*'Avance 39'!CI11</f>
        <v>1</v>
      </c>
      <c r="EC23" s="127">
        <f>Real[[#This Row],[05/05/25]]+(1-Real[[#This Row],[05/05/25]])*'Avance 39'!CJ11</f>
        <v>1</v>
      </c>
      <c r="ED23" s="127">
        <f>Real[[#This Row],[05/05/25]]+(1-Real[[#This Row],[05/05/25]])*'Avance 39'!CK11</f>
        <v>1</v>
      </c>
      <c r="EE23" s="127">
        <f>Real[[#This Row],[05/05/25]]+(1-Real[[#This Row],[05/05/25]])*'Avance 39'!CL11</f>
        <v>1</v>
      </c>
      <c r="EF23" s="127">
        <f>Real[[#This Row],[05/05/25]]+(1-Real[[#This Row],[05/05/25]])*'Avance 39'!CM11</f>
        <v>1</v>
      </c>
      <c r="EG23" s="127">
        <f>Real[[#This Row],[05/05/25]]+(1-Real[[#This Row],[05/05/25]])*'Avance 39'!CN11</f>
        <v>1</v>
      </c>
      <c r="EH23" s="127">
        <f>Real[[#This Row],[05/05/25]]+(1-Real[[#This Row],[05/05/25]])*'Avance 39'!CO11</f>
        <v>1</v>
      </c>
      <c r="EI23" s="127">
        <f>Real[[#This Row],[05/05/25]]+(1-Real[[#This Row],[05/05/25]])*'Avance 39'!CP11</f>
        <v>1</v>
      </c>
    </row>
    <row r="24" spans="2:139" ht="15" hidden="1" customHeight="1" outlineLevel="3" x14ac:dyDescent="0.3">
      <c r="B24" s="280"/>
      <c r="C24" s="281"/>
      <c r="D24" s="281"/>
      <c r="E24" s="282" t="s">
        <v>28</v>
      </c>
      <c r="F24" s="283">
        <v>35</v>
      </c>
      <c r="G24" s="284">
        <v>0.15</v>
      </c>
      <c r="H24" s="162"/>
      <c r="I24" s="127">
        <v>0</v>
      </c>
      <c r="J24" s="127">
        <v>0</v>
      </c>
      <c r="K24" s="127">
        <v>0</v>
      </c>
      <c r="L24" s="127">
        <v>0</v>
      </c>
      <c r="M24" s="128">
        <v>0</v>
      </c>
      <c r="N24" s="128">
        <v>0</v>
      </c>
      <c r="O24" s="127">
        <v>0</v>
      </c>
      <c r="P24" s="127">
        <v>0</v>
      </c>
      <c r="Q24" s="127">
        <v>0</v>
      </c>
      <c r="R24" s="127">
        <v>0</v>
      </c>
      <c r="S24" s="127">
        <v>0</v>
      </c>
      <c r="T24" s="127">
        <v>0</v>
      </c>
      <c r="U24" s="127">
        <v>0</v>
      </c>
      <c r="V24" s="127">
        <v>0</v>
      </c>
      <c r="W24" s="127">
        <v>0</v>
      </c>
      <c r="X24" s="127">
        <v>0</v>
      </c>
      <c r="Y24" s="127">
        <v>0</v>
      </c>
      <c r="Z24" s="127">
        <v>0</v>
      </c>
      <c r="AA24" s="127">
        <v>0</v>
      </c>
      <c r="AB24" s="127">
        <v>0</v>
      </c>
      <c r="AC24" s="127">
        <v>0</v>
      </c>
      <c r="AD24" s="127">
        <v>0</v>
      </c>
      <c r="AE24" s="127">
        <v>0</v>
      </c>
      <c r="AF24" s="127">
        <v>0</v>
      </c>
      <c r="AG24" s="127">
        <v>0</v>
      </c>
      <c r="AH24" s="127">
        <v>0</v>
      </c>
      <c r="AI24" s="127">
        <v>0</v>
      </c>
      <c r="AJ24" s="127">
        <v>0</v>
      </c>
      <c r="AK24" s="127">
        <v>0</v>
      </c>
      <c r="AL24" s="127">
        <v>0</v>
      </c>
      <c r="AM24" s="127">
        <v>0</v>
      </c>
      <c r="AN24" s="127">
        <v>0</v>
      </c>
      <c r="AO24" s="127">
        <v>0</v>
      </c>
      <c r="AP24" s="127">
        <v>0</v>
      </c>
      <c r="AQ24" s="127">
        <v>0</v>
      </c>
      <c r="AR24" s="127">
        <v>0</v>
      </c>
      <c r="AS24" s="127">
        <v>0</v>
      </c>
      <c r="AT24" s="127">
        <v>0</v>
      </c>
      <c r="AU24" s="127">
        <v>0</v>
      </c>
      <c r="AV24" s="127">
        <v>0</v>
      </c>
      <c r="AW24" s="127">
        <v>0</v>
      </c>
      <c r="AX24" s="127">
        <v>0</v>
      </c>
      <c r="AY24" s="127">
        <v>0</v>
      </c>
      <c r="AZ24" s="127">
        <v>0</v>
      </c>
      <c r="BA24" s="127">
        <v>0</v>
      </c>
      <c r="BB24" s="127">
        <f>Real[[#This Row],[05/05/25]]+(1-Real[[#This Row],[05/05/25]])*'Avance 39'!I12</f>
        <v>0</v>
      </c>
      <c r="BC24" s="127">
        <f>Real[[#This Row],[05/05/25]]+(1-Real[[#This Row],[05/05/25]])*'Avance 39'!J12</f>
        <v>0</v>
      </c>
      <c r="BD24" s="127">
        <f>Real[[#This Row],[05/05/25]]+(1-Real[[#This Row],[05/05/25]])*'Avance 39'!K12</f>
        <v>8.7500000000000008E-3</v>
      </c>
      <c r="BE24" s="127">
        <f>Real[[#This Row],[05/05/25]]+(1-Real[[#This Row],[05/05/25]])*'Avance 39'!L12</f>
        <v>1.0500000000000001E-2</v>
      </c>
      <c r="BF24" s="127">
        <f>Real[[#This Row],[05/05/25]]+(1-Real[[#This Row],[05/05/25]])*'Avance 39'!M12</f>
        <v>3.5000000000000003E-2</v>
      </c>
      <c r="BG24" s="163">
        <f>Real[[#This Row],[05/05/25]]+(1-Real[[#This Row],[05/05/25]])*'Avance 39'!N12</f>
        <v>3.5000000000000003E-2</v>
      </c>
      <c r="BH24" s="163">
        <f>Real[[#This Row],[05/05/25]]+(1-Real[[#This Row],[05/05/25]])*'Avance 39'!O12</f>
        <v>3.5000000000000003E-2</v>
      </c>
      <c r="BI24" s="127">
        <f>Real[[#This Row],[05/05/25]]+(1-Real[[#This Row],[05/05/25]])*'Avance 39'!P12</f>
        <v>3.5000000000000003E-2</v>
      </c>
      <c r="BJ24" s="127">
        <f>Real[[#This Row],[05/05/25]]+(1-Real[[#This Row],[05/05/25]])*'Avance 39'!Q12</f>
        <v>3.5000000000000003E-2</v>
      </c>
      <c r="BK24" s="127">
        <f>Real[[#This Row],[05/05/25]]+(1-Real[[#This Row],[05/05/25]])*'Avance 39'!R12</f>
        <v>3.5000000000000003E-2</v>
      </c>
      <c r="BL24" s="127">
        <f>Real[[#This Row],[05/05/25]]+(1-Real[[#This Row],[05/05/25]])*'Avance 39'!S12</f>
        <v>3.5000000000000003E-2</v>
      </c>
      <c r="BM24" s="127">
        <f>Real[[#This Row],[05/05/25]]+(1-Real[[#This Row],[05/05/25]])*'Avance 39'!T12</f>
        <v>3.5000000000000003E-2</v>
      </c>
      <c r="BN24" s="127">
        <f>Real[[#This Row],[05/05/25]]+(1-Real[[#This Row],[05/05/25]])*'Avance 39'!U12</f>
        <v>3.5000000000000003E-2</v>
      </c>
      <c r="BO24" s="127">
        <f>Real[[#This Row],[05/05/25]]+(1-Real[[#This Row],[05/05/25]])*'Avance 39'!V12</f>
        <v>3.5000000000000003E-2</v>
      </c>
      <c r="BP24" s="127">
        <f>Real[[#This Row],[05/05/25]]+(1-Real[[#This Row],[05/05/25]])*'Avance 39'!W12</f>
        <v>3.5000000000000003E-2</v>
      </c>
      <c r="BQ24" s="127">
        <f>Real[[#This Row],[05/05/25]]+(1-Real[[#This Row],[05/05/25]])*'Avance 39'!X12</f>
        <v>3.5000000000000003E-2</v>
      </c>
      <c r="BR24" s="127">
        <f>Real[[#This Row],[05/05/25]]+(1-Real[[#This Row],[05/05/25]])*'Avance 39'!Y12</f>
        <v>7.0000000000000007E-2</v>
      </c>
      <c r="BS24" s="127">
        <f>Real[[#This Row],[05/05/25]]+(1-Real[[#This Row],[05/05/25]])*'Avance 39'!Z12</f>
        <v>0.12250000000000001</v>
      </c>
      <c r="BT24" s="127">
        <f>Real[[#This Row],[05/05/25]]+(1-Real[[#This Row],[05/05/25]])*'Avance 39'!AA12</f>
        <v>0.17500000000000002</v>
      </c>
      <c r="BU24" s="127">
        <f>Real[[#This Row],[05/05/25]]+(1-Real[[#This Row],[05/05/25]])*'Avance 39'!AB12</f>
        <v>0.23500000000000001</v>
      </c>
      <c r="BV24" s="127">
        <f>Real[[#This Row],[05/05/25]]+(1-Real[[#This Row],[05/05/25]])*'Avance 39'!AC12</f>
        <v>0.23500000000000001</v>
      </c>
      <c r="BW24" s="127">
        <f>Real[[#This Row],[05/05/25]]+(1-Real[[#This Row],[05/05/25]])*'Avance 39'!AD12</f>
        <v>0.26187499999999997</v>
      </c>
      <c r="BX24" s="127">
        <f>Real[[#This Row],[05/05/25]]+(1-Real[[#This Row],[05/05/25]])*'Avance 39'!AE12</f>
        <v>0.26187499999999997</v>
      </c>
      <c r="BY24" s="127">
        <f>Real[[#This Row],[05/05/25]]+(1-Real[[#This Row],[05/05/25]])*'Avance 39'!AF12</f>
        <v>0.27500000000000002</v>
      </c>
      <c r="BZ24" s="127">
        <f>Real[[#This Row],[05/05/25]]+(1-Real[[#This Row],[05/05/25]])*'Avance 39'!AG12</f>
        <v>0.28749999999999998</v>
      </c>
      <c r="CA24" s="127">
        <f>Real[[#This Row],[05/05/25]]+(1-Real[[#This Row],[05/05/25]])*'Avance 39'!AH12</f>
        <v>0.29262500000000002</v>
      </c>
      <c r="CB24" s="127">
        <f>Real[[#This Row],[05/05/25]]+(1-Real[[#This Row],[05/05/25]])*'Avance 39'!AI12</f>
        <v>0.29262500000000002</v>
      </c>
      <c r="CC24" s="127">
        <f>Real[[#This Row],[05/05/25]]+(1-Real[[#This Row],[05/05/25]])*'Avance 39'!AJ12</f>
        <v>0.3085</v>
      </c>
      <c r="CD24" s="127">
        <f>Real[[#This Row],[05/05/25]]+(1-Real[[#This Row],[05/05/25]])*'Avance 39'!AK12</f>
        <v>0.38425000000000009</v>
      </c>
      <c r="CE24" s="127">
        <f>Real[[#This Row],[05/05/25]]+(1-Real[[#This Row],[05/05/25]])*'Avance 39'!AL12</f>
        <v>0.38775000000000004</v>
      </c>
      <c r="CF24" s="127">
        <f>Real[[#This Row],[05/05/25]]+(1-Real[[#This Row],[05/05/25]])*'Avance 39'!AM12</f>
        <v>0.41350000000000009</v>
      </c>
      <c r="CG24" s="127">
        <f>Real[[#This Row],[05/05/25]]+(1-Real[[#This Row],[05/05/25]])*'Avance 39'!AN12</f>
        <v>0.41350000000000009</v>
      </c>
      <c r="CH24" s="127">
        <f>Real[[#This Row],[05/05/25]]+(1-Real[[#This Row],[05/05/25]])*'Avance 39'!AO12</f>
        <v>0.41350000000000009</v>
      </c>
      <c r="CI24" s="127">
        <f>Real[[#This Row],[05/05/25]]+(1-Real[[#This Row],[05/05/25]])*'Avance 39'!AP12</f>
        <v>0.41350000000000009</v>
      </c>
      <c r="CJ24" s="127">
        <f>Real[[#This Row],[05/05/25]]+(1-Real[[#This Row],[05/05/25]])*'Avance 39'!AQ12</f>
        <v>0.41350000000000009</v>
      </c>
      <c r="CK24" s="127">
        <f>Real[[#This Row],[05/05/25]]+(1-Real[[#This Row],[05/05/25]])*'Avance 39'!AR12</f>
        <v>0.41350000000000009</v>
      </c>
      <c r="CL24" s="127">
        <f>Real[[#This Row],[05/05/25]]+(1-Real[[#This Row],[05/05/25]])*'Avance 39'!AS12</f>
        <v>0.41350000000000009</v>
      </c>
      <c r="CM24" s="127">
        <f>Real[[#This Row],[05/05/25]]+(1-Real[[#This Row],[05/05/25]])*'Avance 39'!AT12</f>
        <v>0.41350000000000009</v>
      </c>
      <c r="CN24" s="127">
        <f>Real[[#This Row],[05/05/25]]+(1-Real[[#This Row],[05/05/25]])*'Avance 39'!AU12</f>
        <v>0.41350000000000009</v>
      </c>
      <c r="CO24" s="127">
        <f>Real[[#This Row],[05/05/25]]+(1-Real[[#This Row],[05/05/25]])*'Avance 39'!AV12</f>
        <v>0.41350000000000009</v>
      </c>
      <c r="CP24" s="127">
        <f>Real[[#This Row],[05/05/25]]+(1-Real[[#This Row],[05/05/25]])*'Avance 39'!AW12</f>
        <v>0.41350000000000009</v>
      </c>
      <c r="CQ24" s="127">
        <f>Real[[#This Row],[05/05/25]]+(1-Real[[#This Row],[05/05/25]])*'Avance 39'!AX12</f>
        <v>0.41350000000000009</v>
      </c>
      <c r="CR24" s="127">
        <f>Real[[#This Row],[05/05/25]]+(1-Real[[#This Row],[05/05/25]])*'Avance 39'!AY12</f>
        <v>0.43</v>
      </c>
      <c r="CS24" s="127">
        <f>Real[[#This Row],[05/05/25]]+(1-Real[[#This Row],[05/05/25]])*'Avance 39'!AZ12</f>
        <v>0.43</v>
      </c>
      <c r="CT24" s="127">
        <f>Real[[#This Row],[05/05/25]]+(1-Real[[#This Row],[05/05/25]])*'Avance 39'!BA12</f>
        <v>0.43</v>
      </c>
      <c r="CU24" s="127">
        <f>Real[[#This Row],[05/05/25]]+(1-Real[[#This Row],[05/05/25]])*'Avance 39'!BB12</f>
        <v>0.44</v>
      </c>
      <c r="CV24" s="127">
        <f>Real[[#This Row],[05/05/25]]+(1-Real[[#This Row],[05/05/25]])*'Avance 39'!BC12</f>
        <v>0.44</v>
      </c>
      <c r="CW24" s="127">
        <f>Real[[#This Row],[05/05/25]]+(1-Real[[#This Row],[05/05/25]])*'Avance 39'!BD12</f>
        <v>0.44</v>
      </c>
      <c r="CX24" s="127">
        <f>Real[[#This Row],[05/05/25]]+(1-Real[[#This Row],[05/05/25]])*'Avance 39'!BE12</f>
        <v>0.44</v>
      </c>
      <c r="CY24" s="127">
        <f>Real[[#This Row],[05/05/25]]+(1-Real[[#This Row],[05/05/25]])*'Avance 39'!BF12</f>
        <v>0.44</v>
      </c>
      <c r="CZ24" s="127">
        <f>Real[[#This Row],[05/05/25]]+(1-Real[[#This Row],[05/05/25]])*'Avance 39'!BG12</f>
        <v>0.46</v>
      </c>
      <c r="DA24" s="127">
        <f>Real[[#This Row],[05/05/25]]+(1-Real[[#This Row],[05/05/25]])*'Avance 39'!BH12</f>
        <v>0.46</v>
      </c>
      <c r="DB24" s="127">
        <f>Real[[#This Row],[05/05/25]]+(1-Real[[#This Row],[05/05/25]])*'Avance 39'!BI12</f>
        <v>0.46</v>
      </c>
      <c r="DC24" s="127">
        <f>Real[[#This Row],[05/05/25]]+(1-Real[[#This Row],[05/05/25]])*'Avance 39'!BJ12</f>
        <v>0.47</v>
      </c>
      <c r="DD24" s="127">
        <f>Real[[#This Row],[05/05/25]]+(1-Real[[#This Row],[05/05/25]])*'Avance 39'!BK12</f>
        <v>0.47</v>
      </c>
      <c r="DE24" s="127">
        <f>Real[[#This Row],[05/05/25]]+(1-Real[[#This Row],[05/05/25]])*'Avance 39'!BL12</f>
        <v>0.47</v>
      </c>
      <c r="DF24" s="127">
        <f>Real[[#This Row],[05/05/25]]+(1-Real[[#This Row],[05/05/25]])*'Avance 39'!BM12</f>
        <v>0.47</v>
      </c>
      <c r="DG24" s="127">
        <f>Real[[#This Row],[05/05/25]]+(1-Real[[#This Row],[05/05/25]])*'Avance 39'!BN12</f>
        <v>0.47</v>
      </c>
      <c r="DH24" s="127">
        <f>Real[[#This Row],[05/05/25]]+(1-Real[[#This Row],[05/05/25]])*'Avance 39'!BO12</f>
        <v>0.47</v>
      </c>
      <c r="DI24" s="127">
        <f>Real[[#This Row],[05/05/25]]+(1-Real[[#This Row],[05/05/25]])*'Avance 39'!BP12</f>
        <v>0.47</v>
      </c>
      <c r="DJ24" s="127">
        <f>Real[[#This Row],[05/05/25]]+(1-Real[[#This Row],[05/05/25]])*'Avance 39'!BQ12</f>
        <v>0.41350000000000009</v>
      </c>
      <c r="DK24" s="127">
        <f>Real[[#This Row],[05/05/25]]+(1-Real[[#This Row],[05/05/25]])*'Avance 39'!BR12</f>
        <v>0.41350000000000009</v>
      </c>
      <c r="DL24" s="127">
        <f>Real[[#This Row],[05/05/25]]+(1-Real[[#This Row],[05/05/25]])*'Avance 39'!BS12</f>
        <v>0.41350000000000009</v>
      </c>
      <c r="DM24" s="127">
        <f>Real[[#This Row],[05/05/25]]+(1-Real[[#This Row],[05/05/25]])*'Avance 39'!BT12</f>
        <v>0.41350000000000009</v>
      </c>
      <c r="DN24" s="127">
        <f>Real[[#This Row],[05/05/25]]+(1-Real[[#This Row],[05/05/25]])*'Avance 39'!BU12</f>
        <v>0.41350000000000009</v>
      </c>
      <c r="DO24" s="127">
        <f>Real[[#This Row],[05/05/25]]+(1-Real[[#This Row],[05/05/25]])*'Avance 39'!BV12</f>
        <v>0.41350000000000009</v>
      </c>
      <c r="DP24" s="127">
        <f>Real[[#This Row],[05/05/25]]+(1-Real[[#This Row],[05/05/25]])*'Avance 39'!BW12</f>
        <v>0.41350000000000009</v>
      </c>
      <c r="DQ24" s="127">
        <f>Real[[#This Row],[05/05/25]]+(1-Real[[#This Row],[05/05/25]])*'Avance 39'!BX12</f>
        <v>0.41350000000000009</v>
      </c>
      <c r="DR24" s="127">
        <f>Real[[#This Row],[05/05/25]]+(1-Real[[#This Row],[05/05/25]])*'Avance 39'!BY12</f>
        <v>0.41350000000000009</v>
      </c>
      <c r="DS24" s="127">
        <f>Real[[#This Row],[05/05/25]]+(1-Real[[#This Row],[05/05/25]])*'Avance 39'!BZ12</f>
        <v>0.41350000000000009</v>
      </c>
      <c r="DT24" s="127">
        <f>Real[[#This Row],[05/05/25]]+(1-Real[[#This Row],[05/05/25]])*'Avance 39'!CA12</f>
        <v>0.41350000000000009</v>
      </c>
      <c r="DU24" s="127">
        <f>Real[[#This Row],[05/05/25]]+(1-Real[[#This Row],[05/05/25]])*'Avance 39'!CB12</f>
        <v>0.41350000000000009</v>
      </c>
      <c r="DV24" s="127">
        <f>Real[[#This Row],[05/05/25]]+(1-Real[[#This Row],[05/05/25]])*'Avance 39'!CC12</f>
        <v>0.41350000000000009</v>
      </c>
      <c r="DW24" s="127">
        <f>Real[[#This Row],[05/05/25]]+(1-Real[[#This Row],[05/05/25]])*'Avance 39'!CD12</f>
        <v>0.41350000000000009</v>
      </c>
      <c r="DX24" s="127">
        <f>Real[[#This Row],[05/05/25]]+(1-Real[[#This Row],[05/05/25]])*'Avance 39'!CE12</f>
        <v>0.41350000000000009</v>
      </c>
      <c r="DY24" s="127">
        <f>Real[[#This Row],[05/05/25]]+(1-Real[[#This Row],[05/05/25]])*'Avance 39'!CF12</f>
        <v>0.41350000000000009</v>
      </c>
      <c r="DZ24" s="127">
        <f>Real[[#This Row],[05/05/25]]+(1-Real[[#This Row],[05/05/25]])*'Avance 39'!CG12</f>
        <v>0.41350000000000009</v>
      </c>
      <c r="EA24" s="127">
        <f>Real[[#This Row],[05/05/25]]+(1-Real[[#This Row],[05/05/25]])*'Avance 39'!CH12</f>
        <v>0.41350000000000009</v>
      </c>
      <c r="EB24" s="127">
        <f>Real[[#This Row],[05/05/25]]+(1-Real[[#This Row],[05/05/25]])*'Avance 39'!CI12</f>
        <v>0.41350000000000009</v>
      </c>
      <c r="EC24" s="127">
        <f>Real[[#This Row],[05/05/25]]+(1-Real[[#This Row],[05/05/25]])*'Avance 39'!CJ12</f>
        <v>0.41350000000000009</v>
      </c>
      <c r="ED24" s="127">
        <f>Real[[#This Row],[05/05/25]]+(1-Real[[#This Row],[05/05/25]])*'Avance 39'!CK12</f>
        <v>0.41350000000000009</v>
      </c>
      <c r="EE24" s="127">
        <f>Real[[#This Row],[05/05/25]]+(1-Real[[#This Row],[05/05/25]])*'Avance 39'!CL12</f>
        <v>0.41350000000000009</v>
      </c>
      <c r="EF24" s="127">
        <f>Real[[#This Row],[05/05/25]]+(1-Real[[#This Row],[05/05/25]])*'Avance 39'!CM12</f>
        <v>0.41350000000000009</v>
      </c>
      <c r="EG24" s="127">
        <f>Real[[#This Row],[05/05/25]]+(1-Real[[#This Row],[05/05/25]])*'Avance 39'!CN12</f>
        <v>0.41350000000000009</v>
      </c>
      <c r="EH24" s="127">
        <f>Real[[#This Row],[05/05/25]]+(1-Real[[#This Row],[05/05/25]])*'Avance 39'!CO12</f>
        <v>0.41350000000000009</v>
      </c>
      <c r="EI24" s="127">
        <f>Real[[#This Row],[05/05/25]]+(1-Real[[#This Row],[05/05/25]])*'Avance 39'!CP12</f>
        <v>0.47</v>
      </c>
    </row>
    <row r="25" spans="2:139" ht="15" outlineLevel="2" collapsed="1" x14ac:dyDescent="0.3">
      <c r="B25" s="22"/>
      <c r="C25" s="23"/>
      <c r="D25" s="23" t="s">
        <v>29</v>
      </c>
      <c r="E25" s="50"/>
      <c r="F25" s="26">
        <f>+F26</f>
        <v>60</v>
      </c>
      <c r="G25" s="28">
        <v>6.2393862231159891E-2</v>
      </c>
      <c r="H25" s="160"/>
      <c r="I25" s="28">
        <f t="shared" ref="I25:CM25" si="308">+I26*$G$26</f>
        <v>0</v>
      </c>
      <c r="J25" s="28">
        <f t="shared" si="308"/>
        <v>0</v>
      </c>
      <c r="K25" s="28">
        <f t="shared" si="308"/>
        <v>0</v>
      </c>
      <c r="L25" s="28">
        <f t="shared" si="308"/>
        <v>0</v>
      </c>
      <c r="M25" s="64">
        <f t="shared" si="308"/>
        <v>0</v>
      </c>
      <c r="N25" s="64">
        <f t="shared" si="308"/>
        <v>0</v>
      </c>
      <c r="O25" s="28">
        <f t="shared" si="308"/>
        <v>2.6718749999999999E-2</v>
      </c>
      <c r="P25" s="28">
        <f t="shared" si="308"/>
        <v>7.3437500000000003E-2</v>
      </c>
      <c r="Q25" s="28">
        <f t="shared" si="308"/>
        <v>0.21999999999999997</v>
      </c>
      <c r="R25" s="28">
        <f t="shared" si="308"/>
        <v>0.24249999999999999</v>
      </c>
      <c r="S25" s="28">
        <f t="shared" si="308"/>
        <v>0.35</v>
      </c>
      <c r="T25" s="28">
        <f t="shared" si="308"/>
        <v>0.35</v>
      </c>
      <c r="U25" s="28">
        <f t="shared" si="308"/>
        <v>0.35</v>
      </c>
      <c r="V25" s="28">
        <f t="shared" si="308"/>
        <v>0.35</v>
      </c>
      <c r="W25" s="28">
        <f t="shared" si="308"/>
        <v>0.35</v>
      </c>
      <c r="X25" s="28">
        <f t="shared" si="308"/>
        <v>0.3725</v>
      </c>
      <c r="Y25" s="28">
        <f t="shared" si="308"/>
        <v>0.5</v>
      </c>
      <c r="Z25" s="28">
        <f t="shared" si="308"/>
        <v>0.57499999999999996</v>
      </c>
      <c r="AA25" s="28">
        <f t="shared" si="308"/>
        <v>0.57781249999999995</v>
      </c>
      <c r="AB25" s="28">
        <f t="shared" si="308"/>
        <v>0.58624999999999994</v>
      </c>
      <c r="AC25" s="28">
        <f t="shared" si="308"/>
        <v>0.58812500000000001</v>
      </c>
      <c r="AD25" s="28">
        <f t="shared" si="308"/>
        <v>0.58981249999999996</v>
      </c>
      <c r="AE25" s="28">
        <f t="shared" si="308"/>
        <v>0.60082812499999994</v>
      </c>
      <c r="AF25" s="28">
        <f t="shared" si="308"/>
        <v>0.60481249999999998</v>
      </c>
      <c r="AG25" s="28">
        <f t="shared" si="308"/>
        <v>0.60783593749999998</v>
      </c>
      <c r="AH25" s="28">
        <f t="shared" si="308"/>
        <v>0.608515625</v>
      </c>
      <c r="AI25" s="28">
        <f t="shared" si="308"/>
        <v>0.608515625</v>
      </c>
      <c r="AJ25" s="28">
        <f t="shared" si="308"/>
        <v>0.608515625</v>
      </c>
      <c r="AK25" s="28">
        <f t="shared" si="308"/>
        <v>0.61564062499999994</v>
      </c>
      <c r="AL25" s="28">
        <f t="shared" si="308"/>
        <v>0.62201562499999996</v>
      </c>
      <c r="AM25" s="28">
        <f t="shared" si="308"/>
        <v>0.6263749999999999</v>
      </c>
      <c r="AN25" s="28">
        <f t="shared" si="308"/>
        <v>0.63550000000000006</v>
      </c>
      <c r="AO25" s="28">
        <f t="shared" si="308"/>
        <v>0.64654687499999997</v>
      </c>
      <c r="AP25" s="28">
        <f t="shared" si="308"/>
        <v>0.65668749999999998</v>
      </c>
      <c r="AQ25" s="28">
        <f t="shared" si="308"/>
        <v>0.66239062500000001</v>
      </c>
      <c r="AR25" s="28">
        <f t="shared" si="308"/>
        <v>0.67928906249999998</v>
      </c>
      <c r="AS25" s="28">
        <f t="shared" si="308"/>
        <v>0.69327343750000003</v>
      </c>
      <c r="AT25" s="28">
        <f t="shared" si="308"/>
        <v>0.70527343750000004</v>
      </c>
      <c r="AU25" s="28">
        <f t="shared" si="308"/>
        <v>0.70948437499999994</v>
      </c>
      <c r="AV25" s="28">
        <f t="shared" si="308"/>
        <v>0.7207265625</v>
      </c>
      <c r="AW25" s="28">
        <f t="shared" si="308"/>
        <v>0.72535937500000003</v>
      </c>
      <c r="AX25" s="28">
        <f t="shared" si="308"/>
        <v>0.72882812499999994</v>
      </c>
      <c r="AY25" s="28">
        <f t="shared" si="308"/>
        <v>0.72882812499999994</v>
      </c>
      <c r="AZ25" s="28">
        <f t="shared" si="308"/>
        <v>0.76813312499999997</v>
      </c>
      <c r="BA25" s="28">
        <f t="shared" si="308"/>
        <v>0.77113312499999997</v>
      </c>
      <c r="BB25" s="28">
        <f t="shared" si="308"/>
        <v>0.78543730468749995</v>
      </c>
      <c r="BC25" s="28">
        <f t="shared" si="308"/>
        <v>0.83264109765624994</v>
      </c>
      <c r="BD25" s="28">
        <f t="shared" si="308"/>
        <v>0.85960447636718751</v>
      </c>
      <c r="BE25" s="28">
        <f t="shared" si="308"/>
        <v>0.88528047890624995</v>
      </c>
      <c r="BF25" s="28">
        <f t="shared" si="308"/>
        <v>0.90816716640625006</v>
      </c>
      <c r="BG25" s="161">
        <f t="shared" si="308"/>
        <v>0.92450969169921871</v>
      </c>
      <c r="BH25" s="161">
        <f t="shared" si="308"/>
        <v>0.93652520263671879</v>
      </c>
      <c r="BI25" s="28">
        <f t="shared" si="308"/>
        <v>0.93952908037109373</v>
      </c>
      <c r="BJ25" s="28">
        <f t="shared" si="308"/>
        <v>0.93952908037109373</v>
      </c>
      <c r="BK25" s="28">
        <f t="shared" si="308"/>
        <v>0.93952908037109373</v>
      </c>
      <c r="BL25" s="28">
        <f t="shared" si="308"/>
        <v>0.93952908037109373</v>
      </c>
      <c r="BM25" s="28">
        <f t="shared" si="308"/>
        <v>0.94429714026692713</v>
      </c>
      <c r="BN25" s="28">
        <f t="shared" si="308"/>
        <v>0.9471579762044271</v>
      </c>
      <c r="BO25" s="28">
        <f t="shared" si="308"/>
        <v>0.96637325758463544</v>
      </c>
      <c r="BP25" s="28">
        <f t="shared" si="308"/>
        <v>0.97412135491536456</v>
      </c>
      <c r="BQ25" s="28">
        <f t="shared" si="308"/>
        <v>0.98663751214192708</v>
      </c>
      <c r="BR25" s="28">
        <f t="shared" si="308"/>
        <v>0.99227574296874999</v>
      </c>
      <c r="BS25" s="28">
        <f t="shared" si="308"/>
        <v>0.99227574296874999</v>
      </c>
      <c r="BT25" s="28">
        <f t="shared" si="308"/>
        <v>0.99227574296874999</v>
      </c>
      <c r="BU25" s="28">
        <f t="shared" si="308"/>
        <v>1</v>
      </c>
      <c r="BV25" s="28">
        <f t="shared" si="308"/>
        <v>1</v>
      </c>
      <c r="BW25" s="28">
        <f t="shared" si="308"/>
        <v>1</v>
      </c>
      <c r="BX25" s="28">
        <f t="shared" si="308"/>
        <v>1</v>
      </c>
      <c r="BY25" s="28">
        <f t="shared" si="308"/>
        <v>1</v>
      </c>
      <c r="BZ25" s="28">
        <f t="shared" si="308"/>
        <v>1</v>
      </c>
      <c r="CA25" s="28">
        <f t="shared" si="308"/>
        <v>1</v>
      </c>
      <c r="CB25" s="28">
        <f t="shared" si="308"/>
        <v>1</v>
      </c>
      <c r="CC25" s="28">
        <f t="shared" si="308"/>
        <v>1</v>
      </c>
      <c r="CD25" s="28">
        <f t="shared" si="308"/>
        <v>1</v>
      </c>
      <c r="CE25" s="28">
        <f t="shared" si="308"/>
        <v>1</v>
      </c>
      <c r="CF25" s="28">
        <f t="shared" si="308"/>
        <v>1</v>
      </c>
      <c r="CG25" s="28">
        <f t="shared" si="308"/>
        <v>1</v>
      </c>
      <c r="CH25" s="28">
        <f t="shared" si="308"/>
        <v>1</v>
      </c>
      <c r="CI25" s="28">
        <f t="shared" si="308"/>
        <v>1</v>
      </c>
      <c r="CJ25" s="28">
        <f t="shared" si="308"/>
        <v>1</v>
      </c>
      <c r="CK25" s="28">
        <f t="shared" si="308"/>
        <v>1</v>
      </c>
      <c r="CL25" s="28">
        <f t="shared" si="308"/>
        <v>1</v>
      </c>
      <c r="CM25" s="28">
        <f t="shared" si="308"/>
        <v>1</v>
      </c>
      <c r="CN25" s="28">
        <f t="shared" ref="CN25:EI25" si="309">+CN26*$G$26</f>
        <v>1</v>
      </c>
      <c r="CO25" s="28">
        <f t="shared" si="309"/>
        <v>1</v>
      </c>
      <c r="CP25" s="28">
        <f t="shared" si="309"/>
        <v>1</v>
      </c>
      <c r="CQ25" s="28">
        <f t="shared" si="309"/>
        <v>1</v>
      </c>
      <c r="CR25" s="28">
        <f t="shared" si="309"/>
        <v>1</v>
      </c>
      <c r="CS25" s="28">
        <f t="shared" si="309"/>
        <v>1</v>
      </c>
      <c r="CT25" s="28">
        <f t="shared" si="309"/>
        <v>1</v>
      </c>
      <c r="CU25" s="28">
        <f t="shared" si="309"/>
        <v>1</v>
      </c>
      <c r="CV25" s="28">
        <f t="shared" si="309"/>
        <v>1</v>
      </c>
      <c r="CW25" s="28">
        <f t="shared" si="309"/>
        <v>1</v>
      </c>
      <c r="CX25" s="28">
        <f t="shared" si="309"/>
        <v>1</v>
      </c>
      <c r="CY25" s="28">
        <f t="shared" si="309"/>
        <v>1</v>
      </c>
      <c r="CZ25" s="28">
        <f t="shared" si="309"/>
        <v>1</v>
      </c>
      <c r="DA25" s="28">
        <f t="shared" si="309"/>
        <v>1</v>
      </c>
      <c r="DB25" s="28">
        <f t="shared" si="309"/>
        <v>1</v>
      </c>
      <c r="DC25" s="28">
        <f t="shared" si="309"/>
        <v>1</v>
      </c>
      <c r="DD25" s="28">
        <f t="shared" si="309"/>
        <v>1</v>
      </c>
      <c r="DE25" s="28">
        <f t="shared" si="309"/>
        <v>1</v>
      </c>
      <c r="DF25" s="28">
        <f t="shared" si="309"/>
        <v>1</v>
      </c>
      <c r="DG25" s="28">
        <f t="shared" si="309"/>
        <v>1</v>
      </c>
      <c r="DH25" s="28">
        <f t="shared" si="309"/>
        <v>1</v>
      </c>
      <c r="DI25" s="28">
        <f t="shared" si="309"/>
        <v>1</v>
      </c>
      <c r="DJ25" s="28">
        <f t="shared" si="309"/>
        <v>1</v>
      </c>
      <c r="DK25" s="28">
        <f t="shared" si="309"/>
        <v>1</v>
      </c>
      <c r="DL25" s="28">
        <f t="shared" si="309"/>
        <v>1</v>
      </c>
      <c r="DM25" s="28">
        <f t="shared" si="309"/>
        <v>1</v>
      </c>
      <c r="DN25" s="28">
        <f t="shared" si="309"/>
        <v>1</v>
      </c>
      <c r="DO25" s="28">
        <f t="shared" si="309"/>
        <v>1</v>
      </c>
      <c r="DP25" s="28">
        <f t="shared" si="309"/>
        <v>1</v>
      </c>
      <c r="DQ25" s="28">
        <f t="shared" si="309"/>
        <v>1</v>
      </c>
      <c r="DR25" s="28">
        <f t="shared" si="309"/>
        <v>1</v>
      </c>
      <c r="DS25" s="28">
        <f t="shared" si="309"/>
        <v>1</v>
      </c>
      <c r="DT25" s="28">
        <f t="shared" si="309"/>
        <v>1</v>
      </c>
      <c r="DU25" s="28">
        <f t="shared" si="309"/>
        <v>1</v>
      </c>
      <c r="DV25" s="28">
        <f t="shared" si="309"/>
        <v>1</v>
      </c>
      <c r="DW25" s="28">
        <f t="shared" si="309"/>
        <v>1</v>
      </c>
      <c r="DX25" s="28">
        <f t="shared" si="309"/>
        <v>1</v>
      </c>
      <c r="DY25" s="28">
        <f t="shared" si="309"/>
        <v>1</v>
      </c>
      <c r="DZ25" s="28">
        <f t="shared" si="309"/>
        <v>1</v>
      </c>
      <c r="EA25" s="28">
        <f t="shared" si="309"/>
        <v>1</v>
      </c>
      <c r="EB25" s="28">
        <f t="shared" si="309"/>
        <v>1</v>
      </c>
      <c r="EC25" s="28">
        <f t="shared" si="309"/>
        <v>1</v>
      </c>
      <c r="ED25" s="28">
        <f t="shared" si="309"/>
        <v>1</v>
      </c>
      <c r="EE25" s="28">
        <f t="shared" si="309"/>
        <v>1</v>
      </c>
      <c r="EF25" s="28">
        <f t="shared" si="309"/>
        <v>1</v>
      </c>
      <c r="EG25" s="28">
        <f t="shared" si="309"/>
        <v>1</v>
      </c>
      <c r="EH25" s="28">
        <f t="shared" si="309"/>
        <v>1</v>
      </c>
      <c r="EI25" s="28">
        <f t="shared" si="309"/>
        <v>1</v>
      </c>
    </row>
    <row r="26" spans="2:139" ht="15" hidden="1" customHeight="1" outlineLevel="3" x14ac:dyDescent="0.3">
      <c r="B26" s="36"/>
      <c r="C26" s="37"/>
      <c r="D26" s="37"/>
      <c r="E26" s="54" t="s">
        <v>30</v>
      </c>
      <c r="F26" s="33">
        <v>60</v>
      </c>
      <c r="G26" s="35">
        <v>1</v>
      </c>
      <c r="H26" s="162"/>
      <c r="I26" s="127">
        <v>0</v>
      </c>
      <c r="J26" s="127">
        <v>0</v>
      </c>
      <c r="K26" s="127">
        <v>0</v>
      </c>
      <c r="L26" s="127">
        <v>0</v>
      </c>
      <c r="M26" s="128">
        <v>0</v>
      </c>
      <c r="N26" s="128">
        <v>0</v>
      </c>
      <c r="O26" s="127">
        <v>2.6718749999999999E-2</v>
      </c>
      <c r="P26" s="127">
        <v>7.3437500000000003E-2</v>
      </c>
      <c r="Q26" s="127">
        <v>0.21999999999999997</v>
      </c>
      <c r="R26" s="127">
        <v>0.24249999999999999</v>
      </c>
      <c r="S26" s="127">
        <v>0.35</v>
      </c>
      <c r="T26" s="127">
        <v>0.35</v>
      </c>
      <c r="U26" s="127">
        <v>0.35</v>
      </c>
      <c r="V26" s="127">
        <v>0.35</v>
      </c>
      <c r="W26" s="127">
        <v>0.35</v>
      </c>
      <c r="X26" s="127">
        <v>0.3725</v>
      </c>
      <c r="Y26" s="127">
        <v>0.5</v>
      </c>
      <c r="Z26" s="127">
        <v>0.57499999999999996</v>
      </c>
      <c r="AA26" s="127">
        <v>0.57781249999999995</v>
      </c>
      <c r="AB26" s="127">
        <v>0.58624999999999994</v>
      </c>
      <c r="AC26" s="127">
        <v>0.58812500000000001</v>
      </c>
      <c r="AD26" s="127">
        <v>0.58981249999999996</v>
      </c>
      <c r="AE26" s="127">
        <v>0.60082812499999994</v>
      </c>
      <c r="AF26" s="127">
        <v>0.60481249999999998</v>
      </c>
      <c r="AG26" s="127">
        <v>0.60783593749999998</v>
      </c>
      <c r="AH26" s="127">
        <v>0.608515625</v>
      </c>
      <c r="AI26" s="127">
        <v>0.608515625</v>
      </c>
      <c r="AJ26" s="127">
        <v>0.608515625</v>
      </c>
      <c r="AK26" s="127">
        <v>0.61564062499999994</v>
      </c>
      <c r="AL26" s="127">
        <v>0.62201562499999996</v>
      </c>
      <c r="AM26" s="127">
        <v>0.6263749999999999</v>
      </c>
      <c r="AN26" s="127">
        <v>0.63550000000000006</v>
      </c>
      <c r="AO26" s="127">
        <v>0.64654687499999997</v>
      </c>
      <c r="AP26" s="127">
        <v>0.65668749999999998</v>
      </c>
      <c r="AQ26" s="127">
        <v>0.66239062500000001</v>
      </c>
      <c r="AR26" s="127">
        <v>0.67928906249999998</v>
      </c>
      <c r="AS26" s="127">
        <v>0.69327343750000003</v>
      </c>
      <c r="AT26" s="127">
        <v>0.70527343750000004</v>
      </c>
      <c r="AU26" s="127">
        <v>0.70948437499999994</v>
      </c>
      <c r="AV26" s="127">
        <v>0.7207265625</v>
      </c>
      <c r="AW26" s="127">
        <v>0.72535937500000003</v>
      </c>
      <c r="AX26" s="127">
        <v>0.72882812499999994</v>
      </c>
      <c r="AY26" s="127">
        <v>0.72882812499999994</v>
      </c>
      <c r="AZ26" s="127">
        <v>0.76813312499999997</v>
      </c>
      <c r="BA26" s="127">
        <v>0.77113312499999997</v>
      </c>
      <c r="BB26" s="127">
        <f>Real[[#This Row],[05/05/25]]+(1-Real[[#This Row],[05/05/25]])*'Avance 39'!I14</f>
        <v>0.78543730468749995</v>
      </c>
      <c r="BC26" s="127">
        <f>Real[[#This Row],[05/05/25]]+(1-Real[[#This Row],[05/05/25]])*'Avance 39'!J14</f>
        <v>0.83264109765624994</v>
      </c>
      <c r="BD26" s="127">
        <f>Real[[#This Row],[05/05/25]]+(1-Real[[#This Row],[05/05/25]])*'Avance 39'!K14</f>
        <v>0.85960447636718751</v>
      </c>
      <c r="BE26" s="127">
        <f>Real[[#This Row],[05/05/25]]+(1-Real[[#This Row],[05/05/25]])*'Avance 39'!L14</f>
        <v>0.88528047890624995</v>
      </c>
      <c r="BF26" s="127">
        <f>Real[[#This Row],[05/05/25]]+(1-Real[[#This Row],[05/05/25]])*'Avance 39'!M14</f>
        <v>0.90816716640625006</v>
      </c>
      <c r="BG26" s="163">
        <f>Real[[#This Row],[05/05/25]]+(1-Real[[#This Row],[05/05/25]])*'Avance 39'!N14</f>
        <v>0.92450969169921871</v>
      </c>
      <c r="BH26" s="163">
        <f>Real[[#This Row],[05/05/25]]+(1-Real[[#This Row],[05/05/25]])*'Avance 39'!O14</f>
        <v>0.93652520263671879</v>
      </c>
      <c r="BI26" s="127">
        <f>Real[[#This Row],[05/05/25]]+(1-Real[[#This Row],[05/05/25]])*'Avance 39'!P14</f>
        <v>0.93952908037109373</v>
      </c>
      <c r="BJ26" s="127">
        <f>Real[[#This Row],[05/05/25]]+(1-Real[[#This Row],[05/05/25]])*'Avance 39'!Q14</f>
        <v>0.93952908037109373</v>
      </c>
      <c r="BK26" s="127">
        <f>Real[[#This Row],[05/05/25]]+(1-Real[[#This Row],[05/05/25]])*'Avance 39'!R14</f>
        <v>0.93952908037109373</v>
      </c>
      <c r="BL26" s="127">
        <f>Real[[#This Row],[05/05/25]]+(1-Real[[#This Row],[05/05/25]])*'Avance 39'!S14</f>
        <v>0.93952908037109373</v>
      </c>
      <c r="BM26" s="127">
        <f>Real[[#This Row],[05/05/25]]+(1-Real[[#This Row],[05/05/25]])*'Avance 39'!T14</f>
        <v>0.94429714026692713</v>
      </c>
      <c r="BN26" s="127">
        <f>Real[[#This Row],[05/05/25]]+(1-Real[[#This Row],[05/05/25]])*'Avance 39'!U14</f>
        <v>0.9471579762044271</v>
      </c>
      <c r="BO26" s="127">
        <f>Real[[#This Row],[05/05/25]]+(1-Real[[#This Row],[05/05/25]])*'Avance 39'!V14</f>
        <v>0.96637325758463544</v>
      </c>
      <c r="BP26" s="127">
        <f>Real[[#This Row],[05/05/25]]+(1-Real[[#This Row],[05/05/25]])*'Avance 39'!W14</f>
        <v>0.97412135491536456</v>
      </c>
      <c r="BQ26" s="127">
        <f>Real[[#This Row],[05/05/25]]+(1-Real[[#This Row],[05/05/25]])*'Avance 39'!X14</f>
        <v>0.98663751214192708</v>
      </c>
      <c r="BR26" s="127">
        <f>Real[[#This Row],[05/05/25]]+(1-Real[[#This Row],[05/05/25]])*'Avance 39'!Y14</f>
        <v>0.99227574296874999</v>
      </c>
      <c r="BS26" s="127">
        <f>Real[[#This Row],[05/05/25]]+(1-Real[[#This Row],[05/05/25]])*'Avance 39'!Z14</f>
        <v>0.99227574296874999</v>
      </c>
      <c r="BT26" s="127">
        <f>Real[[#This Row],[05/05/25]]+(1-Real[[#This Row],[05/05/25]])*'Avance 39'!AA14</f>
        <v>0.99227574296874999</v>
      </c>
      <c r="BU26" s="127">
        <f>Real[[#This Row],[05/05/25]]+(1-Real[[#This Row],[05/05/25]])*'Avance 39'!AB14</f>
        <v>1</v>
      </c>
      <c r="BV26" s="127">
        <f>Real[[#This Row],[05/05/25]]+(1-Real[[#This Row],[05/05/25]])*'Avance 39'!AC14</f>
        <v>1</v>
      </c>
      <c r="BW26" s="127">
        <f>Real[[#This Row],[05/05/25]]+(1-Real[[#This Row],[05/05/25]])*'Avance 39'!AD14</f>
        <v>1</v>
      </c>
      <c r="BX26" s="127">
        <f>Real[[#This Row],[05/05/25]]+(1-Real[[#This Row],[05/05/25]])*'Avance 39'!AE14</f>
        <v>1</v>
      </c>
      <c r="BY26" s="127">
        <f>Real[[#This Row],[05/05/25]]+(1-Real[[#This Row],[05/05/25]])*'Avance 39'!AF14</f>
        <v>1</v>
      </c>
      <c r="BZ26" s="127">
        <f>Real[[#This Row],[05/05/25]]+(1-Real[[#This Row],[05/05/25]])*'Avance 39'!AG14</f>
        <v>1</v>
      </c>
      <c r="CA26" s="127">
        <f>Real[[#This Row],[05/05/25]]+(1-Real[[#This Row],[05/05/25]])*'Avance 39'!AH14</f>
        <v>1</v>
      </c>
      <c r="CB26" s="127">
        <f>Real[[#This Row],[05/05/25]]+(1-Real[[#This Row],[05/05/25]])*'Avance 39'!AI14</f>
        <v>1</v>
      </c>
      <c r="CC26" s="127">
        <f>Real[[#This Row],[05/05/25]]+(1-Real[[#This Row],[05/05/25]])*'Avance 39'!AJ14</f>
        <v>1</v>
      </c>
      <c r="CD26" s="127">
        <f>Real[[#This Row],[05/05/25]]+(1-Real[[#This Row],[05/05/25]])*'Avance 39'!AK14</f>
        <v>1</v>
      </c>
      <c r="CE26" s="127">
        <f>Real[[#This Row],[05/05/25]]+(1-Real[[#This Row],[05/05/25]])*'Avance 39'!AL14</f>
        <v>1</v>
      </c>
      <c r="CF26" s="127">
        <f>Real[[#This Row],[05/05/25]]+(1-Real[[#This Row],[05/05/25]])*'Avance 39'!AM14</f>
        <v>1</v>
      </c>
      <c r="CG26" s="127">
        <f>Real[[#This Row],[05/05/25]]+(1-Real[[#This Row],[05/05/25]])*'Avance 39'!AN14</f>
        <v>1</v>
      </c>
      <c r="CH26" s="127">
        <f>Real[[#This Row],[05/05/25]]+(1-Real[[#This Row],[05/05/25]])*'Avance 39'!AO14</f>
        <v>1</v>
      </c>
      <c r="CI26" s="127">
        <f>Real[[#This Row],[05/05/25]]+(1-Real[[#This Row],[05/05/25]])*'Avance 39'!AP14</f>
        <v>1</v>
      </c>
      <c r="CJ26" s="127">
        <f>Real[[#This Row],[05/05/25]]+(1-Real[[#This Row],[05/05/25]])*'Avance 39'!AQ14</f>
        <v>1</v>
      </c>
      <c r="CK26" s="127">
        <f>Real[[#This Row],[05/05/25]]+(1-Real[[#This Row],[05/05/25]])*'Avance 39'!AR14</f>
        <v>1</v>
      </c>
      <c r="CL26" s="127">
        <f>Real[[#This Row],[05/05/25]]+(1-Real[[#This Row],[05/05/25]])*'Avance 39'!AS14</f>
        <v>1</v>
      </c>
      <c r="CM26" s="127">
        <f>Real[[#This Row],[05/05/25]]+(1-Real[[#This Row],[05/05/25]])*'Avance 39'!AT14</f>
        <v>1</v>
      </c>
      <c r="CN26" s="127">
        <f>Real[[#This Row],[05/05/25]]+(1-Real[[#This Row],[05/05/25]])*'Avance 39'!AU14</f>
        <v>1</v>
      </c>
      <c r="CO26" s="127">
        <f>Real[[#This Row],[05/05/25]]+(1-Real[[#This Row],[05/05/25]])*'Avance 39'!AV14</f>
        <v>1</v>
      </c>
      <c r="CP26" s="127">
        <f>Real[[#This Row],[05/05/25]]+(1-Real[[#This Row],[05/05/25]])*'Avance 39'!AW14</f>
        <v>1</v>
      </c>
      <c r="CQ26" s="127">
        <f>Real[[#This Row],[05/05/25]]+(1-Real[[#This Row],[05/05/25]])*'Avance 39'!AX14</f>
        <v>1</v>
      </c>
      <c r="CR26" s="127">
        <f>Real[[#This Row],[05/05/25]]+(1-Real[[#This Row],[05/05/25]])*'Avance 39'!AY14</f>
        <v>1</v>
      </c>
      <c r="CS26" s="127">
        <f>Real[[#This Row],[05/05/25]]+(1-Real[[#This Row],[05/05/25]])*'Avance 39'!AZ14</f>
        <v>1</v>
      </c>
      <c r="CT26" s="127">
        <f>Real[[#This Row],[05/05/25]]+(1-Real[[#This Row],[05/05/25]])*'Avance 39'!BA14</f>
        <v>1</v>
      </c>
      <c r="CU26" s="127">
        <f>Real[[#This Row],[05/05/25]]+(1-Real[[#This Row],[05/05/25]])*'Avance 39'!BB14</f>
        <v>1</v>
      </c>
      <c r="CV26" s="127">
        <f>Real[[#This Row],[05/05/25]]+(1-Real[[#This Row],[05/05/25]])*'Avance 39'!BC14</f>
        <v>1</v>
      </c>
      <c r="CW26" s="127">
        <f>Real[[#This Row],[05/05/25]]+(1-Real[[#This Row],[05/05/25]])*'Avance 39'!BD14</f>
        <v>1</v>
      </c>
      <c r="CX26" s="127">
        <f>Real[[#This Row],[05/05/25]]+(1-Real[[#This Row],[05/05/25]])*'Avance 39'!BE14</f>
        <v>1</v>
      </c>
      <c r="CY26" s="127">
        <f>Real[[#This Row],[05/05/25]]+(1-Real[[#This Row],[05/05/25]])*'Avance 39'!BF14</f>
        <v>1</v>
      </c>
      <c r="CZ26" s="127">
        <f>Real[[#This Row],[05/05/25]]+(1-Real[[#This Row],[05/05/25]])*'Avance 39'!BG14</f>
        <v>1</v>
      </c>
      <c r="DA26" s="127">
        <f>Real[[#This Row],[05/05/25]]+(1-Real[[#This Row],[05/05/25]])*'Avance 39'!BH14</f>
        <v>1</v>
      </c>
      <c r="DB26" s="127">
        <f>Real[[#This Row],[05/05/25]]+(1-Real[[#This Row],[05/05/25]])*'Avance 39'!BI14</f>
        <v>1</v>
      </c>
      <c r="DC26" s="127">
        <f>Real[[#This Row],[05/05/25]]+(1-Real[[#This Row],[05/05/25]])*'Avance 39'!BJ14</f>
        <v>1</v>
      </c>
      <c r="DD26" s="127">
        <f>Real[[#This Row],[05/05/25]]+(1-Real[[#This Row],[05/05/25]])*'Avance 39'!BK14</f>
        <v>1</v>
      </c>
      <c r="DE26" s="127">
        <f>Real[[#This Row],[05/05/25]]+(1-Real[[#This Row],[05/05/25]])*'Avance 39'!BL14</f>
        <v>1</v>
      </c>
      <c r="DF26" s="127">
        <f>Real[[#This Row],[05/05/25]]+(1-Real[[#This Row],[05/05/25]])*'Avance 39'!BM14</f>
        <v>1</v>
      </c>
      <c r="DG26" s="127">
        <f>Real[[#This Row],[05/05/25]]+(1-Real[[#This Row],[05/05/25]])*'Avance 39'!BN14</f>
        <v>1</v>
      </c>
      <c r="DH26" s="127">
        <f>Real[[#This Row],[05/05/25]]+(1-Real[[#This Row],[05/05/25]])*'Avance 39'!BO14</f>
        <v>1</v>
      </c>
      <c r="DI26" s="127">
        <f>Real[[#This Row],[05/05/25]]+(1-Real[[#This Row],[05/05/25]])*'Avance 39'!BP14</f>
        <v>1</v>
      </c>
      <c r="DJ26" s="127">
        <f>Real[[#This Row],[05/05/25]]+(1-Real[[#This Row],[05/05/25]])*'Avance 39'!BQ14</f>
        <v>1</v>
      </c>
      <c r="DK26" s="127">
        <f>Real[[#This Row],[05/05/25]]+(1-Real[[#This Row],[05/05/25]])*'Avance 39'!BR14</f>
        <v>1</v>
      </c>
      <c r="DL26" s="127">
        <f>Real[[#This Row],[05/05/25]]+(1-Real[[#This Row],[05/05/25]])*'Avance 39'!BS14</f>
        <v>1</v>
      </c>
      <c r="DM26" s="127">
        <f>Real[[#This Row],[05/05/25]]+(1-Real[[#This Row],[05/05/25]])*'Avance 39'!BT14</f>
        <v>1</v>
      </c>
      <c r="DN26" s="127">
        <f>Real[[#This Row],[05/05/25]]+(1-Real[[#This Row],[05/05/25]])*'Avance 39'!BU14</f>
        <v>1</v>
      </c>
      <c r="DO26" s="127">
        <f>Real[[#This Row],[05/05/25]]+(1-Real[[#This Row],[05/05/25]])*'Avance 39'!BV14</f>
        <v>1</v>
      </c>
      <c r="DP26" s="127">
        <f>Real[[#This Row],[05/05/25]]+(1-Real[[#This Row],[05/05/25]])*'Avance 39'!BW14</f>
        <v>1</v>
      </c>
      <c r="DQ26" s="127">
        <f>Real[[#This Row],[05/05/25]]+(1-Real[[#This Row],[05/05/25]])*'Avance 39'!BX14</f>
        <v>1</v>
      </c>
      <c r="DR26" s="127">
        <f>Real[[#This Row],[05/05/25]]+(1-Real[[#This Row],[05/05/25]])*'Avance 39'!BY14</f>
        <v>1</v>
      </c>
      <c r="DS26" s="127">
        <f>Real[[#This Row],[05/05/25]]+(1-Real[[#This Row],[05/05/25]])*'Avance 39'!BZ14</f>
        <v>1</v>
      </c>
      <c r="DT26" s="127">
        <f>Real[[#This Row],[05/05/25]]+(1-Real[[#This Row],[05/05/25]])*'Avance 39'!CA14</f>
        <v>1</v>
      </c>
      <c r="DU26" s="127">
        <f>Real[[#This Row],[05/05/25]]+(1-Real[[#This Row],[05/05/25]])*'Avance 39'!CB14</f>
        <v>1</v>
      </c>
      <c r="DV26" s="127">
        <f>Real[[#This Row],[05/05/25]]+(1-Real[[#This Row],[05/05/25]])*'Avance 39'!CC14</f>
        <v>1</v>
      </c>
      <c r="DW26" s="127">
        <f>Real[[#This Row],[05/05/25]]+(1-Real[[#This Row],[05/05/25]])*'Avance 39'!CD14</f>
        <v>1</v>
      </c>
      <c r="DX26" s="127">
        <f>Real[[#This Row],[05/05/25]]+(1-Real[[#This Row],[05/05/25]])*'Avance 39'!CE14</f>
        <v>1</v>
      </c>
      <c r="DY26" s="127">
        <f>Real[[#This Row],[05/05/25]]+(1-Real[[#This Row],[05/05/25]])*'Avance 39'!CF14</f>
        <v>1</v>
      </c>
      <c r="DZ26" s="127">
        <f>Real[[#This Row],[05/05/25]]+(1-Real[[#This Row],[05/05/25]])*'Avance 39'!CG14</f>
        <v>1</v>
      </c>
      <c r="EA26" s="127">
        <f>Real[[#This Row],[05/05/25]]+(1-Real[[#This Row],[05/05/25]])*'Avance 39'!CH14</f>
        <v>1</v>
      </c>
      <c r="EB26" s="127">
        <f>Real[[#This Row],[05/05/25]]+(1-Real[[#This Row],[05/05/25]])*'Avance 39'!CI14</f>
        <v>1</v>
      </c>
      <c r="EC26" s="127">
        <f>Real[[#This Row],[05/05/25]]+(1-Real[[#This Row],[05/05/25]])*'Avance 39'!CJ14</f>
        <v>1</v>
      </c>
      <c r="ED26" s="127">
        <f>Real[[#This Row],[05/05/25]]+(1-Real[[#This Row],[05/05/25]])*'Avance 39'!CK14</f>
        <v>1</v>
      </c>
      <c r="EE26" s="127">
        <f>Real[[#This Row],[05/05/25]]+(1-Real[[#This Row],[05/05/25]])*'Avance 39'!CL14</f>
        <v>1</v>
      </c>
      <c r="EF26" s="127">
        <f>Real[[#This Row],[05/05/25]]+(1-Real[[#This Row],[05/05/25]])*'Avance 39'!CM14</f>
        <v>1</v>
      </c>
      <c r="EG26" s="127">
        <f>Real[[#This Row],[05/05/25]]+(1-Real[[#This Row],[05/05/25]])*'Avance 39'!CN14</f>
        <v>1</v>
      </c>
      <c r="EH26" s="127">
        <f>Real[[#This Row],[05/05/25]]+(1-Real[[#This Row],[05/05/25]])*'Avance 39'!CO14</f>
        <v>1</v>
      </c>
      <c r="EI26" s="127">
        <f>Real[[#This Row],[05/05/25]]+(1-Real[[#This Row],[05/05/25]])*'Avance 39'!CP14</f>
        <v>1</v>
      </c>
    </row>
    <row r="27" spans="2:139" ht="15" outlineLevel="2" collapsed="1" x14ac:dyDescent="0.3">
      <c r="B27" s="22"/>
      <c r="C27" s="23"/>
      <c r="D27" s="23" t="s">
        <v>31</v>
      </c>
      <c r="E27" s="50"/>
      <c r="F27" s="26">
        <f>+SUM(F28:F34)</f>
        <v>320</v>
      </c>
      <c r="G27" s="28">
        <v>0.12500840447381109</v>
      </c>
      <c r="H27" s="160"/>
      <c r="I27" s="28">
        <f t="shared" ref="I27:BD27" si="310">+SUMPRODUCT($G$28:$G$34,I28:I34)</f>
        <v>0</v>
      </c>
      <c r="J27" s="28">
        <f t="shared" si="310"/>
        <v>0</v>
      </c>
      <c r="K27" s="28">
        <f t="shared" si="310"/>
        <v>0</v>
      </c>
      <c r="L27" s="28">
        <f t="shared" si="310"/>
        <v>0</v>
      </c>
      <c r="M27" s="64">
        <f t="shared" si="310"/>
        <v>0</v>
      </c>
      <c r="N27" s="64">
        <f t="shared" si="310"/>
        <v>0</v>
      </c>
      <c r="O27" s="28">
        <f t="shared" si="310"/>
        <v>3.5000000000000003E-2</v>
      </c>
      <c r="P27" s="28">
        <f t="shared" si="310"/>
        <v>7.3062500000000002E-2</v>
      </c>
      <c r="Q27" s="28">
        <f t="shared" si="310"/>
        <v>8.8350499999999998E-2</v>
      </c>
      <c r="R27" s="28">
        <f t="shared" si="310"/>
        <v>0.1138305</v>
      </c>
      <c r="S27" s="28">
        <f t="shared" si="310"/>
        <v>0.341059</v>
      </c>
      <c r="T27" s="28">
        <f t="shared" si="310"/>
        <v>0.341059</v>
      </c>
      <c r="U27" s="28">
        <f t="shared" si="310"/>
        <v>0.39271900000000004</v>
      </c>
      <c r="V27" s="28">
        <f t="shared" si="310"/>
        <v>0.40937900000000005</v>
      </c>
      <c r="W27" s="28">
        <f t="shared" si="310"/>
        <v>0.40937900000000005</v>
      </c>
      <c r="X27" s="28">
        <f t="shared" si="310"/>
        <v>0.40937900000000005</v>
      </c>
      <c r="Y27" s="28">
        <f t="shared" si="310"/>
        <v>0.45800733333333332</v>
      </c>
      <c r="Z27" s="28">
        <f t="shared" si="310"/>
        <v>0.55937899999999996</v>
      </c>
      <c r="AA27" s="28">
        <f t="shared" si="310"/>
        <v>0.55937899999999996</v>
      </c>
      <c r="AB27" s="28">
        <f t="shared" si="310"/>
        <v>0.56861899999999999</v>
      </c>
      <c r="AC27" s="28">
        <f t="shared" si="310"/>
        <v>0.57475100000000001</v>
      </c>
      <c r="AD27" s="28">
        <f t="shared" si="310"/>
        <v>0.57475100000000001</v>
      </c>
      <c r="AE27" s="28">
        <f t="shared" si="310"/>
        <v>0.57475100000000001</v>
      </c>
      <c r="AF27" s="28">
        <f t="shared" si="310"/>
        <v>0.57475100000000001</v>
      </c>
      <c r="AG27" s="28">
        <f t="shared" si="310"/>
        <v>0.58823132</v>
      </c>
      <c r="AH27" s="28">
        <f t="shared" si="310"/>
        <v>0.59012299999999995</v>
      </c>
      <c r="AI27" s="28">
        <f t="shared" si="310"/>
        <v>0.59012299999999995</v>
      </c>
      <c r="AJ27" s="28">
        <f t="shared" si="310"/>
        <v>0.59012299999999995</v>
      </c>
      <c r="AK27" s="28">
        <f t="shared" si="310"/>
        <v>0.59012299999999995</v>
      </c>
      <c r="AL27" s="28">
        <f t="shared" si="310"/>
        <v>0.59362300000000001</v>
      </c>
      <c r="AM27" s="28">
        <f t="shared" si="310"/>
        <v>0.6</v>
      </c>
      <c r="AN27" s="28">
        <f t="shared" si="310"/>
        <v>0.6</v>
      </c>
      <c r="AO27" s="28">
        <f t="shared" si="310"/>
        <v>0.6</v>
      </c>
      <c r="AP27" s="28">
        <f t="shared" si="310"/>
        <v>0.6</v>
      </c>
      <c r="AQ27" s="28">
        <f t="shared" si="310"/>
        <v>0.6</v>
      </c>
      <c r="AR27" s="28">
        <f t="shared" si="310"/>
        <v>0.6</v>
      </c>
      <c r="AS27" s="28">
        <f t="shared" si="310"/>
        <v>0.6</v>
      </c>
      <c r="AT27" s="28">
        <f t="shared" si="310"/>
        <v>0.6</v>
      </c>
      <c r="AU27" s="28">
        <f t="shared" si="310"/>
        <v>0.6</v>
      </c>
      <c r="AV27" s="28">
        <f t="shared" si="310"/>
        <v>0.6</v>
      </c>
      <c r="AW27" s="28">
        <f t="shared" si="310"/>
        <v>0.6</v>
      </c>
      <c r="AX27" s="28">
        <f t="shared" si="310"/>
        <v>0.6</v>
      </c>
      <c r="AY27" s="28">
        <f t="shared" si="310"/>
        <v>0.6</v>
      </c>
      <c r="AZ27" s="28">
        <f t="shared" si="310"/>
        <v>0.6</v>
      </c>
      <c r="BA27" s="28">
        <f t="shared" si="310"/>
        <v>0.6</v>
      </c>
      <c r="BB27" s="28">
        <f t="shared" si="310"/>
        <v>0.6</v>
      </c>
      <c r="BC27" s="28">
        <f t="shared" si="310"/>
        <v>0.6</v>
      </c>
      <c r="BD27" s="28">
        <f t="shared" si="310"/>
        <v>0.6</v>
      </c>
      <c r="BE27" s="28">
        <f t="shared" ref="BE27:BF27" si="311">+SUMPRODUCT($G$28:$G$34,BE28:BE34)</f>
        <v>0.6</v>
      </c>
      <c r="BF27" s="28">
        <f t="shared" si="311"/>
        <v>0.6</v>
      </c>
      <c r="BG27" s="161">
        <f t="shared" ref="BG27:BH27" si="312">+SUMPRODUCT($G$28:$G$34,BG28:BG34)</f>
        <v>0.6</v>
      </c>
      <c r="BH27" s="161">
        <f t="shared" si="312"/>
        <v>0.6</v>
      </c>
      <c r="BI27" s="28">
        <f t="shared" ref="BI27:BJ27" si="313">+SUMPRODUCT($G$28:$G$34,BI28:BI34)</f>
        <v>0.6</v>
      </c>
      <c r="BJ27" s="28">
        <f t="shared" si="313"/>
        <v>0.6</v>
      </c>
      <c r="BK27" s="28">
        <f t="shared" ref="BK27:BL27" si="314">+SUMPRODUCT($G$28:$G$34,BK28:BK34)</f>
        <v>0.6</v>
      </c>
      <c r="BL27" s="28">
        <f t="shared" si="314"/>
        <v>0.6</v>
      </c>
      <c r="BM27" s="28">
        <f t="shared" ref="BM27:BN27" si="315">+SUMPRODUCT($G$28:$G$34,BM28:BM34)</f>
        <v>0.6</v>
      </c>
      <c r="BN27" s="28">
        <f t="shared" si="315"/>
        <v>0.6018</v>
      </c>
      <c r="BO27" s="28">
        <f t="shared" ref="BO27:BP27" si="316">+SUMPRODUCT($G$28:$G$34,BO28:BO34)</f>
        <v>0.61559999999999993</v>
      </c>
      <c r="BP27" s="28">
        <f t="shared" si="316"/>
        <v>0.61943999999999999</v>
      </c>
      <c r="BQ27" s="28">
        <f t="shared" ref="BQ27:BR27" si="317">+SUMPRODUCT($G$28:$G$34,BQ28:BQ34)</f>
        <v>0.63719999999999999</v>
      </c>
      <c r="BR27" s="28">
        <f t="shared" si="317"/>
        <v>0.66072000000000009</v>
      </c>
      <c r="BS27" s="28">
        <f t="shared" ref="BS27:BT27" si="318">+SUMPRODUCT($G$28:$G$34,BS28:BS34)</f>
        <v>0.69191199999999997</v>
      </c>
      <c r="BT27" s="28">
        <f t="shared" si="318"/>
        <v>0.71907199999999993</v>
      </c>
      <c r="BU27" s="28">
        <f t="shared" ref="BU27:BV27" si="319">+SUMPRODUCT($G$28:$G$34,BU28:BU34)</f>
        <v>0.72250399999999992</v>
      </c>
      <c r="BV27" s="28">
        <f t="shared" si="319"/>
        <v>0.75442399999999998</v>
      </c>
      <c r="BW27" s="28">
        <f t="shared" ref="BW27:BX27" si="320">+SUMPRODUCT($G$28:$G$34,BW28:BW34)</f>
        <v>0.76954400000000001</v>
      </c>
      <c r="BX27" s="28">
        <f t="shared" si="320"/>
        <v>0.76954400000000001</v>
      </c>
      <c r="BY27" s="28">
        <f t="shared" ref="BY27:BZ27" si="321">+SUMPRODUCT($G$28:$G$34,BY28:BY34)</f>
        <v>0.80334799999999995</v>
      </c>
      <c r="BZ27" s="28">
        <f t="shared" si="321"/>
        <v>0.81320799999999993</v>
      </c>
      <c r="CA27" s="28">
        <f t="shared" ref="CA27:CB27" si="322">+SUMPRODUCT($G$28:$G$34,CA28:CA34)</f>
        <v>0.81320799999999993</v>
      </c>
      <c r="CB27" s="28">
        <f t="shared" si="322"/>
        <v>0.87999999999999989</v>
      </c>
      <c r="CC27" s="28">
        <f t="shared" ref="CC27:CD27" si="323">+SUMPRODUCT($G$28:$G$34,CC28:CC34)</f>
        <v>0.87999999999999989</v>
      </c>
      <c r="CD27" s="28">
        <f t="shared" si="323"/>
        <v>0.87999999999999989</v>
      </c>
      <c r="CE27" s="28">
        <f t="shared" ref="CE27" si="324">+SUMPRODUCT($G$28:$G$34,CE28:CE34)</f>
        <v>0.8879999999999999</v>
      </c>
      <c r="CF27" s="28">
        <f t="shared" ref="CF27" si="325">+SUMPRODUCT($G$28:$G$34,CF28:CF34)</f>
        <v>0.8879999999999999</v>
      </c>
      <c r="CG27" s="28">
        <f t="shared" ref="CG27" si="326">+SUMPRODUCT($G$28:$G$34,CG28:CG34)</f>
        <v>0.89999999999999991</v>
      </c>
      <c r="CH27" s="28">
        <f t="shared" ref="CH27" si="327">+SUMPRODUCT($G$28:$G$34,CH28:CH34)</f>
        <v>0.90399999999999991</v>
      </c>
      <c r="CI27" s="28">
        <f t="shared" ref="CI27" si="328">+SUMPRODUCT($G$28:$G$34,CI28:CI34)</f>
        <v>0.90399999999999991</v>
      </c>
      <c r="CJ27" s="28">
        <f t="shared" ref="CJ27:CK27" si="329">+SUMPRODUCT($G$28:$G$34,CJ28:CJ34)</f>
        <v>0.90399999999999991</v>
      </c>
      <c r="CK27" s="28">
        <f t="shared" si="329"/>
        <v>0.90399999999999991</v>
      </c>
      <c r="CL27" s="28">
        <f t="shared" ref="CL27:CV27" si="330">+SUMPRODUCT($G$28:$G$34,CL28:CL34)</f>
        <v>0.90399999999999991</v>
      </c>
      <c r="CM27" s="28">
        <f t="shared" si="330"/>
        <v>0.90799999999999992</v>
      </c>
      <c r="CN27" s="28">
        <f t="shared" si="330"/>
        <v>0.90799999999999992</v>
      </c>
      <c r="CO27" s="28">
        <f t="shared" si="330"/>
        <v>0.90799999999999992</v>
      </c>
      <c r="CP27" s="28">
        <f t="shared" si="330"/>
        <v>0.90799999999999992</v>
      </c>
      <c r="CQ27" s="28">
        <f t="shared" si="330"/>
        <v>0.90799999999999992</v>
      </c>
      <c r="CR27" s="28">
        <f t="shared" si="330"/>
        <v>0.91199999999999992</v>
      </c>
      <c r="CS27" s="28">
        <f t="shared" si="330"/>
        <v>0.91199999999999992</v>
      </c>
      <c r="CT27" s="28">
        <f t="shared" si="330"/>
        <v>0.91199999999999992</v>
      </c>
      <c r="CU27" s="28">
        <f t="shared" si="330"/>
        <v>0.91599999999999993</v>
      </c>
      <c r="CV27" s="28">
        <f t="shared" si="330"/>
        <v>0.91900000000000004</v>
      </c>
      <c r="CW27" s="28">
        <f t="shared" ref="CW27" si="331">+SUMPRODUCT($G$28:$G$34,CW28:CW34)</f>
        <v>0.91900000000000004</v>
      </c>
      <c r="CX27" s="28">
        <f t="shared" ref="CX27:CY27" si="332">+SUMPRODUCT($G$28:$G$34,CX28:CX34)</f>
        <v>0.92199999999999993</v>
      </c>
      <c r="CY27" s="28">
        <f t="shared" si="332"/>
        <v>0.92500000000000004</v>
      </c>
      <c r="CZ27" s="28">
        <f t="shared" ref="CZ27:DA27" si="333">+SUMPRODUCT($G$28:$G$34,CZ28:CZ34)</f>
        <v>0.92599999999999993</v>
      </c>
      <c r="DA27" s="28">
        <f t="shared" si="333"/>
        <v>0.92700000000000005</v>
      </c>
      <c r="DB27" s="28">
        <f t="shared" ref="DB27:DC27" si="334">+SUMPRODUCT($G$28:$G$34,DB28:DB34)</f>
        <v>0.92700000000000005</v>
      </c>
      <c r="DC27" s="28">
        <f t="shared" si="334"/>
        <v>0.92749999999999999</v>
      </c>
      <c r="DD27" s="28">
        <f t="shared" ref="DD27:DE27" si="335">+SUMPRODUCT($G$28:$G$34,DD28:DD34)</f>
        <v>0.92749999999999999</v>
      </c>
      <c r="DE27" s="28">
        <f t="shared" si="335"/>
        <v>0.92749999999999999</v>
      </c>
      <c r="DF27" s="28">
        <f t="shared" ref="DF27" si="336">+SUMPRODUCT($G$28:$G$34,DF28:DF34)</f>
        <v>0.92749999999999999</v>
      </c>
      <c r="DG27" s="28">
        <f t="shared" ref="DG27:EI27" si="337">+SUMPRODUCT($G$28:$G$34,DG28:DG34)</f>
        <v>0.92749999999999999</v>
      </c>
      <c r="DH27" s="28">
        <f t="shared" si="337"/>
        <v>0.93199999999999994</v>
      </c>
      <c r="DI27" s="28">
        <f t="shared" si="337"/>
        <v>0.93599999999999994</v>
      </c>
      <c r="DJ27" s="28">
        <f t="shared" si="337"/>
        <v>0.90399999999999991</v>
      </c>
      <c r="DK27" s="28">
        <f t="shared" si="337"/>
        <v>0.90399999999999991</v>
      </c>
      <c r="DL27" s="28">
        <f t="shared" si="337"/>
        <v>0.90399999999999991</v>
      </c>
      <c r="DM27" s="28">
        <f t="shared" si="337"/>
        <v>0.90399999999999991</v>
      </c>
      <c r="DN27" s="28">
        <f t="shared" si="337"/>
        <v>0.90399999999999991</v>
      </c>
      <c r="DO27" s="28">
        <f t="shared" si="337"/>
        <v>0.90399999999999991</v>
      </c>
      <c r="DP27" s="28">
        <f t="shared" si="337"/>
        <v>0.90399999999999991</v>
      </c>
      <c r="DQ27" s="28">
        <f t="shared" si="337"/>
        <v>0.90399999999999991</v>
      </c>
      <c r="DR27" s="28">
        <f t="shared" si="337"/>
        <v>0.90399999999999991</v>
      </c>
      <c r="DS27" s="28">
        <f t="shared" si="337"/>
        <v>0.90399999999999991</v>
      </c>
      <c r="DT27" s="28">
        <f t="shared" si="337"/>
        <v>0.90399999999999991</v>
      </c>
      <c r="DU27" s="28">
        <f t="shared" si="337"/>
        <v>0.90399999999999991</v>
      </c>
      <c r="DV27" s="28">
        <f t="shared" si="337"/>
        <v>0.90399999999999991</v>
      </c>
      <c r="DW27" s="28">
        <f t="shared" si="337"/>
        <v>0.90399999999999991</v>
      </c>
      <c r="DX27" s="28">
        <f t="shared" si="337"/>
        <v>0.90399999999999991</v>
      </c>
      <c r="DY27" s="28">
        <f t="shared" si="337"/>
        <v>0.90399999999999991</v>
      </c>
      <c r="DZ27" s="28">
        <f t="shared" si="337"/>
        <v>0.90399999999999991</v>
      </c>
      <c r="EA27" s="28">
        <f t="shared" si="337"/>
        <v>0.90399999999999991</v>
      </c>
      <c r="EB27" s="28">
        <f t="shared" si="337"/>
        <v>0.90399999999999991</v>
      </c>
      <c r="EC27" s="28">
        <f t="shared" si="337"/>
        <v>0.90399999999999991</v>
      </c>
      <c r="ED27" s="28">
        <f t="shared" si="337"/>
        <v>0.90399999999999991</v>
      </c>
      <c r="EE27" s="28">
        <f t="shared" si="337"/>
        <v>0.90399999999999991</v>
      </c>
      <c r="EF27" s="28">
        <f t="shared" si="337"/>
        <v>0.90399999999999991</v>
      </c>
      <c r="EG27" s="28">
        <f t="shared" si="337"/>
        <v>0.90399999999999991</v>
      </c>
      <c r="EH27" s="28">
        <f t="shared" si="337"/>
        <v>0.90399999999999991</v>
      </c>
      <c r="EI27" s="28">
        <f t="shared" si="337"/>
        <v>0.92749999999999999</v>
      </c>
    </row>
    <row r="28" spans="2:139" ht="15" hidden="1" customHeight="1" outlineLevel="3" x14ac:dyDescent="0.3">
      <c r="B28" s="29"/>
      <c r="C28" s="30"/>
      <c r="D28" s="30"/>
      <c r="E28" s="52" t="s">
        <v>32</v>
      </c>
      <c r="F28" s="33">
        <v>30</v>
      </c>
      <c r="G28" s="35">
        <v>0.05</v>
      </c>
      <c r="H28" s="162"/>
      <c r="I28" s="127">
        <v>0</v>
      </c>
      <c r="J28" s="127">
        <v>0</v>
      </c>
      <c r="K28" s="127">
        <v>0</v>
      </c>
      <c r="L28" s="127">
        <v>0</v>
      </c>
      <c r="M28" s="128">
        <v>0</v>
      </c>
      <c r="N28" s="128">
        <v>0</v>
      </c>
      <c r="O28" s="127">
        <v>0</v>
      </c>
      <c r="P28" s="127">
        <v>0</v>
      </c>
      <c r="Q28" s="127">
        <v>0</v>
      </c>
      <c r="R28" s="127">
        <v>0</v>
      </c>
      <c r="S28" s="127">
        <v>0</v>
      </c>
      <c r="T28" s="127">
        <v>0</v>
      </c>
      <c r="U28" s="127">
        <v>0</v>
      </c>
      <c r="V28" s="127">
        <v>0</v>
      </c>
      <c r="W28" s="127">
        <v>0</v>
      </c>
      <c r="X28" s="127">
        <v>0</v>
      </c>
      <c r="Y28" s="127">
        <v>0</v>
      </c>
      <c r="Z28" s="127">
        <v>1</v>
      </c>
      <c r="AA28" s="127">
        <v>1</v>
      </c>
      <c r="AB28" s="127">
        <v>1</v>
      </c>
      <c r="AC28" s="127">
        <v>1</v>
      </c>
      <c r="AD28" s="127">
        <v>1</v>
      </c>
      <c r="AE28" s="127">
        <v>1</v>
      </c>
      <c r="AF28" s="127">
        <v>1</v>
      </c>
      <c r="AG28" s="127">
        <v>1</v>
      </c>
      <c r="AH28" s="127">
        <v>1</v>
      </c>
      <c r="AI28" s="127">
        <v>1</v>
      </c>
      <c r="AJ28" s="127">
        <v>1</v>
      </c>
      <c r="AK28" s="127">
        <v>1</v>
      </c>
      <c r="AL28" s="127">
        <v>1</v>
      </c>
      <c r="AM28" s="127">
        <v>1</v>
      </c>
      <c r="AN28" s="127">
        <v>1</v>
      </c>
      <c r="AO28" s="127">
        <v>1</v>
      </c>
      <c r="AP28" s="127">
        <v>1</v>
      </c>
      <c r="AQ28" s="127">
        <v>1</v>
      </c>
      <c r="AR28" s="127">
        <v>1</v>
      </c>
      <c r="AS28" s="127">
        <v>1</v>
      </c>
      <c r="AT28" s="127">
        <v>1</v>
      </c>
      <c r="AU28" s="127">
        <v>1</v>
      </c>
      <c r="AV28" s="127">
        <v>1</v>
      </c>
      <c r="AW28" s="127">
        <v>1</v>
      </c>
      <c r="AX28" s="127">
        <v>1</v>
      </c>
      <c r="AY28" s="127">
        <v>1</v>
      </c>
      <c r="AZ28" s="127">
        <v>1</v>
      </c>
      <c r="BA28" s="127">
        <v>1</v>
      </c>
      <c r="BB28" s="127">
        <v>1</v>
      </c>
      <c r="BC28" s="127">
        <v>1</v>
      </c>
      <c r="BD28" s="127">
        <v>1</v>
      </c>
      <c r="BE28" s="127">
        <v>1</v>
      </c>
      <c r="BF28" s="127">
        <v>1</v>
      </c>
      <c r="BG28" s="163">
        <v>1</v>
      </c>
      <c r="BH28" s="163">
        <v>1</v>
      </c>
      <c r="BI28" s="127">
        <v>1</v>
      </c>
      <c r="BJ28" s="127">
        <v>1</v>
      </c>
      <c r="BK28" s="127">
        <v>1</v>
      </c>
      <c r="BL28" s="127">
        <v>1</v>
      </c>
      <c r="BM28" s="127">
        <v>1</v>
      </c>
      <c r="BN28" s="127">
        <v>1</v>
      </c>
      <c r="BO28" s="127">
        <v>1</v>
      </c>
      <c r="BP28" s="127">
        <v>1</v>
      </c>
      <c r="BQ28" s="127">
        <v>1</v>
      </c>
      <c r="BR28" s="127">
        <v>1</v>
      </c>
      <c r="BS28" s="127">
        <v>1</v>
      </c>
      <c r="BT28" s="127">
        <v>1</v>
      </c>
      <c r="BU28" s="127">
        <v>1</v>
      </c>
      <c r="BV28" s="127">
        <v>1</v>
      </c>
      <c r="BW28" s="127">
        <v>1</v>
      </c>
      <c r="BX28" s="127">
        <v>1</v>
      </c>
      <c r="BY28" s="127">
        <v>1</v>
      </c>
      <c r="BZ28" s="127">
        <v>1</v>
      </c>
      <c r="CA28" s="127">
        <v>1</v>
      </c>
      <c r="CB28" s="127">
        <v>1</v>
      </c>
      <c r="CC28" s="127">
        <v>1</v>
      </c>
      <c r="CD28" s="127">
        <v>1</v>
      </c>
      <c r="CE28" s="127">
        <v>1</v>
      </c>
      <c r="CF28" s="127">
        <v>1</v>
      </c>
      <c r="CG28" s="127">
        <v>1</v>
      </c>
      <c r="CH28" s="127">
        <v>1</v>
      </c>
      <c r="CI28" s="127">
        <v>1</v>
      </c>
      <c r="CJ28" s="127">
        <v>1</v>
      </c>
      <c r="CK28" s="127">
        <v>1</v>
      </c>
      <c r="CL28" s="127">
        <v>1</v>
      </c>
      <c r="CM28" s="127">
        <v>1</v>
      </c>
      <c r="CN28" s="127">
        <v>1</v>
      </c>
      <c r="CO28" s="127">
        <v>1</v>
      </c>
      <c r="CP28" s="127">
        <v>1</v>
      </c>
      <c r="CQ28" s="127">
        <v>1</v>
      </c>
      <c r="CR28" s="127">
        <v>1</v>
      </c>
      <c r="CS28" s="127">
        <v>1</v>
      </c>
      <c r="CT28" s="127">
        <v>1</v>
      </c>
      <c r="CU28" s="127">
        <v>1</v>
      </c>
      <c r="CV28" s="127">
        <v>1</v>
      </c>
      <c r="CW28" s="127">
        <v>1</v>
      </c>
      <c r="CX28" s="127">
        <v>1</v>
      </c>
      <c r="CY28" s="127">
        <v>1</v>
      </c>
      <c r="CZ28" s="127">
        <v>1</v>
      </c>
      <c r="DA28" s="127">
        <v>1</v>
      </c>
      <c r="DB28" s="127">
        <v>1</v>
      </c>
      <c r="DC28" s="127">
        <v>1</v>
      </c>
      <c r="DD28" s="127">
        <v>1</v>
      </c>
      <c r="DE28" s="127">
        <v>1</v>
      </c>
      <c r="DF28" s="127">
        <v>1</v>
      </c>
      <c r="DG28" s="127">
        <v>1</v>
      </c>
      <c r="DH28" s="127">
        <v>1</v>
      </c>
      <c r="DI28" s="127">
        <v>1</v>
      </c>
      <c r="DJ28" s="127">
        <v>1</v>
      </c>
      <c r="DK28" s="127">
        <v>1</v>
      </c>
      <c r="DL28" s="127">
        <v>1</v>
      </c>
      <c r="DM28" s="127">
        <v>1</v>
      </c>
      <c r="DN28" s="127">
        <v>1</v>
      </c>
      <c r="DO28" s="127">
        <v>1</v>
      </c>
      <c r="DP28" s="127">
        <v>1</v>
      </c>
      <c r="DQ28" s="127">
        <v>1</v>
      </c>
      <c r="DR28" s="127">
        <v>1</v>
      </c>
      <c r="DS28" s="127">
        <v>1</v>
      </c>
      <c r="DT28" s="127">
        <v>1</v>
      </c>
      <c r="DU28" s="127">
        <v>1</v>
      </c>
      <c r="DV28" s="127">
        <v>1</v>
      </c>
      <c r="DW28" s="127">
        <v>1</v>
      </c>
      <c r="DX28" s="127">
        <v>1</v>
      </c>
      <c r="DY28" s="127">
        <v>1</v>
      </c>
      <c r="DZ28" s="127">
        <v>1</v>
      </c>
      <c r="EA28" s="127">
        <v>1</v>
      </c>
      <c r="EB28" s="127">
        <v>1</v>
      </c>
      <c r="EC28" s="127">
        <v>1</v>
      </c>
      <c r="ED28" s="127">
        <v>1</v>
      </c>
      <c r="EE28" s="127">
        <v>1</v>
      </c>
      <c r="EF28" s="127">
        <v>1</v>
      </c>
      <c r="EG28" s="127">
        <v>1</v>
      </c>
      <c r="EH28" s="127">
        <v>1</v>
      </c>
      <c r="EI28" s="127">
        <v>1</v>
      </c>
    </row>
    <row r="29" spans="2:139" ht="15" hidden="1" customHeight="1" outlineLevel="3" x14ac:dyDescent="0.3">
      <c r="B29" s="36"/>
      <c r="C29" s="37"/>
      <c r="D29" s="37"/>
      <c r="E29" s="54" t="s">
        <v>33</v>
      </c>
      <c r="F29" s="33">
        <v>55</v>
      </c>
      <c r="G29" s="35">
        <v>0.21</v>
      </c>
      <c r="H29" s="162"/>
      <c r="I29" s="127">
        <v>0</v>
      </c>
      <c r="J29" s="127">
        <v>0</v>
      </c>
      <c r="K29" s="127">
        <v>0</v>
      </c>
      <c r="L29" s="127">
        <v>0</v>
      </c>
      <c r="M29" s="128">
        <v>0</v>
      </c>
      <c r="N29" s="128">
        <v>0</v>
      </c>
      <c r="O29" s="127">
        <v>0.1</v>
      </c>
      <c r="P29" s="127">
        <v>0.20874999999999999</v>
      </c>
      <c r="Q29" s="127">
        <v>0.28155000000000002</v>
      </c>
      <c r="R29" s="127">
        <v>0.35435</v>
      </c>
      <c r="S29" s="127">
        <v>0.68874000000000002</v>
      </c>
      <c r="T29" s="127">
        <v>0.68874000000000002</v>
      </c>
      <c r="U29" s="127">
        <v>0.83634000000000008</v>
      </c>
      <c r="V29" s="127">
        <v>0.88394000000000006</v>
      </c>
      <c r="W29" s="127">
        <v>0.88394000000000006</v>
      </c>
      <c r="X29" s="127">
        <v>0.88394000000000006</v>
      </c>
      <c r="Y29" s="127">
        <v>0.88394000000000006</v>
      </c>
      <c r="Z29" s="127">
        <v>0.88394000000000006</v>
      </c>
      <c r="AA29" s="127">
        <v>0.88394000000000006</v>
      </c>
      <c r="AB29" s="127">
        <v>0.91034000000000004</v>
      </c>
      <c r="AC29" s="127">
        <v>0.92786000000000002</v>
      </c>
      <c r="AD29" s="127">
        <v>0.92786000000000002</v>
      </c>
      <c r="AE29" s="127">
        <v>0.92786000000000002</v>
      </c>
      <c r="AF29" s="127">
        <v>0.92786000000000002</v>
      </c>
      <c r="AG29" s="127">
        <v>0.97177999999999998</v>
      </c>
      <c r="AH29" s="127">
        <v>0.97177999999999998</v>
      </c>
      <c r="AI29" s="127">
        <v>0.97177999999999998</v>
      </c>
      <c r="AJ29" s="127">
        <v>0.97177999999999998</v>
      </c>
      <c r="AK29" s="127">
        <v>0.97177999999999998</v>
      </c>
      <c r="AL29" s="127">
        <v>0.98177999999999999</v>
      </c>
      <c r="AM29" s="127">
        <v>1</v>
      </c>
      <c r="AN29" s="127">
        <v>1</v>
      </c>
      <c r="AO29" s="127">
        <v>1</v>
      </c>
      <c r="AP29" s="127">
        <v>1</v>
      </c>
      <c r="AQ29" s="127">
        <v>1</v>
      </c>
      <c r="AR29" s="127">
        <v>1</v>
      </c>
      <c r="AS29" s="127">
        <v>1</v>
      </c>
      <c r="AT29" s="127">
        <v>1</v>
      </c>
      <c r="AU29" s="127">
        <v>1</v>
      </c>
      <c r="AV29" s="127">
        <v>1</v>
      </c>
      <c r="AW29" s="127">
        <v>1</v>
      </c>
      <c r="AX29" s="127">
        <v>1</v>
      </c>
      <c r="AY29" s="127">
        <v>1</v>
      </c>
      <c r="AZ29" s="127">
        <v>1</v>
      </c>
      <c r="BA29" s="127">
        <v>1</v>
      </c>
      <c r="BB29" s="127">
        <v>1</v>
      </c>
      <c r="BC29" s="127">
        <v>1</v>
      </c>
      <c r="BD29" s="127">
        <v>1</v>
      </c>
      <c r="BE29" s="127">
        <v>1</v>
      </c>
      <c r="BF29" s="127">
        <v>1</v>
      </c>
      <c r="BG29" s="163">
        <v>1</v>
      </c>
      <c r="BH29" s="163">
        <v>1</v>
      </c>
      <c r="BI29" s="127">
        <v>1</v>
      </c>
      <c r="BJ29" s="127">
        <v>1</v>
      </c>
      <c r="BK29" s="127">
        <v>1</v>
      </c>
      <c r="BL29" s="127">
        <v>1</v>
      </c>
      <c r="BM29" s="127">
        <v>1</v>
      </c>
      <c r="BN29" s="127">
        <v>1</v>
      </c>
      <c r="BO29" s="127">
        <v>1</v>
      </c>
      <c r="BP29" s="127">
        <v>1</v>
      </c>
      <c r="BQ29" s="127">
        <v>1</v>
      </c>
      <c r="BR29" s="127">
        <v>1</v>
      </c>
      <c r="BS29" s="127">
        <v>1</v>
      </c>
      <c r="BT29" s="127">
        <v>1</v>
      </c>
      <c r="BU29" s="127">
        <v>1</v>
      </c>
      <c r="BV29" s="127">
        <v>1</v>
      </c>
      <c r="BW29" s="127">
        <v>1</v>
      </c>
      <c r="BX29" s="127">
        <v>1</v>
      </c>
      <c r="BY29" s="127">
        <v>1</v>
      </c>
      <c r="BZ29" s="127">
        <v>1</v>
      </c>
      <c r="CA29" s="127">
        <v>1</v>
      </c>
      <c r="CB29" s="127">
        <v>1</v>
      </c>
      <c r="CC29" s="127">
        <v>1</v>
      </c>
      <c r="CD29" s="127">
        <v>1</v>
      </c>
      <c r="CE29" s="127">
        <v>1</v>
      </c>
      <c r="CF29" s="127">
        <v>1</v>
      </c>
      <c r="CG29" s="127">
        <v>1</v>
      </c>
      <c r="CH29" s="127">
        <v>1</v>
      </c>
      <c r="CI29" s="127">
        <v>1</v>
      </c>
      <c r="CJ29" s="127">
        <v>1</v>
      </c>
      <c r="CK29" s="127">
        <v>1</v>
      </c>
      <c r="CL29" s="127">
        <v>1</v>
      </c>
      <c r="CM29" s="127">
        <v>1</v>
      </c>
      <c r="CN29" s="127">
        <v>1</v>
      </c>
      <c r="CO29" s="127">
        <v>1</v>
      </c>
      <c r="CP29" s="127">
        <v>1</v>
      </c>
      <c r="CQ29" s="127">
        <v>1</v>
      </c>
      <c r="CR29" s="127">
        <v>1</v>
      </c>
      <c r="CS29" s="127">
        <v>1</v>
      </c>
      <c r="CT29" s="127">
        <v>1</v>
      </c>
      <c r="CU29" s="127">
        <v>1</v>
      </c>
      <c r="CV29" s="127">
        <v>1</v>
      </c>
      <c r="CW29" s="127">
        <v>1</v>
      </c>
      <c r="CX29" s="127">
        <v>1</v>
      </c>
      <c r="CY29" s="127">
        <v>1</v>
      </c>
      <c r="CZ29" s="127">
        <v>1</v>
      </c>
      <c r="DA29" s="127">
        <v>1</v>
      </c>
      <c r="DB29" s="127">
        <v>1</v>
      </c>
      <c r="DC29" s="127">
        <v>1</v>
      </c>
      <c r="DD29" s="127">
        <v>1</v>
      </c>
      <c r="DE29" s="127">
        <v>1</v>
      </c>
      <c r="DF29" s="127">
        <v>1</v>
      </c>
      <c r="DG29" s="127">
        <v>1</v>
      </c>
      <c r="DH29" s="127">
        <v>1</v>
      </c>
      <c r="DI29" s="127">
        <v>1</v>
      </c>
      <c r="DJ29" s="127">
        <v>1</v>
      </c>
      <c r="DK29" s="127">
        <v>1</v>
      </c>
      <c r="DL29" s="127">
        <v>1</v>
      </c>
      <c r="DM29" s="127">
        <v>1</v>
      </c>
      <c r="DN29" s="127">
        <v>1</v>
      </c>
      <c r="DO29" s="127">
        <v>1</v>
      </c>
      <c r="DP29" s="127">
        <v>1</v>
      </c>
      <c r="DQ29" s="127">
        <v>1</v>
      </c>
      <c r="DR29" s="127">
        <v>1</v>
      </c>
      <c r="DS29" s="127">
        <v>1</v>
      </c>
      <c r="DT29" s="127">
        <v>1</v>
      </c>
      <c r="DU29" s="127">
        <v>1</v>
      </c>
      <c r="DV29" s="127">
        <v>1</v>
      </c>
      <c r="DW29" s="127">
        <v>1</v>
      </c>
      <c r="DX29" s="127">
        <v>1</v>
      </c>
      <c r="DY29" s="127">
        <v>1</v>
      </c>
      <c r="DZ29" s="127">
        <v>1</v>
      </c>
      <c r="EA29" s="127">
        <v>1</v>
      </c>
      <c r="EB29" s="127">
        <v>1</v>
      </c>
      <c r="EC29" s="127">
        <v>1</v>
      </c>
      <c r="ED29" s="127">
        <v>1</v>
      </c>
      <c r="EE29" s="127">
        <v>1</v>
      </c>
      <c r="EF29" s="127">
        <v>1</v>
      </c>
      <c r="EG29" s="127">
        <v>1</v>
      </c>
      <c r="EH29" s="127">
        <v>1</v>
      </c>
      <c r="EI29" s="127">
        <v>1</v>
      </c>
    </row>
    <row r="30" spans="2:139" ht="15" hidden="1" customHeight="1" outlineLevel="3" x14ac:dyDescent="0.3">
      <c r="B30" s="36"/>
      <c r="C30" s="37"/>
      <c r="D30" s="37"/>
      <c r="E30" s="54" t="s">
        <v>34</v>
      </c>
      <c r="F30" s="33">
        <v>55</v>
      </c>
      <c r="G30" s="35">
        <v>0.14000000000000001</v>
      </c>
      <c r="H30" s="162"/>
      <c r="I30" s="127">
        <v>0</v>
      </c>
      <c r="J30" s="127">
        <v>0</v>
      </c>
      <c r="K30" s="127">
        <v>0</v>
      </c>
      <c r="L30" s="127">
        <v>0</v>
      </c>
      <c r="M30" s="128">
        <v>0</v>
      </c>
      <c r="N30" s="128">
        <v>0</v>
      </c>
      <c r="O30" s="127">
        <v>0.1</v>
      </c>
      <c r="P30" s="127">
        <v>0.20874999999999999</v>
      </c>
      <c r="Q30" s="127">
        <v>0.20874999999999999</v>
      </c>
      <c r="R30" s="127">
        <v>0.28155000000000002</v>
      </c>
      <c r="S30" s="127">
        <v>0.68874000000000002</v>
      </c>
      <c r="T30" s="127">
        <v>0.68874000000000002</v>
      </c>
      <c r="U30" s="127">
        <v>0.83634000000000008</v>
      </c>
      <c r="V30" s="127">
        <v>0.88394000000000006</v>
      </c>
      <c r="W30" s="127">
        <v>0.88394000000000006</v>
      </c>
      <c r="X30" s="127">
        <v>0.88394000000000006</v>
      </c>
      <c r="Y30" s="127">
        <v>0.88394000000000006</v>
      </c>
      <c r="Z30" s="127">
        <v>0.88394000000000006</v>
      </c>
      <c r="AA30" s="127">
        <v>0.88394000000000006</v>
      </c>
      <c r="AB30" s="127">
        <v>0.91034000000000004</v>
      </c>
      <c r="AC30" s="127">
        <v>0.92786000000000002</v>
      </c>
      <c r="AD30" s="127">
        <v>0.92786000000000002</v>
      </c>
      <c r="AE30" s="127">
        <v>0.92786000000000002</v>
      </c>
      <c r="AF30" s="127">
        <v>0.92786000000000002</v>
      </c>
      <c r="AG30" s="127">
        <v>0.95826800000000001</v>
      </c>
      <c r="AH30" s="127">
        <v>0.97177999999999998</v>
      </c>
      <c r="AI30" s="127">
        <v>0.97177999999999998</v>
      </c>
      <c r="AJ30" s="127">
        <v>0.97177999999999998</v>
      </c>
      <c r="AK30" s="127">
        <v>0.97177999999999998</v>
      </c>
      <c r="AL30" s="127">
        <v>0.98177999999999999</v>
      </c>
      <c r="AM30" s="127">
        <v>1</v>
      </c>
      <c r="AN30" s="127">
        <v>1</v>
      </c>
      <c r="AO30" s="127">
        <v>1</v>
      </c>
      <c r="AP30" s="127">
        <v>1</v>
      </c>
      <c r="AQ30" s="127">
        <v>1</v>
      </c>
      <c r="AR30" s="127">
        <v>1</v>
      </c>
      <c r="AS30" s="127">
        <v>1</v>
      </c>
      <c r="AT30" s="127">
        <v>1</v>
      </c>
      <c r="AU30" s="127">
        <v>1</v>
      </c>
      <c r="AV30" s="127">
        <v>1</v>
      </c>
      <c r="AW30" s="127">
        <v>1</v>
      </c>
      <c r="AX30" s="127">
        <v>1</v>
      </c>
      <c r="AY30" s="127">
        <v>1</v>
      </c>
      <c r="AZ30" s="127">
        <v>1</v>
      </c>
      <c r="BA30" s="127">
        <v>1</v>
      </c>
      <c r="BB30" s="127">
        <v>1</v>
      </c>
      <c r="BC30" s="127">
        <v>1</v>
      </c>
      <c r="BD30" s="127">
        <v>1</v>
      </c>
      <c r="BE30" s="127">
        <v>1</v>
      </c>
      <c r="BF30" s="127">
        <v>1</v>
      </c>
      <c r="BG30" s="163">
        <v>1</v>
      </c>
      <c r="BH30" s="163">
        <v>1</v>
      </c>
      <c r="BI30" s="127">
        <v>1</v>
      </c>
      <c r="BJ30" s="127">
        <v>1</v>
      </c>
      <c r="BK30" s="127">
        <v>1</v>
      </c>
      <c r="BL30" s="127">
        <v>1</v>
      </c>
      <c r="BM30" s="127">
        <v>1</v>
      </c>
      <c r="BN30" s="127">
        <v>1</v>
      </c>
      <c r="BO30" s="127">
        <v>1</v>
      </c>
      <c r="BP30" s="127">
        <v>1</v>
      </c>
      <c r="BQ30" s="127">
        <v>1</v>
      </c>
      <c r="BR30" s="127">
        <v>1</v>
      </c>
      <c r="BS30" s="127">
        <v>1</v>
      </c>
      <c r="BT30" s="127">
        <v>1</v>
      </c>
      <c r="BU30" s="127">
        <v>1</v>
      </c>
      <c r="BV30" s="127">
        <v>1</v>
      </c>
      <c r="BW30" s="127">
        <v>1</v>
      </c>
      <c r="BX30" s="127">
        <v>1</v>
      </c>
      <c r="BY30" s="127">
        <v>1</v>
      </c>
      <c r="BZ30" s="127">
        <v>1</v>
      </c>
      <c r="CA30" s="127">
        <v>1</v>
      </c>
      <c r="CB30" s="127">
        <v>1</v>
      </c>
      <c r="CC30" s="127">
        <v>1</v>
      </c>
      <c r="CD30" s="127">
        <v>1</v>
      </c>
      <c r="CE30" s="127">
        <v>1</v>
      </c>
      <c r="CF30" s="127">
        <v>1</v>
      </c>
      <c r="CG30" s="127">
        <v>1</v>
      </c>
      <c r="CH30" s="127">
        <v>1</v>
      </c>
      <c r="CI30" s="127">
        <v>1</v>
      </c>
      <c r="CJ30" s="127">
        <v>1</v>
      </c>
      <c r="CK30" s="127">
        <v>1</v>
      </c>
      <c r="CL30" s="127">
        <v>1</v>
      </c>
      <c r="CM30" s="127">
        <v>1</v>
      </c>
      <c r="CN30" s="127">
        <v>1</v>
      </c>
      <c r="CO30" s="127">
        <v>1</v>
      </c>
      <c r="CP30" s="127">
        <v>1</v>
      </c>
      <c r="CQ30" s="127">
        <v>1</v>
      </c>
      <c r="CR30" s="127">
        <v>1</v>
      </c>
      <c r="CS30" s="127">
        <v>1</v>
      </c>
      <c r="CT30" s="127">
        <v>1</v>
      </c>
      <c r="CU30" s="127">
        <v>1</v>
      </c>
      <c r="CV30" s="127">
        <v>1</v>
      </c>
      <c r="CW30" s="127">
        <v>1</v>
      </c>
      <c r="CX30" s="127">
        <v>1</v>
      </c>
      <c r="CY30" s="127">
        <v>1</v>
      </c>
      <c r="CZ30" s="127">
        <v>1</v>
      </c>
      <c r="DA30" s="127">
        <v>1</v>
      </c>
      <c r="DB30" s="127">
        <v>1</v>
      </c>
      <c r="DC30" s="127">
        <v>1</v>
      </c>
      <c r="DD30" s="127">
        <v>1</v>
      </c>
      <c r="DE30" s="127">
        <v>1</v>
      </c>
      <c r="DF30" s="127">
        <v>1</v>
      </c>
      <c r="DG30" s="127">
        <v>1</v>
      </c>
      <c r="DH30" s="127">
        <v>1</v>
      </c>
      <c r="DI30" s="127">
        <v>1</v>
      </c>
      <c r="DJ30" s="127">
        <v>1</v>
      </c>
      <c r="DK30" s="127">
        <v>1</v>
      </c>
      <c r="DL30" s="127">
        <v>1</v>
      </c>
      <c r="DM30" s="127">
        <v>1</v>
      </c>
      <c r="DN30" s="127">
        <v>1</v>
      </c>
      <c r="DO30" s="127">
        <v>1</v>
      </c>
      <c r="DP30" s="127">
        <v>1</v>
      </c>
      <c r="DQ30" s="127">
        <v>1</v>
      </c>
      <c r="DR30" s="127">
        <v>1</v>
      </c>
      <c r="DS30" s="127">
        <v>1</v>
      </c>
      <c r="DT30" s="127">
        <v>1</v>
      </c>
      <c r="DU30" s="127">
        <v>1</v>
      </c>
      <c r="DV30" s="127">
        <v>1</v>
      </c>
      <c r="DW30" s="127">
        <v>1</v>
      </c>
      <c r="DX30" s="127">
        <v>1</v>
      </c>
      <c r="DY30" s="127">
        <v>1</v>
      </c>
      <c r="DZ30" s="127">
        <v>1</v>
      </c>
      <c r="EA30" s="127">
        <v>1</v>
      </c>
      <c r="EB30" s="127">
        <v>1</v>
      </c>
      <c r="EC30" s="127">
        <v>1</v>
      </c>
      <c r="ED30" s="127">
        <v>1</v>
      </c>
      <c r="EE30" s="127">
        <v>1</v>
      </c>
      <c r="EF30" s="127">
        <v>1</v>
      </c>
      <c r="EG30" s="127">
        <v>1</v>
      </c>
      <c r="EH30" s="127">
        <v>1</v>
      </c>
      <c r="EI30" s="127">
        <v>1</v>
      </c>
    </row>
    <row r="31" spans="2:139" ht="15" hidden="1" customHeight="1" outlineLevel="3" x14ac:dyDescent="0.3">
      <c r="B31" s="280"/>
      <c r="C31" s="281"/>
      <c r="D31" s="281"/>
      <c r="E31" s="282" t="s">
        <v>35</v>
      </c>
      <c r="F31" s="283">
        <v>40</v>
      </c>
      <c r="G31" s="284">
        <v>0.3</v>
      </c>
      <c r="H31" s="162"/>
      <c r="I31" s="127">
        <v>0</v>
      </c>
      <c r="J31" s="127">
        <v>0</v>
      </c>
      <c r="K31" s="127">
        <v>0</v>
      </c>
      <c r="L31" s="127">
        <v>0</v>
      </c>
      <c r="M31" s="128">
        <v>0</v>
      </c>
      <c r="N31" s="128">
        <v>0</v>
      </c>
      <c r="O31" s="127">
        <v>0</v>
      </c>
      <c r="P31" s="127">
        <v>0</v>
      </c>
      <c r="Q31" s="127">
        <v>0</v>
      </c>
      <c r="R31" s="127">
        <v>0</v>
      </c>
      <c r="S31" s="127">
        <v>0</v>
      </c>
      <c r="T31" s="127">
        <v>0</v>
      </c>
      <c r="U31" s="127">
        <v>0</v>
      </c>
      <c r="V31" s="127">
        <v>0</v>
      </c>
      <c r="W31" s="127">
        <v>0</v>
      </c>
      <c r="X31" s="127">
        <v>0</v>
      </c>
      <c r="Y31" s="127">
        <v>0</v>
      </c>
      <c r="Z31" s="127">
        <v>0</v>
      </c>
      <c r="AA31" s="127">
        <v>0</v>
      </c>
      <c r="AB31" s="127">
        <v>0</v>
      </c>
      <c r="AC31" s="127">
        <v>0</v>
      </c>
      <c r="AD31" s="127">
        <v>0</v>
      </c>
      <c r="AE31" s="127">
        <v>0</v>
      </c>
      <c r="AF31" s="127">
        <v>0</v>
      </c>
      <c r="AG31" s="127">
        <v>0</v>
      </c>
      <c r="AH31" s="127">
        <v>0</v>
      </c>
      <c r="AI31" s="127">
        <v>0</v>
      </c>
      <c r="AJ31" s="127">
        <v>0</v>
      </c>
      <c r="AK31" s="127">
        <v>0</v>
      </c>
      <c r="AL31" s="127">
        <v>0</v>
      </c>
      <c r="AM31" s="127">
        <v>0</v>
      </c>
      <c r="AN31" s="127">
        <v>0</v>
      </c>
      <c r="AO31" s="127">
        <v>0</v>
      </c>
      <c r="AP31" s="127">
        <v>0</v>
      </c>
      <c r="AQ31" s="127">
        <v>0</v>
      </c>
      <c r="AR31" s="127">
        <v>0</v>
      </c>
      <c r="AS31" s="127">
        <v>0</v>
      </c>
      <c r="AT31" s="127">
        <v>0</v>
      </c>
      <c r="AU31" s="127">
        <v>0</v>
      </c>
      <c r="AV31" s="127">
        <v>0</v>
      </c>
      <c r="AW31" s="127">
        <v>0</v>
      </c>
      <c r="AX31" s="127">
        <v>0</v>
      </c>
      <c r="AY31" s="127">
        <v>0</v>
      </c>
      <c r="AZ31" s="127">
        <v>0</v>
      </c>
      <c r="BA31" s="127">
        <v>0</v>
      </c>
      <c r="BB31" s="127">
        <f>Real[[#This Row],[05/05/25]]+(1-Real[[#This Row],[05/05/25]])*'Avance 39'!I16</f>
        <v>0</v>
      </c>
      <c r="BC31" s="127">
        <f>Real[[#This Row],[05/05/25]]+(1-Real[[#This Row],[05/05/25]])*'Avance 39'!J16</f>
        <v>0</v>
      </c>
      <c r="BD31" s="127">
        <f>Real[[#This Row],[05/05/25]]+(1-Real[[#This Row],[05/05/25]])*'Avance 39'!K16</f>
        <v>0</v>
      </c>
      <c r="BE31" s="127">
        <f>Real[[#This Row],[05/05/25]]+(1-Real[[#This Row],[05/05/25]])*'Avance 39'!L16</f>
        <v>0</v>
      </c>
      <c r="BF31" s="127">
        <f>Real[[#This Row],[05/05/25]]+(1-Real[[#This Row],[05/05/25]])*'Avance 39'!M16</f>
        <v>0</v>
      </c>
      <c r="BG31" s="163">
        <f>Real[[#This Row],[05/05/25]]+(1-Real[[#This Row],[05/05/25]])*'Avance 39'!N16</f>
        <v>0</v>
      </c>
      <c r="BH31" s="163">
        <f>Real[[#This Row],[05/05/25]]+(1-Real[[#This Row],[05/05/25]])*'Avance 39'!O16</f>
        <v>0</v>
      </c>
      <c r="BI31" s="127">
        <f>Real[[#This Row],[05/05/25]]+(1-Real[[#This Row],[05/05/25]])*'Avance 39'!P16</f>
        <v>0</v>
      </c>
      <c r="BJ31" s="127">
        <f>Real[[#This Row],[05/05/25]]+(1-Real[[#This Row],[05/05/25]])*'Avance 39'!Q16</f>
        <v>0</v>
      </c>
      <c r="BK31" s="127">
        <f>Real[[#This Row],[05/05/25]]+(1-Real[[#This Row],[05/05/25]])*'Avance 39'!R16</f>
        <v>0</v>
      </c>
      <c r="BL31" s="127">
        <f>Real[[#This Row],[05/05/25]]+(1-Real[[#This Row],[05/05/25]])*'Avance 39'!S16</f>
        <v>0</v>
      </c>
      <c r="BM31" s="127">
        <f>Real[[#This Row],[05/05/25]]+(1-Real[[#This Row],[05/05/25]])*'Avance 39'!T16</f>
        <v>0</v>
      </c>
      <c r="BN31" s="127">
        <f>Real[[#This Row],[05/05/25]]+(1-Real[[#This Row],[05/05/25]])*'Avance 39'!U16</f>
        <v>0</v>
      </c>
      <c r="BO31" s="127">
        <f>Real[[#This Row],[05/05/25]]+(1-Real[[#This Row],[05/05/25]])*'Avance 39'!V16</f>
        <v>3.8399999999999997E-2</v>
      </c>
      <c r="BP31" s="127">
        <f>Real[[#This Row],[05/05/25]]+(1-Real[[#This Row],[05/05/25]])*'Avance 39'!W16</f>
        <v>4.0799999999999996E-2</v>
      </c>
      <c r="BQ31" s="127">
        <f>Real[[#This Row],[05/05/25]]+(1-Real[[#This Row],[05/05/25]])*'Avance 39'!X16</f>
        <v>9.2999999999999999E-2</v>
      </c>
      <c r="BR31" s="127">
        <f>Real[[#This Row],[05/05/25]]+(1-Real[[#This Row],[05/05/25]])*'Avance 39'!Y16</f>
        <v>0.15180000000000002</v>
      </c>
      <c r="BS31" s="127">
        <f>Real[[#This Row],[05/05/25]]+(1-Real[[#This Row],[05/05/25]])*'Avance 39'!Z16</f>
        <v>0.22978000000000004</v>
      </c>
      <c r="BT31" s="127">
        <f>Real[[#This Row],[05/05/25]]+(1-Real[[#This Row],[05/05/25]])*'Avance 39'!AA16</f>
        <v>0.29768</v>
      </c>
      <c r="BU31" s="127">
        <f>Real[[#This Row],[05/05/25]]+(1-Real[[#This Row],[05/05/25]])*'Avance 39'!AB16</f>
        <v>0.30912000000000001</v>
      </c>
      <c r="BV31" s="127">
        <f>Real[[#This Row],[05/05/25]]+(1-Real[[#This Row],[05/05/25]])*'Avance 39'!AC16</f>
        <v>0.39591999999999999</v>
      </c>
      <c r="BW31" s="127">
        <f>Real[[#This Row],[05/05/25]]+(1-Real[[#This Row],[05/05/25]])*'Avance 39'!AD16</f>
        <v>0.42672000000000004</v>
      </c>
      <c r="BX31" s="127">
        <f>Real[[#This Row],[05/05/25]]+(1-Real[[#This Row],[05/05/25]])*'Avance 39'!AE16</f>
        <v>0.42672000000000004</v>
      </c>
      <c r="BY31" s="127">
        <f>Real[[#This Row],[05/05/25]]+(1-Real[[#This Row],[05/05/25]])*'Avance 39'!AF16</f>
        <v>0.50836999999999999</v>
      </c>
      <c r="BZ31" s="127">
        <f>Real[[#This Row],[05/05/25]]+(1-Real[[#This Row],[05/05/25]])*'Avance 39'!AG16</f>
        <v>0.53301999999999994</v>
      </c>
      <c r="CA31" s="127">
        <f>Real[[#This Row],[05/05/25]]+(1-Real[[#This Row],[05/05/25]])*'Avance 39'!AH16</f>
        <v>0.53301999999999994</v>
      </c>
      <c r="CB31" s="127">
        <f>Real[[#This Row],[05/05/25]]+(1-Real[[#This Row],[05/05/25]])*'Avance 39'!AI16</f>
        <v>0.7</v>
      </c>
      <c r="CC31" s="127">
        <f>Real[[#This Row],[05/05/25]]+(1-Real[[#This Row],[05/05/25]])*'Avance 39'!AJ16</f>
        <v>0.7</v>
      </c>
      <c r="CD31" s="127">
        <f>Real[[#This Row],[05/05/25]]+(1-Real[[#This Row],[05/05/25]])*'Avance 39'!AK16</f>
        <v>0.7</v>
      </c>
      <c r="CE31" s="127">
        <f>Real[[#This Row],[05/05/25]]+(1-Real[[#This Row],[05/05/25]])*'Avance 39'!AL16</f>
        <v>0.72</v>
      </c>
      <c r="CF31" s="127">
        <f>Real[[#This Row],[05/05/25]]+(1-Real[[#This Row],[05/05/25]])*'Avance 39'!AM16</f>
        <v>0.72</v>
      </c>
      <c r="CG31" s="127">
        <f>Real[[#This Row],[05/05/25]]+(1-Real[[#This Row],[05/05/25]])*'Avance 39'!AN16</f>
        <v>0.75</v>
      </c>
      <c r="CH31" s="127">
        <f>Real[[#This Row],[05/05/25]]+(1-Real[[#This Row],[05/05/25]])*'Avance 39'!AO16</f>
        <v>0.76</v>
      </c>
      <c r="CI31" s="127">
        <f>Real[[#This Row],[05/05/25]]+(1-Real[[#This Row],[05/05/25]])*'Avance 39'!AP16</f>
        <v>0.76</v>
      </c>
      <c r="CJ31" s="127">
        <f>Real[[#This Row],[05/05/25]]+(1-Real[[#This Row],[05/05/25]])*'Avance 39'!AQ16</f>
        <v>0.76</v>
      </c>
      <c r="CK31" s="127">
        <f>Real[[#This Row],[05/05/25]]+(1-Real[[#This Row],[05/05/25]])*'Avance 39'!AR16</f>
        <v>0.76</v>
      </c>
      <c r="CL31" s="127">
        <f>Real[[#This Row],[05/05/25]]+(1-Real[[#This Row],[05/05/25]])*'Avance 39'!AS16</f>
        <v>0.76</v>
      </c>
      <c r="CM31" s="127">
        <f>Real[[#This Row],[05/05/25]]+(1-Real[[#This Row],[05/05/25]])*'Avance 39'!AT16</f>
        <v>0.77</v>
      </c>
      <c r="CN31" s="127">
        <f>Real[[#This Row],[05/05/25]]+(1-Real[[#This Row],[05/05/25]])*'Avance 39'!AU16</f>
        <v>0.77</v>
      </c>
      <c r="CO31" s="127">
        <f>Real[[#This Row],[05/05/25]]+(1-Real[[#This Row],[05/05/25]])*'Avance 39'!AV16</f>
        <v>0.77</v>
      </c>
      <c r="CP31" s="127">
        <f>Real[[#This Row],[05/05/25]]+(1-Real[[#This Row],[05/05/25]])*'Avance 39'!AW16</f>
        <v>0.77</v>
      </c>
      <c r="CQ31" s="127">
        <f>Real[[#This Row],[05/05/25]]+(1-Real[[#This Row],[05/05/25]])*'Avance 39'!AX16</f>
        <v>0.77</v>
      </c>
      <c r="CR31" s="127">
        <f>Real[[#This Row],[05/05/25]]+(1-Real[[#This Row],[05/05/25]])*'Avance 39'!AY16</f>
        <v>0.78</v>
      </c>
      <c r="CS31" s="127">
        <f>Real[[#This Row],[05/05/25]]+(1-Real[[#This Row],[05/05/25]])*'Avance 39'!AZ16</f>
        <v>0.78</v>
      </c>
      <c r="CT31" s="127">
        <f>Real[[#This Row],[05/05/25]]+(1-Real[[#This Row],[05/05/25]])*'Avance 39'!BA16</f>
        <v>0.78</v>
      </c>
      <c r="CU31" s="127">
        <f>Real[[#This Row],[05/05/25]]+(1-Real[[#This Row],[05/05/25]])*'Avance 39'!BB16</f>
        <v>0.79</v>
      </c>
      <c r="CV31" s="127">
        <f>Real[[#This Row],[05/05/25]]+(1-Real[[#This Row],[05/05/25]])*'Avance 39'!BC16</f>
        <v>0.8</v>
      </c>
      <c r="CW31" s="127">
        <f>Real[[#This Row],[05/05/25]]+(1-Real[[#This Row],[05/05/25]])*'Avance 39'!BD16</f>
        <v>0.8</v>
      </c>
      <c r="CX31" s="127">
        <f>Real[[#This Row],[05/05/25]]+(1-Real[[#This Row],[05/05/25]])*'Avance 39'!BE16</f>
        <v>0.81</v>
      </c>
      <c r="CY31" s="127">
        <f>Real[[#This Row],[05/05/25]]+(1-Real[[#This Row],[05/05/25]])*'Avance 39'!BF16</f>
        <v>0.82</v>
      </c>
      <c r="CZ31" s="127">
        <f>Real[[#This Row],[05/05/25]]+(1-Real[[#This Row],[05/05/25]])*'Avance 39'!BG16</f>
        <v>0.82</v>
      </c>
      <c r="DA31" s="127">
        <f>Real[[#This Row],[05/05/25]]+(1-Real[[#This Row],[05/05/25]])*'Avance 39'!BH16</f>
        <v>0.82</v>
      </c>
      <c r="DB31" s="127">
        <f>Real[[#This Row],[05/05/25]]+(1-Real[[#This Row],[05/05/25]])*'Avance 39'!BI16</f>
        <v>0.82</v>
      </c>
      <c r="DC31" s="127">
        <f>Real[[#This Row],[05/05/25]]+(1-Real[[#This Row],[05/05/25]])*'Avance 39'!BJ16</f>
        <v>0.82</v>
      </c>
      <c r="DD31" s="127">
        <f>Real[[#This Row],[05/05/25]]+(1-Real[[#This Row],[05/05/25]])*'Avance 39'!BK16</f>
        <v>0.82</v>
      </c>
      <c r="DE31" s="127">
        <f>Real[[#This Row],[05/05/25]]+(1-Real[[#This Row],[05/05/25]])*'Avance 39'!BL16</f>
        <v>0.82</v>
      </c>
      <c r="DF31" s="127">
        <f>Real[[#This Row],[05/05/25]]+(1-Real[[#This Row],[05/05/25]])*'Avance 39'!BM16</f>
        <v>0.82</v>
      </c>
      <c r="DG31" s="127">
        <f>Real[[#This Row],[05/05/25]]+(1-Real[[#This Row],[05/05/25]])*'Avance 39'!BN16</f>
        <v>0.82</v>
      </c>
      <c r="DH31" s="127">
        <f>Real[[#This Row],[05/05/25]]+(1-Real[[#This Row],[05/05/25]])*'Avance 39'!BO16</f>
        <v>0.83</v>
      </c>
      <c r="DI31" s="127">
        <f>Real[[#This Row],[05/05/25]]+(1-Real[[#This Row],[05/05/25]])*'Avance 39'!BP16</f>
        <v>0.84</v>
      </c>
      <c r="DJ31" s="127">
        <f>Real[[#This Row],[05/05/25]]+(1-Real[[#This Row],[05/05/25]])*'Avance 39'!BQ16</f>
        <v>0.76</v>
      </c>
      <c r="DK31" s="127">
        <f>Real[[#This Row],[05/05/25]]+(1-Real[[#This Row],[05/05/25]])*'Avance 39'!BR16</f>
        <v>0.76</v>
      </c>
      <c r="DL31" s="127">
        <f>Real[[#This Row],[05/05/25]]+(1-Real[[#This Row],[05/05/25]])*'Avance 39'!BS16</f>
        <v>0.76</v>
      </c>
      <c r="DM31" s="127">
        <f>Real[[#This Row],[05/05/25]]+(1-Real[[#This Row],[05/05/25]])*'Avance 39'!BT16</f>
        <v>0.76</v>
      </c>
      <c r="DN31" s="127">
        <f>Real[[#This Row],[05/05/25]]+(1-Real[[#This Row],[05/05/25]])*'Avance 39'!BU16</f>
        <v>0.76</v>
      </c>
      <c r="DO31" s="127">
        <f>Real[[#This Row],[05/05/25]]+(1-Real[[#This Row],[05/05/25]])*'Avance 39'!BV16</f>
        <v>0.76</v>
      </c>
      <c r="DP31" s="127">
        <f>Real[[#This Row],[05/05/25]]+(1-Real[[#This Row],[05/05/25]])*'Avance 39'!BW16</f>
        <v>0.76</v>
      </c>
      <c r="DQ31" s="127">
        <f>Real[[#This Row],[05/05/25]]+(1-Real[[#This Row],[05/05/25]])*'Avance 39'!BX16</f>
        <v>0.76</v>
      </c>
      <c r="DR31" s="127">
        <f>Real[[#This Row],[05/05/25]]+(1-Real[[#This Row],[05/05/25]])*'Avance 39'!BY16</f>
        <v>0.76</v>
      </c>
      <c r="DS31" s="127">
        <f>Real[[#This Row],[05/05/25]]+(1-Real[[#This Row],[05/05/25]])*'Avance 39'!BZ16</f>
        <v>0.76</v>
      </c>
      <c r="DT31" s="127">
        <f>Real[[#This Row],[05/05/25]]+(1-Real[[#This Row],[05/05/25]])*'Avance 39'!CA16</f>
        <v>0.76</v>
      </c>
      <c r="DU31" s="127">
        <f>Real[[#This Row],[05/05/25]]+(1-Real[[#This Row],[05/05/25]])*'Avance 39'!CB16</f>
        <v>0.76</v>
      </c>
      <c r="DV31" s="127">
        <f>Real[[#This Row],[05/05/25]]+(1-Real[[#This Row],[05/05/25]])*'Avance 39'!CC16</f>
        <v>0.76</v>
      </c>
      <c r="DW31" s="127">
        <f>Real[[#This Row],[05/05/25]]+(1-Real[[#This Row],[05/05/25]])*'Avance 39'!CD16</f>
        <v>0.76</v>
      </c>
      <c r="DX31" s="127">
        <f>Real[[#This Row],[05/05/25]]+(1-Real[[#This Row],[05/05/25]])*'Avance 39'!CE16</f>
        <v>0.76</v>
      </c>
      <c r="DY31" s="127">
        <f>Real[[#This Row],[05/05/25]]+(1-Real[[#This Row],[05/05/25]])*'Avance 39'!CF16</f>
        <v>0.76</v>
      </c>
      <c r="DZ31" s="127">
        <f>Real[[#This Row],[05/05/25]]+(1-Real[[#This Row],[05/05/25]])*'Avance 39'!CG16</f>
        <v>0.76</v>
      </c>
      <c r="EA31" s="127">
        <f>Real[[#This Row],[05/05/25]]+(1-Real[[#This Row],[05/05/25]])*'Avance 39'!CH16</f>
        <v>0.76</v>
      </c>
      <c r="EB31" s="127">
        <f>Real[[#This Row],[05/05/25]]+(1-Real[[#This Row],[05/05/25]])*'Avance 39'!CI16</f>
        <v>0.76</v>
      </c>
      <c r="EC31" s="127">
        <f>Real[[#This Row],[05/05/25]]+(1-Real[[#This Row],[05/05/25]])*'Avance 39'!CJ16</f>
        <v>0.76</v>
      </c>
      <c r="ED31" s="127">
        <f>Real[[#This Row],[05/05/25]]+(1-Real[[#This Row],[05/05/25]])*'Avance 39'!CK16</f>
        <v>0.76</v>
      </c>
      <c r="EE31" s="127">
        <f>Real[[#This Row],[05/05/25]]+(1-Real[[#This Row],[05/05/25]])*'Avance 39'!CL16</f>
        <v>0.76</v>
      </c>
      <c r="EF31" s="127">
        <f>Real[[#This Row],[05/05/25]]+(1-Real[[#This Row],[05/05/25]])*'Avance 39'!CM16</f>
        <v>0.76</v>
      </c>
      <c r="EG31" s="127">
        <f>Real[[#This Row],[05/05/25]]+(1-Real[[#This Row],[05/05/25]])*'Avance 39'!CN16</f>
        <v>0.76</v>
      </c>
      <c r="EH31" s="127">
        <f>Real[[#This Row],[05/05/25]]+(1-Real[[#This Row],[05/05/25]])*'Avance 39'!CO16</f>
        <v>0.76</v>
      </c>
      <c r="EI31" s="127">
        <f>Real[[#This Row],[05/05/25]]+(1-Real[[#This Row],[05/05/25]])*'Avance 39'!CP16</f>
        <v>0.82</v>
      </c>
    </row>
    <row r="32" spans="2:139" ht="15" hidden="1" customHeight="1" outlineLevel="3" x14ac:dyDescent="0.3">
      <c r="B32" s="280"/>
      <c r="C32" s="281"/>
      <c r="D32" s="281"/>
      <c r="E32" s="282" t="s">
        <v>36</v>
      </c>
      <c r="F32" s="283">
        <v>55</v>
      </c>
      <c r="G32" s="284">
        <v>0.1</v>
      </c>
      <c r="H32" s="162"/>
      <c r="I32" s="127">
        <v>0</v>
      </c>
      <c r="J32" s="127">
        <v>0</v>
      </c>
      <c r="K32" s="127">
        <v>0</v>
      </c>
      <c r="L32" s="127">
        <v>0</v>
      </c>
      <c r="M32" s="128">
        <v>0</v>
      </c>
      <c r="N32" s="128">
        <v>0</v>
      </c>
      <c r="O32" s="127">
        <v>0</v>
      </c>
      <c r="P32" s="127">
        <v>0</v>
      </c>
      <c r="Q32" s="127">
        <v>0</v>
      </c>
      <c r="R32" s="127">
        <v>0</v>
      </c>
      <c r="S32" s="127">
        <v>0</v>
      </c>
      <c r="T32" s="127">
        <v>0</v>
      </c>
      <c r="U32" s="127">
        <v>0</v>
      </c>
      <c r="V32" s="127">
        <v>0</v>
      </c>
      <c r="W32" s="127">
        <v>0</v>
      </c>
      <c r="X32" s="127">
        <v>0</v>
      </c>
      <c r="Y32" s="127">
        <v>0</v>
      </c>
      <c r="Z32" s="127">
        <v>0</v>
      </c>
      <c r="AA32" s="127">
        <v>0</v>
      </c>
      <c r="AB32" s="127">
        <v>0</v>
      </c>
      <c r="AC32" s="127">
        <v>0</v>
      </c>
      <c r="AD32" s="127">
        <v>0</v>
      </c>
      <c r="AE32" s="127">
        <v>0</v>
      </c>
      <c r="AF32" s="127">
        <v>0</v>
      </c>
      <c r="AG32" s="127">
        <v>0</v>
      </c>
      <c r="AH32" s="127">
        <v>0</v>
      </c>
      <c r="AI32" s="127">
        <v>0</v>
      </c>
      <c r="AJ32" s="127">
        <v>0</v>
      </c>
      <c r="AK32" s="127">
        <v>0</v>
      </c>
      <c r="AL32" s="127">
        <v>0</v>
      </c>
      <c r="AM32" s="127">
        <v>0</v>
      </c>
      <c r="AN32" s="127">
        <v>0</v>
      </c>
      <c r="AO32" s="127">
        <v>0</v>
      </c>
      <c r="AP32" s="127">
        <v>0</v>
      </c>
      <c r="AQ32" s="127">
        <v>0</v>
      </c>
      <c r="AR32" s="127">
        <v>0</v>
      </c>
      <c r="AS32" s="127">
        <v>0</v>
      </c>
      <c r="AT32" s="127">
        <v>0</v>
      </c>
      <c r="AU32" s="127">
        <v>0</v>
      </c>
      <c r="AV32" s="127">
        <v>0</v>
      </c>
      <c r="AW32" s="127">
        <v>0</v>
      </c>
      <c r="AX32" s="127">
        <v>0</v>
      </c>
      <c r="AY32" s="127">
        <v>0</v>
      </c>
      <c r="AZ32" s="127">
        <v>0</v>
      </c>
      <c r="BA32" s="127">
        <v>0</v>
      </c>
      <c r="BB32" s="127">
        <f>Real[[#This Row],[05/05/25]]+(1-Real[[#This Row],[05/05/25]])*'Avance 39'!I17</f>
        <v>0</v>
      </c>
      <c r="BC32" s="127">
        <f>Real[[#This Row],[05/05/25]]+(1-Real[[#This Row],[05/05/25]])*'Avance 39'!J17</f>
        <v>0</v>
      </c>
      <c r="BD32" s="127">
        <f>Real[[#This Row],[05/05/25]]+(1-Real[[#This Row],[05/05/25]])*'Avance 39'!K17</f>
        <v>0</v>
      </c>
      <c r="BE32" s="127">
        <f>Real[[#This Row],[05/05/25]]+(1-Real[[#This Row],[05/05/25]])*'Avance 39'!L17</f>
        <v>0</v>
      </c>
      <c r="BF32" s="127">
        <f>Real[[#This Row],[05/05/25]]+(1-Real[[#This Row],[05/05/25]])*'Avance 39'!M17</f>
        <v>0</v>
      </c>
      <c r="BG32" s="163">
        <f>Real[[#This Row],[05/05/25]]+(1-Real[[#This Row],[05/05/25]])*'Avance 39'!N17</f>
        <v>0</v>
      </c>
      <c r="BH32" s="163">
        <f>Real[[#This Row],[05/05/25]]+(1-Real[[#This Row],[05/05/25]])*'Avance 39'!O17</f>
        <v>0</v>
      </c>
      <c r="BI32" s="127">
        <f>Real[[#This Row],[05/05/25]]+(1-Real[[#This Row],[05/05/25]])*'Avance 39'!P17</f>
        <v>0</v>
      </c>
      <c r="BJ32" s="127">
        <f>Real[[#This Row],[05/05/25]]+(1-Real[[#This Row],[05/05/25]])*'Avance 39'!Q17</f>
        <v>0</v>
      </c>
      <c r="BK32" s="127">
        <f>Real[[#This Row],[05/05/25]]+(1-Real[[#This Row],[05/05/25]])*'Avance 39'!R17</f>
        <v>0</v>
      </c>
      <c r="BL32" s="127">
        <f>Real[[#This Row],[05/05/25]]+(1-Real[[#This Row],[05/05/25]])*'Avance 39'!S17</f>
        <v>0</v>
      </c>
      <c r="BM32" s="127">
        <f>Real[[#This Row],[05/05/25]]+(1-Real[[#This Row],[05/05/25]])*'Avance 39'!T17</f>
        <v>0</v>
      </c>
      <c r="BN32" s="127">
        <f>Real[[#This Row],[05/05/25]]+(1-Real[[#This Row],[05/05/25]])*'Avance 39'!U17</f>
        <v>1.7999999999999999E-2</v>
      </c>
      <c r="BO32" s="127">
        <f>Real[[#This Row],[05/05/25]]+(1-Real[[#This Row],[05/05/25]])*'Avance 39'!V17</f>
        <v>4.0799999999999996E-2</v>
      </c>
      <c r="BP32" s="127">
        <f>Real[[#This Row],[05/05/25]]+(1-Real[[#This Row],[05/05/25]])*'Avance 39'!W17</f>
        <v>7.1999999999999995E-2</v>
      </c>
      <c r="BQ32" s="127">
        <f>Real[[#This Row],[05/05/25]]+(1-Real[[#This Row],[05/05/25]])*'Avance 39'!X17</f>
        <v>9.2999999999999999E-2</v>
      </c>
      <c r="BR32" s="127">
        <f>Real[[#This Row],[05/05/25]]+(1-Real[[#This Row],[05/05/25]])*'Avance 39'!Y17</f>
        <v>0.15180000000000002</v>
      </c>
      <c r="BS32" s="127">
        <f>Real[[#This Row],[05/05/25]]+(1-Real[[#This Row],[05/05/25]])*'Avance 39'!Z17</f>
        <v>0.22978000000000004</v>
      </c>
      <c r="BT32" s="127">
        <f>Real[[#This Row],[05/05/25]]+(1-Real[[#This Row],[05/05/25]])*'Avance 39'!AA17</f>
        <v>0.29768</v>
      </c>
      <c r="BU32" s="127">
        <f>Real[[#This Row],[05/05/25]]+(1-Real[[#This Row],[05/05/25]])*'Avance 39'!AB17</f>
        <v>0.29768</v>
      </c>
      <c r="BV32" s="127">
        <f>Real[[#This Row],[05/05/25]]+(1-Real[[#This Row],[05/05/25]])*'Avance 39'!AC17</f>
        <v>0.35648000000000002</v>
      </c>
      <c r="BW32" s="127">
        <f>Real[[#This Row],[05/05/25]]+(1-Real[[#This Row],[05/05/25]])*'Avance 39'!AD17</f>
        <v>0.41528000000000004</v>
      </c>
      <c r="BX32" s="127">
        <f>Real[[#This Row],[05/05/25]]+(1-Real[[#This Row],[05/05/25]])*'Avance 39'!AE17</f>
        <v>0.41528000000000004</v>
      </c>
      <c r="BY32" s="127">
        <f>Real[[#This Row],[05/05/25]]+(1-Real[[#This Row],[05/05/25]])*'Avance 39'!AF17</f>
        <v>0.50836999999999999</v>
      </c>
      <c r="BZ32" s="127">
        <f>Real[[#This Row],[05/05/25]]+(1-Real[[#This Row],[05/05/25]])*'Avance 39'!AG17</f>
        <v>0.53301999999999994</v>
      </c>
      <c r="CA32" s="127">
        <f>Real[[#This Row],[05/05/25]]+(1-Real[[#This Row],[05/05/25]])*'Avance 39'!AH17</f>
        <v>0.53301999999999994</v>
      </c>
      <c r="CB32" s="127">
        <f>Real[[#This Row],[05/05/25]]+(1-Real[[#This Row],[05/05/25]])*'Avance 39'!AI17</f>
        <v>0.7</v>
      </c>
      <c r="CC32" s="127">
        <f>Real[[#This Row],[05/05/25]]+(1-Real[[#This Row],[05/05/25]])*'Avance 39'!AJ17</f>
        <v>0.7</v>
      </c>
      <c r="CD32" s="127">
        <f>Real[[#This Row],[05/05/25]]+(1-Real[[#This Row],[05/05/25]])*'Avance 39'!AK17</f>
        <v>0.7</v>
      </c>
      <c r="CE32" s="127">
        <f>Real[[#This Row],[05/05/25]]+(1-Real[[#This Row],[05/05/25]])*'Avance 39'!AL17</f>
        <v>0.72</v>
      </c>
      <c r="CF32" s="127">
        <f>Real[[#This Row],[05/05/25]]+(1-Real[[#This Row],[05/05/25]])*'Avance 39'!AM17</f>
        <v>0.72</v>
      </c>
      <c r="CG32" s="127">
        <f>Real[[#This Row],[05/05/25]]+(1-Real[[#This Row],[05/05/25]])*'Avance 39'!AN17</f>
        <v>0.75</v>
      </c>
      <c r="CH32" s="127">
        <f>Real[[#This Row],[05/05/25]]+(1-Real[[#This Row],[05/05/25]])*'Avance 39'!AO17</f>
        <v>0.76</v>
      </c>
      <c r="CI32" s="127">
        <f>Real[[#This Row],[05/05/25]]+(1-Real[[#This Row],[05/05/25]])*'Avance 39'!AP17</f>
        <v>0.76</v>
      </c>
      <c r="CJ32" s="127">
        <f>Real[[#This Row],[05/05/25]]+(1-Real[[#This Row],[05/05/25]])*'Avance 39'!AQ17</f>
        <v>0.76</v>
      </c>
      <c r="CK32" s="127">
        <f>Real[[#This Row],[05/05/25]]+(1-Real[[#This Row],[05/05/25]])*'Avance 39'!AR17</f>
        <v>0.76</v>
      </c>
      <c r="CL32" s="127">
        <f>Real[[#This Row],[05/05/25]]+(1-Real[[#This Row],[05/05/25]])*'Avance 39'!AS17</f>
        <v>0.76</v>
      </c>
      <c r="CM32" s="127">
        <f>Real[[#This Row],[05/05/25]]+(1-Real[[#This Row],[05/05/25]])*'Avance 39'!AT17</f>
        <v>0.77</v>
      </c>
      <c r="CN32" s="127">
        <f>Real[[#This Row],[05/05/25]]+(1-Real[[#This Row],[05/05/25]])*'Avance 39'!AU17</f>
        <v>0.77</v>
      </c>
      <c r="CO32" s="127">
        <f>Real[[#This Row],[05/05/25]]+(1-Real[[#This Row],[05/05/25]])*'Avance 39'!AV17</f>
        <v>0.77</v>
      </c>
      <c r="CP32" s="127">
        <f>Real[[#This Row],[05/05/25]]+(1-Real[[#This Row],[05/05/25]])*'Avance 39'!AW17</f>
        <v>0.77</v>
      </c>
      <c r="CQ32" s="127">
        <f>Real[[#This Row],[05/05/25]]+(1-Real[[#This Row],[05/05/25]])*'Avance 39'!AX17</f>
        <v>0.77</v>
      </c>
      <c r="CR32" s="127">
        <f>Real[[#This Row],[05/05/25]]+(1-Real[[#This Row],[05/05/25]])*'Avance 39'!AY17</f>
        <v>0.78</v>
      </c>
      <c r="CS32" s="127">
        <f>Real[[#This Row],[05/05/25]]+(1-Real[[#This Row],[05/05/25]])*'Avance 39'!AZ17</f>
        <v>0.78</v>
      </c>
      <c r="CT32" s="127">
        <f>Real[[#This Row],[05/05/25]]+(1-Real[[#This Row],[05/05/25]])*'Avance 39'!BA17</f>
        <v>0.78</v>
      </c>
      <c r="CU32" s="127">
        <f>Real[[#This Row],[05/05/25]]+(1-Real[[#This Row],[05/05/25]])*'Avance 39'!BB17</f>
        <v>0.79</v>
      </c>
      <c r="CV32" s="127">
        <f>Real[[#This Row],[05/05/25]]+(1-Real[[#This Row],[05/05/25]])*'Avance 39'!BC17</f>
        <v>0.79</v>
      </c>
      <c r="CW32" s="127">
        <f>Real[[#This Row],[05/05/25]]+(1-Real[[#This Row],[05/05/25]])*'Avance 39'!BD17</f>
        <v>0.79</v>
      </c>
      <c r="CX32" s="127">
        <f>Real[[#This Row],[05/05/25]]+(1-Real[[#This Row],[05/05/25]])*'Avance 39'!BE17</f>
        <v>0.79</v>
      </c>
      <c r="CY32" s="127">
        <f>Real[[#This Row],[05/05/25]]+(1-Real[[#This Row],[05/05/25]])*'Avance 39'!BF17</f>
        <v>0.79</v>
      </c>
      <c r="CZ32" s="127">
        <f>Real[[#This Row],[05/05/25]]+(1-Real[[#This Row],[05/05/25]])*'Avance 39'!BG17</f>
        <v>0.8</v>
      </c>
      <c r="DA32" s="127">
        <f>Real[[#This Row],[05/05/25]]+(1-Real[[#This Row],[05/05/25]])*'Avance 39'!BH17</f>
        <v>0.81</v>
      </c>
      <c r="DB32" s="127">
        <f>Real[[#This Row],[05/05/25]]+(1-Real[[#This Row],[05/05/25]])*'Avance 39'!BI17</f>
        <v>0.81</v>
      </c>
      <c r="DC32" s="127">
        <f>Real[[#This Row],[05/05/25]]+(1-Real[[#This Row],[05/05/25]])*'Avance 39'!BJ17</f>
        <v>0.81499999999999995</v>
      </c>
      <c r="DD32" s="127">
        <f>Real[[#This Row],[05/05/25]]+(1-Real[[#This Row],[05/05/25]])*'Avance 39'!BK17</f>
        <v>0.81499999999999995</v>
      </c>
      <c r="DE32" s="127">
        <f>Real[[#This Row],[05/05/25]]+(1-Real[[#This Row],[05/05/25]])*'Avance 39'!BL17</f>
        <v>0.81499999999999995</v>
      </c>
      <c r="DF32" s="127">
        <f>Real[[#This Row],[05/05/25]]+(1-Real[[#This Row],[05/05/25]])*'Avance 39'!BM17</f>
        <v>0.81499999999999995</v>
      </c>
      <c r="DG32" s="127">
        <f>Real[[#This Row],[05/05/25]]+(1-Real[[#This Row],[05/05/25]])*'Avance 39'!BN17</f>
        <v>0.81499999999999995</v>
      </c>
      <c r="DH32" s="127">
        <f>Real[[#This Row],[05/05/25]]+(1-Real[[#This Row],[05/05/25]])*'Avance 39'!BO17</f>
        <v>0.83</v>
      </c>
      <c r="DI32" s="127">
        <f>Real[[#This Row],[05/05/25]]+(1-Real[[#This Row],[05/05/25]])*'Avance 39'!BP17</f>
        <v>0.84</v>
      </c>
      <c r="DJ32" s="127">
        <f>Real[[#This Row],[05/05/25]]+(1-Real[[#This Row],[05/05/25]])*'Avance 39'!BQ17</f>
        <v>0.76</v>
      </c>
      <c r="DK32" s="127">
        <f>Real[[#This Row],[05/05/25]]+(1-Real[[#This Row],[05/05/25]])*'Avance 39'!BR17</f>
        <v>0.76</v>
      </c>
      <c r="DL32" s="127">
        <f>Real[[#This Row],[05/05/25]]+(1-Real[[#This Row],[05/05/25]])*'Avance 39'!BS17</f>
        <v>0.76</v>
      </c>
      <c r="DM32" s="127">
        <f>Real[[#This Row],[05/05/25]]+(1-Real[[#This Row],[05/05/25]])*'Avance 39'!BT17</f>
        <v>0.76</v>
      </c>
      <c r="DN32" s="127">
        <f>Real[[#This Row],[05/05/25]]+(1-Real[[#This Row],[05/05/25]])*'Avance 39'!BU17</f>
        <v>0.76</v>
      </c>
      <c r="DO32" s="127">
        <f>Real[[#This Row],[05/05/25]]+(1-Real[[#This Row],[05/05/25]])*'Avance 39'!BV17</f>
        <v>0.76</v>
      </c>
      <c r="DP32" s="127">
        <f>Real[[#This Row],[05/05/25]]+(1-Real[[#This Row],[05/05/25]])*'Avance 39'!BW17</f>
        <v>0.76</v>
      </c>
      <c r="DQ32" s="127">
        <f>Real[[#This Row],[05/05/25]]+(1-Real[[#This Row],[05/05/25]])*'Avance 39'!BX17</f>
        <v>0.76</v>
      </c>
      <c r="DR32" s="127">
        <f>Real[[#This Row],[05/05/25]]+(1-Real[[#This Row],[05/05/25]])*'Avance 39'!BY17</f>
        <v>0.76</v>
      </c>
      <c r="DS32" s="127">
        <f>Real[[#This Row],[05/05/25]]+(1-Real[[#This Row],[05/05/25]])*'Avance 39'!BZ17</f>
        <v>0.76</v>
      </c>
      <c r="DT32" s="127">
        <f>Real[[#This Row],[05/05/25]]+(1-Real[[#This Row],[05/05/25]])*'Avance 39'!CA17</f>
        <v>0.76</v>
      </c>
      <c r="DU32" s="127">
        <f>Real[[#This Row],[05/05/25]]+(1-Real[[#This Row],[05/05/25]])*'Avance 39'!CB17</f>
        <v>0.76</v>
      </c>
      <c r="DV32" s="127">
        <f>Real[[#This Row],[05/05/25]]+(1-Real[[#This Row],[05/05/25]])*'Avance 39'!CC17</f>
        <v>0.76</v>
      </c>
      <c r="DW32" s="127">
        <f>Real[[#This Row],[05/05/25]]+(1-Real[[#This Row],[05/05/25]])*'Avance 39'!CD17</f>
        <v>0.76</v>
      </c>
      <c r="DX32" s="127">
        <f>Real[[#This Row],[05/05/25]]+(1-Real[[#This Row],[05/05/25]])*'Avance 39'!CE17</f>
        <v>0.76</v>
      </c>
      <c r="DY32" s="127">
        <f>Real[[#This Row],[05/05/25]]+(1-Real[[#This Row],[05/05/25]])*'Avance 39'!CF17</f>
        <v>0.76</v>
      </c>
      <c r="DZ32" s="127">
        <f>Real[[#This Row],[05/05/25]]+(1-Real[[#This Row],[05/05/25]])*'Avance 39'!CG17</f>
        <v>0.76</v>
      </c>
      <c r="EA32" s="127">
        <f>Real[[#This Row],[05/05/25]]+(1-Real[[#This Row],[05/05/25]])*'Avance 39'!CH17</f>
        <v>0.76</v>
      </c>
      <c r="EB32" s="127">
        <f>Real[[#This Row],[05/05/25]]+(1-Real[[#This Row],[05/05/25]])*'Avance 39'!CI17</f>
        <v>0.76</v>
      </c>
      <c r="EC32" s="127">
        <f>Real[[#This Row],[05/05/25]]+(1-Real[[#This Row],[05/05/25]])*'Avance 39'!CJ17</f>
        <v>0.76</v>
      </c>
      <c r="ED32" s="127">
        <f>Real[[#This Row],[05/05/25]]+(1-Real[[#This Row],[05/05/25]])*'Avance 39'!CK17</f>
        <v>0.76</v>
      </c>
      <c r="EE32" s="127">
        <f>Real[[#This Row],[05/05/25]]+(1-Real[[#This Row],[05/05/25]])*'Avance 39'!CL17</f>
        <v>0.76</v>
      </c>
      <c r="EF32" s="127">
        <f>Real[[#This Row],[05/05/25]]+(1-Real[[#This Row],[05/05/25]])*'Avance 39'!CM17</f>
        <v>0.76</v>
      </c>
      <c r="EG32" s="127">
        <f>Real[[#This Row],[05/05/25]]+(1-Real[[#This Row],[05/05/25]])*'Avance 39'!CN17</f>
        <v>0.76</v>
      </c>
      <c r="EH32" s="127">
        <f>Real[[#This Row],[05/05/25]]+(1-Real[[#This Row],[05/05/25]])*'Avance 39'!CO17</f>
        <v>0.76</v>
      </c>
      <c r="EI32" s="127">
        <f>Real[[#This Row],[05/05/25]]+(1-Real[[#This Row],[05/05/25]])*'Avance 39'!CP17</f>
        <v>0.81499999999999995</v>
      </c>
    </row>
    <row r="33" spans="2:139" ht="28.95" hidden="1" customHeight="1" outlineLevel="3" x14ac:dyDescent="0.3">
      <c r="B33" s="29"/>
      <c r="C33" s="30"/>
      <c r="D33" s="30"/>
      <c r="E33" s="52" t="s">
        <v>37</v>
      </c>
      <c r="F33" s="33">
        <v>55</v>
      </c>
      <c r="G33" s="35">
        <v>0.1</v>
      </c>
      <c r="H33" s="162"/>
      <c r="I33" s="127">
        <v>0</v>
      </c>
      <c r="J33" s="127">
        <v>0</v>
      </c>
      <c r="K33" s="127">
        <v>0</v>
      </c>
      <c r="L33" s="127">
        <v>0</v>
      </c>
      <c r="M33" s="128">
        <v>0</v>
      </c>
      <c r="N33" s="128">
        <v>0</v>
      </c>
      <c r="O33" s="127">
        <v>0</v>
      </c>
      <c r="P33" s="127">
        <v>0</v>
      </c>
      <c r="Q33" s="127">
        <v>0</v>
      </c>
      <c r="R33" s="127">
        <v>0</v>
      </c>
      <c r="S33" s="127">
        <v>0</v>
      </c>
      <c r="T33" s="127">
        <v>0</v>
      </c>
      <c r="U33" s="127">
        <v>0</v>
      </c>
      <c r="V33" s="127">
        <v>0</v>
      </c>
      <c r="W33" s="127">
        <v>0</v>
      </c>
      <c r="X33" s="127">
        <v>0</v>
      </c>
      <c r="Y33" s="127">
        <v>0.48628333333333329</v>
      </c>
      <c r="Z33" s="127">
        <v>1</v>
      </c>
      <c r="AA33" s="127">
        <v>1</v>
      </c>
      <c r="AB33" s="127">
        <v>1</v>
      </c>
      <c r="AC33" s="127">
        <v>1</v>
      </c>
      <c r="AD33" s="127">
        <v>1</v>
      </c>
      <c r="AE33" s="127">
        <v>1</v>
      </c>
      <c r="AF33" s="127">
        <v>1</v>
      </c>
      <c r="AG33" s="127">
        <v>1</v>
      </c>
      <c r="AH33" s="127">
        <v>1</v>
      </c>
      <c r="AI33" s="127">
        <v>1</v>
      </c>
      <c r="AJ33" s="127">
        <v>1</v>
      </c>
      <c r="AK33" s="127">
        <v>1</v>
      </c>
      <c r="AL33" s="127">
        <v>1</v>
      </c>
      <c r="AM33" s="127">
        <v>1</v>
      </c>
      <c r="AN33" s="127">
        <v>1</v>
      </c>
      <c r="AO33" s="127">
        <v>1</v>
      </c>
      <c r="AP33" s="127">
        <v>1</v>
      </c>
      <c r="AQ33" s="127">
        <v>1</v>
      </c>
      <c r="AR33" s="127">
        <v>1</v>
      </c>
      <c r="AS33" s="127">
        <v>1</v>
      </c>
      <c r="AT33" s="127">
        <v>1</v>
      </c>
      <c r="AU33" s="127">
        <v>1</v>
      </c>
      <c r="AV33" s="127">
        <v>1</v>
      </c>
      <c r="AW33" s="127">
        <v>1</v>
      </c>
      <c r="AX33" s="127">
        <v>1</v>
      </c>
      <c r="AY33" s="127">
        <v>1</v>
      </c>
      <c r="AZ33" s="127">
        <v>1</v>
      </c>
      <c r="BA33" s="127">
        <v>1</v>
      </c>
      <c r="BB33" s="127">
        <v>1</v>
      </c>
      <c r="BC33" s="127">
        <v>1</v>
      </c>
      <c r="BD33" s="127">
        <v>1</v>
      </c>
      <c r="BE33" s="127">
        <v>1</v>
      </c>
      <c r="BF33" s="127">
        <v>1</v>
      </c>
      <c r="BG33" s="163">
        <v>1</v>
      </c>
      <c r="BH33" s="163">
        <v>1</v>
      </c>
      <c r="BI33" s="127">
        <v>1</v>
      </c>
      <c r="BJ33" s="127">
        <v>1</v>
      </c>
      <c r="BK33" s="127">
        <v>1</v>
      </c>
      <c r="BL33" s="127">
        <v>1</v>
      </c>
      <c r="BM33" s="127">
        <v>1</v>
      </c>
      <c r="BN33" s="127">
        <v>1</v>
      </c>
      <c r="BO33" s="127">
        <v>1</v>
      </c>
      <c r="BP33" s="127">
        <v>1</v>
      </c>
      <c r="BQ33" s="127">
        <v>1</v>
      </c>
      <c r="BR33" s="127">
        <v>1</v>
      </c>
      <c r="BS33" s="127">
        <v>1</v>
      </c>
      <c r="BT33" s="127">
        <v>1</v>
      </c>
      <c r="BU33" s="127">
        <v>1</v>
      </c>
      <c r="BV33" s="127">
        <v>1</v>
      </c>
      <c r="BW33" s="127">
        <v>1</v>
      </c>
      <c r="BX33" s="127">
        <v>1</v>
      </c>
      <c r="BY33" s="127">
        <v>1</v>
      </c>
      <c r="BZ33" s="127">
        <v>1</v>
      </c>
      <c r="CA33" s="127">
        <v>1</v>
      </c>
      <c r="CB33" s="127">
        <v>1</v>
      </c>
      <c r="CC33" s="127">
        <v>1</v>
      </c>
      <c r="CD33" s="127">
        <v>1</v>
      </c>
      <c r="CE33" s="127">
        <v>1</v>
      </c>
      <c r="CF33" s="127">
        <v>1</v>
      </c>
      <c r="CG33" s="127">
        <v>1</v>
      </c>
      <c r="CH33" s="127">
        <v>1</v>
      </c>
      <c r="CI33" s="127">
        <v>1</v>
      </c>
      <c r="CJ33" s="127">
        <v>1</v>
      </c>
      <c r="CK33" s="127">
        <v>1</v>
      </c>
      <c r="CL33" s="127">
        <v>1</v>
      </c>
      <c r="CM33" s="127">
        <v>1</v>
      </c>
      <c r="CN33" s="127">
        <v>1</v>
      </c>
      <c r="CO33" s="127">
        <v>1</v>
      </c>
      <c r="CP33" s="127">
        <v>1</v>
      </c>
      <c r="CQ33" s="127">
        <v>1</v>
      </c>
      <c r="CR33" s="127">
        <v>1</v>
      </c>
      <c r="CS33" s="127">
        <v>1</v>
      </c>
      <c r="CT33" s="127">
        <v>1</v>
      </c>
      <c r="CU33" s="127">
        <v>1</v>
      </c>
      <c r="CV33" s="127">
        <v>1</v>
      </c>
      <c r="CW33" s="127">
        <v>1</v>
      </c>
      <c r="CX33" s="127">
        <v>1</v>
      </c>
      <c r="CY33" s="127">
        <v>1</v>
      </c>
      <c r="CZ33" s="127">
        <v>1</v>
      </c>
      <c r="DA33" s="127">
        <v>1</v>
      </c>
      <c r="DB33" s="127">
        <v>1</v>
      </c>
      <c r="DC33" s="127">
        <v>1</v>
      </c>
      <c r="DD33" s="127">
        <v>1</v>
      </c>
      <c r="DE33" s="127">
        <v>1</v>
      </c>
      <c r="DF33" s="127">
        <v>1</v>
      </c>
      <c r="DG33" s="127">
        <v>1</v>
      </c>
      <c r="DH33" s="127">
        <v>1</v>
      </c>
      <c r="DI33" s="127">
        <v>1</v>
      </c>
      <c r="DJ33" s="127">
        <v>1</v>
      </c>
      <c r="DK33" s="127">
        <v>1</v>
      </c>
      <c r="DL33" s="127">
        <v>1</v>
      </c>
      <c r="DM33" s="127">
        <v>1</v>
      </c>
      <c r="DN33" s="127">
        <v>1</v>
      </c>
      <c r="DO33" s="127">
        <v>1</v>
      </c>
      <c r="DP33" s="127">
        <v>1</v>
      </c>
      <c r="DQ33" s="127">
        <v>1</v>
      </c>
      <c r="DR33" s="127">
        <v>1</v>
      </c>
      <c r="DS33" s="127">
        <v>1</v>
      </c>
      <c r="DT33" s="127">
        <v>1</v>
      </c>
      <c r="DU33" s="127">
        <v>1</v>
      </c>
      <c r="DV33" s="127">
        <v>1</v>
      </c>
      <c r="DW33" s="127">
        <v>1</v>
      </c>
      <c r="DX33" s="127">
        <v>1</v>
      </c>
      <c r="DY33" s="127">
        <v>1</v>
      </c>
      <c r="DZ33" s="127">
        <v>1</v>
      </c>
      <c r="EA33" s="127">
        <v>1</v>
      </c>
      <c r="EB33" s="127">
        <v>1</v>
      </c>
      <c r="EC33" s="127">
        <v>1</v>
      </c>
      <c r="ED33" s="127">
        <v>1</v>
      </c>
      <c r="EE33" s="127">
        <v>1</v>
      </c>
      <c r="EF33" s="127">
        <v>1</v>
      </c>
      <c r="EG33" s="127">
        <v>1</v>
      </c>
      <c r="EH33" s="127">
        <v>1</v>
      </c>
      <c r="EI33" s="127">
        <v>1</v>
      </c>
    </row>
    <row r="34" spans="2:139" ht="28.95" hidden="1" customHeight="1" outlineLevel="3" x14ac:dyDescent="0.3">
      <c r="B34" s="29"/>
      <c r="C34" s="30"/>
      <c r="D34" s="30"/>
      <c r="E34" s="52" t="s">
        <v>38</v>
      </c>
      <c r="F34" s="33">
        <v>30</v>
      </c>
      <c r="G34" s="35">
        <v>0.1</v>
      </c>
      <c r="H34" s="162"/>
      <c r="I34" s="127">
        <v>0</v>
      </c>
      <c r="J34" s="127">
        <v>0</v>
      </c>
      <c r="K34" s="127">
        <v>0</v>
      </c>
      <c r="L34" s="127">
        <v>0</v>
      </c>
      <c r="M34" s="128">
        <v>0</v>
      </c>
      <c r="N34" s="128">
        <v>0</v>
      </c>
      <c r="O34" s="127">
        <v>0</v>
      </c>
      <c r="P34" s="127">
        <v>0</v>
      </c>
      <c r="Q34" s="127">
        <v>0</v>
      </c>
      <c r="R34" s="127">
        <v>0</v>
      </c>
      <c r="S34" s="127">
        <v>1</v>
      </c>
      <c r="T34" s="127">
        <v>1</v>
      </c>
      <c r="U34" s="127">
        <v>1</v>
      </c>
      <c r="V34" s="127">
        <v>1</v>
      </c>
      <c r="W34" s="127">
        <v>1</v>
      </c>
      <c r="X34" s="127">
        <v>1</v>
      </c>
      <c r="Y34" s="127">
        <v>1</v>
      </c>
      <c r="Z34" s="127">
        <v>1</v>
      </c>
      <c r="AA34" s="127">
        <v>1</v>
      </c>
      <c r="AB34" s="127">
        <v>1</v>
      </c>
      <c r="AC34" s="127">
        <v>1</v>
      </c>
      <c r="AD34" s="127">
        <v>1</v>
      </c>
      <c r="AE34" s="127">
        <v>1</v>
      </c>
      <c r="AF34" s="127">
        <v>1</v>
      </c>
      <c r="AG34" s="127">
        <v>1</v>
      </c>
      <c r="AH34" s="127">
        <v>1</v>
      </c>
      <c r="AI34" s="127">
        <v>1</v>
      </c>
      <c r="AJ34" s="127">
        <v>1</v>
      </c>
      <c r="AK34" s="127">
        <v>1</v>
      </c>
      <c r="AL34" s="127">
        <v>1</v>
      </c>
      <c r="AM34" s="127">
        <v>1</v>
      </c>
      <c r="AN34" s="127">
        <v>1</v>
      </c>
      <c r="AO34" s="127">
        <v>1</v>
      </c>
      <c r="AP34" s="127">
        <v>1</v>
      </c>
      <c r="AQ34" s="127">
        <v>1</v>
      </c>
      <c r="AR34" s="127">
        <v>1</v>
      </c>
      <c r="AS34" s="127">
        <v>1</v>
      </c>
      <c r="AT34" s="127">
        <v>1</v>
      </c>
      <c r="AU34" s="127">
        <v>1</v>
      </c>
      <c r="AV34" s="127">
        <v>1</v>
      </c>
      <c r="AW34" s="127">
        <v>1</v>
      </c>
      <c r="AX34" s="127">
        <v>1</v>
      </c>
      <c r="AY34" s="127">
        <v>1</v>
      </c>
      <c r="AZ34" s="127">
        <v>1</v>
      </c>
      <c r="BA34" s="127">
        <v>1</v>
      </c>
      <c r="BB34" s="127">
        <v>1</v>
      </c>
      <c r="BC34" s="127">
        <v>1</v>
      </c>
      <c r="BD34" s="127">
        <v>1</v>
      </c>
      <c r="BE34" s="127">
        <v>1</v>
      </c>
      <c r="BF34" s="127">
        <v>1</v>
      </c>
      <c r="BG34" s="163">
        <v>1</v>
      </c>
      <c r="BH34" s="163">
        <v>1</v>
      </c>
      <c r="BI34" s="127">
        <v>1</v>
      </c>
      <c r="BJ34" s="127">
        <v>1</v>
      </c>
      <c r="BK34" s="127">
        <v>1</v>
      </c>
      <c r="BL34" s="127">
        <v>1</v>
      </c>
      <c r="BM34" s="127">
        <v>1</v>
      </c>
      <c r="BN34" s="127">
        <v>1</v>
      </c>
      <c r="BO34" s="127">
        <v>1</v>
      </c>
      <c r="BP34" s="127">
        <v>1</v>
      </c>
      <c r="BQ34" s="127">
        <v>1</v>
      </c>
      <c r="BR34" s="127">
        <v>1</v>
      </c>
      <c r="BS34" s="127">
        <v>1</v>
      </c>
      <c r="BT34" s="127">
        <v>1</v>
      </c>
      <c r="BU34" s="127">
        <v>1</v>
      </c>
      <c r="BV34" s="127">
        <v>1</v>
      </c>
      <c r="BW34" s="127">
        <v>1</v>
      </c>
      <c r="BX34" s="127">
        <v>1</v>
      </c>
      <c r="BY34" s="127">
        <v>1</v>
      </c>
      <c r="BZ34" s="127">
        <v>1</v>
      </c>
      <c r="CA34" s="127">
        <v>1</v>
      </c>
      <c r="CB34" s="127">
        <v>1</v>
      </c>
      <c r="CC34" s="127">
        <v>1</v>
      </c>
      <c r="CD34" s="127">
        <v>1</v>
      </c>
      <c r="CE34" s="127">
        <v>1</v>
      </c>
      <c r="CF34" s="127">
        <v>1</v>
      </c>
      <c r="CG34" s="127">
        <v>1</v>
      </c>
      <c r="CH34" s="127">
        <v>1</v>
      </c>
      <c r="CI34" s="127">
        <v>1</v>
      </c>
      <c r="CJ34" s="127">
        <v>1</v>
      </c>
      <c r="CK34" s="127">
        <v>1</v>
      </c>
      <c r="CL34" s="127">
        <v>1</v>
      </c>
      <c r="CM34" s="127">
        <v>1</v>
      </c>
      <c r="CN34" s="127">
        <v>1</v>
      </c>
      <c r="CO34" s="127">
        <v>1</v>
      </c>
      <c r="CP34" s="127">
        <v>1</v>
      </c>
      <c r="CQ34" s="127">
        <v>1</v>
      </c>
      <c r="CR34" s="127">
        <v>1</v>
      </c>
      <c r="CS34" s="127">
        <v>1</v>
      </c>
      <c r="CT34" s="127">
        <v>1</v>
      </c>
      <c r="CU34" s="127">
        <v>1</v>
      </c>
      <c r="CV34" s="127">
        <v>1</v>
      </c>
      <c r="CW34" s="127">
        <v>1</v>
      </c>
      <c r="CX34" s="127">
        <v>1</v>
      </c>
      <c r="CY34" s="127">
        <v>1</v>
      </c>
      <c r="CZ34" s="127">
        <v>1</v>
      </c>
      <c r="DA34" s="127">
        <v>1</v>
      </c>
      <c r="DB34" s="127">
        <v>1</v>
      </c>
      <c r="DC34" s="127">
        <v>1</v>
      </c>
      <c r="DD34" s="127">
        <v>1</v>
      </c>
      <c r="DE34" s="127">
        <v>1</v>
      </c>
      <c r="DF34" s="127">
        <v>1</v>
      </c>
      <c r="DG34" s="127">
        <v>1</v>
      </c>
      <c r="DH34" s="127">
        <v>1</v>
      </c>
      <c r="DI34" s="127">
        <v>1</v>
      </c>
      <c r="DJ34" s="127">
        <v>1</v>
      </c>
      <c r="DK34" s="127">
        <v>1</v>
      </c>
      <c r="DL34" s="127">
        <v>1</v>
      </c>
      <c r="DM34" s="127">
        <v>1</v>
      </c>
      <c r="DN34" s="127">
        <v>1</v>
      </c>
      <c r="DO34" s="127">
        <v>1</v>
      </c>
      <c r="DP34" s="127">
        <v>1</v>
      </c>
      <c r="DQ34" s="127">
        <v>1</v>
      </c>
      <c r="DR34" s="127">
        <v>1</v>
      </c>
      <c r="DS34" s="127">
        <v>1</v>
      </c>
      <c r="DT34" s="127">
        <v>1</v>
      </c>
      <c r="DU34" s="127">
        <v>1</v>
      </c>
      <c r="DV34" s="127">
        <v>1</v>
      </c>
      <c r="DW34" s="127">
        <v>1</v>
      </c>
      <c r="DX34" s="127">
        <v>1</v>
      </c>
      <c r="DY34" s="127">
        <v>1</v>
      </c>
      <c r="DZ34" s="127">
        <v>1</v>
      </c>
      <c r="EA34" s="127">
        <v>1</v>
      </c>
      <c r="EB34" s="127">
        <v>1</v>
      </c>
      <c r="EC34" s="127">
        <v>1</v>
      </c>
      <c r="ED34" s="127">
        <v>1</v>
      </c>
      <c r="EE34" s="127">
        <v>1</v>
      </c>
      <c r="EF34" s="127">
        <v>1</v>
      </c>
      <c r="EG34" s="127">
        <v>1</v>
      </c>
      <c r="EH34" s="127">
        <v>1</v>
      </c>
      <c r="EI34" s="127">
        <v>1</v>
      </c>
    </row>
    <row r="35" spans="2:139" ht="15" outlineLevel="2" collapsed="1" x14ac:dyDescent="0.3">
      <c r="B35" s="22"/>
      <c r="C35" s="23"/>
      <c r="D35" s="23" t="s">
        <v>39</v>
      </c>
      <c r="E35" s="50"/>
      <c r="F35" s="26">
        <f>+SUM(F36:F38)</f>
        <v>75</v>
      </c>
      <c r="G35" s="28">
        <v>7.0220680011491288E-2</v>
      </c>
      <c r="H35" s="160"/>
      <c r="I35" s="28">
        <f t="shared" ref="I35:BD35" si="338">+SUMPRODUCT($G$36:$G$38,I36:I38)</f>
        <v>0</v>
      </c>
      <c r="J35" s="28">
        <f t="shared" si="338"/>
        <v>0</v>
      </c>
      <c r="K35" s="28">
        <f t="shared" si="338"/>
        <v>0</v>
      </c>
      <c r="L35" s="28">
        <f t="shared" si="338"/>
        <v>0</v>
      </c>
      <c r="M35" s="64">
        <f t="shared" si="338"/>
        <v>0</v>
      </c>
      <c r="N35" s="64">
        <f t="shared" si="338"/>
        <v>0</v>
      </c>
      <c r="O35" s="28">
        <f t="shared" si="338"/>
        <v>0</v>
      </c>
      <c r="P35" s="28">
        <f t="shared" si="338"/>
        <v>1.4999999999999999E-2</v>
      </c>
      <c r="Q35" s="28">
        <f t="shared" si="338"/>
        <v>0.08</v>
      </c>
      <c r="R35" s="28">
        <f t="shared" si="338"/>
        <v>0.11</v>
      </c>
      <c r="S35" s="28">
        <f t="shared" si="338"/>
        <v>0.17250000000000001</v>
      </c>
      <c r="T35" s="28">
        <f t="shared" si="338"/>
        <v>0.17550000000000002</v>
      </c>
      <c r="U35" s="28">
        <f t="shared" si="338"/>
        <v>0.18149999999999999</v>
      </c>
      <c r="V35" s="28">
        <f t="shared" si="338"/>
        <v>0.1875</v>
      </c>
      <c r="W35" s="28">
        <f t="shared" si="338"/>
        <v>0.19750000000000001</v>
      </c>
      <c r="X35" s="28">
        <f t="shared" si="338"/>
        <v>0.20350000000000001</v>
      </c>
      <c r="Y35" s="28">
        <f t="shared" si="338"/>
        <v>0.20950000000000002</v>
      </c>
      <c r="Z35" s="28">
        <f t="shared" si="338"/>
        <v>0.21950000000000003</v>
      </c>
      <c r="AA35" s="28">
        <f t="shared" si="338"/>
        <v>0.24912499999999999</v>
      </c>
      <c r="AB35" s="28">
        <f t="shared" si="338"/>
        <v>0.25580000000000003</v>
      </c>
      <c r="AC35" s="28">
        <f t="shared" si="338"/>
        <v>0.25700000000000001</v>
      </c>
      <c r="AD35" s="28">
        <f t="shared" si="338"/>
        <v>0.26350000000000001</v>
      </c>
      <c r="AE35" s="28">
        <f t="shared" si="338"/>
        <v>0.26502500000000001</v>
      </c>
      <c r="AF35" s="28">
        <f t="shared" si="338"/>
        <v>0.26895000000000002</v>
      </c>
      <c r="AG35" s="28">
        <f t="shared" si="338"/>
        <v>0.30317</v>
      </c>
      <c r="AH35" s="28">
        <f t="shared" si="338"/>
        <v>0.30993000000000004</v>
      </c>
      <c r="AI35" s="28">
        <f t="shared" si="338"/>
        <v>0.30993000000000004</v>
      </c>
      <c r="AJ35" s="28">
        <f t="shared" si="338"/>
        <v>0.30993000000000004</v>
      </c>
      <c r="AK35" s="28">
        <f t="shared" si="338"/>
        <v>0.31029400000000001</v>
      </c>
      <c r="AL35" s="28">
        <f t="shared" si="338"/>
        <v>0.31149000000000004</v>
      </c>
      <c r="AM35" s="28">
        <f t="shared" si="338"/>
        <v>0.31331000000000003</v>
      </c>
      <c r="AN35" s="28">
        <f t="shared" si="338"/>
        <v>0.32982</v>
      </c>
      <c r="AO35" s="28">
        <f t="shared" si="338"/>
        <v>0.33261499999999999</v>
      </c>
      <c r="AP35" s="28">
        <f t="shared" si="338"/>
        <v>0.33352500000000002</v>
      </c>
      <c r="AQ35" s="28">
        <f t="shared" si="338"/>
        <v>0.33463000000000004</v>
      </c>
      <c r="AR35" s="28">
        <f t="shared" si="338"/>
        <v>0.36050000000000004</v>
      </c>
      <c r="AS35" s="28">
        <f t="shared" si="338"/>
        <v>0.36348999999999998</v>
      </c>
      <c r="AT35" s="28">
        <f t="shared" si="338"/>
        <v>0.36985999999999997</v>
      </c>
      <c r="AU35" s="28">
        <f t="shared" si="338"/>
        <v>0.37531999999999999</v>
      </c>
      <c r="AV35" s="28">
        <f t="shared" si="338"/>
        <v>0.3891</v>
      </c>
      <c r="AW35" s="28">
        <f t="shared" si="338"/>
        <v>0.4476</v>
      </c>
      <c r="AX35" s="28">
        <f t="shared" si="338"/>
        <v>0.44929000000000002</v>
      </c>
      <c r="AY35" s="28">
        <f t="shared" si="338"/>
        <v>0.44929000000000002</v>
      </c>
      <c r="AZ35" s="28">
        <f t="shared" si="338"/>
        <v>0.45435999999999999</v>
      </c>
      <c r="BA35" s="28">
        <f t="shared" si="338"/>
        <v>0.48536500000000005</v>
      </c>
      <c r="BB35" s="28">
        <f t="shared" si="338"/>
        <v>0.4959906275</v>
      </c>
      <c r="BC35" s="28">
        <f t="shared" si="338"/>
        <v>0.52371422499999998</v>
      </c>
      <c r="BD35" s="28">
        <f t="shared" si="338"/>
        <v>0.56737891500000015</v>
      </c>
      <c r="BE35" s="28">
        <f t="shared" ref="BE35:BF35" si="339">+SUMPRODUCT($G$36:$G$38,BE36:BE38)</f>
        <v>0.58260610499999999</v>
      </c>
      <c r="BF35" s="28">
        <f t="shared" si="339"/>
        <v>0.60287282500000006</v>
      </c>
      <c r="BG35" s="161">
        <f t="shared" ref="BG35:BH35" si="340">+SUMPRODUCT($G$36:$G$38,BG36:BG38)</f>
        <v>0.60739562500000011</v>
      </c>
      <c r="BH35" s="161">
        <f t="shared" si="340"/>
        <v>0.61191842500000004</v>
      </c>
      <c r="BI35" s="28">
        <f t="shared" ref="BI35:BJ35" si="341">+SUMPRODUCT($G$36:$G$38,BI36:BI38)</f>
        <v>0.61644122499999998</v>
      </c>
      <c r="BJ35" s="28">
        <f t="shared" si="341"/>
        <v>0.62096402500000003</v>
      </c>
      <c r="BK35" s="28">
        <f t="shared" ref="BK35:BL35" si="342">+SUMPRODUCT($G$36:$G$38,BK36:BK38)</f>
        <v>0.62548682500000008</v>
      </c>
      <c r="BL35" s="28">
        <f t="shared" si="342"/>
        <v>0.62774822500000005</v>
      </c>
      <c r="BM35" s="28">
        <f t="shared" ref="BM35:BN35" si="343">+SUMPRODUCT($G$36:$G$38,BM36:BM38)</f>
        <v>0.63453242499999996</v>
      </c>
      <c r="BN35" s="28">
        <f t="shared" si="343"/>
        <v>0.63983148947368429</v>
      </c>
      <c r="BO35" s="28">
        <f t="shared" ref="BO35:BP35" si="344">+SUMPRODUCT($G$36:$G$38,BO36:BO38)</f>
        <v>0.67654053368421052</v>
      </c>
      <c r="BP35" s="28">
        <f t="shared" si="344"/>
        <v>0.70670983810526322</v>
      </c>
      <c r="BQ35" s="28">
        <f t="shared" ref="BQ35:BR35" si="345">+SUMPRODUCT($G$36:$G$38,BQ36:BQ38)</f>
        <v>0.71873023284210524</v>
      </c>
      <c r="BR35" s="28">
        <f t="shared" si="345"/>
        <v>0.72593365389473685</v>
      </c>
      <c r="BS35" s="28">
        <f t="shared" ref="BS35:BT35" si="346">+SUMPRODUCT($G$36:$G$38,BS36:BS38)</f>
        <v>0.7305836538947369</v>
      </c>
      <c r="BT35" s="28">
        <f t="shared" si="346"/>
        <v>0.76763365389473692</v>
      </c>
      <c r="BU35" s="28">
        <f t="shared" ref="BU35:BV35" si="347">+SUMPRODUCT($G$36:$G$38,BU36:BU38)</f>
        <v>0.77393365389473689</v>
      </c>
      <c r="BV35" s="28">
        <f t="shared" si="347"/>
        <v>0.77881830000000007</v>
      </c>
      <c r="BW35" s="28">
        <f t="shared" ref="BW35:BX35" si="348">+SUMPRODUCT($G$36:$G$38,BW36:BW38)</f>
        <v>0.79105080000000005</v>
      </c>
      <c r="BX35" s="28">
        <f t="shared" si="348"/>
        <v>0.79378954999999995</v>
      </c>
      <c r="BY35" s="28">
        <f t="shared" ref="BY35:BZ35" si="349">+SUMPRODUCT($G$36:$G$38,BY36:BY38)</f>
        <v>0.79982830000000005</v>
      </c>
      <c r="BZ35" s="28">
        <f t="shared" si="349"/>
        <v>0.80291155000000014</v>
      </c>
      <c r="CA35" s="28">
        <f t="shared" ref="CA35:CB35" si="350">+SUMPRODUCT($G$36:$G$38,CA36:CA38)</f>
        <v>0.80586705000000003</v>
      </c>
      <c r="CB35" s="28">
        <f t="shared" si="350"/>
        <v>0.80586705000000003</v>
      </c>
      <c r="CC35" s="28">
        <f t="shared" ref="CC35:CD35" si="351">+SUMPRODUCT($G$36:$G$38,CC36:CC38)</f>
        <v>0.80662085000000006</v>
      </c>
      <c r="CD35" s="28">
        <f t="shared" si="351"/>
        <v>0.80662085000000006</v>
      </c>
      <c r="CE35" s="28">
        <f t="shared" ref="CE35" si="352">+SUMPRODUCT($G$36:$G$38,CE36:CE38)</f>
        <v>0.82518636000000012</v>
      </c>
      <c r="CF35" s="28">
        <f t="shared" ref="CF35" si="353">+SUMPRODUCT($G$36:$G$38,CF36:CF38)</f>
        <v>0.82908636000000013</v>
      </c>
      <c r="CG35" s="28">
        <f t="shared" ref="CG35" si="354">+SUMPRODUCT($G$36:$G$38,CG36:CG38)</f>
        <v>0.83092815000000009</v>
      </c>
      <c r="CH35" s="28">
        <f t="shared" ref="CH35" si="355">+SUMPRODUCT($G$36:$G$38,CH36:CH38)</f>
        <v>0.83392814999999998</v>
      </c>
      <c r="CI35" s="28">
        <f t="shared" ref="CI35" si="356">+SUMPRODUCT($G$36:$G$38,CI36:CI38)</f>
        <v>0.8429281500000001</v>
      </c>
      <c r="CJ35" s="28">
        <f t="shared" ref="CJ35:CK35" si="357">+SUMPRODUCT($G$36:$G$38,CJ36:CJ38)</f>
        <v>0.84335742000000002</v>
      </c>
      <c r="CK35" s="28">
        <f t="shared" si="357"/>
        <v>0.8435720550000001</v>
      </c>
      <c r="CL35" s="28">
        <f t="shared" ref="CL35:CV35" si="358">+SUMPRODUCT($G$36:$G$38,CL36:CL38)</f>
        <v>0.8435720550000001</v>
      </c>
      <c r="CM35" s="28">
        <f t="shared" si="358"/>
        <v>0.8496998050000002</v>
      </c>
      <c r="CN35" s="28">
        <f t="shared" si="358"/>
        <v>0.859338555</v>
      </c>
      <c r="CO35" s="28">
        <f t="shared" si="358"/>
        <v>0.859338555</v>
      </c>
      <c r="CP35" s="28">
        <f t="shared" si="358"/>
        <v>0.87035200000000001</v>
      </c>
      <c r="CQ35" s="28">
        <f t="shared" si="358"/>
        <v>0.87035200000000001</v>
      </c>
      <c r="CR35" s="28">
        <f t="shared" si="358"/>
        <v>0.87785960000000007</v>
      </c>
      <c r="CS35" s="28">
        <f t="shared" si="358"/>
        <v>0.87936720000000013</v>
      </c>
      <c r="CT35" s="28">
        <f t="shared" si="358"/>
        <v>0.88580625000000002</v>
      </c>
      <c r="CU35" s="28">
        <f t="shared" si="358"/>
        <v>0.89780625000000003</v>
      </c>
      <c r="CV35" s="28">
        <f t="shared" si="358"/>
        <v>0.90100000000000002</v>
      </c>
      <c r="CW35" s="28">
        <f t="shared" ref="CW35" si="359">+SUMPRODUCT($G$36:$G$38,CW36:CW38)</f>
        <v>0.90100000000000002</v>
      </c>
      <c r="CX35" s="28">
        <f t="shared" ref="CX35:CY35" si="360">+SUMPRODUCT($G$36:$G$38,CX36:CX38)</f>
        <v>0.90400000000000014</v>
      </c>
      <c r="CY35" s="28">
        <f t="shared" si="360"/>
        <v>0.90999999999999992</v>
      </c>
      <c r="CZ35" s="28">
        <f t="shared" ref="CZ35:DA35" si="361">+SUMPRODUCT($G$36:$G$38,CZ36:CZ38)</f>
        <v>0.91149999999999998</v>
      </c>
      <c r="DA35" s="28">
        <f t="shared" si="361"/>
        <v>0.91450000000000009</v>
      </c>
      <c r="DB35" s="28">
        <f t="shared" ref="DB35:DC35" si="362">+SUMPRODUCT($G$36:$G$38,DB36:DB38)</f>
        <v>0.91600000000000015</v>
      </c>
      <c r="DC35" s="28">
        <f t="shared" si="362"/>
        <v>0.91900000000000004</v>
      </c>
      <c r="DD35" s="28">
        <f t="shared" ref="DD35:DE35" si="363">+SUMPRODUCT($G$36:$G$38,DD36:DD38)</f>
        <v>0.92199999999999993</v>
      </c>
      <c r="DE35" s="28">
        <f t="shared" si="363"/>
        <v>0.92500000000000004</v>
      </c>
      <c r="DF35" s="28">
        <f t="shared" ref="DF35" si="364">+SUMPRODUCT($G$36:$G$38,DF36:DF38)</f>
        <v>0.92800000000000016</v>
      </c>
      <c r="DG35" s="28">
        <f t="shared" ref="DG35:EI35" si="365">+SUMPRODUCT($G$36:$G$38,DG36:DG38)</f>
        <v>0.93100000000000005</v>
      </c>
      <c r="DH35" s="28">
        <f t="shared" si="365"/>
        <v>0.93100000000000005</v>
      </c>
      <c r="DI35" s="28">
        <f t="shared" si="365"/>
        <v>0.93100000000000005</v>
      </c>
      <c r="DJ35" s="28">
        <f t="shared" si="365"/>
        <v>0.8435720550000001</v>
      </c>
      <c r="DK35" s="28">
        <f t="shared" si="365"/>
        <v>0.8435720550000001</v>
      </c>
      <c r="DL35" s="28">
        <f t="shared" si="365"/>
        <v>0.8435720550000001</v>
      </c>
      <c r="DM35" s="28">
        <f t="shared" si="365"/>
        <v>0.8435720550000001</v>
      </c>
      <c r="DN35" s="28">
        <f t="shared" si="365"/>
        <v>0.8435720550000001</v>
      </c>
      <c r="DO35" s="28">
        <f t="shared" si="365"/>
        <v>0.8435720550000001</v>
      </c>
      <c r="DP35" s="28">
        <f t="shared" si="365"/>
        <v>0.8435720550000001</v>
      </c>
      <c r="DQ35" s="28">
        <f t="shared" si="365"/>
        <v>0.8435720550000001</v>
      </c>
      <c r="DR35" s="28">
        <f t="shared" si="365"/>
        <v>0.8435720550000001</v>
      </c>
      <c r="DS35" s="28">
        <f t="shared" si="365"/>
        <v>0.8435720550000001</v>
      </c>
      <c r="DT35" s="28">
        <f t="shared" si="365"/>
        <v>0.8435720550000001</v>
      </c>
      <c r="DU35" s="28">
        <f t="shared" si="365"/>
        <v>0.8435720550000001</v>
      </c>
      <c r="DV35" s="28">
        <f t="shared" si="365"/>
        <v>0.8435720550000001</v>
      </c>
      <c r="DW35" s="28">
        <f t="shared" si="365"/>
        <v>0.8435720550000001</v>
      </c>
      <c r="DX35" s="28">
        <f t="shared" si="365"/>
        <v>0.8435720550000001</v>
      </c>
      <c r="DY35" s="28">
        <f t="shared" si="365"/>
        <v>0.8435720550000001</v>
      </c>
      <c r="DZ35" s="28">
        <f t="shared" si="365"/>
        <v>0.8435720550000001</v>
      </c>
      <c r="EA35" s="28">
        <f t="shared" si="365"/>
        <v>0.8435720550000001</v>
      </c>
      <c r="EB35" s="28">
        <f t="shared" si="365"/>
        <v>0.8435720550000001</v>
      </c>
      <c r="EC35" s="28">
        <f t="shared" si="365"/>
        <v>0.8435720550000001</v>
      </c>
      <c r="ED35" s="28">
        <f t="shared" si="365"/>
        <v>0.8435720550000001</v>
      </c>
      <c r="EE35" s="28">
        <f t="shared" si="365"/>
        <v>0.8435720550000001</v>
      </c>
      <c r="EF35" s="28">
        <f t="shared" si="365"/>
        <v>0.8435720550000001</v>
      </c>
      <c r="EG35" s="28">
        <f t="shared" si="365"/>
        <v>0.8435720550000001</v>
      </c>
      <c r="EH35" s="28">
        <f t="shared" si="365"/>
        <v>0.8435720550000001</v>
      </c>
      <c r="EI35" s="28">
        <f t="shared" si="365"/>
        <v>0.91900000000000004</v>
      </c>
    </row>
    <row r="36" spans="2:139" ht="15" hidden="1" customHeight="1" outlineLevel="3" x14ac:dyDescent="0.3">
      <c r="B36" s="29"/>
      <c r="C36" s="30"/>
      <c r="D36" s="30"/>
      <c r="E36" s="52" t="s">
        <v>40</v>
      </c>
      <c r="F36" s="33">
        <v>25</v>
      </c>
      <c r="G36" s="35">
        <v>0.4</v>
      </c>
      <c r="H36" s="162"/>
      <c r="I36" s="127">
        <v>0</v>
      </c>
      <c r="J36" s="127">
        <v>0</v>
      </c>
      <c r="K36" s="127">
        <v>0</v>
      </c>
      <c r="L36" s="127">
        <v>0</v>
      </c>
      <c r="M36" s="127">
        <v>0</v>
      </c>
      <c r="N36" s="127">
        <v>0</v>
      </c>
      <c r="O36" s="127">
        <v>0</v>
      </c>
      <c r="P36" s="127">
        <v>0</v>
      </c>
      <c r="Q36" s="127">
        <v>0</v>
      </c>
      <c r="R36" s="127">
        <v>0</v>
      </c>
      <c r="S36" s="127">
        <v>7.4999999999999997E-3</v>
      </c>
      <c r="T36" s="127">
        <v>1.4999999999999999E-2</v>
      </c>
      <c r="U36" s="127">
        <v>0.03</v>
      </c>
      <c r="V36" s="127">
        <v>4.4999999999999998E-2</v>
      </c>
      <c r="W36" s="127">
        <v>7.0000000000000007E-2</v>
      </c>
      <c r="X36" s="127">
        <v>8.4999999999999992E-2</v>
      </c>
      <c r="Y36" s="127">
        <v>0.1</v>
      </c>
      <c r="Z36" s="127">
        <v>0.125</v>
      </c>
      <c r="AA36" s="127">
        <v>0.16249999999999998</v>
      </c>
      <c r="AB36" s="127">
        <v>0.16699999999999998</v>
      </c>
      <c r="AC36" s="127">
        <v>0.16999999999999998</v>
      </c>
      <c r="AD36" s="127">
        <v>0.183</v>
      </c>
      <c r="AE36" s="127">
        <v>0.186</v>
      </c>
      <c r="AF36" s="127">
        <v>0.19500000000000001</v>
      </c>
      <c r="AG36" s="127">
        <v>0.25455</v>
      </c>
      <c r="AH36" s="127">
        <v>0.26169999999999999</v>
      </c>
      <c r="AI36" s="127">
        <v>0.26169999999999999</v>
      </c>
      <c r="AJ36" s="127">
        <v>0.26169999999999999</v>
      </c>
      <c r="AK36" s="127">
        <v>0.26261000000000001</v>
      </c>
      <c r="AL36" s="127">
        <v>0.2656</v>
      </c>
      <c r="AM36" s="127">
        <v>0.27015</v>
      </c>
      <c r="AN36" s="127">
        <v>0.30654999999999999</v>
      </c>
      <c r="AO36" s="127">
        <v>0.31109999999999999</v>
      </c>
      <c r="AP36" s="127">
        <v>0.31337500000000001</v>
      </c>
      <c r="AQ36" s="127">
        <v>0.31564999999999999</v>
      </c>
      <c r="AR36" s="127">
        <v>0.37935000000000002</v>
      </c>
      <c r="AS36" s="127">
        <v>0.38585000000000003</v>
      </c>
      <c r="AT36" s="127">
        <v>0.40080000000000005</v>
      </c>
      <c r="AU36" s="127">
        <v>0.41347500000000004</v>
      </c>
      <c r="AV36" s="127">
        <v>0.43525000000000003</v>
      </c>
      <c r="AW36" s="127">
        <v>0.58150000000000002</v>
      </c>
      <c r="AX36" s="127">
        <v>0.58572500000000005</v>
      </c>
      <c r="AY36" s="127">
        <v>0.58572500000000005</v>
      </c>
      <c r="AZ36" s="127">
        <v>0.59840000000000004</v>
      </c>
      <c r="BA36" s="127">
        <v>0.62309999999999999</v>
      </c>
      <c r="BB36" s="127">
        <f>Real[[#This Row],[05/05/25]]+(1-Real[[#This Row],[05/05/25]])*'Avance 39'!I19</f>
        <v>0.63968360000000002</v>
      </c>
      <c r="BC36" s="127">
        <f>Real[[#This Row],[05/05/25]]+(1-Real[[#This Row],[05/05/25]])*'Avance 39'!J19</f>
        <v>0.66455900000000001</v>
      </c>
      <c r="BD36" s="127">
        <f>Real[[#This Row],[05/05/25]]+(1-Real[[#This Row],[05/05/25]])*'Avance 39'!K19</f>
        <v>0.68114260000000004</v>
      </c>
      <c r="BE36" s="127">
        <f>Real[[#This Row],[05/05/25]]+(1-Real[[#This Row],[05/05/25]])*'Avance 39'!L19</f>
        <v>0.69772619999999996</v>
      </c>
      <c r="BF36" s="127">
        <f>Real[[#This Row],[05/05/25]]+(1-Real[[#This Row],[05/05/25]])*'Avance 39'!M19</f>
        <v>0.70601800000000003</v>
      </c>
      <c r="BG36" s="163">
        <f>Real[[#This Row],[05/05/25]]+(1-Real[[#This Row],[05/05/25]])*'Avance 39'!N19</f>
        <v>0.71732499999999999</v>
      </c>
      <c r="BH36" s="163">
        <f>Real[[#This Row],[05/05/25]]+(1-Real[[#This Row],[05/05/25]])*'Avance 39'!O19</f>
        <v>0.72863199999999995</v>
      </c>
      <c r="BI36" s="127">
        <f>Real[[#This Row],[05/05/25]]+(1-Real[[#This Row],[05/05/25]])*'Avance 39'!P19</f>
        <v>0.73993900000000001</v>
      </c>
      <c r="BJ36" s="127">
        <f>Real[[#This Row],[05/05/25]]+(1-Real[[#This Row],[05/05/25]])*'Avance 39'!Q19</f>
        <v>0.75124599999999997</v>
      </c>
      <c r="BK36" s="127">
        <f>Real[[#This Row],[05/05/25]]+(1-Real[[#This Row],[05/05/25]])*'Avance 39'!R19</f>
        <v>0.76255300000000004</v>
      </c>
      <c r="BL36" s="127">
        <f>Real[[#This Row],[05/05/25]]+(1-Real[[#This Row],[05/05/25]])*'Avance 39'!S19</f>
        <v>0.76820650000000001</v>
      </c>
      <c r="BM36" s="127">
        <f>Real[[#This Row],[05/05/25]]+(1-Real[[#This Row],[05/05/25]])*'Avance 39'!T19</f>
        <v>0.78516699999999995</v>
      </c>
      <c r="BN36" s="127">
        <f>Real[[#This Row],[05/05/25]]+(1-Real[[#This Row],[05/05/25]])*'Avance 39'!U19</f>
        <v>0.79082049999999993</v>
      </c>
      <c r="BO36" s="127">
        <f>Real[[#This Row],[05/05/25]]+(1-Real[[#This Row],[05/05/25]])*'Avance 39'!V19</f>
        <v>0.87034639999999996</v>
      </c>
      <c r="BP36" s="127">
        <f>Real[[#This Row],[05/05/25]]+(1-Real[[#This Row],[05/05/25]])*'Avance 39'!W19</f>
        <v>0.93577624000000004</v>
      </c>
      <c r="BQ36" s="127">
        <f>Real[[#This Row],[05/05/25]]+(1-Real[[#This Row],[05/05/25]])*'Avance 39'!X19</f>
        <v>0.93577624000000004</v>
      </c>
      <c r="BR36" s="127">
        <f>Real[[#This Row],[05/05/25]]+(1-Real[[#This Row],[05/05/25]])*'Avance 39'!Y19</f>
        <v>0.93577624000000004</v>
      </c>
      <c r="BS36" s="127">
        <f>Real[[#This Row],[05/05/25]]+(1-Real[[#This Row],[05/05/25]])*'Avance 39'!Z19</f>
        <v>0.93577624000000004</v>
      </c>
      <c r="BT36" s="127">
        <f>Real[[#This Row],[05/05/25]]+(1-Real[[#This Row],[05/05/25]])*'Avance 39'!AA19</f>
        <v>0.93577624000000004</v>
      </c>
      <c r="BU36" s="127">
        <f>Real[[#This Row],[05/05/25]]+(1-Real[[#This Row],[05/05/25]])*'Avance 39'!AB19</f>
        <v>0.93577624000000004</v>
      </c>
      <c r="BV36" s="127">
        <f>Real[[#This Row],[05/05/25]]+(1-Real[[#This Row],[05/05/25]])*'Avance 39'!AC19</f>
        <v>0.93592699999999995</v>
      </c>
      <c r="BW36" s="127">
        <f>Real[[#This Row],[05/05/25]]+(1-Real[[#This Row],[05/05/25]])*'Avance 39'!AD19</f>
        <v>0.93592699999999995</v>
      </c>
      <c r="BX36" s="127">
        <f>Real[[#This Row],[05/05/25]]+(1-Real[[#This Row],[05/05/25]])*'Avance 39'!AE19</f>
        <v>0.93592699999999995</v>
      </c>
      <c r="BY36" s="127">
        <f>Real[[#This Row],[05/05/25]]+(1-Real[[#This Row],[05/05/25]])*'Avance 39'!AF19</f>
        <v>0.93592699999999995</v>
      </c>
      <c r="BZ36" s="127">
        <f>Real[[#This Row],[05/05/25]]+(1-Real[[#This Row],[05/05/25]])*'Avance 39'!AG19</f>
        <v>0.93592699999999995</v>
      </c>
      <c r="CA36" s="127">
        <f>Real[[#This Row],[05/05/25]]+(1-Real[[#This Row],[05/05/25]])*'Avance 39'!AH19</f>
        <v>0.93592699999999995</v>
      </c>
      <c r="CB36" s="127">
        <f>Real[[#This Row],[05/05/25]]+(1-Real[[#This Row],[05/05/25]])*'Avance 39'!AI19</f>
        <v>0.93592699999999995</v>
      </c>
      <c r="CC36" s="127">
        <f>Real[[#This Row],[05/05/25]]+(1-Real[[#This Row],[05/05/25]])*'Avance 39'!AJ19</f>
        <v>0.93781150000000002</v>
      </c>
      <c r="CD36" s="127">
        <f>Real[[#This Row],[05/05/25]]+(1-Real[[#This Row],[05/05/25]])*'Avance 39'!AK19</f>
        <v>0.93781150000000002</v>
      </c>
      <c r="CE36" s="127">
        <f>Real[[#This Row],[05/05/25]]+(1-Real[[#This Row],[05/05/25]])*'Avance 39'!AL19</f>
        <v>0.97587840000000003</v>
      </c>
      <c r="CF36" s="127">
        <f>Real[[#This Row],[05/05/25]]+(1-Real[[#This Row],[05/05/25]])*'Avance 39'!AM19</f>
        <v>0.97587840000000003</v>
      </c>
      <c r="CG36" s="127">
        <f>Real[[#This Row],[05/05/25]]+(1-Real[[#This Row],[05/05/25]])*'Avance 39'!AN19</f>
        <v>0.97738599999999998</v>
      </c>
      <c r="CH36" s="127">
        <f>Real[[#This Row],[05/05/25]]+(1-Real[[#This Row],[05/05/25]])*'Avance 39'!AO19</f>
        <v>0.97738599999999998</v>
      </c>
      <c r="CI36" s="127">
        <f>Real[[#This Row],[05/05/25]]+(1-Real[[#This Row],[05/05/25]])*'Avance 39'!AP19</f>
        <v>0.97738599999999998</v>
      </c>
      <c r="CJ36" s="127">
        <f>Real[[#This Row],[05/05/25]]+(1-Real[[#This Row],[05/05/25]])*'Avance 39'!AQ19</f>
        <v>0.9781398</v>
      </c>
      <c r="CK36" s="127">
        <f>Real[[#This Row],[05/05/25]]+(1-Real[[#This Row],[05/05/25]])*'Avance 39'!AR19</f>
        <v>0.97851669999999991</v>
      </c>
      <c r="CL36" s="127">
        <f>Real[[#This Row],[05/05/25]]+(1-Real[[#This Row],[05/05/25]])*'Avance 39'!AS19</f>
        <v>0.97851669999999991</v>
      </c>
      <c r="CM36" s="127">
        <f>Real[[#This Row],[05/05/25]]+(1-Real[[#This Row],[05/05/25]])*'Avance 39'!AT19</f>
        <v>0.97851669999999991</v>
      </c>
      <c r="CN36" s="127">
        <f>Real[[#This Row],[05/05/25]]+(1-Real[[#This Row],[05/05/25]])*'Avance 39'!AU19</f>
        <v>0.97851669999999991</v>
      </c>
      <c r="CO36" s="127">
        <f>Real[[#This Row],[05/05/25]]+(1-Real[[#This Row],[05/05/25]])*'Avance 39'!AV19</f>
        <v>0.97851669999999991</v>
      </c>
      <c r="CP36" s="127">
        <f>Real[[#This Row],[05/05/25]]+(1-Real[[#This Row],[05/05/25]])*'Avance 39'!AW19</f>
        <v>0.981155</v>
      </c>
      <c r="CQ36" s="127">
        <f>Real[[#This Row],[05/05/25]]+(1-Real[[#This Row],[05/05/25]])*'Avance 39'!AX19</f>
        <v>0.981155</v>
      </c>
      <c r="CR36" s="127">
        <f>Real[[#This Row],[05/05/25]]+(1-Real[[#This Row],[05/05/25]])*'Avance 39'!AY19</f>
        <v>0.98492399999999991</v>
      </c>
      <c r="CS36" s="127">
        <f>Real[[#This Row],[05/05/25]]+(1-Real[[#This Row],[05/05/25]])*'Avance 39'!AZ19</f>
        <v>0.98869300000000004</v>
      </c>
      <c r="CT36" s="127">
        <f>Real[[#This Row],[05/05/25]]+(1-Real[[#This Row],[05/05/25]])*'Avance 39'!BA19</f>
        <v>1</v>
      </c>
      <c r="CU36" s="127">
        <f>Real[[#This Row],[05/05/25]]+(1-Real[[#This Row],[05/05/25]])*'Avance 39'!BB19</f>
        <v>1</v>
      </c>
      <c r="CV36" s="127">
        <f>Real[[#This Row],[05/05/25]]+(1-Real[[#This Row],[05/05/25]])*'Avance 39'!BC19</f>
        <v>1</v>
      </c>
      <c r="CW36" s="127">
        <f>Real[[#This Row],[05/05/25]]+(1-Real[[#This Row],[05/05/25]])*'Avance 39'!BD19</f>
        <v>1</v>
      </c>
      <c r="CX36" s="127">
        <f>Real[[#This Row],[05/05/25]]+(1-Real[[#This Row],[05/05/25]])*'Avance 39'!BE19</f>
        <v>1</v>
      </c>
      <c r="CY36" s="127">
        <f>Real[[#This Row],[05/05/25]]+(1-Real[[#This Row],[05/05/25]])*'Avance 39'!BF19</f>
        <v>1</v>
      </c>
      <c r="CZ36" s="127">
        <f>Real[[#This Row],[05/05/25]]+(1-Real[[#This Row],[05/05/25]])*'Avance 39'!BG19</f>
        <v>1</v>
      </c>
      <c r="DA36" s="127">
        <f>Real[[#This Row],[05/05/25]]+(1-Real[[#This Row],[05/05/25]])*'Avance 39'!BH19</f>
        <v>1</v>
      </c>
      <c r="DB36" s="127">
        <f>Real[[#This Row],[05/05/25]]+(1-Real[[#This Row],[05/05/25]])*'Avance 39'!BI19</f>
        <v>1</v>
      </c>
      <c r="DC36" s="127">
        <f>Real[[#This Row],[05/05/25]]+(1-Real[[#This Row],[05/05/25]])*'Avance 39'!BJ19</f>
        <v>1</v>
      </c>
      <c r="DD36" s="127">
        <f>Real[[#This Row],[05/05/25]]+(1-Real[[#This Row],[05/05/25]])*'Avance 39'!BK19</f>
        <v>1</v>
      </c>
      <c r="DE36" s="127">
        <f>Real[[#This Row],[05/05/25]]+(1-Real[[#This Row],[05/05/25]])*'Avance 39'!BL19</f>
        <v>1</v>
      </c>
      <c r="DF36" s="127">
        <f>Real[[#This Row],[05/05/25]]+(1-Real[[#This Row],[05/05/25]])*'Avance 39'!BM19</f>
        <v>1</v>
      </c>
      <c r="DG36" s="127">
        <f>Real[[#This Row],[05/05/25]]+(1-Real[[#This Row],[05/05/25]])*'Avance 39'!BN19</f>
        <v>1</v>
      </c>
      <c r="DH36" s="127">
        <f>Real[[#This Row],[05/05/25]]+(1-Real[[#This Row],[05/05/25]])*'Avance 39'!BO19</f>
        <v>1</v>
      </c>
      <c r="DI36" s="127">
        <f>Real[[#This Row],[05/05/25]]+(1-Real[[#This Row],[05/05/25]])*'Avance 39'!BP19</f>
        <v>1</v>
      </c>
      <c r="DJ36" s="127">
        <f>Real[[#This Row],[05/05/25]]+(1-Real[[#This Row],[05/05/25]])*'Avance 39'!BQ19</f>
        <v>0.97851669999999991</v>
      </c>
      <c r="DK36" s="127">
        <f>Real[[#This Row],[05/05/25]]+(1-Real[[#This Row],[05/05/25]])*'Avance 39'!BR19</f>
        <v>0.97851669999999991</v>
      </c>
      <c r="DL36" s="127">
        <f>Real[[#This Row],[05/05/25]]+(1-Real[[#This Row],[05/05/25]])*'Avance 39'!BS19</f>
        <v>0.97851669999999991</v>
      </c>
      <c r="DM36" s="127">
        <f>Real[[#This Row],[05/05/25]]+(1-Real[[#This Row],[05/05/25]])*'Avance 39'!BT19</f>
        <v>0.97851669999999991</v>
      </c>
      <c r="DN36" s="127">
        <f>Real[[#This Row],[05/05/25]]+(1-Real[[#This Row],[05/05/25]])*'Avance 39'!BU19</f>
        <v>0.97851669999999991</v>
      </c>
      <c r="DO36" s="127">
        <f>Real[[#This Row],[05/05/25]]+(1-Real[[#This Row],[05/05/25]])*'Avance 39'!BV19</f>
        <v>0.97851669999999991</v>
      </c>
      <c r="DP36" s="127">
        <f>Real[[#This Row],[05/05/25]]+(1-Real[[#This Row],[05/05/25]])*'Avance 39'!BW19</f>
        <v>0.97851669999999991</v>
      </c>
      <c r="DQ36" s="127">
        <f>Real[[#This Row],[05/05/25]]+(1-Real[[#This Row],[05/05/25]])*'Avance 39'!BX19</f>
        <v>0.97851669999999991</v>
      </c>
      <c r="DR36" s="127">
        <f>Real[[#This Row],[05/05/25]]+(1-Real[[#This Row],[05/05/25]])*'Avance 39'!BY19</f>
        <v>0.97851669999999991</v>
      </c>
      <c r="DS36" s="127">
        <f>Real[[#This Row],[05/05/25]]+(1-Real[[#This Row],[05/05/25]])*'Avance 39'!BZ19</f>
        <v>0.97851669999999991</v>
      </c>
      <c r="DT36" s="127">
        <f>Real[[#This Row],[05/05/25]]+(1-Real[[#This Row],[05/05/25]])*'Avance 39'!CA19</f>
        <v>0.97851669999999991</v>
      </c>
      <c r="DU36" s="127">
        <f>Real[[#This Row],[05/05/25]]+(1-Real[[#This Row],[05/05/25]])*'Avance 39'!CB19</f>
        <v>0.97851669999999991</v>
      </c>
      <c r="DV36" s="127">
        <f>Real[[#This Row],[05/05/25]]+(1-Real[[#This Row],[05/05/25]])*'Avance 39'!CC19</f>
        <v>0.97851669999999991</v>
      </c>
      <c r="DW36" s="127">
        <f>Real[[#This Row],[05/05/25]]+(1-Real[[#This Row],[05/05/25]])*'Avance 39'!CD19</f>
        <v>0.97851669999999991</v>
      </c>
      <c r="DX36" s="127">
        <f>Real[[#This Row],[05/05/25]]+(1-Real[[#This Row],[05/05/25]])*'Avance 39'!CE19</f>
        <v>0.97851669999999991</v>
      </c>
      <c r="DY36" s="127">
        <f>Real[[#This Row],[05/05/25]]+(1-Real[[#This Row],[05/05/25]])*'Avance 39'!CF19</f>
        <v>0.97851669999999991</v>
      </c>
      <c r="DZ36" s="127">
        <f>Real[[#This Row],[05/05/25]]+(1-Real[[#This Row],[05/05/25]])*'Avance 39'!CG19</f>
        <v>0.97851669999999991</v>
      </c>
      <c r="EA36" s="127">
        <f>Real[[#This Row],[05/05/25]]+(1-Real[[#This Row],[05/05/25]])*'Avance 39'!CH19</f>
        <v>0.97851669999999991</v>
      </c>
      <c r="EB36" s="127">
        <f>Real[[#This Row],[05/05/25]]+(1-Real[[#This Row],[05/05/25]])*'Avance 39'!CI19</f>
        <v>0.97851669999999991</v>
      </c>
      <c r="EC36" s="127">
        <f>Real[[#This Row],[05/05/25]]+(1-Real[[#This Row],[05/05/25]])*'Avance 39'!CJ19</f>
        <v>0.97851669999999991</v>
      </c>
      <c r="ED36" s="127">
        <f>Real[[#This Row],[05/05/25]]+(1-Real[[#This Row],[05/05/25]])*'Avance 39'!CK19</f>
        <v>0.97851669999999991</v>
      </c>
      <c r="EE36" s="127">
        <f>Real[[#This Row],[05/05/25]]+(1-Real[[#This Row],[05/05/25]])*'Avance 39'!CL19</f>
        <v>0.97851669999999991</v>
      </c>
      <c r="EF36" s="127">
        <f>Real[[#This Row],[05/05/25]]+(1-Real[[#This Row],[05/05/25]])*'Avance 39'!CM19</f>
        <v>0.97851669999999991</v>
      </c>
      <c r="EG36" s="127">
        <f>Real[[#This Row],[05/05/25]]+(1-Real[[#This Row],[05/05/25]])*'Avance 39'!CN19</f>
        <v>0.97851669999999991</v>
      </c>
      <c r="EH36" s="127">
        <f>Real[[#This Row],[05/05/25]]+(1-Real[[#This Row],[05/05/25]])*'Avance 39'!CO19</f>
        <v>0.97851669999999991</v>
      </c>
      <c r="EI36" s="127">
        <f>Real[[#This Row],[05/05/25]]+(1-Real[[#This Row],[05/05/25]])*'Avance 39'!CP19</f>
        <v>1</v>
      </c>
    </row>
    <row r="37" spans="2:139" ht="15" hidden="1" customHeight="1" outlineLevel="3" x14ac:dyDescent="0.3">
      <c r="B37" s="280"/>
      <c r="C37" s="281"/>
      <c r="D37" s="281"/>
      <c r="E37" s="282" t="s">
        <v>41</v>
      </c>
      <c r="F37" s="283">
        <v>25</v>
      </c>
      <c r="G37" s="284">
        <v>0.4</v>
      </c>
      <c r="H37" s="162"/>
      <c r="I37" s="127">
        <v>0</v>
      </c>
      <c r="J37" s="127">
        <v>0</v>
      </c>
      <c r="K37" s="127">
        <v>0</v>
      </c>
      <c r="L37" s="127">
        <v>0</v>
      </c>
      <c r="M37" s="127">
        <v>0</v>
      </c>
      <c r="N37" s="127">
        <v>0</v>
      </c>
      <c r="O37" s="127">
        <v>0</v>
      </c>
      <c r="P37" s="127">
        <v>0</v>
      </c>
      <c r="Q37" s="127">
        <v>7.4999999999999997E-2</v>
      </c>
      <c r="R37" s="127">
        <v>0.15</v>
      </c>
      <c r="S37" s="127">
        <v>0.25</v>
      </c>
      <c r="T37" s="127">
        <v>0.25</v>
      </c>
      <c r="U37" s="127">
        <v>0.25</v>
      </c>
      <c r="V37" s="127">
        <v>0.25</v>
      </c>
      <c r="W37" s="127">
        <v>0.25</v>
      </c>
      <c r="X37" s="127">
        <v>0.25</v>
      </c>
      <c r="Y37" s="127">
        <v>0.25</v>
      </c>
      <c r="Z37" s="127">
        <v>0.25</v>
      </c>
      <c r="AA37" s="127">
        <v>0.25</v>
      </c>
      <c r="AB37" s="127">
        <v>0.25</v>
      </c>
      <c r="AC37" s="127">
        <v>0.25</v>
      </c>
      <c r="AD37" s="127">
        <v>0.25</v>
      </c>
      <c r="AE37" s="127">
        <v>0.25</v>
      </c>
      <c r="AF37" s="127">
        <v>0.25</v>
      </c>
      <c r="AG37" s="127">
        <v>0.25</v>
      </c>
      <c r="AH37" s="127">
        <v>0.25</v>
      </c>
      <c r="AI37" s="127">
        <v>0.25</v>
      </c>
      <c r="AJ37" s="127">
        <v>0.25</v>
      </c>
      <c r="AK37" s="127">
        <v>0.25</v>
      </c>
      <c r="AL37" s="127">
        <v>0.25</v>
      </c>
      <c r="AM37" s="127">
        <v>0.25</v>
      </c>
      <c r="AN37" s="127">
        <v>0.25</v>
      </c>
      <c r="AO37" s="127">
        <v>0.25</v>
      </c>
      <c r="AP37" s="127">
        <v>0.25</v>
      </c>
      <c r="AQ37" s="127">
        <v>0.25</v>
      </c>
      <c r="AR37" s="127">
        <v>0.25</v>
      </c>
      <c r="AS37" s="127">
        <v>0.25</v>
      </c>
      <c r="AT37" s="127">
        <v>0.25</v>
      </c>
      <c r="AU37" s="127">
        <v>0.25</v>
      </c>
      <c r="AV37" s="127">
        <v>0.25</v>
      </c>
      <c r="AW37" s="127">
        <v>0.25</v>
      </c>
      <c r="AX37" s="127">
        <v>0.25</v>
      </c>
      <c r="AY37" s="127">
        <v>0.25</v>
      </c>
      <c r="AZ37" s="127">
        <v>0.25</v>
      </c>
      <c r="BA37" s="127">
        <v>0.25</v>
      </c>
      <c r="BB37" s="127">
        <f>Real[[#This Row],[05/05/25]]+(1-Real[[#This Row],[05/05/25]])*'Avance 39'!I20</f>
        <v>0.25</v>
      </c>
      <c r="BC37" s="127">
        <f>Real[[#This Row],[05/05/25]]+(1-Real[[#This Row],[05/05/25]])*'Avance 39'!J20</f>
        <v>0.26050000000000001</v>
      </c>
      <c r="BD37" s="127">
        <f>Real[[#This Row],[05/05/25]]+(1-Real[[#This Row],[05/05/25]])*'Avance 39'!K20</f>
        <v>0.329125</v>
      </c>
      <c r="BE37" s="127">
        <f>Real[[#This Row],[05/05/25]]+(1-Real[[#This Row],[05/05/25]])*'Avance 39'!L20</f>
        <v>0.34262500000000001</v>
      </c>
      <c r="BF37" s="127">
        <f>Real[[#This Row],[05/05/25]]+(1-Real[[#This Row],[05/05/25]])*'Avance 39'!M20</f>
        <v>0.38500000000000001</v>
      </c>
      <c r="BG37" s="163">
        <f>Real[[#This Row],[05/05/25]]+(1-Real[[#This Row],[05/05/25]])*'Avance 39'!N20</f>
        <v>0.38500000000000001</v>
      </c>
      <c r="BH37" s="163">
        <f>Real[[#This Row],[05/05/25]]+(1-Real[[#This Row],[05/05/25]])*'Avance 39'!O20</f>
        <v>0.38500000000000001</v>
      </c>
      <c r="BI37" s="127">
        <f>Real[[#This Row],[05/05/25]]+(1-Real[[#This Row],[05/05/25]])*'Avance 39'!P20</f>
        <v>0.38500000000000001</v>
      </c>
      <c r="BJ37" s="127">
        <f>Real[[#This Row],[05/05/25]]+(1-Real[[#This Row],[05/05/25]])*'Avance 39'!Q20</f>
        <v>0.38500000000000001</v>
      </c>
      <c r="BK37" s="127">
        <f>Real[[#This Row],[05/05/25]]+(1-Real[[#This Row],[05/05/25]])*'Avance 39'!R20</f>
        <v>0.38500000000000001</v>
      </c>
      <c r="BL37" s="127">
        <f>Real[[#This Row],[05/05/25]]+(1-Real[[#This Row],[05/05/25]])*'Avance 39'!S20</f>
        <v>0.38500000000000001</v>
      </c>
      <c r="BM37" s="127">
        <f>Real[[#This Row],[05/05/25]]+(1-Real[[#This Row],[05/05/25]])*'Avance 39'!T20</f>
        <v>0.38500000000000001</v>
      </c>
      <c r="BN37" s="127">
        <f>Real[[#This Row],[05/05/25]]+(1-Real[[#This Row],[05/05/25]])*'Avance 39'!U20</f>
        <v>0.38500000000000001</v>
      </c>
      <c r="BO37" s="127">
        <f>Real[[#This Row],[05/05/25]]+(1-Real[[#This Row],[05/05/25]])*'Avance 39'!V20</f>
        <v>0.38500000000000001</v>
      </c>
      <c r="BP37" s="127">
        <f>Real[[#This Row],[05/05/25]]+(1-Real[[#This Row],[05/05/25]])*'Avance 39'!W20</f>
        <v>0.38875000000000004</v>
      </c>
      <c r="BQ37" s="127">
        <f>Real[[#This Row],[05/05/25]]+(1-Real[[#This Row],[05/05/25]])*'Avance 39'!X20</f>
        <v>0.40787499999999999</v>
      </c>
      <c r="BR37" s="127">
        <f>Real[[#This Row],[05/05/25]]+(1-Real[[#This Row],[05/05/25]])*'Avance 39'!Y20</f>
        <v>0.41575000000000001</v>
      </c>
      <c r="BS37" s="127">
        <f>Real[[#This Row],[05/05/25]]+(1-Real[[#This Row],[05/05/25]])*'Avance 39'!Z20</f>
        <v>0.42737500000000006</v>
      </c>
      <c r="BT37" s="127">
        <f>Real[[#This Row],[05/05/25]]+(1-Real[[#This Row],[05/05/25]])*'Avance 39'!AA20</f>
        <v>0.52</v>
      </c>
      <c r="BU37" s="127">
        <f>Real[[#This Row],[05/05/25]]+(1-Real[[#This Row],[05/05/25]])*'Avance 39'!AB20</f>
        <v>0.53575000000000006</v>
      </c>
      <c r="BV37" s="127">
        <f>Real[[#This Row],[05/05/25]]+(1-Real[[#This Row],[05/05/25]])*'Avance 39'!AC20</f>
        <v>0.54625000000000001</v>
      </c>
      <c r="BW37" s="127">
        <f>Real[[#This Row],[05/05/25]]+(1-Real[[#This Row],[05/05/25]])*'Avance 39'!AD20</f>
        <v>0.56725000000000003</v>
      </c>
      <c r="BX37" s="127">
        <f>Real[[#This Row],[05/05/25]]+(1-Real[[#This Row],[05/05/25]])*'Avance 39'!AE20</f>
        <v>0.57250000000000001</v>
      </c>
      <c r="BY37" s="127">
        <f>Real[[#This Row],[05/05/25]]+(1-Real[[#This Row],[05/05/25]])*'Avance 39'!AF20</f>
        <v>0.58600000000000008</v>
      </c>
      <c r="BZ37" s="127">
        <f>Real[[#This Row],[05/05/25]]+(1-Real[[#This Row],[05/05/25]])*'Avance 39'!AG20</f>
        <v>0.59275000000000011</v>
      </c>
      <c r="CA37" s="127">
        <f>Real[[#This Row],[05/05/25]]+(1-Real[[#This Row],[05/05/25]])*'Avance 39'!AH20</f>
        <v>0.59950000000000003</v>
      </c>
      <c r="CB37" s="127">
        <f>Real[[#This Row],[05/05/25]]+(1-Real[[#This Row],[05/05/25]])*'Avance 39'!AI20</f>
        <v>0.59950000000000003</v>
      </c>
      <c r="CC37" s="127">
        <f>Real[[#This Row],[05/05/25]]+(1-Real[[#This Row],[05/05/25]])*'Avance 39'!AJ20</f>
        <v>0.59950000000000003</v>
      </c>
      <c r="CD37" s="127">
        <f>Real[[#This Row],[05/05/25]]+(1-Real[[#This Row],[05/05/25]])*'Avance 39'!AK20</f>
        <v>0.59950000000000003</v>
      </c>
      <c r="CE37" s="127">
        <f>Real[[#This Row],[05/05/25]]+(1-Real[[#This Row],[05/05/25]])*'Avance 39'!AL20</f>
        <v>0.60624999999999996</v>
      </c>
      <c r="CF37" s="127">
        <f>Real[[#This Row],[05/05/25]]+(1-Real[[#This Row],[05/05/25]])*'Avance 39'!AM20</f>
        <v>0.61599999999999999</v>
      </c>
      <c r="CG37" s="127">
        <f>Real[[#This Row],[05/05/25]]+(1-Real[[#This Row],[05/05/25]])*'Avance 39'!AN20</f>
        <v>0.61749999999999994</v>
      </c>
      <c r="CH37" s="127">
        <f>Real[[#This Row],[05/05/25]]+(1-Real[[#This Row],[05/05/25]])*'Avance 39'!AO20</f>
        <v>0.625</v>
      </c>
      <c r="CI37" s="127">
        <f>Real[[#This Row],[05/05/25]]+(1-Real[[#This Row],[05/05/25]])*'Avance 39'!AP20</f>
        <v>0.64749999999999996</v>
      </c>
      <c r="CJ37" s="127">
        <f>Real[[#This Row],[05/05/25]]+(1-Real[[#This Row],[05/05/25]])*'Avance 39'!AQ20</f>
        <v>0.64749999999999996</v>
      </c>
      <c r="CK37" s="127">
        <f>Real[[#This Row],[05/05/25]]+(1-Real[[#This Row],[05/05/25]])*'Avance 39'!AR20</f>
        <v>0.64749999999999996</v>
      </c>
      <c r="CL37" s="127">
        <f>Real[[#This Row],[05/05/25]]+(1-Real[[#This Row],[05/05/25]])*'Avance 39'!AS20</f>
        <v>0.64749999999999996</v>
      </c>
      <c r="CM37" s="127">
        <f>Real[[#This Row],[05/05/25]]+(1-Real[[#This Row],[05/05/25]])*'Avance 39'!AT20</f>
        <v>0.66250000000000009</v>
      </c>
      <c r="CN37" s="127">
        <f>Real[[#This Row],[05/05/25]]+(1-Real[[#This Row],[05/05/25]])*'Avance 39'!AU20</f>
        <v>0.68499999999999994</v>
      </c>
      <c r="CO37" s="127">
        <f>Real[[#This Row],[05/05/25]]+(1-Real[[#This Row],[05/05/25]])*'Avance 39'!AV20</f>
        <v>0.68499999999999994</v>
      </c>
      <c r="CP37" s="127">
        <f>Real[[#This Row],[05/05/25]]+(1-Real[[#This Row],[05/05/25]])*'Avance 39'!AW20</f>
        <v>0.70750000000000002</v>
      </c>
      <c r="CQ37" s="127">
        <f>Real[[#This Row],[05/05/25]]+(1-Real[[#This Row],[05/05/25]])*'Avance 39'!AX20</f>
        <v>0.70750000000000002</v>
      </c>
      <c r="CR37" s="127">
        <f>Real[[#This Row],[05/05/25]]+(1-Real[[#This Row],[05/05/25]])*'Avance 39'!AY20</f>
        <v>0.72250000000000003</v>
      </c>
      <c r="CS37" s="127">
        <f>Real[[#This Row],[05/05/25]]+(1-Real[[#This Row],[05/05/25]])*'Avance 39'!AZ20</f>
        <v>0.72250000000000003</v>
      </c>
      <c r="CT37" s="127">
        <f>Real[[#This Row],[05/05/25]]+(1-Real[[#This Row],[05/05/25]])*'Avance 39'!BA20</f>
        <v>0.72250000000000003</v>
      </c>
      <c r="CU37" s="127">
        <f>Real[[#This Row],[05/05/25]]+(1-Real[[#This Row],[05/05/25]])*'Avance 39'!BB20</f>
        <v>0.75250000000000006</v>
      </c>
      <c r="CV37" s="127">
        <f>Real[[#This Row],[05/05/25]]+(1-Real[[#This Row],[05/05/25]])*'Avance 39'!BC20</f>
        <v>0.75250000000000006</v>
      </c>
      <c r="CW37" s="127">
        <f>Real[[#This Row],[05/05/25]]+(1-Real[[#This Row],[05/05/25]])*'Avance 39'!BD20</f>
        <v>0.75250000000000006</v>
      </c>
      <c r="CX37" s="127">
        <f>Real[[#This Row],[05/05/25]]+(1-Real[[#This Row],[05/05/25]])*'Avance 39'!BE20</f>
        <v>0.76</v>
      </c>
      <c r="CY37" s="127">
        <f>Real[[#This Row],[05/05/25]]+(1-Real[[#This Row],[05/05/25]])*'Avance 39'!BF20</f>
        <v>0.77499999999999991</v>
      </c>
      <c r="CZ37" s="127">
        <f>Real[[#This Row],[05/05/25]]+(1-Real[[#This Row],[05/05/25]])*'Avance 39'!BG20</f>
        <v>0.77874999999999994</v>
      </c>
      <c r="DA37" s="127">
        <f>Real[[#This Row],[05/05/25]]+(1-Real[[#This Row],[05/05/25]])*'Avance 39'!BH20</f>
        <v>0.78625</v>
      </c>
      <c r="DB37" s="127">
        <f>Real[[#This Row],[05/05/25]]+(1-Real[[#This Row],[05/05/25]])*'Avance 39'!BI20</f>
        <v>0.79</v>
      </c>
      <c r="DC37" s="127">
        <f>Real[[#This Row],[05/05/25]]+(1-Real[[#This Row],[05/05/25]])*'Avance 39'!BJ20</f>
        <v>0.79749999999999999</v>
      </c>
      <c r="DD37" s="127">
        <f>Real[[#This Row],[05/05/25]]+(1-Real[[#This Row],[05/05/25]])*'Avance 39'!BK20</f>
        <v>0.80499999999999994</v>
      </c>
      <c r="DE37" s="127">
        <f>Real[[#This Row],[05/05/25]]+(1-Real[[#This Row],[05/05/25]])*'Avance 39'!BL20</f>
        <v>0.8125</v>
      </c>
      <c r="DF37" s="127">
        <f>Real[[#This Row],[05/05/25]]+(1-Real[[#This Row],[05/05/25]])*'Avance 39'!BM20</f>
        <v>0.82000000000000006</v>
      </c>
      <c r="DG37" s="127">
        <f>Real[[#This Row],[05/05/25]]+(1-Real[[#This Row],[05/05/25]])*'Avance 39'!BN20</f>
        <v>0.82750000000000001</v>
      </c>
      <c r="DH37" s="127">
        <f>Real[[#This Row],[05/05/25]]+(1-Real[[#This Row],[05/05/25]])*'Avance 39'!BO20</f>
        <v>0.82750000000000001</v>
      </c>
      <c r="DI37" s="127">
        <f>Real[[#This Row],[05/05/25]]+(1-Real[[#This Row],[05/05/25]])*'Avance 39'!BP20</f>
        <v>0.82750000000000001</v>
      </c>
      <c r="DJ37" s="127">
        <f>Real[[#This Row],[05/05/25]]+(1-Real[[#This Row],[05/05/25]])*'Avance 39'!BQ20</f>
        <v>0.64749999999999996</v>
      </c>
      <c r="DK37" s="127">
        <f>Real[[#This Row],[05/05/25]]+(1-Real[[#This Row],[05/05/25]])*'Avance 39'!BR20</f>
        <v>0.64749999999999996</v>
      </c>
      <c r="DL37" s="127">
        <f>Real[[#This Row],[05/05/25]]+(1-Real[[#This Row],[05/05/25]])*'Avance 39'!BS20</f>
        <v>0.64749999999999996</v>
      </c>
      <c r="DM37" s="127">
        <f>Real[[#This Row],[05/05/25]]+(1-Real[[#This Row],[05/05/25]])*'Avance 39'!BT20</f>
        <v>0.64749999999999996</v>
      </c>
      <c r="DN37" s="127">
        <f>Real[[#This Row],[05/05/25]]+(1-Real[[#This Row],[05/05/25]])*'Avance 39'!BU20</f>
        <v>0.64749999999999996</v>
      </c>
      <c r="DO37" s="127">
        <f>Real[[#This Row],[05/05/25]]+(1-Real[[#This Row],[05/05/25]])*'Avance 39'!BV20</f>
        <v>0.64749999999999996</v>
      </c>
      <c r="DP37" s="127">
        <f>Real[[#This Row],[05/05/25]]+(1-Real[[#This Row],[05/05/25]])*'Avance 39'!BW20</f>
        <v>0.64749999999999996</v>
      </c>
      <c r="DQ37" s="127">
        <f>Real[[#This Row],[05/05/25]]+(1-Real[[#This Row],[05/05/25]])*'Avance 39'!BX20</f>
        <v>0.64749999999999996</v>
      </c>
      <c r="DR37" s="127">
        <f>Real[[#This Row],[05/05/25]]+(1-Real[[#This Row],[05/05/25]])*'Avance 39'!BY20</f>
        <v>0.64749999999999996</v>
      </c>
      <c r="DS37" s="127">
        <f>Real[[#This Row],[05/05/25]]+(1-Real[[#This Row],[05/05/25]])*'Avance 39'!BZ20</f>
        <v>0.64749999999999996</v>
      </c>
      <c r="DT37" s="127">
        <f>Real[[#This Row],[05/05/25]]+(1-Real[[#This Row],[05/05/25]])*'Avance 39'!CA20</f>
        <v>0.64749999999999996</v>
      </c>
      <c r="DU37" s="127">
        <f>Real[[#This Row],[05/05/25]]+(1-Real[[#This Row],[05/05/25]])*'Avance 39'!CB20</f>
        <v>0.64749999999999996</v>
      </c>
      <c r="DV37" s="127">
        <f>Real[[#This Row],[05/05/25]]+(1-Real[[#This Row],[05/05/25]])*'Avance 39'!CC20</f>
        <v>0.64749999999999996</v>
      </c>
      <c r="DW37" s="127">
        <f>Real[[#This Row],[05/05/25]]+(1-Real[[#This Row],[05/05/25]])*'Avance 39'!CD20</f>
        <v>0.64749999999999996</v>
      </c>
      <c r="DX37" s="127">
        <f>Real[[#This Row],[05/05/25]]+(1-Real[[#This Row],[05/05/25]])*'Avance 39'!CE20</f>
        <v>0.64749999999999996</v>
      </c>
      <c r="DY37" s="127">
        <f>Real[[#This Row],[05/05/25]]+(1-Real[[#This Row],[05/05/25]])*'Avance 39'!CF20</f>
        <v>0.64749999999999996</v>
      </c>
      <c r="DZ37" s="127">
        <f>Real[[#This Row],[05/05/25]]+(1-Real[[#This Row],[05/05/25]])*'Avance 39'!CG20</f>
        <v>0.64749999999999996</v>
      </c>
      <c r="EA37" s="127">
        <f>Real[[#This Row],[05/05/25]]+(1-Real[[#This Row],[05/05/25]])*'Avance 39'!CH20</f>
        <v>0.64749999999999996</v>
      </c>
      <c r="EB37" s="127">
        <f>Real[[#This Row],[05/05/25]]+(1-Real[[#This Row],[05/05/25]])*'Avance 39'!CI20</f>
        <v>0.64749999999999996</v>
      </c>
      <c r="EC37" s="127">
        <f>Real[[#This Row],[05/05/25]]+(1-Real[[#This Row],[05/05/25]])*'Avance 39'!CJ20</f>
        <v>0.64749999999999996</v>
      </c>
      <c r="ED37" s="127">
        <f>Real[[#This Row],[05/05/25]]+(1-Real[[#This Row],[05/05/25]])*'Avance 39'!CK20</f>
        <v>0.64749999999999996</v>
      </c>
      <c r="EE37" s="127">
        <f>Real[[#This Row],[05/05/25]]+(1-Real[[#This Row],[05/05/25]])*'Avance 39'!CL20</f>
        <v>0.64749999999999996</v>
      </c>
      <c r="EF37" s="127">
        <f>Real[[#This Row],[05/05/25]]+(1-Real[[#This Row],[05/05/25]])*'Avance 39'!CM20</f>
        <v>0.64749999999999996</v>
      </c>
      <c r="EG37" s="127">
        <f>Real[[#This Row],[05/05/25]]+(1-Real[[#This Row],[05/05/25]])*'Avance 39'!CN20</f>
        <v>0.64749999999999996</v>
      </c>
      <c r="EH37" s="127">
        <f>Real[[#This Row],[05/05/25]]+(1-Real[[#This Row],[05/05/25]])*'Avance 39'!CO20</f>
        <v>0.64749999999999996</v>
      </c>
      <c r="EI37" s="127">
        <f>Real[[#This Row],[05/05/25]]+(1-Real[[#This Row],[05/05/25]])*'Avance 39'!CP20</f>
        <v>0.79749999999999999</v>
      </c>
    </row>
    <row r="38" spans="2:139" ht="15" hidden="1" customHeight="1" outlineLevel="3" x14ac:dyDescent="0.3">
      <c r="B38" s="29"/>
      <c r="C38" s="30"/>
      <c r="D38" s="30"/>
      <c r="E38" s="52" t="s">
        <v>42</v>
      </c>
      <c r="F38" s="33">
        <v>25</v>
      </c>
      <c r="G38" s="35">
        <v>0.2</v>
      </c>
      <c r="H38" s="162"/>
      <c r="I38" s="127">
        <v>0</v>
      </c>
      <c r="J38" s="127">
        <v>0</v>
      </c>
      <c r="K38" s="127">
        <v>0</v>
      </c>
      <c r="L38" s="127">
        <v>0</v>
      </c>
      <c r="M38" s="127">
        <v>0</v>
      </c>
      <c r="N38" s="127">
        <v>0</v>
      </c>
      <c r="O38" s="127">
        <v>0</v>
      </c>
      <c r="P38" s="127">
        <v>7.4999999999999997E-2</v>
      </c>
      <c r="Q38" s="127">
        <v>0.25</v>
      </c>
      <c r="R38" s="127">
        <v>0.25</v>
      </c>
      <c r="S38" s="127">
        <v>0.34750000000000003</v>
      </c>
      <c r="T38" s="127">
        <v>0.34750000000000003</v>
      </c>
      <c r="U38" s="127">
        <v>0.34750000000000003</v>
      </c>
      <c r="V38" s="127">
        <v>0.34750000000000003</v>
      </c>
      <c r="W38" s="127">
        <v>0.34750000000000003</v>
      </c>
      <c r="X38" s="127">
        <v>0.34750000000000003</v>
      </c>
      <c r="Y38" s="127">
        <v>0.34750000000000003</v>
      </c>
      <c r="Z38" s="127">
        <v>0.34750000000000003</v>
      </c>
      <c r="AA38" s="127">
        <v>0.42062499999999997</v>
      </c>
      <c r="AB38" s="127">
        <v>0.44500000000000001</v>
      </c>
      <c r="AC38" s="127">
        <v>0.44500000000000001</v>
      </c>
      <c r="AD38" s="127">
        <v>0.45150000000000001</v>
      </c>
      <c r="AE38" s="127">
        <v>0.453125</v>
      </c>
      <c r="AF38" s="127">
        <v>0.45474999999999999</v>
      </c>
      <c r="AG38" s="127">
        <v>0.50675000000000003</v>
      </c>
      <c r="AH38" s="127">
        <v>0.52625000000000011</v>
      </c>
      <c r="AI38" s="127">
        <v>0.52625000000000011</v>
      </c>
      <c r="AJ38" s="127">
        <v>0.52625000000000011</v>
      </c>
      <c r="AK38" s="127">
        <v>0.52625000000000011</v>
      </c>
      <c r="AL38" s="127">
        <v>0.52625000000000011</v>
      </c>
      <c r="AM38" s="127">
        <v>0.52625000000000011</v>
      </c>
      <c r="AN38" s="127">
        <v>0.53600000000000003</v>
      </c>
      <c r="AO38" s="127">
        <v>0.54087499999999999</v>
      </c>
      <c r="AP38" s="127">
        <v>0.54087499999999999</v>
      </c>
      <c r="AQ38" s="127">
        <v>0.54185000000000005</v>
      </c>
      <c r="AR38" s="127">
        <v>0.54380000000000006</v>
      </c>
      <c r="AS38" s="127">
        <v>0.54574999999999996</v>
      </c>
      <c r="AT38" s="127">
        <v>0.54769999999999996</v>
      </c>
      <c r="AU38" s="127">
        <v>0.54964999999999997</v>
      </c>
      <c r="AV38" s="127">
        <v>0.57499999999999996</v>
      </c>
      <c r="AW38" s="127">
        <v>0.57499999999999996</v>
      </c>
      <c r="AX38" s="127">
        <v>0.57499999999999996</v>
      </c>
      <c r="AY38" s="127">
        <v>0.57499999999999996</v>
      </c>
      <c r="AZ38" s="127">
        <v>0.57499999999999996</v>
      </c>
      <c r="BA38" s="127">
        <v>0.68062500000000004</v>
      </c>
      <c r="BB38" s="127">
        <f>Real[[#This Row],[05/05/25]]+(1-Real[[#This Row],[05/05/25]])*'Avance 39'!I21</f>
        <v>0.70058593750000009</v>
      </c>
      <c r="BC38" s="127">
        <f>Real[[#This Row],[05/05/25]]+(1-Real[[#This Row],[05/05/25]])*'Avance 39'!J21</f>
        <v>0.76845312500000007</v>
      </c>
      <c r="BD38" s="127">
        <f>Real[[#This Row],[05/05/25]]+(1-Real[[#This Row],[05/05/25]])*'Avance 39'!K21</f>
        <v>0.816359375</v>
      </c>
      <c r="BE38" s="127">
        <f>Real[[#This Row],[05/05/25]]+(1-Real[[#This Row],[05/05/25]])*'Avance 39'!L21</f>
        <v>0.83232812499999997</v>
      </c>
      <c r="BF38" s="127">
        <f>Real[[#This Row],[05/05/25]]+(1-Real[[#This Row],[05/05/25]])*'Avance 39'!M21</f>
        <v>0.83232812499999997</v>
      </c>
      <c r="BG38" s="163">
        <f>Real[[#This Row],[05/05/25]]+(1-Real[[#This Row],[05/05/25]])*'Avance 39'!N21</f>
        <v>0.83232812499999997</v>
      </c>
      <c r="BH38" s="163">
        <f>Real[[#This Row],[05/05/25]]+(1-Real[[#This Row],[05/05/25]])*'Avance 39'!O21</f>
        <v>0.83232812499999997</v>
      </c>
      <c r="BI38" s="127">
        <f>Real[[#This Row],[05/05/25]]+(1-Real[[#This Row],[05/05/25]])*'Avance 39'!P21</f>
        <v>0.83232812499999997</v>
      </c>
      <c r="BJ38" s="127">
        <f>Real[[#This Row],[05/05/25]]+(1-Real[[#This Row],[05/05/25]])*'Avance 39'!Q21</f>
        <v>0.83232812499999997</v>
      </c>
      <c r="BK38" s="127">
        <f>Real[[#This Row],[05/05/25]]+(1-Real[[#This Row],[05/05/25]])*'Avance 39'!R21</f>
        <v>0.83232812499999997</v>
      </c>
      <c r="BL38" s="127">
        <f>Real[[#This Row],[05/05/25]]+(1-Real[[#This Row],[05/05/25]])*'Avance 39'!S21</f>
        <v>0.83232812499999997</v>
      </c>
      <c r="BM38" s="127">
        <f>Real[[#This Row],[05/05/25]]+(1-Real[[#This Row],[05/05/25]])*'Avance 39'!T21</f>
        <v>0.83232812499999997</v>
      </c>
      <c r="BN38" s="127">
        <f>Real[[#This Row],[05/05/25]]+(1-Real[[#This Row],[05/05/25]])*'Avance 39'!U21</f>
        <v>0.84751644736842102</v>
      </c>
      <c r="BO38" s="127">
        <f>Real[[#This Row],[05/05/25]]+(1-Real[[#This Row],[05/05/25]])*'Avance 39'!V21</f>
        <v>0.87200986842105266</v>
      </c>
      <c r="BP38" s="127">
        <f>Real[[#This Row],[05/05/25]]+(1-Real[[#This Row],[05/05/25]])*'Avance 39'!W21</f>
        <v>0.88449671052631573</v>
      </c>
      <c r="BQ38" s="127">
        <f>Real[[#This Row],[05/05/25]]+(1-Real[[#This Row],[05/05/25]])*'Avance 39'!X21</f>
        <v>0.90634868421052628</v>
      </c>
      <c r="BR38" s="127">
        <f>Real[[#This Row],[05/05/25]]+(1-Real[[#This Row],[05/05/25]])*'Avance 39'!Y21</f>
        <v>0.92661578947368417</v>
      </c>
      <c r="BS38" s="127">
        <f>Real[[#This Row],[05/05/25]]+(1-Real[[#This Row],[05/05/25]])*'Avance 39'!Z21</f>
        <v>0.92661578947368417</v>
      </c>
      <c r="BT38" s="127">
        <f>Real[[#This Row],[05/05/25]]+(1-Real[[#This Row],[05/05/25]])*'Avance 39'!AA21</f>
        <v>0.92661578947368417</v>
      </c>
      <c r="BU38" s="127">
        <f>Real[[#This Row],[05/05/25]]+(1-Real[[#This Row],[05/05/25]])*'Avance 39'!AB21</f>
        <v>0.92661578947368417</v>
      </c>
      <c r="BV38" s="127">
        <f>Real[[#This Row],[05/05/25]]+(1-Real[[#This Row],[05/05/25]])*'Avance 39'!AC21</f>
        <v>0.92973749999999999</v>
      </c>
      <c r="BW38" s="127">
        <f>Real[[#This Row],[05/05/25]]+(1-Real[[#This Row],[05/05/25]])*'Avance 39'!AD21</f>
        <v>0.94890000000000008</v>
      </c>
      <c r="BX38" s="127">
        <f>Real[[#This Row],[05/05/25]]+(1-Real[[#This Row],[05/05/25]])*'Avance 39'!AE21</f>
        <v>0.95209374999999996</v>
      </c>
      <c r="BY38" s="127">
        <f>Real[[#This Row],[05/05/25]]+(1-Real[[#This Row],[05/05/25]])*'Avance 39'!AF21</f>
        <v>0.95528750000000007</v>
      </c>
      <c r="BZ38" s="127">
        <f>Real[[#This Row],[05/05/25]]+(1-Real[[#This Row],[05/05/25]])*'Avance 39'!AG21</f>
        <v>0.95720375000000002</v>
      </c>
      <c r="CA38" s="127">
        <f>Real[[#This Row],[05/05/25]]+(1-Real[[#This Row],[05/05/25]])*'Avance 39'!AH21</f>
        <v>0.95848125000000006</v>
      </c>
      <c r="CB38" s="127">
        <f>Real[[#This Row],[05/05/25]]+(1-Real[[#This Row],[05/05/25]])*'Avance 39'!AI21</f>
        <v>0.95848125000000006</v>
      </c>
      <c r="CC38" s="127">
        <f>Real[[#This Row],[05/05/25]]+(1-Real[[#This Row],[05/05/25]])*'Avance 39'!AJ21</f>
        <v>0.95848125000000006</v>
      </c>
      <c r="CD38" s="127">
        <f>Real[[#This Row],[05/05/25]]+(1-Real[[#This Row],[05/05/25]])*'Avance 39'!AK21</f>
        <v>0.95848125000000006</v>
      </c>
      <c r="CE38" s="127">
        <f>Real[[#This Row],[05/05/25]]+(1-Real[[#This Row],[05/05/25]])*'Avance 39'!AL21</f>
        <v>0.96167500000000006</v>
      </c>
      <c r="CF38" s="127">
        <f>Real[[#This Row],[05/05/25]]+(1-Real[[#This Row],[05/05/25]])*'Avance 39'!AM21</f>
        <v>0.96167500000000006</v>
      </c>
      <c r="CG38" s="127">
        <f>Real[[#This Row],[05/05/25]]+(1-Real[[#This Row],[05/05/25]])*'Avance 39'!AN21</f>
        <v>0.96486874999999994</v>
      </c>
      <c r="CH38" s="127">
        <f>Real[[#This Row],[05/05/25]]+(1-Real[[#This Row],[05/05/25]])*'Avance 39'!AO21</f>
        <v>0.96486874999999994</v>
      </c>
      <c r="CI38" s="127">
        <f>Real[[#This Row],[05/05/25]]+(1-Real[[#This Row],[05/05/25]])*'Avance 39'!AP21</f>
        <v>0.96486874999999994</v>
      </c>
      <c r="CJ38" s="127">
        <f>Real[[#This Row],[05/05/25]]+(1-Real[[#This Row],[05/05/25]])*'Avance 39'!AQ21</f>
        <v>0.96550749999999996</v>
      </c>
      <c r="CK38" s="127">
        <f>Real[[#This Row],[05/05/25]]+(1-Real[[#This Row],[05/05/25]])*'Avance 39'!AR21</f>
        <v>0.96582687500000008</v>
      </c>
      <c r="CL38" s="127">
        <f>Real[[#This Row],[05/05/25]]+(1-Real[[#This Row],[05/05/25]])*'Avance 39'!AS21</f>
        <v>0.96582687500000008</v>
      </c>
      <c r="CM38" s="127">
        <f>Real[[#This Row],[05/05/25]]+(1-Real[[#This Row],[05/05/25]])*'Avance 39'!AT21</f>
        <v>0.96646562499999999</v>
      </c>
      <c r="CN38" s="127">
        <f>Real[[#This Row],[05/05/25]]+(1-Real[[#This Row],[05/05/25]])*'Avance 39'!AU21</f>
        <v>0.96965937499999999</v>
      </c>
      <c r="CO38" s="127">
        <f>Real[[#This Row],[05/05/25]]+(1-Real[[#This Row],[05/05/25]])*'Avance 39'!AV21</f>
        <v>0.96965937499999999</v>
      </c>
      <c r="CP38" s="127">
        <f>Real[[#This Row],[05/05/25]]+(1-Real[[#This Row],[05/05/25]])*'Avance 39'!AW21</f>
        <v>0.97445000000000004</v>
      </c>
      <c r="CQ38" s="127">
        <f>Real[[#This Row],[05/05/25]]+(1-Real[[#This Row],[05/05/25]])*'Avance 39'!AX21</f>
        <v>0.97445000000000004</v>
      </c>
      <c r="CR38" s="127">
        <f>Real[[#This Row],[05/05/25]]+(1-Real[[#This Row],[05/05/25]])*'Avance 39'!AY21</f>
        <v>0.97445000000000004</v>
      </c>
      <c r="CS38" s="127">
        <f>Real[[#This Row],[05/05/25]]+(1-Real[[#This Row],[05/05/25]])*'Avance 39'!AZ21</f>
        <v>0.97445000000000004</v>
      </c>
      <c r="CT38" s="127">
        <f>Real[[#This Row],[05/05/25]]+(1-Real[[#This Row],[05/05/25]])*'Avance 39'!BA21</f>
        <v>0.98403124999999991</v>
      </c>
      <c r="CU38" s="127">
        <f>Real[[#This Row],[05/05/25]]+(1-Real[[#This Row],[05/05/25]])*'Avance 39'!BB21</f>
        <v>0.98403124999999991</v>
      </c>
      <c r="CV38" s="127">
        <f>Real[[#This Row],[05/05/25]]+(1-Real[[#This Row],[05/05/25]])*'Avance 39'!BC21</f>
        <v>1</v>
      </c>
      <c r="CW38" s="127">
        <f>Real[[#This Row],[05/05/25]]+(1-Real[[#This Row],[05/05/25]])*'Avance 39'!BD21</f>
        <v>1</v>
      </c>
      <c r="CX38" s="127">
        <f>Real[[#This Row],[05/05/25]]+(1-Real[[#This Row],[05/05/25]])*'Avance 39'!BE21</f>
        <v>1</v>
      </c>
      <c r="CY38" s="127">
        <f>Real[[#This Row],[05/05/25]]+(1-Real[[#This Row],[05/05/25]])*'Avance 39'!BF21</f>
        <v>1</v>
      </c>
      <c r="CZ38" s="127">
        <f>Real[[#This Row],[05/05/25]]+(1-Real[[#This Row],[05/05/25]])*'Avance 39'!BG21</f>
        <v>1</v>
      </c>
      <c r="DA38" s="127">
        <f>Real[[#This Row],[05/05/25]]+(1-Real[[#This Row],[05/05/25]])*'Avance 39'!BH21</f>
        <v>1</v>
      </c>
      <c r="DB38" s="127">
        <f>Real[[#This Row],[05/05/25]]+(1-Real[[#This Row],[05/05/25]])*'Avance 39'!BI21</f>
        <v>1</v>
      </c>
      <c r="DC38" s="127">
        <f>Real[[#This Row],[05/05/25]]+(1-Real[[#This Row],[05/05/25]])*'Avance 39'!BJ21</f>
        <v>1</v>
      </c>
      <c r="DD38" s="127">
        <f>Real[[#This Row],[05/05/25]]+(1-Real[[#This Row],[05/05/25]])*'Avance 39'!BK21</f>
        <v>1</v>
      </c>
      <c r="DE38" s="127">
        <f>Real[[#This Row],[05/05/25]]+(1-Real[[#This Row],[05/05/25]])*'Avance 39'!BL21</f>
        <v>1</v>
      </c>
      <c r="DF38" s="127">
        <f>Real[[#This Row],[05/05/25]]+(1-Real[[#This Row],[05/05/25]])*'Avance 39'!BM21</f>
        <v>1</v>
      </c>
      <c r="DG38" s="127">
        <f>Real[[#This Row],[05/05/25]]+(1-Real[[#This Row],[05/05/25]])*'Avance 39'!BN21</f>
        <v>1</v>
      </c>
      <c r="DH38" s="127">
        <f>Real[[#This Row],[05/05/25]]+(1-Real[[#This Row],[05/05/25]])*'Avance 39'!BO21</f>
        <v>1</v>
      </c>
      <c r="DI38" s="127">
        <f>Real[[#This Row],[05/05/25]]+(1-Real[[#This Row],[05/05/25]])*'Avance 39'!BP21</f>
        <v>1</v>
      </c>
      <c r="DJ38" s="127">
        <f>Real[[#This Row],[05/05/25]]+(1-Real[[#This Row],[05/05/25]])*'Avance 39'!BQ21</f>
        <v>0.96582687500000008</v>
      </c>
      <c r="DK38" s="127">
        <f>Real[[#This Row],[05/05/25]]+(1-Real[[#This Row],[05/05/25]])*'Avance 39'!BR21</f>
        <v>0.96582687500000008</v>
      </c>
      <c r="DL38" s="127">
        <f>Real[[#This Row],[05/05/25]]+(1-Real[[#This Row],[05/05/25]])*'Avance 39'!BS21</f>
        <v>0.96582687500000008</v>
      </c>
      <c r="DM38" s="127">
        <f>Real[[#This Row],[05/05/25]]+(1-Real[[#This Row],[05/05/25]])*'Avance 39'!BT21</f>
        <v>0.96582687500000008</v>
      </c>
      <c r="DN38" s="127">
        <f>Real[[#This Row],[05/05/25]]+(1-Real[[#This Row],[05/05/25]])*'Avance 39'!BU21</f>
        <v>0.96582687500000008</v>
      </c>
      <c r="DO38" s="127">
        <f>Real[[#This Row],[05/05/25]]+(1-Real[[#This Row],[05/05/25]])*'Avance 39'!BV21</f>
        <v>0.96582687500000008</v>
      </c>
      <c r="DP38" s="127">
        <f>Real[[#This Row],[05/05/25]]+(1-Real[[#This Row],[05/05/25]])*'Avance 39'!BW21</f>
        <v>0.96582687500000008</v>
      </c>
      <c r="DQ38" s="127">
        <f>Real[[#This Row],[05/05/25]]+(1-Real[[#This Row],[05/05/25]])*'Avance 39'!BX21</f>
        <v>0.96582687500000008</v>
      </c>
      <c r="DR38" s="127">
        <f>Real[[#This Row],[05/05/25]]+(1-Real[[#This Row],[05/05/25]])*'Avance 39'!BY21</f>
        <v>0.96582687500000008</v>
      </c>
      <c r="DS38" s="127">
        <f>Real[[#This Row],[05/05/25]]+(1-Real[[#This Row],[05/05/25]])*'Avance 39'!BZ21</f>
        <v>0.96582687500000008</v>
      </c>
      <c r="DT38" s="127">
        <f>Real[[#This Row],[05/05/25]]+(1-Real[[#This Row],[05/05/25]])*'Avance 39'!CA21</f>
        <v>0.96582687500000008</v>
      </c>
      <c r="DU38" s="127">
        <f>Real[[#This Row],[05/05/25]]+(1-Real[[#This Row],[05/05/25]])*'Avance 39'!CB21</f>
        <v>0.96582687500000008</v>
      </c>
      <c r="DV38" s="127">
        <f>Real[[#This Row],[05/05/25]]+(1-Real[[#This Row],[05/05/25]])*'Avance 39'!CC21</f>
        <v>0.96582687500000008</v>
      </c>
      <c r="DW38" s="127">
        <f>Real[[#This Row],[05/05/25]]+(1-Real[[#This Row],[05/05/25]])*'Avance 39'!CD21</f>
        <v>0.96582687500000008</v>
      </c>
      <c r="DX38" s="127">
        <f>Real[[#This Row],[05/05/25]]+(1-Real[[#This Row],[05/05/25]])*'Avance 39'!CE21</f>
        <v>0.96582687500000008</v>
      </c>
      <c r="DY38" s="127">
        <f>Real[[#This Row],[05/05/25]]+(1-Real[[#This Row],[05/05/25]])*'Avance 39'!CF21</f>
        <v>0.96582687500000008</v>
      </c>
      <c r="DZ38" s="127">
        <f>Real[[#This Row],[05/05/25]]+(1-Real[[#This Row],[05/05/25]])*'Avance 39'!CG21</f>
        <v>0.96582687500000008</v>
      </c>
      <c r="EA38" s="127">
        <f>Real[[#This Row],[05/05/25]]+(1-Real[[#This Row],[05/05/25]])*'Avance 39'!CH21</f>
        <v>0.96582687500000008</v>
      </c>
      <c r="EB38" s="127">
        <f>Real[[#This Row],[05/05/25]]+(1-Real[[#This Row],[05/05/25]])*'Avance 39'!CI21</f>
        <v>0.96582687500000008</v>
      </c>
      <c r="EC38" s="127">
        <f>Real[[#This Row],[05/05/25]]+(1-Real[[#This Row],[05/05/25]])*'Avance 39'!CJ21</f>
        <v>0.96582687500000008</v>
      </c>
      <c r="ED38" s="127">
        <f>Real[[#This Row],[05/05/25]]+(1-Real[[#This Row],[05/05/25]])*'Avance 39'!CK21</f>
        <v>0.96582687500000008</v>
      </c>
      <c r="EE38" s="127">
        <f>Real[[#This Row],[05/05/25]]+(1-Real[[#This Row],[05/05/25]])*'Avance 39'!CL21</f>
        <v>0.96582687500000008</v>
      </c>
      <c r="EF38" s="127">
        <f>Real[[#This Row],[05/05/25]]+(1-Real[[#This Row],[05/05/25]])*'Avance 39'!CM21</f>
        <v>0.96582687500000008</v>
      </c>
      <c r="EG38" s="127">
        <f>Real[[#This Row],[05/05/25]]+(1-Real[[#This Row],[05/05/25]])*'Avance 39'!CN21</f>
        <v>0.96582687500000008</v>
      </c>
      <c r="EH38" s="127">
        <f>Real[[#This Row],[05/05/25]]+(1-Real[[#This Row],[05/05/25]])*'Avance 39'!CO21</f>
        <v>0.96582687500000008</v>
      </c>
      <c r="EI38" s="127">
        <f>Real[[#This Row],[05/05/25]]+(1-Real[[#This Row],[05/05/25]])*'Avance 39'!CP21</f>
        <v>1</v>
      </c>
    </row>
    <row r="39" spans="2:139" ht="15" outlineLevel="2" collapsed="1" x14ac:dyDescent="0.3">
      <c r="B39" s="22"/>
      <c r="C39" s="23"/>
      <c r="D39" s="23" t="s">
        <v>43</v>
      </c>
      <c r="E39" s="50"/>
      <c r="F39" s="26">
        <f>+SUM(F40:F41)</f>
        <v>80</v>
      </c>
      <c r="G39" s="28">
        <v>0.202410671178782</v>
      </c>
      <c r="H39" s="160"/>
      <c r="I39" s="28">
        <f t="shared" ref="I39:BD39" si="366">+SUMPRODUCT($G$40:$G$41,I40:I41)</f>
        <v>0</v>
      </c>
      <c r="J39" s="28">
        <f t="shared" si="366"/>
        <v>0</v>
      </c>
      <c r="K39" s="28">
        <f t="shared" si="366"/>
        <v>0</v>
      </c>
      <c r="L39" s="28">
        <f t="shared" si="366"/>
        <v>0</v>
      </c>
      <c r="M39" s="64">
        <f t="shared" si="366"/>
        <v>0</v>
      </c>
      <c r="N39" s="64">
        <f t="shared" si="366"/>
        <v>0</v>
      </c>
      <c r="O39" s="28">
        <f t="shared" si="366"/>
        <v>0</v>
      </c>
      <c r="P39" s="28">
        <f t="shared" si="366"/>
        <v>0</v>
      </c>
      <c r="Q39" s="28">
        <f t="shared" si="366"/>
        <v>0</v>
      </c>
      <c r="R39" s="28">
        <f t="shared" si="366"/>
        <v>0</v>
      </c>
      <c r="S39" s="28">
        <f t="shared" si="366"/>
        <v>0</v>
      </c>
      <c r="T39" s="28">
        <f t="shared" si="366"/>
        <v>0</v>
      </c>
      <c r="U39" s="28">
        <f t="shared" si="366"/>
        <v>0</v>
      </c>
      <c r="V39" s="28">
        <f t="shared" si="366"/>
        <v>0</v>
      </c>
      <c r="W39" s="28">
        <f t="shared" si="366"/>
        <v>0</v>
      </c>
      <c r="X39" s="28">
        <f t="shared" si="366"/>
        <v>0</v>
      </c>
      <c r="Y39" s="28">
        <f t="shared" si="366"/>
        <v>2.7560500000000005E-2</v>
      </c>
      <c r="Z39" s="28">
        <f t="shared" si="366"/>
        <v>6.9046066666666683E-2</v>
      </c>
      <c r="AA39" s="28">
        <f t="shared" si="366"/>
        <v>9.0913766666666687E-2</v>
      </c>
      <c r="AB39" s="28">
        <f t="shared" si="366"/>
        <v>0.10046100000000001</v>
      </c>
      <c r="AC39" s="28">
        <f t="shared" si="366"/>
        <v>0.11705346666666669</v>
      </c>
      <c r="AD39" s="28">
        <f t="shared" si="366"/>
        <v>0.12932510000000003</v>
      </c>
      <c r="AE39" s="28">
        <f t="shared" si="366"/>
        <v>0.15926783285333337</v>
      </c>
      <c r="AF39" s="28">
        <f t="shared" si="366"/>
        <v>0.16144422785333334</v>
      </c>
      <c r="AG39" s="28">
        <f t="shared" si="366"/>
        <v>0.16413357785333335</v>
      </c>
      <c r="AH39" s="28">
        <f t="shared" si="366"/>
        <v>0.16413357785333335</v>
      </c>
      <c r="AI39" s="28">
        <f t="shared" si="366"/>
        <v>0.16413357785333335</v>
      </c>
      <c r="AJ39" s="28">
        <f t="shared" si="366"/>
        <v>0.16413357785333335</v>
      </c>
      <c r="AK39" s="28">
        <f t="shared" si="366"/>
        <v>0.16413357785333335</v>
      </c>
      <c r="AL39" s="28">
        <f t="shared" si="366"/>
        <v>0.16503978804333336</v>
      </c>
      <c r="AM39" s="28">
        <f t="shared" si="366"/>
        <v>0.17299000285333335</v>
      </c>
      <c r="AN39" s="28">
        <f t="shared" si="366"/>
        <v>0.18333333333333338</v>
      </c>
      <c r="AO39" s="28">
        <f t="shared" si="366"/>
        <v>0.20442424242424245</v>
      </c>
      <c r="AP39" s="28">
        <f t="shared" si="366"/>
        <v>0.24642424242424246</v>
      </c>
      <c r="AQ39" s="28">
        <f t="shared" si="366"/>
        <v>0.29945454545454553</v>
      </c>
      <c r="AR39" s="28">
        <f t="shared" si="366"/>
        <v>0.34393556060606068</v>
      </c>
      <c r="AS39" s="28">
        <f t="shared" si="366"/>
        <v>0.35127919696969701</v>
      </c>
      <c r="AT39" s="28">
        <f t="shared" si="366"/>
        <v>0.35670536363636368</v>
      </c>
      <c r="AU39" s="28">
        <f t="shared" si="366"/>
        <v>0.35670536363636368</v>
      </c>
      <c r="AV39" s="28">
        <f t="shared" si="366"/>
        <v>0.37433566666666673</v>
      </c>
      <c r="AW39" s="28">
        <f t="shared" si="366"/>
        <v>0.39603112121212125</v>
      </c>
      <c r="AX39" s="28">
        <f t="shared" si="366"/>
        <v>0.43878693939393942</v>
      </c>
      <c r="AY39" s="28">
        <f t="shared" si="366"/>
        <v>0.43878693939393942</v>
      </c>
      <c r="AZ39" s="28">
        <f t="shared" si="366"/>
        <v>0.44848390909090907</v>
      </c>
      <c r="BA39" s="28">
        <f t="shared" si="366"/>
        <v>0.49656269696969701</v>
      </c>
      <c r="BB39" s="28">
        <f t="shared" si="366"/>
        <v>0.57573265554343434</v>
      </c>
      <c r="BC39" s="28">
        <f t="shared" si="366"/>
        <v>0.58068981143434351</v>
      </c>
      <c r="BD39" s="28">
        <f t="shared" si="366"/>
        <v>0.5903418118535354</v>
      </c>
      <c r="BE39" s="28">
        <f t="shared" ref="BE39:BF39" si="367">+SUMPRODUCT($G$40:$G$41,BE40:BE41)</f>
        <v>0.64195789680933002</v>
      </c>
      <c r="BF39" s="28">
        <f t="shared" si="367"/>
        <v>0.64693420324228335</v>
      </c>
      <c r="BG39" s="161">
        <f t="shared" ref="BG39:BH39" si="368">+SUMPRODUCT($G$40:$G$41,BG40:BG41)</f>
        <v>0.66766753657561662</v>
      </c>
      <c r="BH39" s="161">
        <f t="shared" si="368"/>
        <v>0.73711011731307452</v>
      </c>
      <c r="BI39" s="28">
        <f t="shared" ref="BI39:BJ39" si="369">+SUMPRODUCT($G$40:$G$41,BI40:BI41)</f>
        <v>0.80011468181818191</v>
      </c>
      <c r="BJ39" s="28">
        <f t="shared" si="369"/>
        <v>0.86407798363636357</v>
      </c>
      <c r="BK39" s="28">
        <f t="shared" ref="BK39:BL39" si="370">+SUMPRODUCT($G$40:$G$41,BK40:BK41)</f>
        <v>0.90005734090909095</v>
      </c>
      <c r="BL39" s="28">
        <f t="shared" si="370"/>
        <v>0.93603669818181812</v>
      </c>
      <c r="BM39" s="28">
        <f t="shared" ref="BM39:BN39" si="371">+SUMPRODUCT($G$40:$G$41,BM40:BM41)</f>
        <v>0.96002293636363634</v>
      </c>
      <c r="BN39" s="28">
        <f t="shared" si="371"/>
        <v>0.96362087209090908</v>
      </c>
      <c r="BO39" s="28">
        <f t="shared" ref="BO39:BP39" si="372">+SUMPRODUCT($G$40:$G$41,BO40:BO41)</f>
        <v>0.98161055072727266</v>
      </c>
      <c r="BP39" s="28">
        <f t="shared" si="372"/>
        <v>0.99960022936363624</v>
      </c>
      <c r="BQ39" s="28">
        <f t="shared" ref="BQ39:BR39" si="373">+SUMPRODUCT($G$40:$G$41,BQ40:BQ41)</f>
        <v>1</v>
      </c>
      <c r="BR39" s="28">
        <f t="shared" si="373"/>
        <v>1</v>
      </c>
      <c r="BS39" s="28">
        <f t="shared" ref="BS39:BT39" si="374">+SUMPRODUCT($G$40:$G$41,BS40:BS41)</f>
        <v>1</v>
      </c>
      <c r="BT39" s="28">
        <f t="shared" si="374"/>
        <v>1</v>
      </c>
      <c r="BU39" s="28">
        <f t="shared" ref="BU39:BV39" si="375">+SUMPRODUCT($G$40:$G$41,BU40:BU41)</f>
        <v>1</v>
      </c>
      <c r="BV39" s="28">
        <f t="shared" si="375"/>
        <v>1</v>
      </c>
      <c r="BW39" s="28">
        <f t="shared" ref="BW39:BX39" si="376">+SUMPRODUCT($G$40:$G$41,BW40:BW41)</f>
        <v>1</v>
      </c>
      <c r="BX39" s="28">
        <f t="shared" si="376"/>
        <v>1</v>
      </c>
      <c r="BY39" s="28">
        <f t="shared" ref="BY39:BZ39" si="377">+SUMPRODUCT($G$40:$G$41,BY40:BY41)</f>
        <v>1</v>
      </c>
      <c r="BZ39" s="28">
        <f t="shared" si="377"/>
        <v>1</v>
      </c>
      <c r="CA39" s="28">
        <f t="shared" ref="CA39:CB39" si="378">+SUMPRODUCT($G$40:$G$41,CA40:CA41)</f>
        <v>1</v>
      </c>
      <c r="CB39" s="28">
        <f t="shared" si="378"/>
        <v>1</v>
      </c>
      <c r="CC39" s="28">
        <f t="shared" ref="CC39:CD39" si="379">+SUMPRODUCT($G$40:$G$41,CC40:CC41)</f>
        <v>1</v>
      </c>
      <c r="CD39" s="28">
        <f t="shared" si="379"/>
        <v>1</v>
      </c>
      <c r="CE39" s="28">
        <f t="shared" ref="CE39" si="380">+SUMPRODUCT($G$40:$G$41,CE40:CE41)</f>
        <v>1</v>
      </c>
      <c r="CF39" s="28">
        <f t="shared" ref="CF39" si="381">+SUMPRODUCT($G$40:$G$41,CF40:CF41)</f>
        <v>1</v>
      </c>
      <c r="CG39" s="28">
        <f t="shared" ref="CG39" si="382">+SUMPRODUCT($G$40:$G$41,CG40:CG41)</f>
        <v>1</v>
      </c>
      <c r="CH39" s="28">
        <f t="shared" ref="CH39" si="383">+SUMPRODUCT($G$40:$G$41,CH40:CH41)</f>
        <v>1</v>
      </c>
      <c r="CI39" s="28">
        <f t="shared" ref="CI39" si="384">+SUMPRODUCT($G$40:$G$41,CI40:CI41)</f>
        <v>1</v>
      </c>
      <c r="CJ39" s="28">
        <f t="shared" ref="CJ39:CK39" si="385">+SUMPRODUCT($G$40:$G$41,CJ40:CJ41)</f>
        <v>1</v>
      </c>
      <c r="CK39" s="28">
        <f t="shared" si="385"/>
        <v>1</v>
      </c>
      <c r="CL39" s="28">
        <f t="shared" ref="CL39:CV39" si="386">+SUMPRODUCT($G$40:$G$41,CL40:CL41)</f>
        <v>1</v>
      </c>
      <c r="CM39" s="28">
        <f t="shared" si="386"/>
        <v>1</v>
      </c>
      <c r="CN39" s="28">
        <f t="shared" si="386"/>
        <v>1</v>
      </c>
      <c r="CO39" s="28">
        <f t="shared" si="386"/>
        <v>1</v>
      </c>
      <c r="CP39" s="28">
        <f t="shared" si="386"/>
        <v>1</v>
      </c>
      <c r="CQ39" s="28">
        <f t="shared" si="386"/>
        <v>1</v>
      </c>
      <c r="CR39" s="28">
        <f t="shared" si="386"/>
        <v>1</v>
      </c>
      <c r="CS39" s="28">
        <f t="shared" si="386"/>
        <v>1</v>
      </c>
      <c r="CT39" s="28">
        <f t="shared" si="386"/>
        <v>1</v>
      </c>
      <c r="CU39" s="28">
        <f t="shared" si="386"/>
        <v>1</v>
      </c>
      <c r="CV39" s="28">
        <f t="shared" si="386"/>
        <v>1</v>
      </c>
      <c r="CW39" s="28">
        <f t="shared" ref="CW39" si="387">+SUMPRODUCT($G$40:$G$41,CW40:CW41)</f>
        <v>1</v>
      </c>
      <c r="CX39" s="28">
        <f t="shared" ref="CX39:CY39" si="388">+SUMPRODUCT($G$40:$G$41,CX40:CX41)</f>
        <v>1</v>
      </c>
      <c r="CY39" s="28">
        <f t="shared" si="388"/>
        <v>1</v>
      </c>
      <c r="CZ39" s="28">
        <f t="shared" ref="CZ39:DA39" si="389">+SUMPRODUCT($G$40:$G$41,CZ40:CZ41)</f>
        <v>1</v>
      </c>
      <c r="DA39" s="28">
        <f t="shared" si="389"/>
        <v>1</v>
      </c>
      <c r="DB39" s="28">
        <f t="shared" ref="DB39:DC39" si="390">+SUMPRODUCT($G$40:$G$41,DB40:DB41)</f>
        <v>1</v>
      </c>
      <c r="DC39" s="28">
        <f t="shared" si="390"/>
        <v>1</v>
      </c>
      <c r="DD39" s="28">
        <f t="shared" ref="DD39:DE39" si="391">+SUMPRODUCT($G$40:$G$41,DD40:DD41)</f>
        <v>1</v>
      </c>
      <c r="DE39" s="28">
        <f t="shared" si="391"/>
        <v>1</v>
      </c>
      <c r="DF39" s="28">
        <f t="shared" ref="DF39" si="392">+SUMPRODUCT($G$40:$G$41,DF40:DF41)</f>
        <v>1</v>
      </c>
      <c r="DG39" s="28">
        <f t="shared" ref="DG39:EI39" si="393">+SUMPRODUCT($G$40:$G$41,DG40:DG41)</f>
        <v>1</v>
      </c>
      <c r="DH39" s="28">
        <f t="shared" si="393"/>
        <v>1</v>
      </c>
      <c r="DI39" s="28">
        <f t="shared" si="393"/>
        <v>1</v>
      </c>
      <c r="DJ39" s="28">
        <f t="shared" si="393"/>
        <v>1</v>
      </c>
      <c r="DK39" s="28">
        <f t="shared" si="393"/>
        <v>1</v>
      </c>
      <c r="DL39" s="28">
        <f t="shared" si="393"/>
        <v>1</v>
      </c>
      <c r="DM39" s="28">
        <f t="shared" si="393"/>
        <v>1</v>
      </c>
      <c r="DN39" s="28">
        <f t="shared" si="393"/>
        <v>1</v>
      </c>
      <c r="DO39" s="28">
        <f t="shared" si="393"/>
        <v>1</v>
      </c>
      <c r="DP39" s="28">
        <f t="shared" si="393"/>
        <v>1</v>
      </c>
      <c r="DQ39" s="28">
        <f t="shared" si="393"/>
        <v>1</v>
      </c>
      <c r="DR39" s="28">
        <f t="shared" si="393"/>
        <v>1</v>
      </c>
      <c r="DS39" s="28">
        <f t="shared" si="393"/>
        <v>1</v>
      </c>
      <c r="DT39" s="28">
        <f t="shared" si="393"/>
        <v>1</v>
      </c>
      <c r="DU39" s="28">
        <f t="shared" si="393"/>
        <v>1</v>
      </c>
      <c r="DV39" s="28">
        <f t="shared" si="393"/>
        <v>1</v>
      </c>
      <c r="DW39" s="28">
        <f t="shared" si="393"/>
        <v>1</v>
      </c>
      <c r="DX39" s="28">
        <f t="shared" si="393"/>
        <v>1</v>
      </c>
      <c r="DY39" s="28">
        <f t="shared" si="393"/>
        <v>1</v>
      </c>
      <c r="DZ39" s="28">
        <f t="shared" si="393"/>
        <v>1</v>
      </c>
      <c r="EA39" s="28">
        <f t="shared" si="393"/>
        <v>1</v>
      </c>
      <c r="EB39" s="28">
        <f t="shared" si="393"/>
        <v>1</v>
      </c>
      <c r="EC39" s="28">
        <f t="shared" si="393"/>
        <v>1</v>
      </c>
      <c r="ED39" s="28">
        <f t="shared" si="393"/>
        <v>1</v>
      </c>
      <c r="EE39" s="28">
        <f t="shared" si="393"/>
        <v>1</v>
      </c>
      <c r="EF39" s="28">
        <f t="shared" si="393"/>
        <v>1</v>
      </c>
      <c r="EG39" s="28">
        <f t="shared" si="393"/>
        <v>1</v>
      </c>
      <c r="EH39" s="28">
        <f t="shared" si="393"/>
        <v>1</v>
      </c>
      <c r="EI39" s="28">
        <f t="shared" si="393"/>
        <v>1</v>
      </c>
    </row>
    <row r="40" spans="2:139" ht="15" hidden="1" customHeight="1" outlineLevel="3" x14ac:dyDescent="0.3">
      <c r="B40" s="29"/>
      <c r="C40" s="30"/>
      <c r="D40" s="30"/>
      <c r="E40" s="52" t="s">
        <v>44</v>
      </c>
      <c r="F40" s="33">
        <v>40</v>
      </c>
      <c r="G40" s="35">
        <v>0.66666666666666663</v>
      </c>
      <c r="H40" s="162"/>
      <c r="I40" s="127">
        <v>0</v>
      </c>
      <c r="J40" s="127">
        <v>0</v>
      </c>
      <c r="K40" s="127">
        <v>0</v>
      </c>
      <c r="L40" s="127">
        <v>0</v>
      </c>
      <c r="M40" s="128">
        <v>0</v>
      </c>
      <c r="N40" s="128">
        <v>0</v>
      </c>
      <c r="O40" s="127">
        <v>0</v>
      </c>
      <c r="P40" s="127">
        <v>0</v>
      </c>
      <c r="Q40" s="127">
        <v>0</v>
      </c>
      <c r="R40" s="127">
        <v>0</v>
      </c>
      <c r="S40" s="127">
        <v>0</v>
      </c>
      <c r="T40" s="127">
        <v>0</v>
      </c>
      <c r="U40" s="127">
        <v>0</v>
      </c>
      <c r="V40" s="127">
        <v>0</v>
      </c>
      <c r="W40" s="127">
        <v>0</v>
      </c>
      <c r="X40" s="127">
        <v>0</v>
      </c>
      <c r="Y40" s="127">
        <v>0</v>
      </c>
      <c r="Z40" s="127">
        <v>0</v>
      </c>
      <c r="AA40" s="127">
        <v>0</v>
      </c>
      <c r="AB40" s="127">
        <v>0</v>
      </c>
      <c r="AC40" s="127">
        <v>0</v>
      </c>
      <c r="AD40" s="127">
        <v>0</v>
      </c>
      <c r="AE40" s="127">
        <v>0</v>
      </c>
      <c r="AF40" s="127">
        <v>0</v>
      </c>
      <c r="AG40" s="127">
        <v>0</v>
      </c>
      <c r="AH40" s="127">
        <v>0</v>
      </c>
      <c r="AI40" s="127">
        <v>0</v>
      </c>
      <c r="AJ40" s="127">
        <v>0</v>
      </c>
      <c r="AK40" s="127">
        <v>0</v>
      </c>
      <c r="AL40" s="127">
        <v>0</v>
      </c>
      <c r="AM40" s="127">
        <v>0</v>
      </c>
      <c r="AN40" s="127">
        <v>0</v>
      </c>
      <c r="AO40" s="127">
        <v>3.1636363636363636E-2</v>
      </c>
      <c r="AP40" s="127">
        <v>9.4636363636363643E-2</v>
      </c>
      <c r="AQ40" s="127">
        <v>0.17418181818181822</v>
      </c>
      <c r="AR40" s="127">
        <v>0.24090334090909094</v>
      </c>
      <c r="AS40" s="127">
        <v>0.25191879545454549</v>
      </c>
      <c r="AT40" s="127">
        <v>0.26005804545454547</v>
      </c>
      <c r="AU40" s="127">
        <v>0.26005804545454547</v>
      </c>
      <c r="AV40" s="127">
        <v>0.28650350000000002</v>
      </c>
      <c r="AW40" s="127">
        <v>0.3190466818181818</v>
      </c>
      <c r="AX40" s="127">
        <v>0.38318040909090917</v>
      </c>
      <c r="AY40" s="127">
        <v>0.38318040909090917</v>
      </c>
      <c r="AZ40" s="127">
        <v>0.39772586363636364</v>
      </c>
      <c r="BA40" s="127">
        <v>0.40034404545454544</v>
      </c>
      <c r="BB40" s="127">
        <f>Real[[#This Row],[05/05/25]]+(1-Real[[#This Row],[05/05/25]])*'Avance 39'!I23</f>
        <v>0.46726564998181819</v>
      </c>
      <c r="BC40" s="127">
        <f>Real[[#This Row],[05/05/25]]+(1-Real[[#This Row],[05/05/25]])*'Avance 39'!J23</f>
        <v>0.47470138381818178</v>
      </c>
      <c r="BD40" s="127">
        <f>Real[[#This Row],[05/05/25]]+(1-Real[[#This Row],[05/05/25]])*'Avance 39'!K23</f>
        <v>0.48399605111363636</v>
      </c>
      <c r="BE40" s="127">
        <f>Real[[#This Row],[05/05/25]]+(1-Real[[#This Row],[05/05/25]])*'Avance 39'!L23</f>
        <v>0.55105351188066154</v>
      </c>
      <c r="BF40" s="127">
        <f>Real[[#This Row],[05/05/25]]+(1-Real[[#This Row],[05/05/25]])*'Avance 39'!M23</f>
        <v>0.55333463819675832</v>
      </c>
      <c r="BG40" s="163">
        <f>Real[[#This Row],[05/05/25]]+(1-Real[[#This Row],[05/05/25]])*'Avance 39'!N23</f>
        <v>0.55333463819675832</v>
      </c>
      <c r="BH40" s="163">
        <f>Real[[#This Row],[05/05/25]]+(1-Real[[#This Row],[05/05/25]])*'Avance 39'!O23</f>
        <v>0.60566517596961178</v>
      </c>
      <c r="BI40" s="127">
        <f>Real[[#This Row],[05/05/25]]+(1-Real[[#This Row],[05/05/25]])*'Avance 39'!P23</f>
        <v>0.70017202272727275</v>
      </c>
      <c r="BJ40" s="127">
        <f>Real[[#This Row],[05/05/25]]+(1-Real[[#This Row],[05/05/25]])*'Avance 39'!Q23</f>
        <v>0.79611697545454541</v>
      </c>
      <c r="BK40" s="127">
        <f>Real[[#This Row],[05/05/25]]+(1-Real[[#This Row],[05/05/25]])*'Avance 39'!R23</f>
        <v>0.85008601136363637</v>
      </c>
      <c r="BL40" s="127">
        <f>Real[[#This Row],[05/05/25]]+(1-Real[[#This Row],[05/05/25]])*'Avance 39'!S23</f>
        <v>0.90405504727272712</v>
      </c>
      <c r="BM40" s="127">
        <f>Real[[#This Row],[05/05/25]]+(1-Real[[#This Row],[05/05/25]])*'Avance 39'!T23</f>
        <v>0.9400344045454545</v>
      </c>
      <c r="BN40" s="127">
        <f>Real[[#This Row],[05/05/25]]+(1-Real[[#This Row],[05/05/25]])*'Avance 39'!U23</f>
        <v>0.94543130813636367</v>
      </c>
      <c r="BO40" s="127">
        <f>Real[[#This Row],[05/05/25]]+(1-Real[[#This Row],[05/05/25]])*'Avance 39'!V23</f>
        <v>0.97241582609090904</v>
      </c>
      <c r="BP40" s="127">
        <f>Real[[#This Row],[05/05/25]]+(1-Real[[#This Row],[05/05/25]])*'Avance 39'!W23</f>
        <v>0.99940034404545441</v>
      </c>
      <c r="BQ40" s="127">
        <f>Real[[#This Row],[05/05/25]]+(1-Real[[#This Row],[05/05/25]])*'Avance 39'!X23</f>
        <v>1</v>
      </c>
      <c r="BR40" s="127">
        <f>Real[[#This Row],[05/05/25]]+(1-Real[[#This Row],[05/05/25]])*'Avance 39'!Y23</f>
        <v>1</v>
      </c>
      <c r="BS40" s="127">
        <f>Real[[#This Row],[05/05/25]]+(1-Real[[#This Row],[05/05/25]])*'Avance 39'!Z23</f>
        <v>1</v>
      </c>
      <c r="BT40" s="127">
        <f>Real[[#This Row],[05/05/25]]+(1-Real[[#This Row],[05/05/25]])*'Avance 39'!AA23</f>
        <v>1</v>
      </c>
      <c r="BU40" s="127">
        <f>Real[[#This Row],[05/05/25]]+(1-Real[[#This Row],[05/05/25]])*'Avance 39'!AB23</f>
        <v>1</v>
      </c>
      <c r="BV40" s="127">
        <f>Real[[#This Row],[05/05/25]]+(1-Real[[#This Row],[05/05/25]])*'Avance 39'!AC23</f>
        <v>1</v>
      </c>
      <c r="BW40" s="127">
        <f>Real[[#This Row],[05/05/25]]+(1-Real[[#This Row],[05/05/25]])*'Avance 39'!AD23</f>
        <v>1</v>
      </c>
      <c r="BX40" s="127">
        <f>Real[[#This Row],[05/05/25]]+(1-Real[[#This Row],[05/05/25]])*'Avance 39'!AE23</f>
        <v>1</v>
      </c>
      <c r="BY40" s="127">
        <f>Real[[#This Row],[05/05/25]]+(1-Real[[#This Row],[05/05/25]])*'Avance 39'!AF23</f>
        <v>1</v>
      </c>
      <c r="BZ40" s="127">
        <f>Real[[#This Row],[05/05/25]]+(1-Real[[#This Row],[05/05/25]])*'Avance 39'!AG23</f>
        <v>1</v>
      </c>
      <c r="CA40" s="127">
        <f>Real[[#This Row],[05/05/25]]+(1-Real[[#This Row],[05/05/25]])*'Avance 39'!AH23</f>
        <v>1</v>
      </c>
      <c r="CB40" s="127">
        <f>Real[[#This Row],[05/05/25]]+(1-Real[[#This Row],[05/05/25]])*'Avance 39'!AI23</f>
        <v>1</v>
      </c>
      <c r="CC40" s="127">
        <f>Real[[#This Row],[05/05/25]]+(1-Real[[#This Row],[05/05/25]])*'Avance 39'!AJ23</f>
        <v>1</v>
      </c>
      <c r="CD40" s="127">
        <f>Real[[#This Row],[05/05/25]]+(1-Real[[#This Row],[05/05/25]])*'Avance 39'!AK23</f>
        <v>1</v>
      </c>
      <c r="CE40" s="127">
        <f>Real[[#This Row],[05/05/25]]+(1-Real[[#This Row],[05/05/25]])*'Avance 39'!AL23</f>
        <v>1</v>
      </c>
      <c r="CF40" s="127">
        <f>Real[[#This Row],[05/05/25]]+(1-Real[[#This Row],[05/05/25]])*'Avance 39'!AM23</f>
        <v>1</v>
      </c>
      <c r="CG40" s="127">
        <f>Real[[#This Row],[05/05/25]]+(1-Real[[#This Row],[05/05/25]])*'Avance 39'!AN23</f>
        <v>1</v>
      </c>
      <c r="CH40" s="127">
        <f>Real[[#This Row],[05/05/25]]+(1-Real[[#This Row],[05/05/25]])*'Avance 39'!AO23</f>
        <v>1</v>
      </c>
      <c r="CI40" s="127">
        <f>Real[[#This Row],[05/05/25]]+(1-Real[[#This Row],[05/05/25]])*'Avance 39'!AP23</f>
        <v>1</v>
      </c>
      <c r="CJ40" s="127">
        <f>Real[[#This Row],[05/05/25]]+(1-Real[[#This Row],[05/05/25]])*'Avance 39'!AQ23</f>
        <v>1</v>
      </c>
      <c r="CK40" s="127">
        <f>Real[[#This Row],[05/05/25]]+(1-Real[[#This Row],[05/05/25]])*'Avance 39'!AR23</f>
        <v>1</v>
      </c>
      <c r="CL40" s="127">
        <f>Real[[#This Row],[05/05/25]]+(1-Real[[#This Row],[05/05/25]])*'Avance 39'!AS23</f>
        <v>1</v>
      </c>
      <c r="CM40" s="127">
        <f>Real[[#This Row],[05/05/25]]+(1-Real[[#This Row],[05/05/25]])*'Avance 39'!AT23</f>
        <v>1</v>
      </c>
      <c r="CN40" s="127">
        <f>Real[[#This Row],[05/05/25]]+(1-Real[[#This Row],[05/05/25]])*'Avance 39'!AU23</f>
        <v>1</v>
      </c>
      <c r="CO40" s="127">
        <f>Real[[#This Row],[05/05/25]]+(1-Real[[#This Row],[05/05/25]])*'Avance 39'!AV23</f>
        <v>1</v>
      </c>
      <c r="CP40" s="127">
        <f>Real[[#This Row],[05/05/25]]+(1-Real[[#This Row],[05/05/25]])*'Avance 39'!AW23</f>
        <v>1</v>
      </c>
      <c r="CQ40" s="127">
        <f>Real[[#This Row],[05/05/25]]+(1-Real[[#This Row],[05/05/25]])*'Avance 39'!AX23</f>
        <v>1</v>
      </c>
      <c r="CR40" s="127">
        <f>Real[[#This Row],[05/05/25]]+(1-Real[[#This Row],[05/05/25]])*'Avance 39'!AY23</f>
        <v>1</v>
      </c>
      <c r="CS40" s="127">
        <f>Real[[#This Row],[05/05/25]]+(1-Real[[#This Row],[05/05/25]])*'Avance 39'!AZ23</f>
        <v>1</v>
      </c>
      <c r="CT40" s="127">
        <f>Real[[#This Row],[05/05/25]]+(1-Real[[#This Row],[05/05/25]])*'Avance 39'!BA23</f>
        <v>1</v>
      </c>
      <c r="CU40" s="127">
        <f>Real[[#This Row],[05/05/25]]+(1-Real[[#This Row],[05/05/25]])*'Avance 39'!BB23</f>
        <v>1</v>
      </c>
      <c r="CV40" s="127">
        <f>Real[[#This Row],[05/05/25]]+(1-Real[[#This Row],[05/05/25]])*'Avance 39'!BC23</f>
        <v>1</v>
      </c>
      <c r="CW40" s="127">
        <f>Real[[#This Row],[05/05/25]]+(1-Real[[#This Row],[05/05/25]])*'Avance 39'!BD23</f>
        <v>1</v>
      </c>
      <c r="CX40" s="127">
        <f>Real[[#This Row],[05/05/25]]+(1-Real[[#This Row],[05/05/25]])*'Avance 39'!BE23</f>
        <v>1</v>
      </c>
      <c r="CY40" s="127">
        <f>Real[[#This Row],[05/05/25]]+(1-Real[[#This Row],[05/05/25]])*'Avance 39'!BF23</f>
        <v>1</v>
      </c>
      <c r="CZ40" s="127">
        <f>Real[[#This Row],[05/05/25]]+(1-Real[[#This Row],[05/05/25]])*'Avance 39'!BG23</f>
        <v>1</v>
      </c>
      <c r="DA40" s="127">
        <f>Real[[#This Row],[05/05/25]]+(1-Real[[#This Row],[05/05/25]])*'Avance 39'!BH23</f>
        <v>1</v>
      </c>
      <c r="DB40" s="127">
        <f>Real[[#This Row],[05/05/25]]+(1-Real[[#This Row],[05/05/25]])*'Avance 39'!BI23</f>
        <v>1</v>
      </c>
      <c r="DC40" s="127">
        <f>Real[[#This Row],[05/05/25]]+(1-Real[[#This Row],[05/05/25]])*'Avance 39'!BJ23</f>
        <v>1</v>
      </c>
      <c r="DD40" s="127">
        <f>Real[[#This Row],[05/05/25]]+(1-Real[[#This Row],[05/05/25]])*'Avance 39'!BK23</f>
        <v>1</v>
      </c>
      <c r="DE40" s="127">
        <f>Real[[#This Row],[05/05/25]]+(1-Real[[#This Row],[05/05/25]])*'Avance 39'!BL23</f>
        <v>1</v>
      </c>
      <c r="DF40" s="127">
        <f>Real[[#This Row],[05/05/25]]+(1-Real[[#This Row],[05/05/25]])*'Avance 39'!BM23</f>
        <v>1</v>
      </c>
      <c r="DG40" s="127">
        <f>Real[[#This Row],[05/05/25]]+(1-Real[[#This Row],[05/05/25]])*'Avance 39'!BN23</f>
        <v>1</v>
      </c>
      <c r="DH40" s="127">
        <f>Real[[#This Row],[05/05/25]]+(1-Real[[#This Row],[05/05/25]])*'Avance 39'!BO23</f>
        <v>1</v>
      </c>
      <c r="DI40" s="127">
        <f>Real[[#This Row],[05/05/25]]+(1-Real[[#This Row],[05/05/25]])*'Avance 39'!BP23</f>
        <v>1</v>
      </c>
      <c r="DJ40" s="127">
        <f>Real[[#This Row],[05/05/25]]+(1-Real[[#This Row],[05/05/25]])*'Avance 39'!BQ23</f>
        <v>1</v>
      </c>
      <c r="DK40" s="127">
        <f>Real[[#This Row],[05/05/25]]+(1-Real[[#This Row],[05/05/25]])*'Avance 39'!BR23</f>
        <v>1</v>
      </c>
      <c r="DL40" s="127">
        <f>Real[[#This Row],[05/05/25]]+(1-Real[[#This Row],[05/05/25]])*'Avance 39'!BS23</f>
        <v>1</v>
      </c>
      <c r="DM40" s="127">
        <f>Real[[#This Row],[05/05/25]]+(1-Real[[#This Row],[05/05/25]])*'Avance 39'!BT23</f>
        <v>1</v>
      </c>
      <c r="DN40" s="127">
        <f>Real[[#This Row],[05/05/25]]+(1-Real[[#This Row],[05/05/25]])*'Avance 39'!BU23</f>
        <v>1</v>
      </c>
      <c r="DO40" s="127">
        <f>Real[[#This Row],[05/05/25]]+(1-Real[[#This Row],[05/05/25]])*'Avance 39'!BV23</f>
        <v>1</v>
      </c>
      <c r="DP40" s="127">
        <f>Real[[#This Row],[05/05/25]]+(1-Real[[#This Row],[05/05/25]])*'Avance 39'!BW23</f>
        <v>1</v>
      </c>
      <c r="DQ40" s="127">
        <f>Real[[#This Row],[05/05/25]]+(1-Real[[#This Row],[05/05/25]])*'Avance 39'!BX23</f>
        <v>1</v>
      </c>
      <c r="DR40" s="127">
        <f>Real[[#This Row],[05/05/25]]+(1-Real[[#This Row],[05/05/25]])*'Avance 39'!BY23</f>
        <v>1</v>
      </c>
      <c r="DS40" s="127">
        <f>Real[[#This Row],[05/05/25]]+(1-Real[[#This Row],[05/05/25]])*'Avance 39'!BZ23</f>
        <v>1</v>
      </c>
      <c r="DT40" s="127">
        <f>Real[[#This Row],[05/05/25]]+(1-Real[[#This Row],[05/05/25]])*'Avance 39'!CA23</f>
        <v>1</v>
      </c>
      <c r="DU40" s="127">
        <f>Real[[#This Row],[05/05/25]]+(1-Real[[#This Row],[05/05/25]])*'Avance 39'!CB23</f>
        <v>1</v>
      </c>
      <c r="DV40" s="127">
        <f>Real[[#This Row],[05/05/25]]+(1-Real[[#This Row],[05/05/25]])*'Avance 39'!CC23</f>
        <v>1</v>
      </c>
      <c r="DW40" s="127">
        <f>Real[[#This Row],[05/05/25]]+(1-Real[[#This Row],[05/05/25]])*'Avance 39'!CD23</f>
        <v>1</v>
      </c>
      <c r="DX40" s="127">
        <f>Real[[#This Row],[05/05/25]]+(1-Real[[#This Row],[05/05/25]])*'Avance 39'!CE23</f>
        <v>1</v>
      </c>
      <c r="DY40" s="127">
        <f>Real[[#This Row],[05/05/25]]+(1-Real[[#This Row],[05/05/25]])*'Avance 39'!CF23</f>
        <v>1</v>
      </c>
      <c r="DZ40" s="127">
        <f>Real[[#This Row],[05/05/25]]+(1-Real[[#This Row],[05/05/25]])*'Avance 39'!CG23</f>
        <v>1</v>
      </c>
      <c r="EA40" s="127">
        <f>Real[[#This Row],[05/05/25]]+(1-Real[[#This Row],[05/05/25]])*'Avance 39'!CH23</f>
        <v>1</v>
      </c>
      <c r="EB40" s="127">
        <f>Real[[#This Row],[05/05/25]]+(1-Real[[#This Row],[05/05/25]])*'Avance 39'!CI23</f>
        <v>1</v>
      </c>
      <c r="EC40" s="127">
        <f>Real[[#This Row],[05/05/25]]+(1-Real[[#This Row],[05/05/25]])*'Avance 39'!CJ23</f>
        <v>1</v>
      </c>
      <c r="ED40" s="127">
        <f>Real[[#This Row],[05/05/25]]+(1-Real[[#This Row],[05/05/25]])*'Avance 39'!CK23</f>
        <v>1</v>
      </c>
      <c r="EE40" s="127">
        <f>Real[[#This Row],[05/05/25]]+(1-Real[[#This Row],[05/05/25]])*'Avance 39'!CL23</f>
        <v>1</v>
      </c>
      <c r="EF40" s="127">
        <f>Real[[#This Row],[05/05/25]]+(1-Real[[#This Row],[05/05/25]])*'Avance 39'!CM23</f>
        <v>1</v>
      </c>
      <c r="EG40" s="127">
        <f>Real[[#This Row],[05/05/25]]+(1-Real[[#This Row],[05/05/25]])*'Avance 39'!CN23</f>
        <v>1</v>
      </c>
      <c r="EH40" s="127">
        <f>Real[[#This Row],[05/05/25]]+(1-Real[[#This Row],[05/05/25]])*'Avance 39'!CO23</f>
        <v>1</v>
      </c>
      <c r="EI40" s="127">
        <f>Real[[#This Row],[05/05/25]]+(1-Real[[#This Row],[05/05/25]])*'Avance 39'!CP23</f>
        <v>1</v>
      </c>
    </row>
    <row r="41" spans="2:139" ht="15" hidden="1" customHeight="1" outlineLevel="3" x14ac:dyDescent="0.3">
      <c r="B41" s="29"/>
      <c r="C41" s="30"/>
      <c r="D41" s="30"/>
      <c r="E41" s="52" t="s">
        <v>45</v>
      </c>
      <c r="F41" s="33">
        <v>40</v>
      </c>
      <c r="G41" s="35">
        <v>0.33333333333333337</v>
      </c>
      <c r="H41" s="162"/>
      <c r="I41" s="127">
        <v>0</v>
      </c>
      <c r="J41" s="127">
        <v>0</v>
      </c>
      <c r="K41" s="127">
        <v>0</v>
      </c>
      <c r="L41" s="127">
        <v>0</v>
      </c>
      <c r="M41" s="128">
        <v>0</v>
      </c>
      <c r="N41" s="128">
        <v>0</v>
      </c>
      <c r="O41" s="127">
        <v>0</v>
      </c>
      <c r="P41" s="127">
        <v>0</v>
      </c>
      <c r="Q41" s="127">
        <v>0</v>
      </c>
      <c r="R41" s="127">
        <v>0</v>
      </c>
      <c r="S41" s="127">
        <v>0</v>
      </c>
      <c r="T41" s="127">
        <v>0</v>
      </c>
      <c r="U41" s="127">
        <v>0</v>
      </c>
      <c r="V41" s="127">
        <v>0</v>
      </c>
      <c r="W41" s="127">
        <v>0</v>
      </c>
      <c r="X41" s="127">
        <v>0</v>
      </c>
      <c r="Y41" s="127">
        <v>8.2681500000000005E-2</v>
      </c>
      <c r="Z41" s="127">
        <v>0.20713820000000002</v>
      </c>
      <c r="AA41" s="127">
        <v>0.27274130000000002</v>
      </c>
      <c r="AB41" s="127">
        <v>0.30138300000000001</v>
      </c>
      <c r="AC41" s="127">
        <v>0.35116040000000004</v>
      </c>
      <c r="AD41" s="127">
        <v>0.38797530000000002</v>
      </c>
      <c r="AE41" s="127">
        <v>0.47780349856000004</v>
      </c>
      <c r="AF41" s="127">
        <v>0.48433268355999998</v>
      </c>
      <c r="AG41" s="127">
        <v>0.49240073356000003</v>
      </c>
      <c r="AH41" s="127">
        <v>0.49240073356000003</v>
      </c>
      <c r="AI41" s="127">
        <v>0.49240073356000003</v>
      </c>
      <c r="AJ41" s="127">
        <v>0.49240073356000003</v>
      </c>
      <c r="AK41" s="127">
        <v>0.49240073356000003</v>
      </c>
      <c r="AL41" s="127">
        <v>0.49511936413000002</v>
      </c>
      <c r="AM41" s="127">
        <v>0.51897000855999997</v>
      </c>
      <c r="AN41" s="127">
        <v>0.55000000000000004</v>
      </c>
      <c r="AO41" s="127">
        <v>0.55000000000000004</v>
      </c>
      <c r="AP41" s="127">
        <v>0.55000000000000004</v>
      </c>
      <c r="AQ41" s="127">
        <v>0.55000000000000004</v>
      </c>
      <c r="AR41" s="127">
        <v>0.55000000000000004</v>
      </c>
      <c r="AS41" s="127">
        <v>0.55000000000000004</v>
      </c>
      <c r="AT41" s="127">
        <v>0.55000000000000004</v>
      </c>
      <c r="AU41" s="127">
        <v>0.55000000000000004</v>
      </c>
      <c r="AV41" s="127">
        <v>0.55000000000000004</v>
      </c>
      <c r="AW41" s="127">
        <v>0.55000000000000004</v>
      </c>
      <c r="AX41" s="127">
        <v>0.55000000000000004</v>
      </c>
      <c r="AY41" s="127">
        <v>0.55000000000000004</v>
      </c>
      <c r="AZ41" s="127">
        <v>0.55000000000000004</v>
      </c>
      <c r="BA41" s="127">
        <v>0.68900000000000006</v>
      </c>
      <c r="BB41" s="127">
        <f>Real[[#This Row],[05/05/25]]+(1-Real[[#This Row],[05/05/25]])*'Avance 39'!I24</f>
        <v>0.79266666666666674</v>
      </c>
      <c r="BC41" s="127">
        <f>Real[[#This Row],[05/05/25]]+(1-Real[[#This Row],[05/05/25]])*'Avance 39'!J24</f>
        <v>0.79266666666666674</v>
      </c>
      <c r="BD41" s="127">
        <f>Real[[#This Row],[05/05/25]]+(1-Real[[#This Row],[05/05/25]])*'Avance 39'!K24</f>
        <v>0.80303333333333338</v>
      </c>
      <c r="BE41" s="127">
        <f>Real[[#This Row],[05/05/25]]+(1-Real[[#This Row],[05/05/25]])*'Avance 39'!L24</f>
        <v>0.82376666666666665</v>
      </c>
      <c r="BF41" s="127">
        <f>Real[[#This Row],[05/05/25]]+(1-Real[[#This Row],[05/05/25]])*'Avance 39'!M24</f>
        <v>0.83413333333333339</v>
      </c>
      <c r="BG41" s="163">
        <f>Real[[#This Row],[05/05/25]]+(1-Real[[#This Row],[05/05/25]])*'Avance 39'!N24</f>
        <v>0.89633333333333332</v>
      </c>
      <c r="BH41" s="163">
        <f>Real[[#This Row],[05/05/25]]+(1-Real[[#This Row],[05/05/25]])*'Avance 39'!O24</f>
        <v>1</v>
      </c>
      <c r="BI41" s="127">
        <f>Real[[#This Row],[05/05/25]]+(1-Real[[#This Row],[05/05/25]])*'Avance 39'!P24</f>
        <v>1</v>
      </c>
      <c r="BJ41" s="127">
        <f>Real[[#This Row],[05/05/25]]+(1-Real[[#This Row],[05/05/25]])*'Avance 39'!Q24</f>
        <v>1</v>
      </c>
      <c r="BK41" s="127">
        <f>Real[[#This Row],[05/05/25]]+(1-Real[[#This Row],[05/05/25]])*'Avance 39'!R24</f>
        <v>1</v>
      </c>
      <c r="BL41" s="127">
        <f>Real[[#This Row],[05/05/25]]+(1-Real[[#This Row],[05/05/25]])*'Avance 39'!S24</f>
        <v>1</v>
      </c>
      <c r="BM41" s="127">
        <f>Real[[#This Row],[05/05/25]]+(1-Real[[#This Row],[05/05/25]])*'Avance 39'!T24</f>
        <v>1</v>
      </c>
      <c r="BN41" s="127">
        <f>Real[[#This Row],[05/05/25]]+(1-Real[[#This Row],[05/05/25]])*'Avance 39'!U24</f>
        <v>1</v>
      </c>
      <c r="BO41" s="127">
        <f>Real[[#This Row],[05/05/25]]+(1-Real[[#This Row],[05/05/25]])*'Avance 39'!V24</f>
        <v>1</v>
      </c>
      <c r="BP41" s="127">
        <f>Real[[#This Row],[05/05/25]]+(1-Real[[#This Row],[05/05/25]])*'Avance 39'!W24</f>
        <v>1</v>
      </c>
      <c r="BQ41" s="127">
        <f>Real[[#This Row],[05/05/25]]+(1-Real[[#This Row],[05/05/25]])*'Avance 39'!X24</f>
        <v>1</v>
      </c>
      <c r="BR41" s="127">
        <f>Real[[#This Row],[05/05/25]]+(1-Real[[#This Row],[05/05/25]])*'Avance 39'!Y24</f>
        <v>1</v>
      </c>
      <c r="BS41" s="127">
        <f>Real[[#This Row],[05/05/25]]+(1-Real[[#This Row],[05/05/25]])*'Avance 39'!Z24</f>
        <v>1</v>
      </c>
      <c r="BT41" s="127">
        <f>Real[[#This Row],[05/05/25]]+(1-Real[[#This Row],[05/05/25]])*'Avance 39'!AA24</f>
        <v>1</v>
      </c>
      <c r="BU41" s="127">
        <f>Real[[#This Row],[05/05/25]]+(1-Real[[#This Row],[05/05/25]])*'Avance 39'!AB24</f>
        <v>1</v>
      </c>
      <c r="BV41" s="127">
        <f>Real[[#This Row],[05/05/25]]+(1-Real[[#This Row],[05/05/25]])*'Avance 39'!AC24</f>
        <v>1</v>
      </c>
      <c r="BW41" s="127">
        <f>Real[[#This Row],[05/05/25]]+(1-Real[[#This Row],[05/05/25]])*'Avance 39'!AD24</f>
        <v>1</v>
      </c>
      <c r="BX41" s="127">
        <f>Real[[#This Row],[05/05/25]]+(1-Real[[#This Row],[05/05/25]])*'Avance 39'!AE24</f>
        <v>1</v>
      </c>
      <c r="BY41" s="127">
        <f>Real[[#This Row],[05/05/25]]+(1-Real[[#This Row],[05/05/25]])*'Avance 39'!AF24</f>
        <v>1</v>
      </c>
      <c r="BZ41" s="127">
        <f>Real[[#This Row],[05/05/25]]+(1-Real[[#This Row],[05/05/25]])*'Avance 39'!AG24</f>
        <v>1</v>
      </c>
      <c r="CA41" s="127">
        <f>Real[[#This Row],[05/05/25]]+(1-Real[[#This Row],[05/05/25]])*'Avance 39'!AH24</f>
        <v>1</v>
      </c>
      <c r="CB41" s="127">
        <f>Real[[#This Row],[05/05/25]]+(1-Real[[#This Row],[05/05/25]])*'Avance 39'!AI24</f>
        <v>1</v>
      </c>
      <c r="CC41" s="127">
        <f>Real[[#This Row],[05/05/25]]+(1-Real[[#This Row],[05/05/25]])*'Avance 39'!AJ24</f>
        <v>1</v>
      </c>
      <c r="CD41" s="127">
        <f>Real[[#This Row],[05/05/25]]+(1-Real[[#This Row],[05/05/25]])*'Avance 39'!AK24</f>
        <v>1</v>
      </c>
      <c r="CE41" s="127">
        <f>Real[[#This Row],[05/05/25]]+(1-Real[[#This Row],[05/05/25]])*'Avance 39'!AL24</f>
        <v>1</v>
      </c>
      <c r="CF41" s="127">
        <f>Real[[#This Row],[05/05/25]]+(1-Real[[#This Row],[05/05/25]])*'Avance 39'!AM24</f>
        <v>1</v>
      </c>
      <c r="CG41" s="127">
        <f>Real[[#This Row],[05/05/25]]+(1-Real[[#This Row],[05/05/25]])*'Avance 39'!AN24</f>
        <v>1</v>
      </c>
      <c r="CH41" s="127">
        <f>Real[[#This Row],[05/05/25]]+(1-Real[[#This Row],[05/05/25]])*'Avance 39'!AO24</f>
        <v>1</v>
      </c>
      <c r="CI41" s="127">
        <f>Real[[#This Row],[05/05/25]]+(1-Real[[#This Row],[05/05/25]])*'Avance 39'!AP24</f>
        <v>1</v>
      </c>
      <c r="CJ41" s="127">
        <f>Real[[#This Row],[05/05/25]]+(1-Real[[#This Row],[05/05/25]])*'Avance 39'!AQ24</f>
        <v>1</v>
      </c>
      <c r="CK41" s="127">
        <f>Real[[#This Row],[05/05/25]]+(1-Real[[#This Row],[05/05/25]])*'Avance 39'!AR24</f>
        <v>1</v>
      </c>
      <c r="CL41" s="127">
        <f>Real[[#This Row],[05/05/25]]+(1-Real[[#This Row],[05/05/25]])*'Avance 39'!AS24</f>
        <v>1</v>
      </c>
      <c r="CM41" s="127">
        <f>Real[[#This Row],[05/05/25]]+(1-Real[[#This Row],[05/05/25]])*'Avance 39'!AT24</f>
        <v>1</v>
      </c>
      <c r="CN41" s="127">
        <f>Real[[#This Row],[05/05/25]]+(1-Real[[#This Row],[05/05/25]])*'Avance 39'!AU24</f>
        <v>1</v>
      </c>
      <c r="CO41" s="127">
        <f>Real[[#This Row],[05/05/25]]+(1-Real[[#This Row],[05/05/25]])*'Avance 39'!AV24</f>
        <v>1</v>
      </c>
      <c r="CP41" s="127">
        <f>Real[[#This Row],[05/05/25]]+(1-Real[[#This Row],[05/05/25]])*'Avance 39'!AW24</f>
        <v>1</v>
      </c>
      <c r="CQ41" s="127">
        <f>Real[[#This Row],[05/05/25]]+(1-Real[[#This Row],[05/05/25]])*'Avance 39'!AX24</f>
        <v>1</v>
      </c>
      <c r="CR41" s="127">
        <f>Real[[#This Row],[05/05/25]]+(1-Real[[#This Row],[05/05/25]])*'Avance 39'!AY24</f>
        <v>1</v>
      </c>
      <c r="CS41" s="127">
        <f>Real[[#This Row],[05/05/25]]+(1-Real[[#This Row],[05/05/25]])*'Avance 39'!AZ24</f>
        <v>1</v>
      </c>
      <c r="CT41" s="127">
        <f>Real[[#This Row],[05/05/25]]+(1-Real[[#This Row],[05/05/25]])*'Avance 39'!BA24</f>
        <v>1</v>
      </c>
      <c r="CU41" s="127">
        <f>Real[[#This Row],[05/05/25]]+(1-Real[[#This Row],[05/05/25]])*'Avance 39'!BB24</f>
        <v>1</v>
      </c>
      <c r="CV41" s="127">
        <f>Real[[#This Row],[05/05/25]]+(1-Real[[#This Row],[05/05/25]])*'Avance 39'!BC24</f>
        <v>1</v>
      </c>
      <c r="CW41" s="127">
        <f>Real[[#This Row],[05/05/25]]+(1-Real[[#This Row],[05/05/25]])*'Avance 39'!BD24</f>
        <v>1</v>
      </c>
      <c r="CX41" s="127">
        <f>Real[[#This Row],[05/05/25]]+(1-Real[[#This Row],[05/05/25]])*'Avance 39'!BE24</f>
        <v>1</v>
      </c>
      <c r="CY41" s="127">
        <f>Real[[#This Row],[05/05/25]]+(1-Real[[#This Row],[05/05/25]])*'Avance 39'!BF24</f>
        <v>1</v>
      </c>
      <c r="CZ41" s="127">
        <f>Real[[#This Row],[05/05/25]]+(1-Real[[#This Row],[05/05/25]])*'Avance 39'!BG24</f>
        <v>1</v>
      </c>
      <c r="DA41" s="127">
        <f>Real[[#This Row],[05/05/25]]+(1-Real[[#This Row],[05/05/25]])*'Avance 39'!BH24</f>
        <v>1</v>
      </c>
      <c r="DB41" s="127">
        <f>Real[[#This Row],[05/05/25]]+(1-Real[[#This Row],[05/05/25]])*'Avance 39'!BI24</f>
        <v>1</v>
      </c>
      <c r="DC41" s="127">
        <f>Real[[#This Row],[05/05/25]]+(1-Real[[#This Row],[05/05/25]])*'Avance 39'!BJ24</f>
        <v>1</v>
      </c>
      <c r="DD41" s="127">
        <f>Real[[#This Row],[05/05/25]]+(1-Real[[#This Row],[05/05/25]])*'Avance 39'!BK24</f>
        <v>1</v>
      </c>
      <c r="DE41" s="127">
        <f>Real[[#This Row],[05/05/25]]+(1-Real[[#This Row],[05/05/25]])*'Avance 39'!BL24</f>
        <v>1</v>
      </c>
      <c r="DF41" s="127">
        <f>Real[[#This Row],[05/05/25]]+(1-Real[[#This Row],[05/05/25]])*'Avance 39'!BM24</f>
        <v>1</v>
      </c>
      <c r="DG41" s="127">
        <f>Real[[#This Row],[05/05/25]]+(1-Real[[#This Row],[05/05/25]])*'Avance 39'!BN24</f>
        <v>1</v>
      </c>
      <c r="DH41" s="127">
        <f>Real[[#This Row],[05/05/25]]+(1-Real[[#This Row],[05/05/25]])*'Avance 39'!BO24</f>
        <v>1</v>
      </c>
      <c r="DI41" s="127">
        <f>Real[[#This Row],[05/05/25]]+(1-Real[[#This Row],[05/05/25]])*'Avance 39'!BP24</f>
        <v>1</v>
      </c>
      <c r="DJ41" s="127">
        <f>Real[[#This Row],[05/05/25]]+(1-Real[[#This Row],[05/05/25]])*'Avance 39'!BQ24</f>
        <v>1</v>
      </c>
      <c r="DK41" s="127">
        <f>Real[[#This Row],[05/05/25]]+(1-Real[[#This Row],[05/05/25]])*'Avance 39'!BR24</f>
        <v>1</v>
      </c>
      <c r="DL41" s="127">
        <f>Real[[#This Row],[05/05/25]]+(1-Real[[#This Row],[05/05/25]])*'Avance 39'!BS24</f>
        <v>1</v>
      </c>
      <c r="DM41" s="127">
        <f>Real[[#This Row],[05/05/25]]+(1-Real[[#This Row],[05/05/25]])*'Avance 39'!BT24</f>
        <v>1</v>
      </c>
      <c r="DN41" s="127">
        <f>Real[[#This Row],[05/05/25]]+(1-Real[[#This Row],[05/05/25]])*'Avance 39'!BU24</f>
        <v>1</v>
      </c>
      <c r="DO41" s="127">
        <f>Real[[#This Row],[05/05/25]]+(1-Real[[#This Row],[05/05/25]])*'Avance 39'!BV24</f>
        <v>1</v>
      </c>
      <c r="DP41" s="127">
        <f>Real[[#This Row],[05/05/25]]+(1-Real[[#This Row],[05/05/25]])*'Avance 39'!BW24</f>
        <v>1</v>
      </c>
      <c r="DQ41" s="127">
        <f>Real[[#This Row],[05/05/25]]+(1-Real[[#This Row],[05/05/25]])*'Avance 39'!BX24</f>
        <v>1</v>
      </c>
      <c r="DR41" s="127">
        <f>Real[[#This Row],[05/05/25]]+(1-Real[[#This Row],[05/05/25]])*'Avance 39'!BY24</f>
        <v>1</v>
      </c>
      <c r="DS41" s="127">
        <f>Real[[#This Row],[05/05/25]]+(1-Real[[#This Row],[05/05/25]])*'Avance 39'!BZ24</f>
        <v>1</v>
      </c>
      <c r="DT41" s="127">
        <f>Real[[#This Row],[05/05/25]]+(1-Real[[#This Row],[05/05/25]])*'Avance 39'!CA24</f>
        <v>1</v>
      </c>
      <c r="DU41" s="127">
        <f>Real[[#This Row],[05/05/25]]+(1-Real[[#This Row],[05/05/25]])*'Avance 39'!CB24</f>
        <v>1</v>
      </c>
      <c r="DV41" s="127">
        <f>Real[[#This Row],[05/05/25]]+(1-Real[[#This Row],[05/05/25]])*'Avance 39'!CC24</f>
        <v>1</v>
      </c>
      <c r="DW41" s="127">
        <f>Real[[#This Row],[05/05/25]]+(1-Real[[#This Row],[05/05/25]])*'Avance 39'!CD24</f>
        <v>1</v>
      </c>
      <c r="DX41" s="127">
        <f>Real[[#This Row],[05/05/25]]+(1-Real[[#This Row],[05/05/25]])*'Avance 39'!CE24</f>
        <v>1</v>
      </c>
      <c r="DY41" s="127">
        <f>Real[[#This Row],[05/05/25]]+(1-Real[[#This Row],[05/05/25]])*'Avance 39'!CF24</f>
        <v>1</v>
      </c>
      <c r="DZ41" s="127">
        <f>Real[[#This Row],[05/05/25]]+(1-Real[[#This Row],[05/05/25]])*'Avance 39'!CG24</f>
        <v>1</v>
      </c>
      <c r="EA41" s="127">
        <f>Real[[#This Row],[05/05/25]]+(1-Real[[#This Row],[05/05/25]])*'Avance 39'!CH24</f>
        <v>1</v>
      </c>
      <c r="EB41" s="127">
        <f>Real[[#This Row],[05/05/25]]+(1-Real[[#This Row],[05/05/25]])*'Avance 39'!CI24</f>
        <v>1</v>
      </c>
      <c r="EC41" s="127">
        <f>Real[[#This Row],[05/05/25]]+(1-Real[[#This Row],[05/05/25]])*'Avance 39'!CJ24</f>
        <v>1</v>
      </c>
      <c r="ED41" s="127">
        <f>Real[[#This Row],[05/05/25]]+(1-Real[[#This Row],[05/05/25]])*'Avance 39'!CK24</f>
        <v>1</v>
      </c>
      <c r="EE41" s="127">
        <f>Real[[#This Row],[05/05/25]]+(1-Real[[#This Row],[05/05/25]])*'Avance 39'!CL24</f>
        <v>1</v>
      </c>
      <c r="EF41" s="127">
        <f>Real[[#This Row],[05/05/25]]+(1-Real[[#This Row],[05/05/25]])*'Avance 39'!CM24</f>
        <v>1</v>
      </c>
      <c r="EG41" s="127">
        <f>Real[[#This Row],[05/05/25]]+(1-Real[[#This Row],[05/05/25]])*'Avance 39'!CN24</f>
        <v>1</v>
      </c>
      <c r="EH41" s="127">
        <f>Real[[#This Row],[05/05/25]]+(1-Real[[#This Row],[05/05/25]])*'Avance 39'!CO24</f>
        <v>1</v>
      </c>
      <c r="EI41" s="127">
        <f>Real[[#This Row],[05/05/25]]+(1-Real[[#This Row],[05/05/25]])*'Avance 39'!CP24</f>
        <v>1</v>
      </c>
    </row>
    <row r="42" spans="2:139" ht="15" outlineLevel="2" collapsed="1" x14ac:dyDescent="0.3">
      <c r="B42" s="22"/>
      <c r="C42" s="23"/>
      <c r="D42" s="23" t="s">
        <v>46</v>
      </c>
      <c r="E42" s="50"/>
      <c r="F42" s="26">
        <f>+F43</f>
        <v>40</v>
      </c>
      <c r="G42" s="28">
        <v>3.8913408890165695E-2</v>
      </c>
      <c r="H42" s="160"/>
      <c r="I42" s="28">
        <f t="shared" ref="I42:CM42" si="394">+I43*$G$43</f>
        <v>0</v>
      </c>
      <c r="J42" s="28">
        <f t="shared" si="394"/>
        <v>0</v>
      </c>
      <c r="K42" s="28">
        <f t="shared" si="394"/>
        <v>0</v>
      </c>
      <c r="L42" s="28">
        <f t="shared" si="394"/>
        <v>0</v>
      </c>
      <c r="M42" s="64">
        <f t="shared" si="394"/>
        <v>0</v>
      </c>
      <c r="N42" s="64">
        <f t="shared" si="394"/>
        <v>0</v>
      </c>
      <c r="O42" s="28">
        <f t="shared" si="394"/>
        <v>0</v>
      </c>
      <c r="P42" s="28">
        <f t="shared" si="394"/>
        <v>0</v>
      </c>
      <c r="Q42" s="28">
        <f t="shared" si="394"/>
        <v>0</v>
      </c>
      <c r="R42" s="28">
        <f t="shared" si="394"/>
        <v>0</v>
      </c>
      <c r="S42" s="28">
        <f t="shared" si="394"/>
        <v>0</v>
      </c>
      <c r="T42" s="28">
        <f t="shared" si="394"/>
        <v>0</v>
      </c>
      <c r="U42" s="28">
        <f t="shared" si="394"/>
        <v>0</v>
      </c>
      <c r="V42" s="28">
        <f t="shared" si="394"/>
        <v>0</v>
      </c>
      <c r="W42" s="28">
        <f t="shared" si="394"/>
        <v>0</v>
      </c>
      <c r="X42" s="28">
        <f t="shared" si="394"/>
        <v>0</v>
      </c>
      <c r="Y42" s="28">
        <f t="shared" si="394"/>
        <v>0</v>
      </c>
      <c r="Z42" s="28">
        <f t="shared" si="394"/>
        <v>0</v>
      </c>
      <c r="AA42" s="28">
        <f t="shared" si="394"/>
        <v>0</v>
      </c>
      <c r="AB42" s="28">
        <f t="shared" si="394"/>
        <v>0</v>
      </c>
      <c r="AC42" s="28">
        <f t="shared" si="394"/>
        <v>0</v>
      </c>
      <c r="AD42" s="28">
        <f t="shared" si="394"/>
        <v>0</v>
      </c>
      <c r="AE42" s="28">
        <f t="shared" si="394"/>
        <v>0</v>
      </c>
      <c r="AF42" s="28">
        <f t="shared" si="394"/>
        <v>0</v>
      </c>
      <c r="AG42" s="28">
        <f t="shared" si="394"/>
        <v>0</v>
      </c>
      <c r="AH42" s="28">
        <f t="shared" si="394"/>
        <v>0</v>
      </c>
      <c r="AI42" s="28">
        <f t="shared" si="394"/>
        <v>0</v>
      </c>
      <c r="AJ42" s="28">
        <f t="shared" si="394"/>
        <v>0</v>
      </c>
      <c r="AK42" s="28">
        <f t="shared" si="394"/>
        <v>0</v>
      </c>
      <c r="AL42" s="28">
        <f t="shared" si="394"/>
        <v>0</v>
      </c>
      <c r="AM42" s="28">
        <f t="shared" si="394"/>
        <v>0</v>
      </c>
      <c r="AN42" s="28">
        <f t="shared" si="394"/>
        <v>0</v>
      </c>
      <c r="AO42" s="28">
        <f t="shared" si="394"/>
        <v>0.16</v>
      </c>
      <c r="AP42" s="28">
        <f t="shared" si="394"/>
        <v>0.22532467532467532</v>
      </c>
      <c r="AQ42" s="28">
        <f t="shared" si="394"/>
        <v>0.32693181818181816</v>
      </c>
      <c r="AR42" s="28">
        <f t="shared" si="394"/>
        <v>0.42385714285714299</v>
      </c>
      <c r="AS42" s="28">
        <f t="shared" si="394"/>
        <v>0.42385714285714299</v>
      </c>
      <c r="AT42" s="28">
        <f t="shared" si="394"/>
        <v>0.42385714285714299</v>
      </c>
      <c r="AU42" s="28">
        <f t="shared" si="394"/>
        <v>0.42385714285714299</v>
      </c>
      <c r="AV42" s="28">
        <f t="shared" si="394"/>
        <v>0.42385714285714299</v>
      </c>
      <c r="AW42" s="28">
        <f t="shared" si="394"/>
        <v>0.42385714285714299</v>
      </c>
      <c r="AX42" s="28">
        <f t="shared" si="394"/>
        <v>0.42385714285714299</v>
      </c>
      <c r="AY42" s="28">
        <f t="shared" si="394"/>
        <v>0.42385714285714299</v>
      </c>
      <c r="AZ42" s="28">
        <f t="shared" si="394"/>
        <v>0.42385714285714299</v>
      </c>
      <c r="BA42" s="28">
        <f t="shared" si="394"/>
        <v>0.42385714285714299</v>
      </c>
      <c r="BB42" s="28">
        <f t="shared" si="394"/>
        <v>0.42385714285714299</v>
      </c>
      <c r="BC42" s="28">
        <f t="shared" si="394"/>
        <v>0.42385714285714299</v>
      </c>
      <c r="BD42" s="28">
        <f t="shared" si="394"/>
        <v>0.42385714285714299</v>
      </c>
      <c r="BE42" s="28">
        <f t="shared" si="394"/>
        <v>0.42385714285714299</v>
      </c>
      <c r="BF42" s="28">
        <f t="shared" si="394"/>
        <v>0.42385714285714299</v>
      </c>
      <c r="BG42" s="161">
        <f t="shared" si="394"/>
        <v>0.42385714285714299</v>
      </c>
      <c r="BH42" s="161">
        <f t="shared" si="394"/>
        <v>0.42385714285714299</v>
      </c>
      <c r="BI42" s="28">
        <f t="shared" si="394"/>
        <v>0.42385714285714299</v>
      </c>
      <c r="BJ42" s="28">
        <f t="shared" si="394"/>
        <v>0.42385714285714299</v>
      </c>
      <c r="BK42" s="28">
        <f t="shared" si="394"/>
        <v>0.42385714285714299</v>
      </c>
      <c r="BL42" s="28">
        <f t="shared" si="394"/>
        <v>0.42385714285714299</v>
      </c>
      <c r="BM42" s="28">
        <f t="shared" si="394"/>
        <v>0.42385714285714299</v>
      </c>
      <c r="BN42" s="28">
        <f t="shared" si="394"/>
        <v>0.42385714285714299</v>
      </c>
      <c r="BO42" s="28">
        <f t="shared" si="394"/>
        <v>0.42385714285714299</v>
      </c>
      <c r="BP42" s="28">
        <f t="shared" si="394"/>
        <v>0.42385714285714299</v>
      </c>
      <c r="BQ42" s="28">
        <f t="shared" si="394"/>
        <v>0.42385714285714299</v>
      </c>
      <c r="BR42" s="28">
        <f t="shared" si="394"/>
        <v>0.42385714285714299</v>
      </c>
      <c r="BS42" s="28">
        <f t="shared" si="394"/>
        <v>0.42385714285714299</v>
      </c>
      <c r="BT42" s="28">
        <f t="shared" si="394"/>
        <v>0.42385714285714299</v>
      </c>
      <c r="BU42" s="28">
        <f t="shared" si="394"/>
        <v>0.42385714285714299</v>
      </c>
      <c r="BV42" s="28">
        <f t="shared" si="394"/>
        <v>0.42385714285714299</v>
      </c>
      <c r="BW42" s="28">
        <f t="shared" si="394"/>
        <v>0.42385714285714299</v>
      </c>
      <c r="BX42" s="28">
        <f t="shared" si="394"/>
        <v>0.42385714285714299</v>
      </c>
      <c r="BY42" s="28">
        <f t="shared" si="394"/>
        <v>0.42385714285714299</v>
      </c>
      <c r="BZ42" s="28">
        <f t="shared" si="394"/>
        <v>0.42385714285714299</v>
      </c>
      <c r="CA42" s="28">
        <f t="shared" si="394"/>
        <v>0.42385714285714299</v>
      </c>
      <c r="CB42" s="28">
        <f t="shared" si="394"/>
        <v>0.42385714285714299</v>
      </c>
      <c r="CC42" s="28">
        <f t="shared" si="394"/>
        <v>0.42385714285714299</v>
      </c>
      <c r="CD42" s="28">
        <f t="shared" si="394"/>
        <v>0.42385714285714299</v>
      </c>
      <c r="CE42" s="28">
        <f t="shared" si="394"/>
        <v>0.42385714285714299</v>
      </c>
      <c r="CF42" s="28">
        <f t="shared" si="394"/>
        <v>0.42385714285714299</v>
      </c>
      <c r="CG42" s="28">
        <f t="shared" si="394"/>
        <v>0.42385714285714299</v>
      </c>
      <c r="CH42" s="28">
        <f t="shared" si="394"/>
        <v>0.42385714285714299</v>
      </c>
      <c r="CI42" s="28">
        <f t="shared" si="394"/>
        <v>0.42385714285714299</v>
      </c>
      <c r="CJ42" s="28">
        <f t="shared" si="394"/>
        <v>0.42385714285714299</v>
      </c>
      <c r="CK42" s="28">
        <f t="shared" si="394"/>
        <v>0.42385714285714299</v>
      </c>
      <c r="CL42" s="28">
        <f t="shared" si="394"/>
        <v>0.42385714285714299</v>
      </c>
      <c r="CM42" s="28">
        <f t="shared" si="394"/>
        <v>0.42385714285714299</v>
      </c>
      <c r="CN42" s="28">
        <f t="shared" ref="CN42:EI42" si="395">+CN43*$G$43</f>
        <v>0.42385714285714299</v>
      </c>
      <c r="CO42" s="28">
        <f t="shared" si="395"/>
        <v>0.42385714285714299</v>
      </c>
      <c r="CP42" s="28">
        <f t="shared" si="395"/>
        <v>0.42385714285714299</v>
      </c>
      <c r="CQ42" s="28">
        <f t="shared" si="395"/>
        <v>0.42385714285714299</v>
      </c>
      <c r="CR42" s="28">
        <f t="shared" si="395"/>
        <v>0.42385714285714299</v>
      </c>
      <c r="CS42" s="28">
        <f t="shared" si="395"/>
        <v>0.42385714285714299</v>
      </c>
      <c r="CT42" s="28">
        <f t="shared" si="395"/>
        <v>0.42385714285714299</v>
      </c>
      <c r="CU42" s="28">
        <f t="shared" si="395"/>
        <v>0.42385714285714299</v>
      </c>
      <c r="CV42" s="28">
        <f t="shared" si="395"/>
        <v>0.42385714285714299</v>
      </c>
      <c r="CW42" s="28">
        <f t="shared" si="395"/>
        <v>0.42385714285714299</v>
      </c>
      <c r="CX42" s="28">
        <f t="shared" si="395"/>
        <v>0.42385714285714299</v>
      </c>
      <c r="CY42" s="28">
        <f t="shared" si="395"/>
        <v>0.42385714285714299</v>
      </c>
      <c r="CZ42" s="28">
        <f t="shared" si="395"/>
        <v>0.42385714285714299</v>
      </c>
      <c r="DA42" s="28">
        <f t="shared" si="395"/>
        <v>0.42385714285714299</v>
      </c>
      <c r="DB42" s="28">
        <f t="shared" si="395"/>
        <v>0.42385714285714299</v>
      </c>
      <c r="DC42" s="28">
        <f t="shared" si="395"/>
        <v>0.42385714285714299</v>
      </c>
      <c r="DD42" s="28">
        <f t="shared" si="395"/>
        <v>0.42385714285714299</v>
      </c>
      <c r="DE42" s="28">
        <f t="shared" si="395"/>
        <v>0.42385714285714299</v>
      </c>
      <c r="DF42" s="28">
        <f t="shared" si="395"/>
        <v>0.42385714285714299</v>
      </c>
      <c r="DG42" s="28">
        <f t="shared" si="395"/>
        <v>0.42385714285714299</v>
      </c>
      <c r="DH42" s="28">
        <f t="shared" si="395"/>
        <v>0.42385714285714299</v>
      </c>
      <c r="DI42" s="28">
        <f t="shared" si="395"/>
        <v>0.42385714285714299</v>
      </c>
      <c r="DJ42" s="28">
        <f t="shared" si="395"/>
        <v>0.42385714285714299</v>
      </c>
      <c r="DK42" s="28">
        <f t="shared" si="395"/>
        <v>0.42385714285714299</v>
      </c>
      <c r="DL42" s="28">
        <f t="shared" si="395"/>
        <v>0.42385714285714299</v>
      </c>
      <c r="DM42" s="28">
        <f t="shared" si="395"/>
        <v>0.42385714285714299</v>
      </c>
      <c r="DN42" s="28">
        <f t="shared" si="395"/>
        <v>0.42385714285714299</v>
      </c>
      <c r="DO42" s="28">
        <f t="shared" si="395"/>
        <v>0.42385714285714299</v>
      </c>
      <c r="DP42" s="28">
        <f t="shared" si="395"/>
        <v>0.42385714285714299</v>
      </c>
      <c r="DQ42" s="28">
        <f t="shared" si="395"/>
        <v>0.42385714285714299</v>
      </c>
      <c r="DR42" s="28">
        <f t="shared" si="395"/>
        <v>0.42385714285714299</v>
      </c>
      <c r="DS42" s="28">
        <f t="shared" si="395"/>
        <v>0.42385714285714299</v>
      </c>
      <c r="DT42" s="28">
        <f t="shared" si="395"/>
        <v>0.42385714285714299</v>
      </c>
      <c r="DU42" s="28">
        <f t="shared" si="395"/>
        <v>0.42385714285714299</v>
      </c>
      <c r="DV42" s="28">
        <f t="shared" si="395"/>
        <v>0.42385714285714299</v>
      </c>
      <c r="DW42" s="28">
        <f t="shared" si="395"/>
        <v>0.42385714285714299</v>
      </c>
      <c r="DX42" s="28">
        <f t="shared" si="395"/>
        <v>0.42385714285714299</v>
      </c>
      <c r="DY42" s="28">
        <f t="shared" si="395"/>
        <v>0.42385714285714299</v>
      </c>
      <c r="DZ42" s="28">
        <f t="shared" si="395"/>
        <v>0.42385714285714299</v>
      </c>
      <c r="EA42" s="28">
        <f t="shared" si="395"/>
        <v>0.42385714285714299</v>
      </c>
      <c r="EB42" s="28">
        <f t="shared" si="395"/>
        <v>0.42385714285714299</v>
      </c>
      <c r="EC42" s="28">
        <f t="shared" si="395"/>
        <v>0.42385714285714299</v>
      </c>
      <c r="ED42" s="28">
        <f t="shared" si="395"/>
        <v>0.42385714285714299</v>
      </c>
      <c r="EE42" s="28">
        <f t="shared" si="395"/>
        <v>0.42385714285714299</v>
      </c>
      <c r="EF42" s="28">
        <f t="shared" si="395"/>
        <v>0.42385714285714299</v>
      </c>
      <c r="EG42" s="28">
        <f t="shared" si="395"/>
        <v>0.42385714285714299</v>
      </c>
      <c r="EH42" s="28">
        <f t="shared" si="395"/>
        <v>0.42385714285714299</v>
      </c>
      <c r="EI42" s="28">
        <f t="shared" si="395"/>
        <v>0.42385714285714299</v>
      </c>
    </row>
    <row r="43" spans="2:139" ht="15" hidden="1" customHeight="1" outlineLevel="3" x14ac:dyDescent="0.3">
      <c r="B43" s="280"/>
      <c r="C43" s="281"/>
      <c r="D43" s="281"/>
      <c r="E43" s="282" t="s">
        <v>47</v>
      </c>
      <c r="F43" s="283">
        <v>40</v>
      </c>
      <c r="G43" s="284">
        <v>1</v>
      </c>
      <c r="H43" s="162"/>
      <c r="I43" s="127">
        <v>0</v>
      </c>
      <c r="J43" s="127">
        <v>0</v>
      </c>
      <c r="K43" s="127">
        <v>0</v>
      </c>
      <c r="L43" s="127">
        <v>0</v>
      </c>
      <c r="M43" s="128">
        <v>0</v>
      </c>
      <c r="N43" s="128">
        <v>0</v>
      </c>
      <c r="O43" s="127">
        <v>0</v>
      </c>
      <c r="P43" s="127">
        <v>0</v>
      </c>
      <c r="Q43" s="127">
        <v>0</v>
      </c>
      <c r="R43" s="127">
        <v>0</v>
      </c>
      <c r="S43" s="127">
        <v>0</v>
      </c>
      <c r="T43" s="127">
        <v>0</v>
      </c>
      <c r="U43" s="127">
        <v>0</v>
      </c>
      <c r="V43" s="127">
        <v>0</v>
      </c>
      <c r="W43" s="127">
        <v>0</v>
      </c>
      <c r="X43" s="127">
        <v>0</v>
      </c>
      <c r="Y43" s="127">
        <v>0</v>
      </c>
      <c r="Z43" s="127">
        <v>0</v>
      </c>
      <c r="AA43" s="127">
        <v>0</v>
      </c>
      <c r="AB43" s="127">
        <v>0</v>
      </c>
      <c r="AC43" s="127">
        <v>0</v>
      </c>
      <c r="AD43" s="127">
        <v>0</v>
      </c>
      <c r="AE43" s="127">
        <v>0</v>
      </c>
      <c r="AF43" s="127">
        <v>0</v>
      </c>
      <c r="AG43" s="127">
        <v>0</v>
      </c>
      <c r="AH43" s="127">
        <v>0</v>
      </c>
      <c r="AI43" s="127">
        <v>0</v>
      </c>
      <c r="AJ43" s="127">
        <v>0</v>
      </c>
      <c r="AK43" s="127">
        <v>0</v>
      </c>
      <c r="AL43" s="127">
        <v>0</v>
      </c>
      <c r="AM43" s="127">
        <v>0</v>
      </c>
      <c r="AN43" s="127">
        <v>0</v>
      </c>
      <c r="AO43" s="127">
        <v>0.16</v>
      </c>
      <c r="AP43" s="127">
        <v>0.22532467532467532</v>
      </c>
      <c r="AQ43" s="127">
        <v>0.32693181818181816</v>
      </c>
      <c r="AR43" s="127">
        <v>0.42385714285714299</v>
      </c>
      <c r="AS43" s="127">
        <v>0.42385714285714299</v>
      </c>
      <c r="AT43" s="127">
        <v>0.42385714285714299</v>
      </c>
      <c r="AU43" s="127">
        <v>0.42385714285714299</v>
      </c>
      <c r="AV43" s="127">
        <v>0.42385714285714299</v>
      </c>
      <c r="AW43" s="127">
        <v>0.42385714285714299</v>
      </c>
      <c r="AX43" s="127">
        <v>0.42385714285714299</v>
      </c>
      <c r="AY43" s="127">
        <v>0.42385714285714299</v>
      </c>
      <c r="AZ43" s="127">
        <v>0.42385714285714299</v>
      </c>
      <c r="BA43" s="127">
        <v>0.42385714285714299</v>
      </c>
      <c r="BB43" s="127">
        <f>Real[[#This Row],[05/05/25]]+(1-Real[[#This Row],[05/05/25]])*'Avance 39'!I26</f>
        <v>0.42385714285714299</v>
      </c>
      <c r="BC43" s="127">
        <f>Real[[#This Row],[05/05/25]]+(1-Real[[#This Row],[05/05/25]])*'Avance 39'!J26</f>
        <v>0.42385714285714299</v>
      </c>
      <c r="BD43" s="127">
        <f>Real[[#This Row],[05/05/25]]+(1-Real[[#This Row],[05/05/25]])*'Avance 39'!K26</f>
        <v>0.42385714285714299</v>
      </c>
      <c r="BE43" s="127">
        <f>Real[[#This Row],[05/05/25]]+(1-Real[[#This Row],[05/05/25]])*'Avance 39'!L26</f>
        <v>0.42385714285714299</v>
      </c>
      <c r="BF43" s="127">
        <f>Real[[#This Row],[05/05/25]]+(1-Real[[#This Row],[05/05/25]])*'Avance 39'!M26</f>
        <v>0.42385714285714299</v>
      </c>
      <c r="BG43" s="163">
        <f>Real[[#This Row],[05/05/25]]+(1-Real[[#This Row],[05/05/25]])*'Avance 39'!N26</f>
        <v>0.42385714285714299</v>
      </c>
      <c r="BH43" s="163">
        <f>Real[[#This Row],[05/05/25]]+(1-Real[[#This Row],[05/05/25]])*'Avance 39'!O26</f>
        <v>0.42385714285714299</v>
      </c>
      <c r="BI43" s="127">
        <f>Real[[#This Row],[05/05/25]]+(1-Real[[#This Row],[05/05/25]])*'Avance 39'!P26</f>
        <v>0.42385714285714299</v>
      </c>
      <c r="BJ43" s="127">
        <f>Real[[#This Row],[05/05/25]]+(1-Real[[#This Row],[05/05/25]])*'Avance 39'!Q26</f>
        <v>0.42385714285714299</v>
      </c>
      <c r="BK43" s="127">
        <f>Real[[#This Row],[05/05/25]]+(1-Real[[#This Row],[05/05/25]])*'Avance 39'!R26</f>
        <v>0.42385714285714299</v>
      </c>
      <c r="BL43" s="127">
        <f>Real[[#This Row],[05/05/25]]+(1-Real[[#This Row],[05/05/25]])*'Avance 39'!S26</f>
        <v>0.42385714285714299</v>
      </c>
      <c r="BM43" s="127">
        <f>Real[[#This Row],[05/05/25]]+(1-Real[[#This Row],[05/05/25]])*'Avance 39'!T26</f>
        <v>0.42385714285714299</v>
      </c>
      <c r="BN43" s="127">
        <f>Real[[#This Row],[05/05/25]]+(1-Real[[#This Row],[05/05/25]])*'Avance 39'!U26</f>
        <v>0.42385714285714299</v>
      </c>
      <c r="BO43" s="127">
        <f>Real[[#This Row],[05/05/25]]+(1-Real[[#This Row],[05/05/25]])*'Avance 39'!V26</f>
        <v>0.42385714285714299</v>
      </c>
      <c r="BP43" s="127">
        <f>Real[[#This Row],[05/05/25]]+(1-Real[[#This Row],[05/05/25]])*'Avance 39'!W26</f>
        <v>0.42385714285714299</v>
      </c>
      <c r="BQ43" s="127">
        <f>Real[[#This Row],[05/05/25]]+(1-Real[[#This Row],[05/05/25]])*'Avance 39'!X26</f>
        <v>0.42385714285714299</v>
      </c>
      <c r="BR43" s="127">
        <f>Real[[#This Row],[05/05/25]]+(1-Real[[#This Row],[05/05/25]])*'Avance 39'!Y26</f>
        <v>0.42385714285714299</v>
      </c>
      <c r="BS43" s="127">
        <f>Real[[#This Row],[05/05/25]]+(1-Real[[#This Row],[05/05/25]])*'Avance 39'!Z26</f>
        <v>0.42385714285714299</v>
      </c>
      <c r="BT43" s="127">
        <f>Real[[#This Row],[05/05/25]]+(1-Real[[#This Row],[05/05/25]])*'Avance 39'!AA26</f>
        <v>0.42385714285714299</v>
      </c>
      <c r="BU43" s="127">
        <f>Real[[#This Row],[05/05/25]]+(1-Real[[#This Row],[05/05/25]])*'Avance 39'!AB26</f>
        <v>0.42385714285714299</v>
      </c>
      <c r="BV43" s="127">
        <f>Real[[#This Row],[05/05/25]]+(1-Real[[#This Row],[05/05/25]])*'Avance 39'!AC26</f>
        <v>0.42385714285714299</v>
      </c>
      <c r="BW43" s="127">
        <f>Real[[#This Row],[05/05/25]]+(1-Real[[#This Row],[05/05/25]])*'Avance 39'!AD26</f>
        <v>0.42385714285714299</v>
      </c>
      <c r="BX43" s="127">
        <f>Real[[#This Row],[05/05/25]]+(1-Real[[#This Row],[05/05/25]])*'Avance 39'!AE26</f>
        <v>0.42385714285714299</v>
      </c>
      <c r="BY43" s="127">
        <f>Real[[#This Row],[05/05/25]]+(1-Real[[#This Row],[05/05/25]])*'Avance 39'!AF26</f>
        <v>0.42385714285714299</v>
      </c>
      <c r="BZ43" s="127">
        <f>Real[[#This Row],[05/05/25]]+(1-Real[[#This Row],[05/05/25]])*'Avance 39'!AG26</f>
        <v>0.42385714285714299</v>
      </c>
      <c r="CA43" s="127">
        <f>Real[[#This Row],[05/05/25]]+(1-Real[[#This Row],[05/05/25]])*'Avance 39'!AH26</f>
        <v>0.42385714285714299</v>
      </c>
      <c r="CB43" s="127">
        <f>Real[[#This Row],[05/05/25]]+(1-Real[[#This Row],[05/05/25]])*'Avance 39'!AI26</f>
        <v>0.42385714285714299</v>
      </c>
      <c r="CC43" s="127">
        <f>Real[[#This Row],[05/05/25]]+(1-Real[[#This Row],[05/05/25]])*'Avance 39'!AJ26</f>
        <v>0.42385714285714299</v>
      </c>
      <c r="CD43" s="127">
        <f>Real[[#This Row],[05/05/25]]+(1-Real[[#This Row],[05/05/25]])*'Avance 39'!AK26</f>
        <v>0.42385714285714299</v>
      </c>
      <c r="CE43" s="127">
        <f>Real[[#This Row],[05/05/25]]+(1-Real[[#This Row],[05/05/25]])*'Avance 39'!AL26</f>
        <v>0.42385714285714299</v>
      </c>
      <c r="CF43" s="127">
        <f>Real[[#This Row],[05/05/25]]+(1-Real[[#This Row],[05/05/25]])*'Avance 39'!AM26</f>
        <v>0.42385714285714299</v>
      </c>
      <c r="CG43" s="127">
        <f>Real[[#This Row],[05/05/25]]+(1-Real[[#This Row],[05/05/25]])*'Avance 39'!AN26</f>
        <v>0.42385714285714299</v>
      </c>
      <c r="CH43" s="127">
        <f>Real[[#This Row],[05/05/25]]+(1-Real[[#This Row],[05/05/25]])*'Avance 39'!AO26</f>
        <v>0.42385714285714299</v>
      </c>
      <c r="CI43" s="127">
        <f>Real[[#This Row],[05/05/25]]+(1-Real[[#This Row],[05/05/25]])*'Avance 39'!AP26</f>
        <v>0.42385714285714299</v>
      </c>
      <c r="CJ43" s="127">
        <f>Real[[#This Row],[05/05/25]]+(1-Real[[#This Row],[05/05/25]])*'Avance 39'!AQ26</f>
        <v>0.42385714285714299</v>
      </c>
      <c r="CK43" s="127">
        <f>Real[[#This Row],[05/05/25]]+(1-Real[[#This Row],[05/05/25]])*'Avance 39'!AR26</f>
        <v>0.42385714285714299</v>
      </c>
      <c r="CL43" s="127">
        <f>Real[[#This Row],[05/05/25]]+(1-Real[[#This Row],[05/05/25]])*'Avance 39'!AS26</f>
        <v>0.42385714285714299</v>
      </c>
      <c r="CM43" s="127">
        <f>Real[[#This Row],[05/05/25]]+(1-Real[[#This Row],[05/05/25]])*'Avance 39'!AT26</f>
        <v>0.42385714285714299</v>
      </c>
      <c r="CN43" s="127">
        <f>Real[[#This Row],[05/05/25]]+(1-Real[[#This Row],[05/05/25]])*'Avance 39'!AU26</f>
        <v>0.42385714285714299</v>
      </c>
      <c r="CO43" s="127">
        <f>Real[[#This Row],[05/05/25]]+(1-Real[[#This Row],[05/05/25]])*'Avance 39'!AV26</f>
        <v>0.42385714285714299</v>
      </c>
      <c r="CP43" s="127">
        <f>Real[[#This Row],[05/05/25]]+(1-Real[[#This Row],[05/05/25]])*'Avance 39'!AW26</f>
        <v>0.42385714285714299</v>
      </c>
      <c r="CQ43" s="127">
        <f>Real[[#This Row],[05/05/25]]+(1-Real[[#This Row],[05/05/25]])*'Avance 39'!AX26</f>
        <v>0.42385714285714299</v>
      </c>
      <c r="CR43" s="127">
        <f>Real[[#This Row],[05/05/25]]+(1-Real[[#This Row],[05/05/25]])*'Avance 39'!AY26</f>
        <v>0.42385714285714299</v>
      </c>
      <c r="CS43" s="127">
        <f>Real[[#This Row],[05/05/25]]+(1-Real[[#This Row],[05/05/25]])*'Avance 39'!AZ26</f>
        <v>0.42385714285714299</v>
      </c>
      <c r="CT43" s="127">
        <f>Real[[#This Row],[05/05/25]]+(1-Real[[#This Row],[05/05/25]])*'Avance 39'!BA26</f>
        <v>0.42385714285714299</v>
      </c>
      <c r="CU43" s="127">
        <f>Real[[#This Row],[05/05/25]]+(1-Real[[#This Row],[05/05/25]])*'Avance 39'!BB26</f>
        <v>0.42385714285714299</v>
      </c>
      <c r="CV43" s="127">
        <f>Real[[#This Row],[05/05/25]]+(1-Real[[#This Row],[05/05/25]])*'Avance 39'!BC26</f>
        <v>0.42385714285714299</v>
      </c>
      <c r="CW43" s="127">
        <f>Real[[#This Row],[05/05/25]]+(1-Real[[#This Row],[05/05/25]])*'Avance 39'!BD26</f>
        <v>0.42385714285714299</v>
      </c>
      <c r="CX43" s="127">
        <f>Real[[#This Row],[05/05/25]]+(1-Real[[#This Row],[05/05/25]])*'Avance 39'!BE26</f>
        <v>0.42385714285714299</v>
      </c>
      <c r="CY43" s="127">
        <f>Real[[#This Row],[05/05/25]]+(1-Real[[#This Row],[05/05/25]])*'Avance 39'!BF26</f>
        <v>0.42385714285714299</v>
      </c>
      <c r="CZ43" s="127">
        <f>Real[[#This Row],[05/05/25]]+(1-Real[[#This Row],[05/05/25]])*'Avance 39'!BG26</f>
        <v>0.42385714285714299</v>
      </c>
      <c r="DA43" s="127">
        <f>Real[[#This Row],[05/05/25]]+(1-Real[[#This Row],[05/05/25]])*'Avance 39'!BH26</f>
        <v>0.42385714285714299</v>
      </c>
      <c r="DB43" s="127">
        <f>Real[[#This Row],[05/05/25]]+(1-Real[[#This Row],[05/05/25]])*'Avance 39'!BI26</f>
        <v>0.42385714285714299</v>
      </c>
      <c r="DC43" s="127">
        <f>Real[[#This Row],[05/05/25]]+(1-Real[[#This Row],[05/05/25]])*'Avance 39'!BJ26</f>
        <v>0.42385714285714299</v>
      </c>
      <c r="DD43" s="127">
        <f>Real[[#This Row],[05/05/25]]+(1-Real[[#This Row],[05/05/25]])*'Avance 39'!BK26</f>
        <v>0.42385714285714299</v>
      </c>
      <c r="DE43" s="127">
        <f>Real[[#This Row],[05/05/25]]+(1-Real[[#This Row],[05/05/25]])*'Avance 39'!BL26</f>
        <v>0.42385714285714299</v>
      </c>
      <c r="DF43" s="127">
        <f>Real[[#This Row],[05/05/25]]+(1-Real[[#This Row],[05/05/25]])*'Avance 39'!BM26</f>
        <v>0.42385714285714299</v>
      </c>
      <c r="DG43" s="127">
        <f>Real[[#This Row],[05/05/25]]+(1-Real[[#This Row],[05/05/25]])*'Avance 39'!BN26</f>
        <v>0.42385714285714299</v>
      </c>
      <c r="DH43" s="127">
        <f>Real[[#This Row],[05/05/25]]+(1-Real[[#This Row],[05/05/25]])*'Avance 39'!BO26</f>
        <v>0.42385714285714299</v>
      </c>
      <c r="DI43" s="127">
        <f>Real[[#This Row],[05/05/25]]+(1-Real[[#This Row],[05/05/25]])*'Avance 39'!BP26</f>
        <v>0.42385714285714299</v>
      </c>
      <c r="DJ43" s="127">
        <f>Real[[#This Row],[05/05/25]]+(1-Real[[#This Row],[05/05/25]])*'Avance 39'!BQ26</f>
        <v>0.42385714285714299</v>
      </c>
      <c r="DK43" s="127">
        <f>Real[[#This Row],[05/05/25]]+(1-Real[[#This Row],[05/05/25]])*'Avance 39'!BR26</f>
        <v>0.42385714285714299</v>
      </c>
      <c r="DL43" s="127">
        <f>Real[[#This Row],[05/05/25]]+(1-Real[[#This Row],[05/05/25]])*'Avance 39'!BS26</f>
        <v>0.42385714285714299</v>
      </c>
      <c r="DM43" s="127">
        <f>Real[[#This Row],[05/05/25]]+(1-Real[[#This Row],[05/05/25]])*'Avance 39'!BT26</f>
        <v>0.42385714285714299</v>
      </c>
      <c r="DN43" s="127">
        <f>Real[[#This Row],[05/05/25]]+(1-Real[[#This Row],[05/05/25]])*'Avance 39'!BU26</f>
        <v>0.42385714285714299</v>
      </c>
      <c r="DO43" s="127">
        <f>Real[[#This Row],[05/05/25]]+(1-Real[[#This Row],[05/05/25]])*'Avance 39'!BV26</f>
        <v>0.42385714285714299</v>
      </c>
      <c r="DP43" s="127">
        <f>Real[[#This Row],[05/05/25]]+(1-Real[[#This Row],[05/05/25]])*'Avance 39'!BW26</f>
        <v>0.42385714285714299</v>
      </c>
      <c r="DQ43" s="127">
        <f>Real[[#This Row],[05/05/25]]+(1-Real[[#This Row],[05/05/25]])*'Avance 39'!BX26</f>
        <v>0.42385714285714299</v>
      </c>
      <c r="DR43" s="127">
        <f>Real[[#This Row],[05/05/25]]+(1-Real[[#This Row],[05/05/25]])*'Avance 39'!BY26</f>
        <v>0.42385714285714299</v>
      </c>
      <c r="DS43" s="127">
        <f>Real[[#This Row],[05/05/25]]+(1-Real[[#This Row],[05/05/25]])*'Avance 39'!BZ26</f>
        <v>0.42385714285714299</v>
      </c>
      <c r="DT43" s="127">
        <f>Real[[#This Row],[05/05/25]]+(1-Real[[#This Row],[05/05/25]])*'Avance 39'!CA26</f>
        <v>0.42385714285714299</v>
      </c>
      <c r="DU43" s="127">
        <f>Real[[#This Row],[05/05/25]]+(1-Real[[#This Row],[05/05/25]])*'Avance 39'!CB26</f>
        <v>0.42385714285714299</v>
      </c>
      <c r="DV43" s="127">
        <f>Real[[#This Row],[05/05/25]]+(1-Real[[#This Row],[05/05/25]])*'Avance 39'!CC26</f>
        <v>0.42385714285714299</v>
      </c>
      <c r="DW43" s="127">
        <f>Real[[#This Row],[05/05/25]]+(1-Real[[#This Row],[05/05/25]])*'Avance 39'!CD26</f>
        <v>0.42385714285714299</v>
      </c>
      <c r="DX43" s="127">
        <f>Real[[#This Row],[05/05/25]]+(1-Real[[#This Row],[05/05/25]])*'Avance 39'!CE26</f>
        <v>0.42385714285714299</v>
      </c>
      <c r="DY43" s="127">
        <f>Real[[#This Row],[05/05/25]]+(1-Real[[#This Row],[05/05/25]])*'Avance 39'!CF26</f>
        <v>0.42385714285714299</v>
      </c>
      <c r="DZ43" s="127">
        <f>Real[[#This Row],[05/05/25]]+(1-Real[[#This Row],[05/05/25]])*'Avance 39'!CG26</f>
        <v>0.42385714285714299</v>
      </c>
      <c r="EA43" s="127">
        <f>Real[[#This Row],[05/05/25]]+(1-Real[[#This Row],[05/05/25]])*'Avance 39'!CH26</f>
        <v>0.42385714285714299</v>
      </c>
      <c r="EB43" s="127">
        <f>Real[[#This Row],[05/05/25]]+(1-Real[[#This Row],[05/05/25]])*'Avance 39'!CI26</f>
        <v>0.42385714285714299</v>
      </c>
      <c r="EC43" s="127">
        <f>Real[[#This Row],[05/05/25]]+(1-Real[[#This Row],[05/05/25]])*'Avance 39'!CJ26</f>
        <v>0.42385714285714299</v>
      </c>
      <c r="ED43" s="127">
        <f>Real[[#This Row],[05/05/25]]+(1-Real[[#This Row],[05/05/25]])*'Avance 39'!CK26</f>
        <v>0.42385714285714299</v>
      </c>
      <c r="EE43" s="127">
        <f>Real[[#This Row],[05/05/25]]+(1-Real[[#This Row],[05/05/25]])*'Avance 39'!CL26</f>
        <v>0.42385714285714299</v>
      </c>
      <c r="EF43" s="127">
        <f>Real[[#This Row],[05/05/25]]+(1-Real[[#This Row],[05/05/25]])*'Avance 39'!CM26</f>
        <v>0.42385714285714299</v>
      </c>
      <c r="EG43" s="127">
        <f>Real[[#This Row],[05/05/25]]+(1-Real[[#This Row],[05/05/25]])*'Avance 39'!CN26</f>
        <v>0.42385714285714299</v>
      </c>
      <c r="EH43" s="127">
        <f>Real[[#This Row],[05/05/25]]+(1-Real[[#This Row],[05/05/25]])*'Avance 39'!CO26</f>
        <v>0.42385714285714299</v>
      </c>
      <c r="EI43" s="127">
        <f>Real[[#This Row],[05/05/25]]+(1-Real[[#This Row],[05/05/25]])*'Avance 39'!CP26</f>
        <v>0.42385714285714299</v>
      </c>
    </row>
    <row r="44" spans="2:139" ht="15" outlineLevel="2" collapsed="1" x14ac:dyDescent="0.3">
      <c r="B44" s="22"/>
      <c r="C44" s="23"/>
      <c r="D44" s="23" t="s">
        <v>48</v>
      </c>
      <c r="E44" s="50"/>
      <c r="F44" s="26">
        <f>+SUM(F45:F48)</f>
        <v>190</v>
      </c>
      <c r="G44" s="28">
        <v>5.1069782162212127E-2</v>
      </c>
      <c r="H44" s="160"/>
      <c r="I44" s="28">
        <f t="shared" ref="I44:BD44" si="396">+SUMPRODUCT($G$45:$G$48,I45:I48)</f>
        <v>0</v>
      </c>
      <c r="J44" s="28">
        <f t="shared" si="396"/>
        <v>0</v>
      </c>
      <c r="K44" s="28">
        <f t="shared" si="396"/>
        <v>0</v>
      </c>
      <c r="L44" s="28">
        <f t="shared" si="396"/>
        <v>0</v>
      </c>
      <c r="M44" s="64">
        <f t="shared" si="396"/>
        <v>0</v>
      </c>
      <c r="N44" s="64">
        <f t="shared" si="396"/>
        <v>0</v>
      </c>
      <c r="O44" s="28">
        <f t="shared" si="396"/>
        <v>0</v>
      </c>
      <c r="P44" s="28">
        <f t="shared" si="396"/>
        <v>0</v>
      </c>
      <c r="Q44" s="28">
        <f t="shared" si="396"/>
        <v>0</v>
      </c>
      <c r="R44" s="28">
        <f t="shared" si="396"/>
        <v>0</v>
      </c>
      <c r="S44" s="28">
        <f t="shared" si="396"/>
        <v>0</v>
      </c>
      <c r="T44" s="28">
        <f t="shared" si="396"/>
        <v>0</v>
      </c>
      <c r="U44" s="28">
        <f t="shared" si="396"/>
        <v>0</v>
      </c>
      <c r="V44" s="28">
        <f t="shared" si="396"/>
        <v>0</v>
      </c>
      <c r="W44" s="28">
        <f t="shared" si="396"/>
        <v>0</v>
      </c>
      <c r="X44" s="28">
        <f t="shared" si="396"/>
        <v>0</v>
      </c>
      <c r="Y44" s="28">
        <f t="shared" si="396"/>
        <v>0</v>
      </c>
      <c r="Z44" s="28">
        <f t="shared" si="396"/>
        <v>0</v>
      </c>
      <c r="AA44" s="28">
        <f t="shared" si="396"/>
        <v>0.42499999999999999</v>
      </c>
      <c r="AB44" s="28">
        <f t="shared" si="396"/>
        <v>0.42499999999999999</v>
      </c>
      <c r="AC44" s="28">
        <f t="shared" si="396"/>
        <v>0.42574999999999996</v>
      </c>
      <c r="AD44" s="28">
        <f t="shared" si="396"/>
        <v>0.48649999999999999</v>
      </c>
      <c r="AE44" s="28">
        <f t="shared" si="396"/>
        <v>0.52725</v>
      </c>
      <c r="AF44" s="28">
        <f t="shared" si="396"/>
        <v>0.5575</v>
      </c>
      <c r="AG44" s="28">
        <f t="shared" si="396"/>
        <v>0.5575</v>
      </c>
      <c r="AH44" s="28">
        <f t="shared" si="396"/>
        <v>0.5575</v>
      </c>
      <c r="AI44" s="28">
        <f t="shared" si="396"/>
        <v>0.5575</v>
      </c>
      <c r="AJ44" s="28">
        <f t="shared" si="396"/>
        <v>0.5575</v>
      </c>
      <c r="AK44" s="28">
        <f t="shared" si="396"/>
        <v>0.5575</v>
      </c>
      <c r="AL44" s="28">
        <f t="shared" si="396"/>
        <v>0.5575</v>
      </c>
      <c r="AM44" s="28">
        <f t="shared" si="396"/>
        <v>0.5575</v>
      </c>
      <c r="AN44" s="28">
        <f t="shared" si="396"/>
        <v>0.5675</v>
      </c>
      <c r="AO44" s="28">
        <f t="shared" si="396"/>
        <v>0.60250000000000004</v>
      </c>
      <c r="AP44" s="28">
        <f t="shared" si="396"/>
        <v>0.60250000000000004</v>
      </c>
      <c r="AQ44" s="28">
        <f t="shared" si="396"/>
        <v>0.61</v>
      </c>
      <c r="AR44" s="28">
        <f t="shared" si="396"/>
        <v>0.61</v>
      </c>
      <c r="AS44" s="28">
        <f t="shared" si="396"/>
        <v>0.61</v>
      </c>
      <c r="AT44" s="28">
        <f t="shared" si="396"/>
        <v>0.61149999999999993</v>
      </c>
      <c r="AU44" s="28">
        <f t="shared" si="396"/>
        <v>0.61299999999999999</v>
      </c>
      <c r="AV44" s="28">
        <f t="shared" si="396"/>
        <v>0.61449999999999994</v>
      </c>
      <c r="AW44" s="28">
        <f t="shared" si="396"/>
        <v>0.61599999999999999</v>
      </c>
      <c r="AX44" s="28">
        <f t="shared" si="396"/>
        <v>0.61675000000000002</v>
      </c>
      <c r="AY44" s="28">
        <f t="shared" si="396"/>
        <v>0.61675000000000002</v>
      </c>
      <c r="AZ44" s="28">
        <f t="shared" si="396"/>
        <v>0.61899999999999999</v>
      </c>
      <c r="BA44" s="28">
        <f t="shared" si="396"/>
        <v>0.61899999999999999</v>
      </c>
      <c r="BB44" s="28">
        <f t="shared" si="396"/>
        <v>0.61899999999999999</v>
      </c>
      <c r="BC44" s="28">
        <f t="shared" si="396"/>
        <v>0.61899999999999999</v>
      </c>
      <c r="BD44" s="28">
        <f t="shared" si="396"/>
        <v>0.61899999999999999</v>
      </c>
      <c r="BE44" s="28">
        <f t="shared" ref="BE44:BF44" si="397">+SUMPRODUCT($G$45:$G$48,BE45:BE48)</f>
        <v>0.61899999999999999</v>
      </c>
      <c r="BF44" s="28">
        <f t="shared" si="397"/>
        <v>0.64035416666666667</v>
      </c>
      <c r="BG44" s="161">
        <f t="shared" ref="BG44:BH44" si="398">+SUMPRODUCT($G$45:$G$48,BG45:BG48)</f>
        <v>0.64545833333333336</v>
      </c>
      <c r="BH44" s="161">
        <f t="shared" si="398"/>
        <v>0.65431249999999996</v>
      </c>
      <c r="BI44" s="28">
        <f t="shared" ref="BI44:BJ44" si="399">+SUMPRODUCT($G$45:$G$48,BI45:BI48)</f>
        <v>0.65514583333333332</v>
      </c>
      <c r="BJ44" s="28">
        <f t="shared" si="399"/>
        <v>0.65556250000000005</v>
      </c>
      <c r="BK44" s="28">
        <f t="shared" ref="BK44:BL44" si="400">+SUMPRODUCT($G$45:$G$48,BK45:BK48)</f>
        <v>0.65597916666666667</v>
      </c>
      <c r="BL44" s="28">
        <f t="shared" si="400"/>
        <v>0.65639583333333329</v>
      </c>
      <c r="BM44" s="28">
        <f t="shared" ref="BM44:BN44" si="401">+SUMPRODUCT($G$45:$G$48,BM45:BM48)</f>
        <v>0.65639583333333329</v>
      </c>
      <c r="BN44" s="28">
        <f t="shared" si="401"/>
        <v>0.65639583333333329</v>
      </c>
      <c r="BO44" s="28">
        <f t="shared" ref="BO44:BP44" si="402">+SUMPRODUCT($G$45:$G$48,BO45:BO48)</f>
        <v>0.65639583333333329</v>
      </c>
      <c r="BP44" s="28">
        <f t="shared" si="402"/>
        <v>0.65639583333333329</v>
      </c>
      <c r="BQ44" s="28">
        <f t="shared" ref="BQ44:BR44" si="403">+SUMPRODUCT($G$45:$G$48,BQ45:BQ48)</f>
        <v>0.65639583333333329</v>
      </c>
      <c r="BR44" s="28">
        <f t="shared" si="403"/>
        <v>0.65639583333333329</v>
      </c>
      <c r="BS44" s="28">
        <f t="shared" ref="BS44:BT44" si="404">+SUMPRODUCT($G$45:$G$48,BS45:BS48)</f>
        <v>0.65639583333333329</v>
      </c>
      <c r="BT44" s="28">
        <f t="shared" si="404"/>
        <v>0.65639583333333329</v>
      </c>
      <c r="BU44" s="28">
        <f t="shared" ref="BU44:BV44" si="405">+SUMPRODUCT($G$45:$G$48,BU45:BU48)</f>
        <v>0.65639583333333329</v>
      </c>
      <c r="BV44" s="28">
        <f t="shared" si="405"/>
        <v>0.65639583333333329</v>
      </c>
      <c r="BW44" s="28">
        <f t="shared" ref="BW44:BX44" si="406">+SUMPRODUCT($G$45:$G$48,BW45:BW48)</f>
        <v>0.65639583333333329</v>
      </c>
      <c r="BX44" s="28">
        <f t="shared" si="406"/>
        <v>0.65639583333333329</v>
      </c>
      <c r="BY44" s="28">
        <f t="shared" ref="BY44:BZ44" si="407">+SUMPRODUCT($G$45:$G$48,BY45:BY48)</f>
        <v>0.65639583333333329</v>
      </c>
      <c r="BZ44" s="28">
        <f t="shared" si="407"/>
        <v>0.65639583333333329</v>
      </c>
      <c r="CA44" s="28">
        <f t="shared" ref="CA44:CB44" si="408">+SUMPRODUCT($G$45:$G$48,CA45:CA48)</f>
        <v>0.65639583333333329</v>
      </c>
      <c r="CB44" s="28">
        <f t="shared" si="408"/>
        <v>0.65639583333333329</v>
      </c>
      <c r="CC44" s="28">
        <f t="shared" ref="CC44:CD44" si="409">+SUMPRODUCT($G$45:$G$48,CC45:CC48)</f>
        <v>0.65639583333333329</v>
      </c>
      <c r="CD44" s="28">
        <f t="shared" si="409"/>
        <v>0.65639583333333329</v>
      </c>
      <c r="CE44" s="28">
        <f t="shared" ref="CE44" si="410">+SUMPRODUCT($G$45:$G$48,CE45:CE48)</f>
        <v>0.65639583333333329</v>
      </c>
      <c r="CF44" s="28">
        <f t="shared" ref="CF44" si="411">+SUMPRODUCT($G$45:$G$48,CF45:CF48)</f>
        <v>0.65639583333333329</v>
      </c>
      <c r="CG44" s="28">
        <f t="shared" ref="CG44" si="412">+SUMPRODUCT($G$45:$G$48,CG45:CG48)</f>
        <v>0.65639583333333329</v>
      </c>
      <c r="CH44" s="28">
        <f t="shared" ref="CH44" si="413">+SUMPRODUCT($G$45:$G$48,CH45:CH48)</f>
        <v>0.65639583333333329</v>
      </c>
      <c r="CI44" s="28">
        <f t="shared" ref="CI44" si="414">+SUMPRODUCT($G$45:$G$48,CI45:CI48)</f>
        <v>0.65639583333333329</v>
      </c>
      <c r="CJ44" s="28">
        <f t="shared" ref="CJ44:CK44" si="415">+SUMPRODUCT($G$45:$G$48,CJ45:CJ48)</f>
        <v>0.65639583333333329</v>
      </c>
      <c r="CK44" s="28">
        <f t="shared" si="415"/>
        <v>0.65639583333333329</v>
      </c>
      <c r="CL44" s="28">
        <f t="shared" ref="CL44:CV44" si="416">+SUMPRODUCT($G$45:$G$48,CL45:CL48)</f>
        <v>0.65639583333333329</v>
      </c>
      <c r="CM44" s="28">
        <f t="shared" si="416"/>
        <v>0.65639583333333329</v>
      </c>
      <c r="CN44" s="28">
        <f t="shared" si="416"/>
        <v>0.65639583333333329</v>
      </c>
      <c r="CO44" s="28">
        <f t="shared" si="416"/>
        <v>0.65639583333333329</v>
      </c>
      <c r="CP44" s="28">
        <f t="shared" si="416"/>
        <v>0.65639583333333329</v>
      </c>
      <c r="CQ44" s="28">
        <f t="shared" si="416"/>
        <v>0.65639583333333329</v>
      </c>
      <c r="CR44" s="28">
        <f t="shared" si="416"/>
        <v>0.65639583333333329</v>
      </c>
      <c r="CS44" s="28">
        <f t="shared" si="416"/>
        <v>0.65639583333333329</v>
      </c>
      <c r="CT44" s="28">
        <f t="shared" si="416"/>
        <v>0.65639583333333329</v>
      </c>
      <c r="CU44" s="28">
        <f t="shared" si="416"/>
        <v>0.65639583333333329</v>
      </c>
      <c r="CV44" s="28">
        <f t="shared" si="416"/>
        <v>0.65639583333333329</v>
      </c>
      <c r="CW44" s="28">
        <f t="shared" ref="CW44" si="417">+SUMPRODUCT($G$45:$G$48,CW45:CW48)</f>
        <v>0.65639583333333329</v>
      </c>
      <c r="CX44" s="28">
        <f t="shared" ref="CX44:CY44" si="418">+SUMPRODUCT($G$45:$G$48,CX45:CX48)</f>
        <v>0.65639583333333329</v>
      </c>
      <c r="CY44" s="28">
        <f t="shared" si="418"/>
        <v>0.65639583333333329</v>
      </c>
      <c r="CZ44" s="28">
        <f t="shared" ref="CZ44:DA44" si="419">+SUMPRODUCT($G$45:$G$48,CZ45:CZ48)</f>
        <v>0.65639583333333329</v>
      </c>
      <c r="DA44" s="28">
        <f t="shared" si="419"/>
        <v>0.65639583333333329</v>
      </c>
      <c r="DB44" s="28">
        <f t="shared" ref="DB44:DC44" si="420">+SUMPRODUCT($G$45:$G$48,DB45:DB48)</f>
        <v>0.65639583333333329</v>
      </c>
      <c r="DC44" s="28">
        <f t="shared" si="420"/>
        <v>0.65639583333333329</v>
      </c>
      <c r="DD44" s="28">
        <f t="shared" ref="DD44:DE44" si="421">+SUMPRODUCT($G$45:$G$48,DD45:DD48)</f>
        <v>0.65639583333333329</v>
      </c>
      <c r="DE44" s="28">
        <f t="shared" si="421"/>
        <v>0.65639583333333329</v>
      </c>
      <c r="DF44" s="28">
        <f t="shared" ref="DF44" si="422">+SUMPRODUCT($G$45:$G$48,DF45:DF48)</f>
        <v>0.65639583333333329</v>
      </c>
      <c r="DG44" s="28">
        <f t="shared" ref="DG44:EI44" si="423">+SUMPRODUCT($G$45:$G$48,DG45:DG48)</f>
        <v>0.65639583333333329</v>
      </c>
      <c r="DH44" s="28">
        <f t="shared" si="423"/>
        <v>0.65639583333333329</v>
      </c>
      <c r="DI44" s="28">
        <f t="shared" si="423"/>
        <v>0.65639583333333329</v>
      </c>
      <c r="DJ44" s="28">
        <f t="shared" si="423"/>
        <v>0.65639583333333329</v>
      </c>
      <c r="DK44" s="28">
        <f t="shared" si="423"/>
        <v>0.65639583333333329</v>
      </c>
      <c r="DL44" s="28">
        <f t="shared" si="423"/>
        <v>0.65639583333333329</v>
      </c>
      <c r="DM44" s="28">
        <f t="shared" si="423"/>
        <v>0.65639583333333329</v>
      </c>
      <c r="DN44" s="28">
        <f t="shared" si="423"/>
        <v>0.65639583333333329</v>
      </c>
      <c r="DO44" s="28">
        <f t="shared" si="423"/>
        <v>0.65639583333333329</v>
      </c>
      <c r="DP44" s="28">
        <f t="shared" si="423"/>
        <v>0.65639583333333329</v>
      </c>
      <c r="DQ44" s="28">
        <f t="shared" si="423"/>
        <v>0.65639583333333329</v>
      </c>
      <c r="DR44" s="28">
        <f t="shared" si="423"/>
        <v>0.65639583333333329</v>
      </c>
      <c r="DS44" s="28">
        <f t="shared" si="423"/>
        <v>0.65639583333333329</v>
      </c>
      <c r="DT44" s="28">
        <f t="shared" si="423"/>
        <v>0.65639583333333329</v>
      </c>
      <c r="DU44" s="28">
        <f t="shared" si="423"/>
        <v>0.65639583333333329</v>
      </c>
      <c r="DV44" s="28">
        <f t="shared" si="423"/>
        <v>0.65639583333333329</v>
      </c>
      <c r="DW44" s="28">
        <f t="shared" si="423"/>
        <v>0.65639583333333329</v>
      </c>
      <c r="DX44" s="28">
        <f t="shared" si="423"/>
        <v>0.65639583333333329</v>
      </c>
      <c r="DY44" s="28">
        <f t="shared" si="423"/>
        <v>0.65639583333333329</v>
      </c>
      <c r="DZ44" s="28">
        <f t="shared" si="423"/>
        <v>0.65639583333333329</v>
      </c>
      <c r="EA44" s="28">
        <f t="shared" si="423"/>
        <v>0.65639583333333329</v>
      </c>
      <c r="EB44" s="28">
        <f t="shared" si="423"/>
        <v>0.65639583333333329</v>
      </c>
      <c r="EC44" s="28">
        <f t="shared" si="423"/>
        <v>0.65639583333333329</v>
      </c>
      <c r="ED44" s="28">
        <f t="shared" si="423"/>
        <v>0.65639583333333329</v>
      </c>
      <c r="EE44" s="28">
        <f t="shared" si="423"/>
        <v>0.65639583333333329</v>
      </c>
      <c r="EF44" s="28">
        <f t="shared" si="423"/>
        <v>0.65639583333333329</v>
      </c>
      <c r="EG44" s="28">
        <f t="shared" si="423"/>
        <v>0.65639583333333329</v>
      </c>
      <c r="EH44" s="28">
        <f t="shared" si="423"/>
        <v>0.65639583333333329</v>
      </c>
      <c r="EI44" s="28">
        <f t="shared" si="423"/>
        <v>0.65639583333333329</v>
      </c>
    </row>
    <row r="45" spans="2:139" ht="28.95" hidden="1" customHeight="1" outlineLevel="3" x14ac:dyDescent="0.3">
      <c r="B45" s="29"/>
      <c r="C45" s="30"/>
      <c r="D45" s="30"/>
      <c r="E45" s="52" t="s">
        <v>49</v>
      </c>
      <c r="F45" s="33">
        <v>50</v>
      </c>
      <c r="G45" s="35">
        <v>0.25</v>
      </c>
      <c r="H45" s="162"/>
      <c r="I45" s="127">
        <v>0</v>
      </c>
      <c r="J45" s="127">
        <v>0</v>
      </c>
      <c r="K45" s="127">
        <v>0</v>
      </c>
      <c r="L45" s="127">
        <v>0</v>
      </c>
      <c r="M45" s="128">
        <v>0</v>
      </c>
      <c r="N45" s="128">
        <v>0</v>
      </c>
      <c r="O45" s="127">
        <v>0</v>
      </c>
      <c r="P45" s="127">
        <v>0</v>
      </c>
      <c r="Q45" s="127">
        <v>0</v>
      </c>
      <c r="R45" s="127">
        <v>0</v>
      </c>
      <c r="S45" s="127">
        <v>0</v>
      </c>
      <c r="T45" s="127">
        <v>0</v>
      </c>
      <c r="U45" s="127">
        <v>0</v>
      </c>
      <c r="V45" s="127">
        <v>0</v>
      </c>
      <c r="W45" s="127">
        <v>0</v>
      </c>
      <c r="X45" s="127">
        <v>0</v>
      </c>
      <c r="Y45" s="127">
        <v>0</v>
      </c>
      <c r="Z45" s="127">
        <v>0</v>
      </c>
      <c r="AA45" s="127">
        <v>1</v>
      </c>
      <c r="AB45" s="127">
        <v>1</v>
      </c>
      <c r="AC45" s="127">
        <v>1</v>
      </c>
      <c r="AD45" s="127">
        <v>1</v>
      </c>
      <c r="AE45" s="127">
        <v>1</v>
      </c>
      <c r="AF45" s="127">
        <v>1</v>
      </c>
      <c r="AG45" s="127">
        <v>1</v>
      </c>
      <c r="AH45" s="127">
        <v>1</v>
      </c>
      <c r="AI45" s="127">
        <v>1</v>
      </c>
      <c r="AJ45" s="127">
        <v>1</v>
      </c>
      <c r="AK45" s="127">
        <v>1</v>
      </c>
      <c r="AL45" s="127">
        <v>1</v>
      </c>
      <c r="AM45" s="127">
        <v>1</v>
      </c>
      <c r="AN45" s="127">
        <v>1</v>
      </c>
      <c r="AO45" s="127">
        <v>1</v>
      </c>
      <c r="AP45" s="127">
        <v>1</v>
      </c>
      <c r="AQ45" s="127">
        <v>1</v>
      </c>
      <c r="AR45" s="127">
        <v>1</v>
      </c>
      <c r="AS45" s="127">
        <v>1</v>
      </c>
      <c r="AT45" s="127">
        <v>1</v>
      </c>
      <c r="AU45" s="127">
        <v>1</v>
      </c>
      <c r="AV45" s="127">
        <v>1</v>
      </c>
      <c r="AW45" s="127">
        <v>1</v>
      </c>
      <c r="AX45" s="127">
        <v>1</v>
      </c>
      <c r="AY45" s="127">
        <v>1</v>
      </c>
      <c r="AZ45" s="127">
        <v>1</v>
      </c>
      <c r="BA45" s="127">
        <v>1</v>
      </c>
      <c r="BB45" s="127">
        <v>1</v>
      </c>
      <c r="BC45" s="127">
        <v>1</v>
      </c>
      <c r="BD45" s="127">
        <v>1</v>
      </c>
      <c r="BE45" s="127">
        <v>1</v>
      </c>
      <c r="BF45" s="127">
        <v>1</v>
      </c>
      <c r="BG45" s="163">
        <v>1</v>
      </c>
      <c r="BH45" s="163">
        <v>1</v>
      </c>
      <c r="BI45" s="127">
        <v>1</v>
      </c>
      <c r="BJ45" s="127">
        <v>1</v>
      </c>
      <c r="BK45" s="127">
        <v>1</v>
      </c>
      <c r="BL45" s="127">
        <v>1</v>
      </c>
      <c r="BM45" s="127">
        <v>1</v>
      </c>
      <c r="BN45" s="127">
        <v>1</v>
      </c>
      <c r="BO45" s="127">
        <v>1</v>
      </c>
      <c r="BP45" s="127">
        <v>1</v>
      </c>
      <c r="BQ45" s="127">
        <v>1</v>
      </c>
      <c r="BR45" s="127">
        <v>1</v>
      </c>
      <c r="BS45" s="127">
        <v>1</v>
      </c>
      <c r="BT45" s="127">
        <v>1</v>
      </c>
      <c r="BU45" s="127">
        <v>1</v>
      </c>
      <c r="BV45" s="127">
        <v>1</v>
      </c>
      <c r="BW45" s="127">
        <v>1</v>
      </c>
      <c r="BX45" s="127">
        <v>1</v>
      </c>
      <c r="BY45" s="127">
        <v>1</v>
      </c>
      <c r="BZ45" s="127">
        <v>1</v>
      </c>
      <c r="CA45" s="127">
        <v>1</v>
      </c>
      <c r="CB45" s="127">
        <v>1</v>
      </c>
      <c r="CC45" s="127">
        <v>1</v>
      </c>
      <c r="CD45" s="127">
        <v>1</v>
      </c>
      <c r="CE45" s="127">
        <v>1</v>
      </c>
      <c r="CF45" s="127">
        <v>1</v>
      </c>
      <c r="CG45" s="127">
        <v>1</v>
      </c>
      <c r="CH45" s="127">
        <v>1</v>
      </c>
      <c r="CI45" s="127">
        <v>1</v>
      </c>
      <c r="CJ45" s="127">
        <v>1</v>
      </c>
      <c r="CK45" s="127">
        <v>1</v>
      </c>
      <c r="CL45" s="127">
        <v>1</v>
      </c>
      <c r="CM45" s="127">
        <v>1</v>
      </c>
      <c r="CN45" s="127">
        <v>1</v>
      </c>
      <c r="CO45" s="127">
        <v>1</v>
      </c>
      <c r="CP45" s="127">
        <v>1</v>
      </c>
      <c r="CQ45" s="127">
        <v>1</v>
      </c>
      <c r="CR45" s="127">
        <v>1</v>
      </c>
      <c r="CS45" s="127">
        <v>1</v>
      </c>
      <c r="CT45" s="127">
        <v>1</v>
      </c>
      <c r="CU45" s="127">
        <v>1</v>
      </c>
      <c r="CV45" s="127">
        <v>1</v>
      </c>
      <c r="CW45" s="127">
        <v>1</v>
      </c>
      <c r="CX45" s="127">
        <v>1</v>
      </c>
      <c r="CY45" s="127">
        <v>1</v>
      </c>
      <c r="CZ45" s="127">
        <v>1</v>
      </c>
      <c r="DA45" s="127">
        <v>1</v>
      </c>
      <c r="DB45" s="127">
        <v>1</v>
      </c>
      <c r="DC45" s="127">
        <v>1</v>
      </c>
      <c r="DD45" s="127">
        <v>1</v>
      </c>
      <c r="DE45" s="127">
        <v>1</v>
      </c>
      <c r="DF45" s="127">
        <v>1</v>
      </c>
      <c r="DG45" s="127">
        <v>1</v>
      </c>
      <c r="DH45" s="127">
        <v>1</v>
      </c>
      <c r="DI45" s="127">
        <v>1</v>
      </c>
      <c r="DJ45" s="127">
        <v>1</v>
      </c>
      <c r="DK45" s="127">
        <v>1</v>
      </c>
      <c r="DL45" s="127">
        <v>1</v>
      </c>
      <c r="DM45" s="127">
        <v>1</v>
      </c>
      <c r="DN45" s="127">
        <v>1</v>
      </c>
      <c r="DO45" s="127">
        <v>1</v>
      </c>
      <c r="DP45" s="127">
        <v>1</v>
      </c>
      <c r="DQ45" s="127">
        <v>1</v>
      </c>
      <c r="DR45" s="127">
        <v>1</v>
      </c>
      <c r="DS45" s="127">
        <v>1</v>
      </c>
      <c r="DT45" s="127">
        <v>1</v>
      </c>
      <c r="DU45" s="127">
        <v>1</v>
      </c>
      <c r="DV45" s="127">
        <v>1</v>
      </c>
      <c r="DW45" s="127">
        <v>1</v>
      </c>
      <c r="DX45" s="127">
        <v>1</v>
      </c>
      <c r="DY45" s="127">
        <v>1</v>
      </c>
      <c r="DZ45" s="127">
        <v>1</v>
      </c>
      <c r="EA45" s="127">
        <v>1</v>
      </c>
      <c r="EB45" s="127">
        <v>1</v>
      </c>
      <c r="EC45" s="127">
        <v>1</v>
      </c>
      <c r="ED45" s="127">
        <v>1</v>
      </c>
      <c r="EE45" s="127">
        <v>1</v>
      </c>
      <c r="EF45" s="127">
        <v>1</v>
      </c>
      <c r="EG45" s="127">
        <v>1</v>
      </c>
      <c r="EH45" s="127">
        <v>1</v>
      </c>
      <c r="EI45" s="127">
        <v>1</v>
      </c>
    </row>
    <row r="46" spans="2:139" ht="15" hidden="1" customHeight="1" outlineLevel="3" x14ac:dyDescent="0.3">
      <c r="B46" s="29"/>
      <c r="C46" s="30"/>
      <c r="D46" s="30"/>
      <c r="E46" s="52" t="s">
        <v>50</v>
      </c>
      <c r="F46" s="33">
        <v>50</v>
      </c>
      <c r="G46" s="35">
        <v>0.25</v>
      </c>
      <c r="H46" s="162"/>
      <c r="I46" s="127">
        <v>0</v>
      </c>
      <c r="J46" s="127">
        <v>0</v>
      </c>
      <c r="K46" s="127">
        <v>0</v>
      </c>
      <c r="L46" s="127">
        <v>0</v>
      </c>
      <c r="M46" s="128">
        <v>0</v>
      </c>
      <c r="N46" s="128">
        <v>0</v>
      </c>
      <c r="O46" s="127">
        <v>0</v>
      </c>
      <c r="P46" s="127">
        <v>0</v>
      </c>
      <c r="Q46" s="127">
        <v>0</v>
      </c>
      <c r="R46" s="127">
        <v>0</v>
      </c>
      <c r="S46" s="127">
        <v>0</v>
      </c>
      <c r="T46" s="127">
        <v>0</v>
      </c>
      <c r="U46" s="127">
        <v>0</v>
      </c>
      <c r="V46" s="127">
        <v>0</v>
      </c>
      <c r="W46" s="127">
        <v>0</v>
      </c>
      <c r="X46" s="127">
        <v>0</v>
      </c>
      <c r="Y46" s="127">
        <v>0</v>
      </c>
      <c r="Z46" s="127">
        <v>0</v>
      </c>
      <c r="AA46" s="127">
        <v>0.7</v>
      </c>
      <c r="AB46" s="127">
        <v>0.7</v>
      </c>
      <c r="AC46" s="127">
        <v>0.70299999999999996</v>
      </c>
      <c r="AD46" s="127">
        <v>0.70599999999999996</v>
      </c>
      <c r="AE46" s="127">
        <v>0.70899999999999996</v>
      </c>
      <c r="AF46" s="127">
        <v>0.78999999999999992</v>
      </c>
      <c r="AG46" s="127">
        <v>0.78999999999999992</v>
      </c>
      <c r="AH46" s="127">
        <v>0.78999999999999992</v>
      </c>
      <c r="AI46" s="127">
        <v>0.78999999999999992</v>
      </c>
      <c r="AJ46" s="127">
        <v>0.78999999999999992</v>
      </c>
      <c r="AK46" s="127">
        <v>0.78999999999999992</v>
      </c>
      <c r="AL46" s="127">
        <v>0.78999999999999992</v>
      </c>
      <c r="AM46" s="127">
        <v>0.78999999999999992</v>
      </c>
      <c r="AN46" s="127">
        <v>0.78999999999999992</v>
      </c>
      <c r="AO46" s="127">
        <v>0.85</v>
      </c>
      <c r="AP46" s="127">
        <v>0.85</v>
      </c>
      <c r="AQ46" s="127">
        <v>0.87999999999999989</v>
      </c>
      <c r="AR46" s="127">
        <v>0.87999999999999989</v>
      </c>
      <c r="AS46" s="127">
        <v>0.87999999999999989</v>
      </c>
      <c r="AT46" s="127">
        <v>0.8859999999999999</v>
      </c>
      <c r="AU46" s="127">
        <v>0.8919999999999999</v>
      </c>
      <c r="AV46" s="127">
        <v>0.89799999999999991</v>
      </c>
      <c r="AW46" s="127">
        <v>0.90399999999999991</v>
      </c>
      <c r="AX46" s="127">
        <v>0.90699999999999992</v>
      </c>
      <c r="AY46" s="127">
        <v>0.90699999999999992</v>
      </c>
      <c r="AZ46" s="127">
        <v>0.91599999999999993</v>
      </c>
      <c r="BA46" s="127">
        <v>0.91599999999999993</v>
      </c>
      <c r="BB46" s="127">
        <f>Real[[#This Row],[05/05/25]]+(1-Real[[#This Row],[05/05/25]])*'Avance 39'!I28</f>
        <v>0.91599999999999993</v>
      </c>
      <c r="BC46" s="127">
        <f>Real[[#This Row],[05/05/25]]+(1-Real[[#This Row],[05/05/25]])*'Avance 39'!J28</f>
        <v>0.91599999999999993</v>
      </c>
      <c r="BD46" s="127">
        <f>Real[[#This Row],[05/05/25]]+(1-Real[[#This Row],[05/05/25]])*'Avance 39'!K28</f>
        <v>0.91599999999999993</v>
      </c>
      <c r="BE46" s="127">
        <f>Real[[#This Row],[05/05/25]]+(1-Real[[#This Row],[05/05/25]])*'Avance 39'!L28</f>
        <v>0.91599999999999993</v>
      </c>
      <c r="BF46" s="127">
        <f>Real[[#This Row],[05/05/25]]+(1-Real[[#This Row],[05/05/25]])*'Avance 39'!M28</f>
        <v>0.91599999999999993</v>
      </c>
      <c r="BG46" s="163">
        <f>Real[[#This Row],[05/05/25]]+(1-Real[[#This Row],[05/05/25]])*'Avance 39'!N28</f>
        <v>0.91599999999999993</v>
      </c>
      <c r="BH46" s="163">
        <f>Real[[#This Row],[05/05/25]]+(1-Real[[#This Row],[05/05/25]])*'Avance 39'!O28</f>
        <v>0.91599999999999993</v>
      </c>
      <c r="BI46" s="127">
        <f>Real[[#This Row],[05/05/25]]+(1-Real[[#This Row],[05/05/25]])*'Avance 39'!P28</f>
        <v>0.91599999999999993</v>
      </c>
      <c r="BJ46" s="127">
        <f>Real[[#This Row],[05/05/25]]+(1-Real[[#This Row],[05/05/25]])*'Avance 39'!Q28</f>
        <v>0.91599999999999993</v>
      </c>
      <c r="BK46" s="127">
        <f>Real[[#This Row],[05/05/25]]+(1-Real[[#This Row],[05/05/25]])*'Avance 39'!R28</f>
        <v>0.91599999999999993</v>
      </c>
      <c r="BL46" s="127">
        <f>Real[[#This Row],[05/05/25]]+(1-Real[[#This Row],[05/05/25]])*'Avance 39'!S28</f>
        <v>0.91599999999999993</v>
      </c>
      <c r="BM46" s="127">
        <f>Real[[#This Row],[05/05/25]]+(1-Real[[#This Row],[05/05/25]])*'Avance 39'!T28</f>
        <v>0.91599999999999993</v>
      </c>
      <c r="BN46" s="127">
        <f>Real[[#This Row],[05/05/25]]+(1-Real[[#This Row],[05/05/25]])*'Avance 39'!U28</f>
        <v>0.91599999999999993</v>
      </c>
      <c r="BO46" s="127">
        <f>Real[[#This Row],[05/05/25]]+(1-Real[[#This Row],[05/05/25]])*'Avance 39'!V28</f>
        <v>0.91599999999999993</v>
      </c>
      <c r="BP46" s="127">
        <f>Real[[#This Row],[05/05/25]]+(1-Real[[#This Row],[05/05/25]])*'Avance 39'!W28</f>
        <v>0.91599999999999993</v>
      </c>
      <c r="BQ46" s="127">
        <f>Real[[#This Row],[05/05/25]]+(1-Real[[#This Row],[05/05/25]])*'Avance 39'!X28</f>
        <v>0.91599999999999993</v>
      </c>
      <c r="BR46" s="127">
        <f>Real[[#This Row],[05/05/25]]+(1-Real[[#This Row],[05/05/25]])*'Avance 39'!Y28</f>
        <v>0.91599999999999993</v>
      </c>
      <c r="BS46" s="127">
        <f>Real[[#This Row],[05/05/25]]+(1-Real[[#This Row],[05/05/25]])*'Avance 39'!Z28</f>
        <v>0.91599999999999993</v>
      </c>
      <c r="BT46" s="127">
        <f>Real[[#This Row],[05/05/25]]+(1-Real[[#This Row],[05/05/25]])*'Avance 39'!AA28</f>
        <v>0.91599999999999993</v>
      </c>
      <c r="BU46" s="127">
        <f>Real[[#This Row],[05/05/25]]+(1-Real[[#This Row],[05/05/25]])*'Avance 39'!AB28</f>
        <v>0.91599999999999993</v>
      </c>
      <c r="BV46" s="127">
        <f>Real[[#This Row],[05/05/25]]+(1-Real[[#This Row],[05/05/25]])*'Avance 39'!AC28</f>
        <v>0.91599999999999993</v>
      </c>
      <c r="BW46" s="127">
        <f>Real[[#This Row],[05/05/25]]+(1-Real[[#This Row],[05/05/25]])*'Avance 39'!AD28</f>
        <v>0.91599999999999993</v>
      </c>
      <c r="BX46" s="127">
        <f>Real[[#This Row],[05/05/25]]+(1-Real[[#This Row],[05/05/25]])*'Avance 39'!AE28</f>
        <v>0.91599999999999993</v>
      </c>
      <c r="BY46" s="127">
        <f>Real[[#This Row],[05/05/25]]+(1-Real[[#This Row],[05/05/25]])*'Avance 39'!AF28</f>
        <v>0.91599999999999993</v>
      </c>
      <c r="BZ46" s="127">
        <f>Real[[#This Row],[05/05/25]]+(1-Real[[#This Row],[05/05/25]])*'Avance 39'!AG28</f>
        <v>0.91599999999999993</v>
      </c>
      <c r="CA46" s="127">
        <f>Real[[#This Row],[05/05/25]]+(1-Real[[#This Row],[05/05/25]])*'Avance 39'!AH28</f>
        <v>0.91599999999999993</v>
      </c>
      <c r="CB46" s="127">
        <f>Real[[#This Row],[05/05/25]]+(1-Real[[#This Row],[05/05/25]])*'Avance 39'!AI28</f>
        <v>0.91599999999999993</v>
      </c>
      <c r="CC46" s="127">
        <f>Real[[#This Row],[05/05/25]]+(1-Real[[#This Row],[05/05/25]])*'Avance 39'!AJ28</f>
        <v>0.91599999999999993</v>
      </c>
      <c r="CD46" s="127">
        <f>Real[[#This Row],[05/05/25]]+(1-Real[[#This Row],[05/05/25]])*'Avance 39'!AK28</f>
        <v>0.91599999999999993</v>
      </c>
      <c r="CE46" s="127">
        <f>Real[[#This Row],[05/05/25]]+(1-Real[[#This Row],[05/05/25]])*'Avance 39'!AL28</f>
        <v>0.91599999999999993</v>
      </c>
      <c r="CF46" s="127">
        <f>Real[[#This Row],[05/05/25]]+(1-Real[[#This Row],[05/05/25]])*'Avance 39'!AM28</f>
        <v>0.91599999999999993</v>
      </c>
      <c r="CG46" s="127">
        <f>Real[[#This Row],[05/05/25]]+(1-Real[[#This Row],[05/05/25]])*'Avance 39'!AN28</f>
        <v>0.91599999999999993</v>
      </c>
      <c r="CH46" s="127">
        <f>Real[[#This Row],[05/05/25]]+(1-Real[[#This Row],[05/05/25]])*'Avance 39'!AO28</f>
        <v>0.91599999999999993</v>
      </c>
      <c r="CI46" s="127">
        <f>Real[[#This Row],[05/05/25]]+(1-Real[[#This Row],[05/05/25]])*'Avance 39'!AP28</f>
        <v>0.91599999999999993</v>
      </c>
      <c r="CJ46" s="127">
        <f>Real[[#This Row],[05/05/25]]+(1-Real[[#This Row],[05/05/25]])*'Avance 39'!AQ28</f>
        <v>0.91599999999999993</v>
      </c>
      <c r="CK46" s="127">
        <f>Real[[#This Row],[05/05/25]]+(1-Real[[#This Row],[05/05/25]])*'Avance 39'!AR28</f>
        <v>0.91599999999999993</v>
      </c>
      <c r="CL46" s="127">
        <f>Real[[#This Row],[05/05/25]]+(1-Real[[#This Row],[05/05/25]])*'Avance 39'!AS28</f>
        <v>0.91599999999999993</v>
      </c>
      <c r="CM46" s="127">
        <f>Real[[#This Row],[05/05/25]]+(1-Real[[#This Row],[05/05/25]])*'Avance 39'!AT28</f>
        <v>0.91599999999999993</v>
      </c>
      <c r="CN46" s="127">
        <f>Real[[#This Row],[05/05/25]]+(1-Real[[#This Row],[05/05/25]])*'Avance 39'!AU28</f>
        <v>0.91599999999999993</v>
      </c>
      <c r="CO46" s="127">
        <f>Real[[#This Row],[05/05/25]]+(1-Real[[#This Row],[05/05/25]])*'Avance 39'!AV28</f>
        <v>0.91599999999999993</v>
      </c>
      <c r="CP46" s="127">
        <f>Real[[#This Row],[05/05/25]]+(1-Real[[#This Row],[05/05/25]])*'Avance 39'!AW28</f>
        <v>0.91599999999999993</v>
      </c>
      <c r="CQ46" s="127">
        <f>Real[[#This Row],[05/05/25]]+(1-Real[[#This Row],[05/05/25]])*'Avance 39'!AX28</f>
        <v>0.91599999999999993</v>
      </c>
      <c r="CR46" s="127">
        <f>Real[[#This Row],[05/05/25]]+(1-Real[[#This Row],[05/05/25]])*'Avance 39'!AY28</f>
        <v>0.91599999999999993</v>
      </c>
      <c r="CS46" s="127">
        <f>Real[[#This Row],[05/05/25]]+(1-Real[[#This Row],[05/05/25]])*'Avance 39'!AZ28</f>
        <v>0.91599999999999993</v>
      </c>
      <c r="CT46" s="127">
        <f>Real[[#This Row],[05/05/25]]+(1-Real[[#This Row],[05/05/25]])*'Avance 39'!BA28</f>
        <v>0.91599999999999993</v>
      </c>
      <c r="CU46" s="127">
        <f>Real[[#This Row],[05/05/25]]+(1-Real[[#This Row],[05/05/25]])*'Avance 39'!BB28</f>
        <v>0.91599999999999993</v>
      </c>
      <c r="CV46" s="127">
        <f>Real[[#This Row],[05/05/25]]+(1-Real[[#This Row],[05/05/25]])*'Avance 39'!BC28</f>
        <v>0.91599999999999993</v>
      </c>
      <c r="CW46" s="127">
        <f>Real[[#This Row],[05/05/25]]+(1-Real[[#This Row],[05/05/25]])*'Avance 39'!BD28</f>
        <v>0.91599999999999993</v>
      </c>
      <c r="CX46" s="127">
        <f>Real[[#This Row],[05/05/25]]+(1-Real[[#This Row],[05/05/25]])*'Avance 39'!BE28</f>
        <v>0.91599999999999993</v>
      </c>
      <c r="CY46" s="127">
        <f>Real[[#This Row],[05/05/25]]+(1-Real[[#This Row],[05/05/25]])*'Avance 39'!BF28</f>
        <v>0.91599999999999993</v>
      </c>
      <c r="CZ46" s="127">
        <f>Real[[#This Row],[05/05/25]]+(1-Real[[#This Row],[05/05/25]])*'Avance 39'!BG28</f>
        <v>0.91599999999999993</v>
      </c>
      <c r="DA46" s="127">
        <f>Real[[#This Row],[05/05/25]]+(1-Real[[#This Row],[05/05/25]])*'Avance 39'!BH28</f>
        <v>0.91599999999999993</v>
      </c>
      <c r="DB46" s="127">
        <f>Real[[#This Row],[05/05/25]]+(1-Real[[#This Row],[05/05/25]])*'Avance 39'!BI28</f>
        <v>0.91599999999999993</v>
      </c>
      <c r="DC46" s="127">
        <f>Real[[#This Row],[05/05/25]]+(1-Real[[#This Row],[05/05/25]])*'Avance 39'!BJ28</f>
        <v>0.91599999999999993</v>
      </c>
      <c r="DD46" s="127">
        <f>Real[[#This Row],[05/05/25]]+(1-Real[[#This Row],[05/05/25]])*'Avance 39'!BK28</f>
        <v>0.91599999999999993</v>
      </c>
      <c r="DE46" s="127">
        <f>Real[[#This Row],[05/05/25]]+(1-Real[[#This Row],[05/05/25]])*'Avance 39'!BL28</f>
        <v>0.91599999999999993</v>
      </c>
      <c r="DF46" s="127">
        <f>Real[[#This Row],[05/05/25]]+(1-Real[[#This Row],[05/05/25]])*'Avance 39'!BM28</f>
        <v>0.91599999999999993</v>
      </c>
      <c r="DG46" s="127">
        <f>Real[[#This Row],[05/05/25]]+(1-Real[[#This Row],[05/05/25]])*'Avance 39'!BN28</f>
        <v>0.91599999999999993</v>
      </c>
      <c r="DH46" s="127">
        <f>Real[[#This Row],[05/05/25]]+(1-Real[[#This Row],[05/05/25]])*'Avance 39'!BO28</f>
        <v>0.91599999999999993</v>
      </c>
      <c r="DI46" s="127">
        <f>Real[[#This Row],[05/05/25]]+(1-Real[[#This Row],[05/05/25]])*'Avance 39'!BP28</f>
        <v>0.91599999999999993</v>
      </c>
      <c r="DJ46" s="127">
        <f>Real[[#This Row],[05/05/25]]+(1-Real[[#This Row],[05/05/25]])*'Avance 39'!BQ28</f>
        <v>0.91599999999999993</v>
      </c>
      <c r="DK46" s="127">
        <f>Real[[#This Row],[05/05/25]]+(1-Real[[#This Row],[05/05/25]])*'Avance 39'!BR28</f>
        <v>0.91599999999999993</v>
      </c>
      <c r="DL46" s="127">
        <f>Real[[#This Row],[05/05/25]]+(1-Real[[#This Row],[05/05/25]])*'Avance 39'!BS28</f>
        <v>0.91599999999999993</v>
      </c>
      <c r="DM46" s="127">
        <f>Real[[#This Row],[05/05/25]]+(1-Real[[#This Row],[05/05/25]])*'Avance 39'!BT28</f>
        <v>0.91599999999999993</v>
      </c>
      <c r="DN46" s="127">
        <f>Real[[#This Row],[05/05/25]]+(1-Real[[#This Row],[05/05/25]])*'Avance 39'!BU28</f>
        <v>0.91599999999999993</v>
      </c>
      <c r="DO46" s="127">
        <f>Real[[#This Row],[05/05/25]]+(1-Real[[#This Row],[05/05/25]])*'Avance 39'!BV28</f>
        <v>0.91599999999999993</v>
      </c>
      <c r="DP46" s="127">
        <f>Real[[#This Row],[05/05/25]]+(1-Real[[#This Row],[05/05/25]])*'Avance 39'!BW28</f>
        <v>0.91599999999999993</v>
      </c>
      <c r="DQ46" s="127">
        <f>Real[[#This Row],[05/05/25]]+(1-Real[[#This Row],[05/05/25]])*'Avance 39'!BX28</f>
        <v>0.91599999999999993</v>
      </c>
      <c r="DR46" s="127">
        <f>Real[[#This Row],[05/05/25]]+(1-Real[[#This Row],[05/05/25]])*'Avance 39'!BY28</f>
        <v>0.91599999999999993</v>
      </c>
      <c r="DS46" s="127">
        <f>Real[[#This Row],[05/05/25]]+(1-Real[[#This Row],[05/05/25]])*'Avance 39'!BZ28</f>
        <v>0.91599999999999993</v>
      </c>
      <c r="DT46" s="127">
        <f>Real[[#This Row],[05/05/25]]+(1-Real[[#This Row],[05/05/25]])*'Avance 39'!CA28</f>
        <v>0.91599999999999993</v>
      </c>
      <c r="DU46" s="127">
        <f>Real[[#This Row],[05/05/25]]+(1-Real[[#This Row],[05/05/25]])*'Avance 39'!CB28</f>
        <v>0.91599999999999993</v>
      </c>
      <c r="DV46" s="127">
        <f>Real[[#This Row],[05/05/25]]+(1-Real[[#This Row],[05/05/25]])*'Avance 39'!CC28</f>
        <v>0.91599999999999993</v>
      </c>
      <c r="DW46" s="127">
        <f>Real[[#This Row],[05/05/25]]+(1-Real[[#This Row],[05/05/25]])*'Avance 39'!CD28</f>
        <v>0.91599999999999993</v>
      </c>
      <c r="DX46" s="127">
        <f>Real[[#This Row],[05/05/25]]+(1-Real[[#This Row],[05/05/25]])*'Avance 39'!CE28</f>
        <v>0.91599999999999993</v>
      </c>
      <c r="DY46" s="127">
        <f>Real[[#This Row],[05/05/25]]+(1-Real[[#This Row],[05/05/25]])*'Avance 39'!CF28</f>
        <v>0.91599999999999993</v>
      </c>
      <c r="DZ46" s="127">
        <f>Real[[#This Row],[05/05/25]]+(1-Real[[#This Row],[05/05/25]])*'Avance 39'!CG28</f>
        <v>0.91599999999999993</v>
      </c>
      <c r="EA46" s="127">
        <f>Real[[#This Row],[05/05/25]]+(1-Real[[#This Row],[05/05/25]])*'Avance 39'!CH28</f>
        <v>0.91599999999999993</v>
      </c>
      <c r="EB46" s="127">
        <f>Real[[#This Row],[05/05/25]]+(1-Real[[#This Row],[05/05/25]])*'Avance 39'!CI28</f>
        <v>0.91599999999999993</v>
      </c>
      <c r="EC46" s="127">
        <f>Real[[#This Row],[05/05/25]]+(1-Real[[#This Row],[05/05/25]])*'Avance 39'!CJ28</f>
        <v>0.91599999999999993</v>
      </c>
      <c r="ED46" s="127">
        <f>Real[[#This Row],[05/05/25]]+(1-Real[[#This Row],[05/05/25]])*'Avance 39'!CK28</f>
        <v>0.91599999999999993</v>
      </c>
      <c r="EE46" s="127">
        <f>Real[[#This Row],[05/05/25]]+(1-Real[[#This Row],[05/05/25]])*'Avance 39'!CL28</f>
        <v>0.91599999999999993</v>
      </c>
      <c r="EF46" s="127">
        <f>Real[[#This Row],[05/05/25]]+(1-Real[[#This Row],[05/05/25]])*'Avance 39'!CM28</f>
        <v>0.91599999999999993</v>
      </c>
      <c r="EG46" s="127">
        <f>Real[[#This Row],[05/05/25]]+(1-Real[[#This Row],[05/05/25]])*'Avance 39'!CN28</f>
        <v>0.91599999999999993</v>
      </c>
      <c r="EH46" s="127">
        <f>Real[[#This Row],[05/05/25]]+(1-Real[[#This Row],[05/05/25]])*'Avance 39'!CO28</f>
        <v>0.91599999999999993</v>
      </c>
      <c r="EI46" s="127">
        <f>Real[[#This Row],[05/05/25]]+(1-Real[[#This Row],[05/05/25]])*'Avance 39'!CP28</f>
        <v>0.91599999999999993</v>
      </c>
    </row>
    <row r="47" spans="2:139" ht="28.95" hidden="1" customHeight="1" outlineLevel="3" x14ac:dyDescent="0.3">
      <c r="B47" s="29"/>
      <c r="C47" s="30"/>
      <c r="D47" s="30"/>
      <c r="E47" s="52" t="s">
        <v>51</v>
      </c>
      <c r="F47" s="33">
        <v>40</v>
      </c>
      <c r="G47" s="35">
        <v>0.2</v>
      </c>
      <c r="H47" s="162"/>
      <c r="I47" s="127">
        <v>0</v>
      </c>
      <c r="J47" s="127">
        <v>0</v>
      </c>
      <c r="K47" s="127">
        <v>0</v>
      </c>
      <c r="L47" s="127">
        <v>0</v>
      </c>
      <c r="M47" s="128">
        <v>0</v>
      </c>
      <c r="N47" s="128">
        <v>0</v>
      </c>
      <c r="O47" s="127">
        <v>0</v>
      </c>
      <c r="P47" s="127">
        <v>0</v>
      </c>
      <c r="Q47" s="127">
        <v>0</v>
      </c>
      <c r="R47" s="127">
        <v>0</v>
      </c>
      <c r="S47" s="127">
        <v>0</v>
      </c>
      <c r="T47" s="127">
        <v>0</v>
      </c>
      <c r="U47" s="127">
        <v>0</v>
      </c>
      <c r="V47" s="127">
        <v>0</v>
      </c>
      <c r="W47" s="127">
        <v>0</v>
      </c>
      <c r="X47" s="127">
        <v>0</v>
      </c>
      <c r="Y47" s="127">
        <v>0</v>
      </c>
      <c r="Z47" s="127">
        <v>0</v>
      </c>
      <c r="AA47" s="127">
        <v>0</v>
      </c>
      <c r="AB47" s="127">
        <v>0</v>
      </c>
      <c r="AC47" s="127">
        <v>0</v>
      </c>
      <c r="AD47" s="127">
        <v>0.3</v>
      </c>
      <c r="AE47" s="127">
        <v>0.5</v>
      </c>
      <c r="AF47" s="127">
        <v>0.55000000000000004</v>
      </c>
      <c r="AG47" s="127">
        <v>0.55000000000000004</v>
      </c>
      <c r="AH47" s="127">
        <v>0.55000000000000004</v>
      </c>
      <c r="AI47" s="127">
        <v>0.55000000000000004</v>
      </c>
      <c r="AJ47" s="127">
        <v>0.55000000000000004</v>
      </c>
      <c r="AK47" s="127">
        <v>0.55000000000000004</v>
      </c>
      <c r="AL47" s="127">
        <v>0.55000000000000004</v>
      </c>
      <c r="AM47" s="127">
        <v>0.55000000000000004</v>
      </c>
      <c r="AN47" s="127">
        <v>0.6</v>
      </c>
      <c r="AO47" s="127">
        <v>0.7</v>
      </c>
      <c r="AP47" s="127">
        <v>0.7</v>
      </c>
      <c r="AQ47" s="127">
        <v>0.7</v>
      </c>
      <c r="AR47" s="127">
        <v>0.7</v>
      </c>
      <c r="AS47" s="127">
        <v>0.7</v>
      </c>
      <c r="AT47" s="127">
        <v>0.7</v>
      </c>
      <c r="AU47" s="127">
        <v>0.7</v>
      </c>
      <c r="AV47" s="127">
        <v>0.7</v>
      </c>
      <c r="AW47" s="127">
        <v>0.7</v>
      </c>
      <c r="AX47" s="127">
        <v>0.7</v>
      </c>
      <c r="AY47" s="127">
        <v>0.7</v>
      </c>
      <c r="AZ47" s="127">
        <v>0.7</v>
      </c>
      <c r="BA47" s="127">
        <v>0.7</v>
      </c>
      <c r="BB47" s="127">
        <f>Real[[#This Row],[05/05/25]]+(1-Real[[#This Row],[05/05/25]])*'Avance 39'!I29</f>
        <v>0.7</v>
      </c>
      <c r="BC47" s="127">
        <f>Real[[#This Row],[05/05/25]]+(1-Real[[#This Row],[05/05/25]])*'Avance 39'!J29</f>
        <v>0.7</v>
      </c>
      <c r="BD47" s="127">
        <f>Real[[#This Row],[05/05/25]]+(1-Real[[#This Row],[05/05/25]])*'Avance 39'!K29</f>
        <v>0.7</v>
      </c>
      <c r="BE47" s="127">
        <f>Real[[#This Row],[05/05/25]]+(1-Real[[#This Row],[05/05/25]])*'Avance 39'!L29</f>
        <v>0.7</v>
      </c>
      <c r="BF47" s="127">
        <f>Real[[#This Row],[05/05/25]]+(1-Real[[#This Row],[05/05/25]])*'Avance 39'!M29</f>
        <v>0.7</v>
      </c>
      <c r="BG47" s="163">
        <f>Real[[#This Row],[05/05/25]]+(1-Real[[#This Row],[05/05/25]])*'Avance 39'!N29</f>
        <v>0.7</v>
      </c>
      <c r="BH47" s="163">
        <f>Real[[#This Row],[05/05/25]]+(1-Real[[#This Row],[05/05/25]])*'Avance 39'!O29</f>
        <v>0.7</v>
      </c>
      <c r="BI47" s="127">
        <f>Real[[#This Row],[05/05/25]]+(1-Real[[#This Row],[05/05/25]])*'Avance 39'!P29</f>
        <v>0.7</v>
      </c>
      <c r="BJ47" s="127">
        <f>Real[[#This Row],[05/05/25]]+(1-Real[[#This Row],[05/05/25]])*'Avance 39'!Q29</f>
        <v>0.7</v>
      </c>
      <c r="BK47" s="127">
        <f>Real[[#This Row],[05/05/25]]+(1-Real[[#This Row],[05/05/25]])*'Avance 39'!R29</f>
        <v>0.7</v>
      </c>
      <c r="BL47" s="127">
        <f>Real[[#This Row],[05/05/25]]+(1-Real[[#This Row],[05/05/25]])*'Avance 39'!S29</f>
        <v>0.7</v>
      </c>
      <c r="BM47" s="127">
        <f>Real[[#This Row],[05/05/25]]+(1-Real[[#This Row],[05/05/25]])*'Avance 39'!T29</f>
        <v>0.7</v>
      </c>
      <c r="BN47" s="127">
        <f>Real[[#This Row],[05/05/25]]+(1-Real[[#This Row],[05/05/25]])*'Avance 39'!U29</f>
        <v>0.7</v>
      </c>
      <c r="BO47" s="127">
        <f>Real[[#This Row],[05/05/25]]+(1-Real[[#This Row],[05/05/25]])*'Avance 39'!V29</f>
        <v>0.7</v>
      </c>
      <c r="BP47" s="127">
        <f>Real[[#This Row],[05/05/25]]+(1-Real[[#This Row],[05/05/25]])*'Avance 39'!W29</f>
        <v>0.7</v>
      </c>
      <c r="BQ47" s="127">
        <f>Real[[#This Row],[05/05/25]]+(1-Real[[#This Row],[05/05/25]])*'Avance 39'!X29</f>
        <v>0.7</v>
      </c>
      <c r="BR47" s="127">
        <f>Real[[#This Row],[05/05/25]]+(1-Real[[#This Row],[05/05/25]])*'Avance 39'!Y29</f>
        <v>0.7</v>
      </c>
      <c r="BS47" s="127">
        <f>Real[[#This Row],[05/05/25]]+(1-Real[[#This Row],[05/05/25]])*'Avance 39'!Z29</f>
        <v>0.7</v>
      </c>
      <c r="BT47" s="127">
        <f>Real[[#This Row],[05/05/25]]+(1-Real[[#This Row],[05/05/25]])*'Avance 39'!AA29</f>
        <v>0.7</v>
      </c>
      <c r="BU47" s="127">
        <f>Real[[#This Row],[05/05/25]]+(1-Real[[#This Row],[05/05/25]])*'Avance 39'!AB29</f>
        <v>0.7</v>
      </c>
      <c r="BV47" s="127">
        <f>Real[[#This Row],[05/05/25]]+(1-Real[[#This Row],[05/05/25]])*'Avance 39'!AC29</f>
        <v>0.7</v>
      </c>
      <c r="BW47" s="127">
        <f>Real[[#This Row],[05/05/25]]+(1-Real[[#This Row],[05/05/25]])*'Avance 39'!AD29</f>
        <v>0.7</v>
      </c>
      <c r="BX47" s="127">
        <f>Real[[#This Row],[05/05/25]]+(1-Real[[#This Row],[05/05/25]])*'Avance 39'!AE29</f>
        <v>0.7</v>
      </c>
      <c r="BY47" s="127">
        <f>Real[[#This Row],[05/05/25]]+(1-Real[[#This Row],[05/05/25]])*'Avance 39'!AF29</f>
        <v>0.7</v>
      </c>
      <c r="BZ47" s="127">
        <f>Real[[#This Row],[05/05/25]]+(1-Real[[#This Row],[05/05/25]])*'Avance 39'!AG29</f>
        <v>0.7</v>
      </c>
      <c r="CA47" s="127">
        <f>Real[[#This Row],[05/05/25]]+(1-Real[[#This Row],[05/05/25]])*'Avance 39'!AH29</f>
        <v>0.7</v>
      </c>
      <c r="CB47" s="127">
        <f>Real[[#This Row],[05/05/25]]+(1-Real[[#This Row],[05/05/25]])*'Avance 39'!AI29</f>
        <v>0.7</v>
      </c>
      <c r="CC47" s="127">
        <f>Real[[#This Row],[05/05/25]]+(1-Real[[#This Row],[05/05/25]])*'Avance 39'!AJ29</f>
        <v>0.7</v>
      </c>
      <c r="CD47" s="127">
        <f>Real[[#This Row],[05/05/25]]+(1-Real[[#This Row],[05/05/25]])*'Avance 39'!AK29</f>
        <v>0.7</v>
      </c>
      <c r="CE47" s="127">
        <f>Real[[#This Row],[05/05/25]]+(1-Real[[#This Row],[05/05/25]])*'Avance 39'!AL29</f>
        <v>0.7</v>
      </c>
      <c r="CF47" s="127">
        <f>Real[[#This Row],[05/05/25]]+(1-Real[[#This Row],[05/05/25]])*'Avance 39'!AM29</f>
        <v>0.7</v>
      </c>
      <c r="CG47" s="127">
        <f>Real[[#This Row],[05/05/25]]+(1-Real[[#This Row],[05/05/25]])*'Avance 39'!AN29</f>
        <v>0.7</v>
      </c>
      <c r="CH47" s="127">
        <f>Real[[#This Row],[05/05/25]]+(1-Real[[#This Row],[05/05/25]])*'Avance 39'!AO29</f>
        <v>0.7</v>
      </c>
      <c r="CI47" s="127">
        <f>Real[[#This Row],[05/05/25]]+(1-Real[[#This Row],[05/05/25]])*'Avance 39'!AP29</f>
        <v>0.7</v>
      </c>
      <c r="CJ47" s="127">
        <f>Real[[#This Row],[05/05/25]]+(1-Real[[#This Row],[05/05/25]])*'Avance 39'!AQ29</f>
        <v>0.7</v>
      </c>
      <c r="CK47" s="127">
        <f>Real[[#This Row],[05/05/25]]+(1-Real[[#This Row],[05/05/25]])*'Avance 39'!AR29</f>
        <v>0.7</v>
      </c>
      <c r="CL47" s="127">
        <f>Real[[#This Row],[05/05/25]]+(1-Real[[#This Row],[05/05/25]])*'Avance 39'!AS29</f>
        <v>0.7</v>
      </c>
      <c r="CM47" s="127">
        <f>Real[[#This Row],[05/05/25]]+(1-Real[[#This Row],[05/05/25]])*'Avance 39'!AT29</f>
        <v>0.7</v>
      </c>
      <c r="CN47" s="127">
        <f>Real[[#This Row],[05/05/25]]+(1-Real[[#This Row],[05/05/25]])*'Avance 39'!AU29</f>
        <v>0.7</v>
      </c>
      <c r="CO47" s="127">
        <f>Real[[#This Row],[05/05/25]]+(1-Real[[#This Row],[05/05/25]])*'Avance 39'!AV29</f>
        <v>0.7</v>
      </c>
      <c r="CP47" s="127">
        <f>Real[[#This Row],[05/05/25]]+(1-Real[[#This Row],[05/05/25]])*'Avance 39'!AW29</f>
        <v>0.7</v>
      </c>
      <c r="CQ47" s="127">
        <f>Real[[#This Row],[05/05/25]]+(1-Real[[#This Row],[05/05/25]])*'Avance 39'!AX29</f>
        <v>0.7</v>
      </c>
      <c r="CR47" s="127">
        <f>Real[[#This Row],[05/05/25]]+(1-Real[[#This Row],[05/05/25]])*'Avance 39'!AY29</f>
        <v>0.7</v>
      </c>
      <c r="CS47" s="127">
        <f>Real[[#This Row],[05/05/25]]+(1-Real[[#This Row],[05/05/25]])*'Avance 39'!AZ29</f>
        <v>0.7</v>
      </c>
      <c r="CT47" s="127">
        <f>Real[[#This Row],[05/05/25]]+(1-Real[[#This Row],[05/05/25]])*'Avance 39'!BA29</f>
        <v>0.7</v>
      </c>
      <c r="CU47" s="127">
        <f>Real[[#This Row],[05/05/25]]+(1-Real[[#This Row],[05/05/25]])*'Avance 39'!BB29</f>
        <v>0.7</v>
      </c>
      <c r="CV47" s="127">
        <f>Real[[#This Row],[05/05/25]]+(1-Real[[#This Row],[05/05/25]])*'Avance 39'!BC29</f>
        <v>0.7</v>
      </c>
      <c r="CW47" s="127">
        <f>Real[[#This Row],[05/05/25]]+(1-Real[[#This Row],[05/05/25]])*'Avance 39'!BD29</f>
        <v>0.7</v>
      </c>
      <c r="CX47" s="127">
        <f>Real[[#This Row],[05/05/25]]+(1-Real[[#This Row],[05/05/25]])*'Avance 39'!BE29</f>
        <v>0.7</v>
      </c>
      <c r="CY47" s="127">
        <f>Real[[#This Row],[05/05/25]]+(1-Real[[#This Row],[05/05/25]])*'Avance 39'!BF29</f>
        <v>0.7</v>
      </c>
      <c r="CZ47" s="127">
        <f>Real[[#This Row],[05/05/25]]+(1-Real[[#This Row],[05/05/25]])*'Avance 39'!BG29</f>
        <v>0.7</v>
      </c>
      <c r="DA47" s="127">
        <f>Real[[#This Row],[05/05/25]]+(1-Real[[#This Row],[05/05/25]])*'Avance 39'!BH29</f>
        <v>0.7</v>
      </c>
      <c r="DB47" s="127">
        <f>Real[[#This Row],[05/05/25]]+(1-Real[[#This Row],[05/05/25]])*'Avance 39'!BI29</f>
        <v>0.7</v>
      </c>
      <c r="DC47" s="127">
        <f>Real[[#This Row],[05/05/25]]+(1-Real[[#This Row],[05/05/25]])*'Avance 39'!BJ29</f>
        <v>0.7</v>
      </c>
      <c r="DD47" s="127">
        <f>Real[[#This Row],[05/05/25]]+(1-Real[[#This Row],[05/05/25]])*'Avance 39'!BK29</f>
        <v>0.7</v>
      </c>
      <c r="DE47" s="127">
        <f>Real[[#This Row],[05/05/25]]+(1-Real[[#This Row],[05/05/25]])*'Avance 39'!BL29</f>
        <v>0.7</v>
      </c>
      <c r="DF47" s="127">
        <f>Real[[#This Row],[05/05/25]]+(1-Real[[#This Row],[05/05/25]])*'Avance 39'!BM29</f>
        <v>0.7</v>
      </c>
      <c r="DG47" s="127">
        <f>Real[[#This Row],[05/05/25]]+(1-Real[[#This Row],[05/05/25]])*'Avance 39'!BN29</f>
        <v>0.7</v>
      </c>
      <c r="DH47" s="127">
        <f>Real[[#This Row],[05/05/25]]+(1-Real[[#This Row],[05/05/25]])*'Avance 39'!BO29</f>
        <v>0.7</v>
      </c>
      <c r="DI47" s="127">
        <f>Real[[#This Row],[05/05/25]]+(1-Real[[#This Row],[05/05/25]])*'Avance 39'!BP29</f>
        <v>0.7</v>
      </c>
      <c r="DJ47" s="127">
        <f>Real[[#This Row],[05/05/25]]+(1-Real[[#This Row],[05/05/25]])*'Avance 39'!BQ29</f>
        <v>0.7</v>
      </c>
      <c r="DK47" s="127">
        <f>Real[[#This Row],[05/05/25]]+(1-Real[[#This Row],[05/05/25]])*'Avance 39'!BR29</f>
        <v>0.7</v>
      </c>
      <c r="DL47" s="127">
        <f>Real[[#This Row],[05/05/25]]+(1-Real[[#This Row],[05/05/25]])*'Avance 39'!BS29</f>
        <v>0.7</v>
      </c>
      <c r="DM47" s="127">
        <f>Real[[#This Row],[05/05/25]]+(1-Real[[#This Row],[05/05/25]])*'Avance 39'!BT29</f>
        <v>0.7</v>
      </c>
      <c r="DN47" s="127">
        <f>Real[[#This Row],[05/05/25]]+(1-Real[[#This Row],[05/05/25]])*'Avance 39'!BU29</f>
        <v>0.7</v>
      </c>
      <c r="DO47" s="127">
        <f>Real[[#This Row],[05/05/25]]+(1-Real[[#This Row],[05/05/25]])*'Avance 39'!BV29</f>
        <v>0.7</v>
      </c>
      <c r="DP47" s="127">
        <f>Real[[#This Row],[05/05/25]]+(1-Real[[#This Row],[05/05/25]])*'Avance 39'!BW29</f>
        <v>0.7</v>
      </c>
      <c r="DQ47" s="127">
        <f>Real[[#This Row],[05/05/25]]+(1-Real[[#This Row],[05/05/25]])*'Avance 39'!BX29</f>
        <v>0.7</v>
      </c>
      <c r="DR47" s="127">
        <f>Real[[#This Row],[05/05/25]]+(1-Real[[#This Row],[05/05/25]])*'Avance 39'!BY29</f>
        <v>0.7</v>
      </c>
      <c r="DS47" s="127">
        <f>Real[[#This Row],[05/05/25]]+(1-Real[[#This Row],[05/05/25]])*'Avance 39'!BZ29</f>
        <v>0.7</v>
      </c>
      <c r="DT47" s="127">
        <f>Real[[#This Row],[05/05/25]]+(1-Real[[#This Row],[05/05/25]])*'Avance 39'!CA29</f>
        <v>0.7</v>
      </c>
      <c r="DU47" s="127">
        <f>Real[[#This Row],[05/05/25]]+(1-Real[[#This Row],[05/05/25]])*'Avance 39'!CB29</f>
        <v>0.7</v>
      </c>
      <c r="DV47" s="127">
        <f>Real[[#This Row],[05/05/25]]+(1-Real[[#This Row],[05/05/25]])*'Avance 39'!CC29</f>
        <v>0.7</v>
      </c>
      <c r="DW47" s="127">
        <f>Real[[#This Row],[05/05/25]]+(1-Real[[#This Row],[05/05/25]])*'Avance 39'!CD29</f>
        <v>0.7</v>
      </c>
      <c r="DX47" s="127">
        <f>Real[[#This Row],[05/05/25]]+(1-Real[[#This Row],[05/05/25]])*'Avance 39'!CE29</f>
        <v>0.7</v>
      </c>
      <c r="DY47" s="127">
        <f>Real[[#This Row],[05/05/25]]+(1-Real[[#This Row],[05/05/25]])*'Avance 39'!CF29</f>
        <v>0.7</v>
      </c>
      <c r="DZ47" s="127">
        <f>Real[[#This Row],[05/05/25]]+(1-Real[[#This Row],[05/05/25]])*'Avance 39'!CG29</f>
        <v>0.7</v>
      </c>
      <c r="EA47" s="127">
        <f>Real[[#This Row],[05/05/25]]+(1-Real[[#This Row],[05/05/25]])*'Avance 39'!CH29</f>
        <v>0.7</v>
      </c>
      <c r="EB47" s="127">
        <f>Real[[#This Row],[05/05/25]]+(1-Real[[#This Row],[05/05/25]])*'Avance 39'!CI29</f>
        <v>0.7</v>
      </c>
      <c r="EC47" s="127">
        <f>Real[[#This Row],[05/05/25]]+(1-Real[[#This Row],[05/05/25]])*'Avance 39'!CJ29</f>
        <v>0.7</v>
      </c>
      <c r="ED47" s="127">
        <f>Real[[#This Row],[05/05/25]]+(1-Real[[#This Row],[05/05/25]])*'Avance 39'!CK29</f>
        <v>0.7</v>
      </c>
      <c r="EE47" s="127">
        <f>Real[[#This Row],[05/05/25]]+(1-Real[[#This Row],[05/05/25]])*'Avance 39'!CL29</f>
        <v>0.7</v>
      </c>
      <c r="EF47" s="127">
        <f>Real[[#This Row],[05/05/25]]+(1-Real[[#This Row],[05/05/25]])*'Avance 39'!CM29</f>
        <v>0.7</v>
      </c>
      <c r="EG47" s="127">
        <f>Real[[#This Row],[05/05/25]]+(1-Real[[#This Row],[05/05/25]])*'Avance 39'!CN29</f>
        <v>0.7</v>
      </c>
      <c r="EH47" s="127">
        <f>Real[[#This Row],[05/05/25]]+(1-Real[[#This Row],[05/05/25]])*'Avance 39'!CO29</f>
        <v>0.7</v>
      </c>
      <c r="EI47" s="127">
        <f>Real[[#This Row],[05/05/25]]+(1-Real[[#This Row],[05/05/25]])*'Avance 39'!CP29</f>
        <v>0.7</v>
      </c>
    </row>
    <row r="48" spans="2:139" ht="15" hidden="1" customHeight="1" outlineLevel="3" x14ac:dyDescent="0.3">
      <c r="B48" s="29"/>
      <c r="C48" s="30"/>
      <c r="D48" s="30"/>
      <c r="E48" s="52" t="s">
        <v>52</v>
      </c>
      <c r="F48" s="33">
        <v>50</v>
      </c>
      <c r="G48" s="35">
        <v>0.3</v>
      </c>
      <c r="H48" s="162"/>
      <c r="I48" s="127">
        <v>0</v>
      </c>
      <c r="J48" s="127">
        <v>0</v>
      </c>
      <c r="K48" s="127">
        <v>0</v>
      </c>
      <c r="L48" s="127">
        <v>0</v>
      </c>
      <c r="M48" s="128">
        <v>0</v>
      </c>
      <c r="N48" s="128">
        <v>0</v>
      </c>
      <c r="O48" s="127">
        <v>0</v>
      </c>
      <c r="P48" s="127">
        <v>0</v>
      </c>
      <c r="Q48" s="127">
        <v>0</v>
      </c>
      <c r="R48" s="127">
        <v>0</v>
      </c>
      <c r="S48" s="127">
        <v>0</v>
      </c>
      <c r="T48" s="127">
        <v>0</v>
      </c>
      <c r="U48" s="127">
        <v>0</v>
      </c>
      <c r="V48" s="127">
        <v>0</v>
      </c>
      <c r="W48" s="127">
        <v>0</v>
      </c>
      <c r="X48" s="127">
        <v>0</v>
      </c>
      <c r="Y48" s="127">
        <v>0</v>
      </c>
      <c r="Z48" s="127">
        <v>0</v>
      </c>
      <c r="AA48" s="127">
        <v>0</v>
      </c>
      <c r="AB48" s="127">
        <v>0</v>
      </c>
      <c r="AC48" s="127">
        <v>0</v>
      </c>
      <c r="AD48" s="127">
        <v>0</v>
      </c>
      <c r="AE48" s="127">
        <v>0</v>
      </c>
      <c r="AF48" s="127">
        <v>0</v>
      </c>
      <c r="AG48" s="127">
        <v>0</v>
      </c>
      <c r="AH48" s="127">
        <v>0</v>
      </c>
      <c r="AI48" s="127">
        <v>0</v>
      </c>
      <c r="AJ48" s="127">
        <v>0</v>
      </c>
      <c r="AK48" s="127">
        <v>0</v>
      </c>
      <c r="AL48" s="127">
        <v>0</v>
      </c>
      <c r="AM48" s="127">
        <v>0</v>
      </c>
      <c r="AN48" s="127">
        <v>0</v>
      </c>
      <c r="AO48" s="127">
        <v>0</v>
      </c>
      <c r="AP48" s="127">
        <v>0</v>
      </c>
      <c r="AQ48" s="127">
        <v>0</v>
      </c>
      <c r="AR48" s="127">
        <v>0</v>
      </c>
      <c r="AS48" s="127">
        <v>0</v>
      </c>
      <c r="AT48" s="127">
        <v>0</v>
      </c>
      <c r="AU48" s="127">
        <v>0</v>
      </c>
      <c r="AV48" s="127">
        <v>0</v>
      </c>
      <c r="AW48" s="127">
        <v>0</v>
      </c>
      <c r="AX48" s="127">
        <v>0</v>
      </c>
      <c r="AY48" s="127">
        <v>0</v>
      </c>
      <c r="AZ48" s="127">
        <v>0</v>
      </c>
      <c r="BA48" s="127">
        <v>0</v>
      </c>
      <c r="BB48" s="127">
        <f>Real[[#This Row],[05/05/25]]+(1-Real[[#This Row],[05/05/25]])*'Avance 39'!I30</f>
        <v>0</v>
      </c>
      <c r="BC48" s="127">
        <f>Real[[#This Row],[05/05/25]]+(1-Real[[#This Row],[05/05/25]])*'Avance 39'!J30</f>
        <v>0</v>
      </c>
      <c r="BD48" s="127">
        <f>Real[[#This Row],[05/05/25]]+(1-Real[[#This Row],[05/05/25]])*'Avance 39'!K30</f>
        <v>0</v>
      </c>
      <c r="BE48" s="127">
        <f>Real[[#This Row],[05/05/25]]+(1-Real[[#This Row],[05/05/25]])*'Avance 39'!L30</f>
        <v>0</v>
      </c>
      <c r="BF48" s="127">
        <f>Real[[#This Row],[05/05/25]]+(1-Real[[#This Row],[05/05/25]])*'Avance 39'!M30</f>
        <v>7.1180555555555552E-2</v>
      </c>
      <c r="BG48" s="163">
        <f>Real[[#This Row],[05/05/25]]+(1-Real[[#This Row],[05/05/25]])*'Avance 39'!N30</f>
        <v>8.819444444444445E-2</v>
      </c>
      <c r="BH48" s="163">
        <f>Real[[#This Row],[05/05/25]]+(1-Real[[#This Row],[05/05/25]])*'Avance 39'!O30</f>
        <v>0.11770833333333333</v>
      </c>
      <c r="BI48" s="127">
        <f>Real[[#This Row],[05/05/25]]+(1-Real[[#This Row],[05/05/25]])*'Avance 39'!P30</f>
        <v>0.12048611111111113</v>
      </c>
      <c r="BJ48" s="127">
        <f>Real[[#This Row],[05/05/25]]+(1-Real[[#This Row],[05/05/25]])*'Avance 39'!Q30</f>
        <v>0.12187500000000001</v>
      </c>
      <c r="BK48" s="127">
        <f>Real[[#This Row],[05/05/25]]+(1-Real[[#This Row],[05/05/25]])*'Avance 39'!R30</f>
        <v>0.1232638888888889</v>
      </c>
      <c r="BL48" s="127">
        <f>Real[[#This Row],[05/05/25]]+(1-Real[[#This Row],[05/05/25]])*'Avance 39'!S30</f>
        <v>0.12465277777777778</v>
      </c>
      <c r="BM48" s="127">
        <f>Real[[#This Row],[05/05/25]]+(1-Real[[#This Row],[05/05/25]])*'Avance 39'!T30</f>
        <v>0.12465277777777778</v>
      </c>
      <c r="BN48" s="127">
        <f>Real[[#This Row],[05/05/25]]+(1-Real[[#This Row],[05/05/25]])*'Avance 39'!U30</f>
        <v>0.12465277777777778</v>
      </c>
      <c r="BO48" s="127">
        <f>Real[[#This Row],[05/05/25]]+(1-Real[[#This Row],[05/05/25]])*'Avance 39'!V30</f>
        <v>0.12465277777777778</v>
      </c>
      <c r="BP48" s="127">
        <f>Real[[#This Row],[05/05/25]]+(1-Real[[#This Row],[05/05/25]])*'Avance 39'!W30</f>
        <v>0.12465277777777778</v>
      </c>
      <c r="BQ48" s="127">
        <f>Real[[#This Row],[05/05/25]]+(1-Real[[#This Row],[05/05/25]])*'Avance 39'!X30</f>
        <v>0.12465277777777778</v>
      </c>
      <c r="BR48" s="127">
        <f>Real[[#This Row],[05/05/25]]+(1-Real[[#This Row],[05/05/25]])*'Avance 39'!Y30</f>
        <v>0.12465277777777778</v>
      </c>
      <c r="BS48" s="127">
        <f>Real[[#This Row],[05/05/25]]+(1-Real[[#This Row],[05/05/25]])*'Avance 39'!Z30</f>
        <v>0.12465277777777778</v>
      </c>
      <c r="BT48" s="127">
        <f>Real[[#This Row],[05/05/25]]+(1-Real[[#This Row],[05/05/25]])*'Avance 39'!AA30</f>
        <v>0.12465277777777778</v>
      </c>
      <c r="BU48" s="127">
        <f>Real[[#This Row],[05/05/25]]+(1-Real[[#This Row],[05/05/25]])*'Avance 39'!AB30</f>
        <v>0.12465277777777778</v>
      </c>
      <c r="BV48" s="127">
        <f>Real[[#This Row],[05/05/25]]+(1-Real[[#This Row],[05/05/25]])*'Avance 39'!AC30</f>
        <v>0.12465277777777778</v>
      </c>
      <c r="BW48" s="127">
        <f>Real[[#This Row],[05/05/25]]+(1-Real[[#This Row],[05/05/25]])*'Avance 39'!AD30</f>
        <v>0.12465277777777778</v>
      </c>
      <c r="BX48" s="127">
        <f>Real[[#This Row],[05/05/25]]+(1-Real[[#This Row],[05/05/25]])*'Avance 39'!AE30</f>
        <v>0.12465277777777778</v>
      </c>
      <c r="BY48" s="127">
        <f>Real[[#This Row],[05/05/25]]+(1-Real[[#This Row],[05/05/25]])*'Avance 39'!AF30</f>
        <v>0.12465277777777778</v>
      </c>
      <c r="BZ48" s="127">
        <f>Real[[#This Row],[05/05/25]]+(1-Real[[#This Row],[05/05/25]])*'Avance 39'!AG30</f>
        <v>0.12465277777777778</v>
      </c>
      <c r="CA48" s="127">
        <f>Real[[#This Row],[05/05/25]]+(1-Real[[#This Row],[05/05/25]])*'Avance 39'!AH30</f>
        <v>0.12465277777777778</v>
      </c>
      <c r="CB48" s="127">
        <f>Real[[#This Row],[05/05/25]]+(1-Real[[#This Row],[05/05/25]])*'Avance 39'!AI30</f>
        <v>0.12465277777777778</v>
      </c>
      <c r="CC48" s="127">
        <f>Real[[#This Row],[05/05/25]]+(1-Real[[#This Row],[05/05/25]])*'Avance 39'!AJ30</f>
        <v>0.12465277777777778</v>
      </c>
      <c r="CD48" s="127">
        <f>Real[[#This Row],[05/05/25]]+(1-Real[[#This Row],[05/05/25]])*'Avance 39'!AK30</f>
        <v>0.12465277777777778</v>
      </c>
      <c r="CE48" s="127">
        <f>Real[[#This Row],[05/05/25]]+(1-Real[[#This Row],[05/05/25]])*'Avance 39'!AL30</f>
        <v>0.12465277777777778</v>
      </c>
      <c r="CF48" s="127">
        <f>Real[[#This Row],[05/05/25]]+(1-Real[[#This Row],[05/05/25]])*'Avance 39'!AM30</f>
        <v>0.12465277777777778</v>
      </c>
      <c r="CG48" s="127">
        <f>Real[[#This Row],[05/05/25]]+(1-Real[[#This Row],[05/05/25]])*'Avance 39'!AN30</f>
        <v>0.12465277777777778</v>
      </c>
      <c r="CH48" s="127">
        <f>Real[[#This Row],[05/05/25]]+(1-Real[[#This Row],[05/05/25]])*'Avance 39'!AO30</f>
        <v>0.12465277777777778</v>
      </c>
      <c r="CI48" s="127">
        <f>Real[[#This Row],[05/05/25]]+(1-Real[[#This Row],[05/05/25]])*'Avance 39'!AP30</f>
        <v>0.12465277777777778</v>
      </c>
      <c r="CJ48" s="127">
        <f>Real[[#This Row],[05/05/25]]+(1-Real[[#This Row],[05/05/25]])*'Avance 39'!AQ30</f>
        <v>0.12465277777777778</v>
      </c>
      <c r="CK48" s="127">
        <f>Real[[#This Row],[05/05/25]]+(1-Real[[#This Row],[05/05/25]])*'Avance 39'!AR30</f>
        <v>0.12465277777777778</v>
      </c>
      <c r="CL48" s="127">
        <f>Real[[#This Row],[05/05/25]]+(1-Real[[#This Row],[05/05/25]])*'Avance 39'!AS30</f>
        <v>0.12465277777777778</v>
      </c>
      <c r="CM48" s="127">
        <f>Real[[#This Row],[05/05/25]]+(1-Real[[#This Row],[05/05/25]])*'Avance 39'!AT30</f>
        <v>0.12465277777777778</v>
      </c>
      <c r="CN48" s="127">
        <f>Real[[#This Row],[05/05/25]]+(1-Real[[#This Row],[05/05/25]])*'Avance 39'!AU30</f>
        <v>0.12465277777777778</v>
      </c>
      <c r="CO48" s="127">
        <f>Real[[#This Row],[05/05/25]]+(1-Real[[#This Row],[05/05/25]])*'Avance 39'!AV30</f>
        <v>0.12465277777777778</v>
      </c>
      <c r="CP48" s="127">
        <f>Real[[#This Row],[05/05/25]]+(1-Real[[#This Row],[05/05/25]])*'Avance 39'!AW30</f>
        <v>0.12465277777777778</v>
      </c>
      <c r="CQ48" s="127">
        <f>Real[[#This Row],[05/05/25]]+(1-Real[[#This Row],[05/05/25]])*'Avance 39'!AX30</f>
        <v>0.12465277777777778</v>
      </c>
      <c r="CR48" s="127">
        <f>Real[[#This Row],[05/05/25]]+(1-Real[[#This Row],[05/05/25]])*'Avance 39'!AY30</f>
        <v>0.12465277777777778</v>
      </c>
      <c r="CS48" s="127">
        <f>Real[[#This Row],[05/05/25]]+(1-Real[[#This Row],[05/05/25]])*'Avance 39'!AZ30</f>
        <v>0.12465277777777778</v>
      </c>
      <c r="CT48" s="127">
        <f>Real[[#This Row],[05/05/25]]+(1-Real[[#This Row],[05/05/25]])*'Avance 39'!BA30</f>
        <v>0.12465277777777778</v>
      </c>
      <c r="CU48" s="127">
        <f>Real[[#This Row],[05/05/25]]+(1-Real[[#This Row],[05/05/25]])*'Avance 39'!BB30</f>
        <v>0.12465277777777778</v>
      </c>
      <c r="CV48" s="127">
        <f>Real[[#This Row],[05/05/25]]+(1-Real[[#This Row],[05/05/25]])*'Avance 39'!BC30</f>
        <v>0.12465277777777778</v>
      </c>
      <c r="CW48" s="127">
        <f>Real[[#This Row],[05/05/25]]+(1-Real[[#This Row],[05/05/25]])*'Avance 39'!BD30</f>
        <v>0.12465277777777778</v>
      </c>
      <c r="CX48" s="127">
        <f>Real[[#This Row],[05/05/25]]+(1-Real[[#This Row],[05/05/25]])*'Avance 39'!BE30</f>
        <v>0.12465277777777778</v>
      </c>
      <c r="CY48" s="127">
        <f>Real[[#This Row],[05/05/25]]+(1-Real[[#This Row],[05/05/25]])*'Avance 39'!BF30</f>
        <v>0.12465277777777778</v>
      </c>
      <c r="CZ48" s="127">
        <f>Real[[#This Row],[05/05/25]]+(1-Real[[#This Row],[05/05/25]])*'Avance 39'!BG30</f>
        <v>0.12465277777777778</v>
      </c>
      <c r="DA48" s="127">
        <f>Real[[#This Row],[05/05/25]]+(1-Real[[#This Row],[05/05/25]])*'Avance 39'!BH30</f>
        <v>0.12465277777777778</v>
      </c>
      <c r="DB48" s="127">
        <f>Real[[#This Row],[05/05/25]]+(1-Real[[#This Row],[05/05/25]])*'Avance 39'!BI30</f>
        <v>0.12465277777777778</v>
      </c>
      <c r="DC48" s="127">
        <f>Real[[#This Row],[05/05/25]]+(1-Real[[#This Row],[05/05/25]])*'Avance 39'!BJ30</f>
        <v>0.12465277777777778</v>
      </c>
      <c r="DD48" s="127">
        <f>Real[[#This Row],[05/05/25]]+(1-Real[[#This Row],[05/05/25]])*'Avance 39'!BK30</f>
        <v>0.12465277777777778</v>
      </c>
      <c r="DE48" s="127">
        <f>Real[[#This Row],[05/05/25]]+(1-Real[[#This Row],[05/05/25]])*'Avance 39'!BL30</f>
        <v>0.12465277777777778</v>
      </c>
      <c r="DF48" s="127">
        <f>Real[[#This Row],[05/05/25]]+(1-Real[[#This Row],[05/05/25]])*'Avance 39'!BM30</f>
        <v>0.12465277777777778</v>
      </c>
      <c r="DG48" s="127">
        <f>Real[[#This Row],[05/05/25]]+(1-Real[[#This Row],[05/05/25]])*'Avance 39'!BN30</f>
        <v>0.12465277777777778</v>
      </c>
      <c r="DH48" s="127">
        <f>Real[[#This Row],[05/05/25]]+(1-Real[[#This Row],[05/05/25]])*'Avance 39'!BO30</f>
        <v>0.12465277777777778</v>
      </c>
      <c r="DI48" s="127">
        <f>Real[[#This Row],[05/05/25]]+(1-Real[[#This Row],[05/05/25]])*'Avance 39'!BP30</f>
        <v>0.12465277777777778</v>
      </c>
      <c r="DJ48" s="127">
        <f>Real[[#This Row],[05/05/25]]+(1-Real[[#This Row],[05/05/25]])*'Avance 39'!BQ30</f>
        <v>0.12465277777777778</v>
      </c>
      <c r="DK48" s="127">
        <f>Real[[#This Row],[05/05/25]]+(1-Real[[#This Row],[05/05/25]])*'Avance 39'!BR30</f>
        <v>0.12465277777777778</v>
      </c>
      <c r="DL48" s="127">
        <f>Real[[#This Row],[05/05/25]]+(1-Real[[#This Row],[05/05/25]])*'Avance 39'!BS30</f>
        <v>0.12465277777777778</v>
      </c>
      <c r="DM48" s="127">
        <f>Real[[#This Row],[05/05/25]]+(1-Real[[#This Row],[05/05/25]])*'Avance 39'!BT30</f>
        <v>0.12465277777777778</v>
      </c>
      <c r="DN48" s="127">
        <f>Real[[#This Row],[05/05/25]]+(1-Real[[#This Row],[05/05/25]])*'Avance 39'!BU30</f>
        <v>0.12465277777777778</v>
      </c>
      <c r="DO48" s="127">
        <f>Real[[#This Row],[05/05/25]]+(1-Real[[#This Row],[05/05/25]])*'Avance 39'!BV30</f>
        <v>0.12465277777777778</v>
      </c>
      <c r="DP48" s="127">
        <f>Real[[#This Row],[05/05/25]]+(1-Real[[#This Row],[05/05/25]])*'Avance 39'!BW30</f>
        <v>0.12465277777777778</v>
      </c>
      <c r="DQ48" s="127">
        <f>Real[[#This Row],[05/05/25]]+(1-Real[[#This Row],[05/05/25]])*'Avance 39'!BX30</f>
        <v>0.12465277777777778</v>
      </c>
      <c r="DR48" s="127">
        <f>Real[[#This Row],[05/05/25]]+(1-Real[[#This Row],[05/05/25]])*'Avance 39'!BY30</f>
        <v>0.12465277777777778</v>
      </c>
      <c r="DS48" s="127">
        <f>Real[[#This Row],[05/05/25]]+(1-Real[[#This Row],[05/05/25]])*'Avance 39'!BZ30</f>
        <v>0.12465277777777778</v>
      </c>
      <c r="DT48" s="127">
        <f>Real[[#This Row],[05/05/25]]+(1-Real[[#This Row],[05/05/25]])*'Avance 39'!CA30</f>
        <v>0.12465277777777778</v>
      </c>
      <c r="DU48" s="127">
        <f>Real[[#This Row],[05/05/25]]+(1-Real[[#This Row],[05/05/25]])*'Avance 39'!CB30</f>
        <v>0.12465277777777778</v>
      </c>
      <c r="DV48" s="127">
        <f>Real[[#This Row],[05/05/25]]+(1-Real[[#This Row],[05/05/25]])*'Avance 39'!CC30</f>
        <v>0.12465277777777778</v>
      </c>
      <c r="DW48" s="127">
        <f>Real[[#This Row],[05/05/25]]+(1-Real[[#This Row],[05/05/25]])*'Avance 39'!CD30</f>
        <v>0.12465277777777778</v>
      </c>
      <c r="DX48" s="127">
        <f>Real[[#This Row],[05/05/25]]+(1-Real[[#This Row],[05/05/25]])*'Avance 39'!CE30</f>
        <v>0.12465277777777778</v>
      </c>
      <c r="DY48" s="127">
        <f>Real[[#This Row],[05/05/25]]+(1-Real[[#This Row],[05/05/25]])*'Avance 39'!CF30</f>
        <v>0.12465277777777778</v>
      </c>
      <c r="DZ48" s="127">
        <f>Real[[#This Row],[05/05/25]]+(1-Real[[#This Row],[05/05/25]])*'Avance 39'!CG30</f>
        <v>0.12465277777777778</v>
      </c>
      <c r="EA48" s="127">
        <f>Real[[#This Row],[05/05/25]]+(1-Real[[#This Row],[05/05/25]])*'Avance 39'!CH30</f>
        <v>0.12465277777777778</v>
      </c>
      <c r="EB48" s="127">
        <f>Real[[#This Row],[05/05/25]]+(1-Real[[#This Row],[05/05/25]])*'Avance 39'!CI30</f>
        <v>0.12465277777777778</v>
      </c>
      <c r="EC48" s="127">
        <f>Real[[#This Row],[05/05/25]]+(1-Real[[#This Row],[05/05/25]])*'Avance 39'!CJ30</f>
        <v>0.12465277777777778</v>
      </c>
      <c r="ED48" s="127">
        <f>Real[[#This Row],[05/05/25]]+(1-Real[[#This Row],[05/05/25]])*'Avance 39'!CK30</f>
        <v>0.12465277777777778</v>
      </c>
      <c r="EE48" s="127">
        <f>Real[[#This Row],[05/05/25]]+(1-Real[[#This Row],[05/05/25]])*'Avance 39'!CL30</f>
        <v>0.12465277777777778</v>
      </c>
      <c r="EF48" s="127">
        <f>Real[[#This Row],[05/05/25]]+(1-Real[[#This Row],[05/05/25]])*'Avance 39'!CM30</f>
        <v>0.12465277777777778</v>
      </c>
      <c r="EG48" s="127">
        <f>Real[[#This Row],[05/05/25]]+(1-Real[[#This Row],[05/05/25]])*'Avance 39'!CN30</f>
        <v>0.12465277777777778</v>
      </c>
      <c r="EH48" s="127">
        <f>Real[[#This Row],[05/05/25]]+(1-Real[[#This Row],[05/05/25]])*'Avance 39'!CO30</f>
        <v>0.12465277777777778</v>
      </c>
      <c r="EI48" s="127">
        <f>Real[[#This Row],[05/05/25]]+(1-Real[[#This Row],[05/05/25]])*'Avance 39'!CP30</f>
        <v>0.12465277777777778</v>
      </c>
    </row>
    <row r="49" spans="2:139" ht="15" outlineLevel="2" collapsed="1" x14ac:dyDescent="0.3">
      <c r="B49" s="22"/>
      <c r="C49" s="23"/>
      <c r="D49" s="23" t="s">
        <v>53</v>
      </c>
      <c r="E49" s="50"/>
      <c r="F49" s="26">
        <f>+SUM(F50:F58)</f>
        <v>140</v>
      </c>
      <c r="G49" s="28">
        <v>7.2801604358898139E-2</v>
      </c>
      <c r="H49" s="160"/>
      <c r="I49" s="28">
        <f t="shared" ref="I49:BD49" si="424">+SUMPRODUCT($G$50:$G$58,I50:I58)</f>
        <v>0</v>
      </c>
      <c r="J49" s="28">
        <f t="shared" si="424"/>
        <v>8.9782244556113901E-5</v>
      </c>
      <c r="K49" s="28">
        <f t="shared" si="424"/>
        <v>3.4065493765947249E-4</v>
      </c>
      <c r="L49" s="28">
        <f t="shared" si="424"/>
        <v>6.0837761026313287E-3</v>
      </c>
      <c r="M49" s="28">
        <f t="shared" si="424"/>
        <v>1.2120013402601904E-2</v>
      </c>
      <c r="N49" s="28">
        <f t="shared" si="424"/>
        <v>1.5307135681225575E-2</v>
      </c>
      <c r="O49" s="28">
        <f t="shared" si="424"/>
        <v>2.4156681436018766E-2</v>
      </c>
      <c r="P49" s="28">
        <f t="shared" si="424"/>
        <v>4.8951612654904886E-2</v>
      </c>
      <c r="Q49" s="28">
        <f t="shared" si="424"/>
        <v>0.15163488702576583</v>
      </c>
      <c r="R49" s="28">
        <f t="shared" si="424"/>
        <v>0.2055589098931892</v>
      </c>
      <c r="S49" s="28">
        <f t="shared" si="424"/>
        <v>0.26087559116829201</v>
      </c>
      <c r="T49" s="28">
        <f t="shared" si="424"/>
        <v>0.31279123912400825</v>
      </c>
      <c r="U49" s="28">
        <f t="shared" si="424"/>
        <v>0.33992570845934994</v>
      </c>
      <c r="V49" s="28">
        <f t="shared" si="424"/>
        <v>0.38116119647991809</v>
      </c>
      <c r="W49" s="28">
        <f t="shared" si="424"/>
        <v>0.43943596969782961</v>
      </c>
      <c r="X49" s="28">
        <f t="shared" si="424"/>
        <v>0.49184367795914996</v>
      </c>
      <c r="Y49" s="28">
        <f t="shared" si="424"/>
        <v>0.54979051515237509</v>
      </c>
      <c r="Z49" s="28">
        <f t="shared" si="424"/>
        <v>0.6246579672111271</v>
      </c>
      <c r="AA49" s="28">
        <f t="shared" si="424"/>
        <v>0.67362614902930895</v>
      </c>
      <c r="AB49" s="28">
        <f t="shared" si="424"/>
        <v>0.75934528064396301</v>
      </c>
      <c r="AC49" s="28">
        <f t="shared" si="424"/>
        <v>0.79155546246214492</v>
      </c>
      <c r="AD49" s="28">
        <f t="shared" si="424"/>
        <v>0.81814528064396297</v>
      </c>
      <c r="AE49" s="28">
        <f t="shared" si="424"/>
        <v>0.8649675</v>
      </c>
      <c r="AF49" s="28">
        <f t="shared" si="424"/>
        <v>0.8649675</v>
      </c>
      <c r="AG49" s="28">
        <f t="shared" si="424"/>
        <v>0.86764750000000002</v>
      </c>
      <c r="AH49" s="28">
        <f t="shared" si="424"/>
        <v>0.87552000000000008</v>
      </c>
      <c r="AI49" s="28">
        <f t="shared" si="424"/>
        <v>0.87552000000000008</v>
      </c>
      <c r="AJ49" s="28">
        <f t="shared" si="424"/>
        <v>0.87552000000000008</v>
      </c>
      <c r="AK49" s="28">
        <f t="shared" si="424"/>
        <v>0.91678999999999999</v>
      </c>
      <c r="AL49" s="28">
        <f t="shared" si="424"/>
        <v>0.98980181818181823</v>
      </c>
      <c r="AM49" s="28">
        <f t="shared" si="424"/>
        <v>0.98980181818181823</v>
      </c>
      <c r="AN49" s="28">
        <f t="shared" si="424"/>
        <v>0.99114181818181812</v>
      </c>
      <c r="AO49" s="28">
        <f t="shared" si="424"/>
        <v>0.99446363636363633</v>
      </c>
      <c r="AP49" s="28">
        <f t="shared" si="424"/>
        <v>0.99446363636363633</v>
      </c>
      <c r="AQ49" s="28">
        <f t="shared" si="424"/>
        <v>0.99778545454545453</v>
      </c>
      <c r="AR49" s="28">
        <f t="shared" si="424"/>
        <v>1</v>
      </c>
      <c r="AS49" s="28">
        <f t="shared" si="424"/>
        <v>1</v>
      </c>
      <c r="AT49" s="28">
        <f t="shared" si="424"/>
        <v>1</v>
      </c>
      <c r="AU49" s="28">
        <f t="shared" si="424"/>
        <v>1</v>
      </c>
      <c r="AV49" s="28">
        <f t="shared" si="424"/>
        <v>1</v>
      </c>
      <c r="AW49" s="28">
        <f t="shared" si="424"/>
        <v>1</v>
      </c>
      <c r="AX49" s="28">
        <f t="shared" si="424"/>
        <v>1</v>
      </c>
      <c r="AY49" s="28">
        <f t="shared" si="424"/>
        <v>1</v>
      </c>
      <c r="AZ49" s="28">
        <f t="shared" si="424"/>
        <v>1</v>
      </c>
      <c r="BA49" s="28">
        <f t="shared" si="424"/>
        <v>1</v>
      </c>
      <c r="BB49" s="28">
        <f t="shared" si="424"/>
        <v>1</v>
      </c>
      <c r="BC49" s="28">
        <f t="shared" si="424"/>
        <v>1</v>
      </c>
      <c r="BD49" s="28">
        <f t="shared" si="424"/>
        <v>1</v>
      </c>
      <c r="BE49" s="28">
        <f t="shared" ref="BE49:BF49" si="425">+SUMPRODUCT($G$50:$G$58,BE50:BE58)</f>
        <v>1</v>
      </c>
      <c r="BF49" s="28">
        <f t="shared" si="425"/>
        <v>1</v>
      </c>
      <c r="BG49" s="161">
        <f t="shared" ref="BG49:BH49" si="426">+SUMPRODUCT($G$50:$G$58,BG50:BG58)</f>
        <v>1</v>
      </c>
      <c r="BH49" s="161">
        <f t="shared" si="426"/>
        <v>1</v>
      </c>
      <c r="BI49" s="28">
        <f t="shared" ref="BI49:BJ49" si="427">+SUMPRODUCT($G$50:$G$58,BI50:BI58)</f>
        <v>1</v>
      </c>
      <c r="BJ49" s="28">
        <f t="shared" si="427"/>
        <v>1</v>
      </c>
      <c r="BK49" s="28">
        <f t="shared" ref="BK49:BL49" si="428">+SUMPRODUCT($G$50:$G$58,BK50:BK58)</f>
        <v>1</v>
      </c>
      <c r="BL49" s="28">
        <f t="shared" si="428"/>
        <v>1</v>
      </c>
      <c r="BM49" s="28">
        <f t="shared" ref="BM49:BN49" si="429">+SUMPRODUCT($G$50:$G$58,BM50:BM58)</f>
        <v>1</v>
      </c>
      <c r="BN49" s="28">
        <f t="shared" si="429"/>
        <v>1</v>
      </c>
      <c r="BO49" s="28">
        <f t="shared" ref="BO49:BP49" si="430">+SUMPRODUCT($G$50:$G$58,BO50:BO58)</f>
        <v>1</v>
      </c>
      <c r="BP49" s="28">
        <f t="shared" si="430"/>
        <v>1</v>
      </c>
      <c r="BQ49" s="28">
        <f t="shared" ref="BQ49:BR49" si="431">+SUMPRODUCT($G$50:$G$58,BQ50:BQ58)</f>
        <v>1</v>
      </c>
      <c r="BR49" s="28">
        <f t="shared" si="431"/>
        <v>1</v>
      </c>
      <c r="BS49" s="28">
        <f t="shared" ref="BS49:BT49" si="432">+SUMPRODUCT($G$50:$G$58,BS50:BS58)</f>
        <v>1</v>
      </c>
      <c r="BT49" s="28">
        <f t="shared" si="432"/>
        <v>1</v>
      </c>
      <c r="BU49" s="28">
        <f t="shared" ref="BU49:BV49" si="433">+SUMPRODUCT($G$50:$G$58,BU50:BU58)</f>
        <v>1</v>
      </c>
      <c r="BV49" s="28">
        <f t="shared" si="433"/>
        <v>1</v>
      </c>
      <c r="BW49" s="28">
        <f t="shared" ref="BW49:BX49" si="434">+SUMPRODUCT($G$50:$G$58,BW50:BW58)</f>
        <v>1</v>
      </c>
      <c r="BX49" s="28">
        <f t="shared" si="434"/>
        <v>1</v>
      </c>
      <c r="BY49" s="28">
        <f t="shared" ref="BY49:BZ49" si="435">+SUMPRODUCT($G$50:$G$58,BY50:BY58)</f>
        <v>1</v>
      </c>
      <c r="BZ49" s="28">
        <f t="shared" si="435"/>
        <v>1</v>
      </c>
      <c r="CA49" s="28">
        <f t="shared" ref="CA49:CB49" si="436">+SUMPRODUCT($G$50:$G$58,CA50:CA58)</f>
        <v>1</v>
      </c>
      <c r="CB49" s="28">
        <f t="shared" si="436"/>
        <v>1</v>
      </c>
      <c r="CC49" s="28">
        <f t="shared" ref="CC49:CD49" si="437">+SUMPRODUCT($G$50:$G$58,CC50:CC58)</f>
        <v>1</v>
      </c>
      <c r="CD49" s="28">
        <f t="shared" si="437"/>
        <v>1</v>
      </c>
      <c r="CE49" s="28">
        <f t="shared" ref="CE49" si="438">+SUMPRODUCT($G$50:$G$58,CE50:CE58)</f>
        <v>1</v>
      </c>
      <c r="CF49" s="28">
        <f t="shared" ref="CF49" si="439">+SUMPRODUCT($G$50:$G$58,CF50:CF58)</f>
        <v>1</v>
      </c>
      <c r="CG49" s="28">
        <f t="shared" ref="CG49" si="440">+SUMPRODUCT($G$50:$G$58,CG50:CG58)</f>
        <v>1</v>
      </c>
      <c r="CH49" s="28">
        <f t="shared" ref="CH49" si="441">+SUMPRODUCT($G$50:$G$58,CH50:CH58)</f>
        <v>1</v>
      </c>
      <c r="CI49" s="28">
        <f t="shared" ref="CI49" si="442">+SUMPRODUCT($G$50:$G$58,CI50:CI58)</f>
        <v>1</v>
      </c>
      <c r="CJ49" s="28">
        <f t="shared" ref="CJ49:CK49" si="443">+SUMPRODUCT($G$50:$G$58,CJ50:CJ58)</f>
        <v>1</v>
      </c>
      <c r="CK49" s="28">
        <f t="shared" si="443"/>
        <v>1</v>
      </c>
      <c r="CL49" s="28">
        <f t="shared" ref="CL49:CV49" si="444">+SUMPRODUCT($G$50:$G$58,CL50:CL58)</f>
        <v>1</v>
      </c>
      <c r="CM49" s="28">
        <f t="shared" si="444"/>
        <v>1</v>
      </c>
      <c r="CN49" s="28">
        <f t="shared" si="444"/>
        <v>1</v>
      </c>
      <c r="CO49" s="28">
        <f t="shared" si="444"/>
        <v>1</v>
      </c>
      <c r="CP49" s="28">
        <f t="shared" si="444"/>
        <v>1</v>
      </c>
      <c r="CQ49" s="28">
        <f t="shared" si="444"/>
        <v>1</v>
      </c>
      <c r="CR49" s="28">
        <f t="shared" si="444"/>
        <v>1</v>
      </c>
      <c r="CS49" s="28">
        <f t="shared" si="444"/>
        <v>1</v>
      </c>
      <c r="CT49" s="28">
        <f t="shared" si="444"/>
        <v>1</v>
      </c>
      <c r="CU49" s="28">
        <f t="shared" si="444"/>
        <v>1</v>
      </c>
      <c r="CV49" s="28">
        <f t="shared" si="444"/>
        <v>1</v>
      </c>
      <c r="CW49" s="28">
        <f t="shared" ref="CW49" si="445">+SUMPRODUCT($G$50:$G$58,CW50:CW58)</f>
        <v>1</v>
      </c>
      <c r="CX49" s="28">
        <f t="shared" ref="CX49:CY49" si="446">+SUMPRODUCT($G$50:$G$58,CX50:CX58)</f>
        <v>1</v>
      </c>
      <c r="CY49" s="28">
        <f t="shared" si="446"/>
        <v>1</v>
      </c>
      <c r="CZ49" s="28">
        <f t="shared" ref="CZ49:DA49" si="447">+SUMPRODUCT($G$50:$G$58,CZ50:CZ58)</f>
        <v>1</v>
      </c>
      <c r="DA49" s="28">
        <f t="shared" si="447"/>
        <v>1</v>
      </c>
      <c r="DB49" s="28">
        <f t="shared" ref="DB49:DC49" si="448">+SUMPRODUCT($G$50:$G$58,DB50:DB58)</f>
        <v>1</v>
      </c>
      <c r="DC49" s="28">
        <f t="shared" si="448"/>
        <v>1</v>
      </c>
      <c r="DD49" s="28">
        <f t="shared" ref="DD49:DE49" si="449">+SUMPRODUCT($G$50:$G$58,DD50:DD58)</f>
        <v>1</v>
      </c>
      <c r="DE49" s="28">
        <f t="shared" si="449"/>
        <v>1</v>
      </c>
      <c r="DF49" s="28">
        <f t="shared" ref="DF49" si="450">+SUMPRODUCT($G$50:$G$58,DF50:DF58)</f>
        <v>1</v>
      </c>
      <c r="DG49" s="28">
        <f t="shared" ref="DG49:EI49" si="451">+SUMPRODUCT($G$50:$G$58,DG50:DG58)</f>
        <v>1</v>
      </c>
      <c r="DH49" s="28">
        <f t="shared" si="451"/>
        <v>1</v>
      </c>
      <c r="DI49" s="28">
        <f t="shared" si="451"/>
        <v>1</v>
      </c>
      <c r="DJ49" s="28">
        <f t="shared" si="451"/>
        <v>1</v>
      </c>
      <c r="DK49" s="28">
        <f t="shared" si="451"/>
        <v>1</v>
      </c>
      <c r="DL49" s="28">
        <f t="shared" si="451"/>
        <v>1</v>
      </c>
      <c r="DM49" s="28">
        <f t="shared" si="451"/>
        <v>1</v>
      </c>
      <c r="DN49" s="28">
        <f t="shared" si="451"/>
        <v>1</v>
      </c>
      <c r="DO49" s="28">
        <f t="shared" si="451"/>
        <v>1</v>
      </c>
      <c r="DP49" s="28">
        <f t="shared" si="451"/>
        <v>1</v>
      </c>
      <c r="DQ49" s="28">
        <f t="shared" si="451"/>
        <v>1</v>
      </c>
      <c r="DR49" s="28">
        <f t="shared" si="451"/>
        <v>1</v>
      </c>
      <c r="DS49" s="28">
        <f t="shared" si="451"/>
        <v>1</v>
      </c>
      <c r="DT49" s="28">
        <f t="shared" si="451"/>
        <v>1</v>
      </c>
      <c r="DU49" s="28">
        <f t="shared" si="451"/>
        <v>1</v>
      </c>
      <c r="DV49" s="28">
        <f t="shared" si="451"/>
        <v>1</v>
      </c>
      <c r="DW49" s="28">
        <f t="shared" si="451"/>
        <v>1</v>
      </c>
      <c r="DX49" s="28">
        <f t="shared" si="451"/>
        <v>1</v>
      </c>
      <c r="DY49" s="28">
        <f t="shared" si="451"/>
        <v>1</v>
      </c>
      <c r="DZ49" s="28">
        <f t="shared" si="451"/>
        <v>1</v>
      </c>
      <c r="EA49" s="28">
        <f t="shared" si="451"/>
        <v>1</v>
      </c>
      <c r="EB49" s="28">
        <f t="shared" si="451"/>
        <v>1</v>
      </c>
      <c r="EC49" s="28">
        <f t="shared" si="451"/>
        <v>1</v>
      </c>
      <c r="ED49" s="28">
        <f t="shared" si="451"/>
        <v>1</v>
      </c>
      <c r="EE49" s="28">
        <f t="shared" si="451"/>
        <v>1</v>
      </c>
      <c r="EF49" s="28">
        <f t="shared" si="451"/>
        <v>1</v>
      </c>
      <c r="EG49" s="28">
        <f t="shared" si="451"/>
        <v>1</v>
      </c>
      <c r="EH49" s="28">
        <f t="shared" si="451"/>
        <v>1</v>
      </c>
      <c r="EI49" s="28">
        <f t="shared" si="451"/>
        <v>1</v>
      </c>
    </row>
    <row r="50" spans="2:139" ht="15" hidden="1" customHeight="1" outlineLevel="3" x14ac:dyDescent="0.3">
      <c r="B50" s="29"/>
      <c r="C50" s="30"/>
      <c r="D50" s="30"/>
      <c r="E50" s="52" t="s">
        <v>54</v>
      </c>
      <c r="F50" s="33">
        <v>10</v>
      </c>
      <c r="G50" s="35">
        <v>0.13300000000000001</v>
      </c>
      <c r="H50" s="162"/>
      <c r="I50" s="127">
        <v>0</v>
      </c>
      <c r="J50" s="127">
        <v>0</v>
      </c>
      <c r="K50" s="127">
        <v>0</v>
      </c>
      <c r="L50" s="127">
        <v>0</v>
      </c>
      <c r="M50" s="127">
        <v>0</v>
      </c>
      <c r="N50" s="127">
        <v>0</v>
      </c>
      <c r="O50" s="127">
        <v>0</v>
      </c>
      <c r="P50" s="127">
        <v>1.865671641791045E-2</v>
      </c>
      <c r="Q50" s="127">
        <v>3.7313432835820899E-2</v>
      </c>
      <c r="R50" s="127">
        <v>5.5970149253731345E-2</v>
      </c>
      <c r="S50" s="127">
        <v>7.4626865671641798E-2</v>
      </c>
      <c r="T50" s="127">
        <v>9.3283582089552244E-2</v>
      </c>
      <c r="U50" s="127">
        <v>0.11194029850746269</v>
      </c>
      <c r="V50" s="127">
        <v>0.13059701492537312</v>
      </c>
      <c r="W50" s="127">
        <v>0.13059701492537312</v>
      </c>
      <c r="X50" s="127">
        <v>0.13059701492537312</v>
      </c>
      <c r="Y50" s="127">
        <v>0.13059701492537312</v>
      </c>
      <c r="Z50" s="127">
        <v>0.44402985074626866</v>
      </c>
      <c r="AA50" s="127">
        <v>0.59402985074626868</v>
      </c>
      <c r="AB50" s="127">
        <v>0.90671641791044788</v>
      </c>
      <c r="AC50" s="127">
        <v>0.90671641791044788</v>
      </c>
      <c r="AD50" s="127">
        <v>0.90671641791044788</v>
      </c>
      <c r="AE50" s="127">
        <v>1</v>
      </c>
      <c r="AF50" s="127">
        <v>1</v>
      </c>
      <c r="AG50" s="127">
        <v>1</v>
      </c>
      <c r="AH50" s="127">
        <v>1</v>
      </c>
      <c r="AI50" s="127">
        <v>1</v>
      </c>
      <c r="AJ50" s="127">
        <v>1</v>
      </c>
      <c r="AK50" s="127">
        <v>1</v>
      </c>
      <c r="AL50" s="127">
        <v>1</v>
      </c>
      <c r="AM50" s="127">
        <v>1</v>
      </c>
      <c r="AN50" s="127">
        <v>1</v>
      </c>
      <c r="AO50" s="127">
        <v>1</v>
      </c>
      <c r="AP50" s="127">
        <v>1</v>
      </c>
      <c r="AQ50" s="127">
        <v>1</v>
      </c>
      <c r="AR50" s="127">
        <v>1</v>
      </c>
      <c r="AS50" s="127">
        <v>1</v>
      </c>
      <c r="AT50" s="127">
        <v>1</v>
      </c>
      <c r="AU50" s="127">
        <v>1</v>
      </c>
      <c r="AV50" s="127">
        <v>1</v>
      </c>
      <c r="AW50" s="127">
        <v>1</v>
      </c>
      <c r="AX50" s="127">
        <v>1</v>
      </c>
      <c r="AY50" s="127">
        <v>1</v>
      </c>
      <c r="AZ50" s="127">
        <v>1</v>
      </c>
      <c r="BA50" s="127">
        <v>1</v>
      </c>
      <c r="BB50" s="127">
        <v>1</v>
      </c>
      <c r="BC50" s="127">
        <v>1</v>
      </c>
      <c r="BD50" s="127">
        <v>1</v>
      </c>
      <c r="BE50" s="127">
        <v>1</v>
      </c>
      <c r="BF50" s="127">
        <v>1</v>
      </c>
      <c r="BG50" s="163">
        <v>1</v>
      </c>
      <c r="BH50" s="163">
        <v>1</v>
      </c>
      <c r="BI50" s="127">
        <v>1</v>
      </c>
      <c r="BJ50" s="127">
        <v>1</v>
      </c>
      <c r="BK50" s="127">
        <v>1</v>
      </c>
      <c r="BL50" s="127">
        <v>1</v>
      </c>
      <c r="BM50" s="127">
        <v>1</v>
      </c>
      <c r="BN50" s="127">
        <v>1</v>
      </c>
      <c r="BO50" s="127">
        <v>1</v>
      </c>
      <c r="BP50" s="127">
        <v>1</v>
      </c>
      <c r="BQ50" s="127">
        <v>1</v>
      </c>
      <c r="BR50" s="127">
        <v>1</v>
      </c>
      <c r="BS50" s="127">
        <v>1</v>
      </c>
      <c r="BT50" s="127">
        <v>1</v>
      </c>
      <c r="BU50" s="127">
        <v>1</v>
      </c>
      <c r="BV50" s="127">
        <v>1</v>
      </c>
      <c r="BW50" s="127">
        <v>1</v>
      </c>
      <c r="BX50" s="127">
        <v>1</v>
      </c>
      <c r="BY50" s="127">
        <v>1</v>
      </c>
      <c r="BZ50" s="127">
        <v>1</v>
      </c>
      <c r="CA50" s="127">
        <v>1</v>
      </c>
      <c r="CB50" s="127">
        <v>1</v>
      </c>
      <c r="CC50" s="127">
        <v>1</v>
      </c>
      <c r="CD50" s="127">
        <v>1</v>
      </c>
      <c r="CE50" s="127">
        <v>1</v>
      </c>
      <c r="CF50" s="127">
        <v>1</v>
      </c>
      <c r="CG50" s="127">
        <v>1</v>
      </c>
      <c r="CH50" s="127">
        <v>1</v>
      </c>
      <c r="CI50" s="127">
        <v>1</v>
      </c>
      <c r="CJ50" s="127">
        <v>1</v>
      </c>
      <c r="CK50" s="127">
        <v>1</v>
      </c>
      <c r="CL50" s="127">
        <v>1</v>
      </c>
      <c r="CM50" s="127">
        <v>1</v>
      </c>
      <c r="CN50" s="127">
        <v>1</v>
      </c>
      <c r="CO50" s="127">
        <v>1</v>
      </c>
      <c r="CP50" s="127">
        <v>1</v>
      </c>
      <c r="CQ50" s="127">
        <v>1</v>
      </c>
      <c r="CR50" s="127">
        <v>1</v>
      </c>
      <c r="CS50" s="127">
        <v>1</v>
      </c>
      <c r="CT50" s="127">
        <v>1</v>
      </c>
      <c r="CU50" s="127">
        <v>1</v>
      </c>
      <c r="CV50" s="127">
        <v>1</v>
      </c>
      <c r="CW50" s="127">
        <v>1</v>
      </c>
      <c r="CX50" s="127">
        <v>1</v>
      </c>
      <c r="CY50" s="127">
        <v>1</v>
      </c>
      <c r="CZ50" s="127">
        <v>1</v>
      </c>
      <c r="DA50" s="127">
        <v>1</v>
      </c>
      <c r="DB50" s="127">
        <v>1</v>
      </c>
      <c r="DC50" s="127">
        <v>1</v>
      </c>
      <c r="DD50" s="127">
        <v>1</v>
      </c>
      <c r="DE50" s="127">
        <v>1</v>
      </c>
      <c r="DF50" s="127">
        <v>1</v>
      </c>
      <c r="DG50" s="127">
        <v>1</v>
      </c>
      <c r="DH50" s="127">
        <v>1</v>
      </c>
      <c r="DI50" s="127">
        <v>1</v>
      </c>
      <c r="DJ50" s="127">
        <v>1</v>
      </c>
      <c r="DK50" s="127">
        <v>1</v>
      </c>
      <c r="DL50" s="127">
        <v>1</v>
      </c>
      <c r="DM50" s="127">
        <v>1</v>
      </c>
      <c r="DN50" s="127">
        <v>1</v>
      </c>
      <c r="DO50" s="127">
        <v>1</v>
      </c>
      <c r="DP50" s="127">
        <v>1</v>
      </c>
      <c r="DQ50" s="127">
        <v>1</v>
      </c>
      <c r="DR50" s="127">
        <v>1</v>
      </c>
      <c r="DS50" s="127">
        <v>1</v>
      </c>
      <c r="DT50" s="127">
        <v>1</v>
      </c>
      <c r="DU50" s="127">
        <v>1</v>
      </c>
      <c r="DV50" s="127">
        <v>1</v>
      </c>
      <c r="DW50" s="127">
        <v>1</v>
      </c>
      <c r="DX50" s="127">
        <v>1</v>
      </c>
      <c r="DY50" s="127">
        <v>1</v>
      </c>
      <c r="DZ50" s="127">
        <v>1</v>
      </c>
      <c r="EA50" s="127">
        <v>1</v>
      </c>
      <c r="EB50" s="127">
        <v>1</v>
      </c>
      <c r="EC50" s="127">
        <v>1</v>
      </c>
      <c r="ED50" s="127">
        <v>1</v>
      </c>
      <c r="EE50" s="127">
        <v>1</v>
      </c>
      <c r="EF50" s="127">
        <v>1</v>
      </c>
      <c r="EG50" s="127">
        <v>1</v>
      </c>
      <c r="EH50" s="127">
        <v>1</v>
      </c>
      <c r="EI50" s="127">
        <v>1</v>
      </c>
    </row>
    <row r="51" spans="2:139" ht="28.95" hidden="1" customHeight="1" outlineLevel="3" x14ac:dyDescent="0.3">
      <c r="B51" s="29"/>
      <c r="C51" s="30"/>
      <c r="D51" s="30"/>
      <c r="E51" s="52" t="s">
        <v>55</v>
      </c>
      <c r="F51" s="33">
        <v>20</v>
      </c>
      <c r="G51" s="35">
        <v>6.7000000000000004E-2</v>
      </c>
      <c r="H51" s="162"/>
      <c r="I51" s="127">
        <v>0</v>
      </c>
      <c r="J51" s="127">
        <v>0</v>
      </c>
      <c r="K51" s="127">
        <v>0</v>
      </c>
      <c r="L51" s="127">
        <v>0</v>
      </c>
      <c r="M51" s="127">
        <v>0</v>
      </c>
      <c r="N51" s="127">
        <v>0</v>
      </c>
      <c r="O51" s="127">
        <v>0</v>
      </c>
      <c r="P51" s="127">
        <v>2.5000000000000001E-2</v>
      </c>
      <c r="Q51" s="127">
        <v>0.282258064516129</v>
      </c>
      <c r="R51" s="127">
        <v>0.29435483870967744</v>
      </c>
      <c r="S51" s="127">
        <v>0.30645161290322581</v>
      </c>
      <c r="T51" s="127">
        <v>0.44354838709677419</v>
      </c>
      <c r="U51" s="127">
        <v>0.58064516129032251</v>
      </c>
      <c r="V51" s="127">
        <v>0.842741935483871</v>
      </c>
      <c r="W51" s="127">
        <v>1</v>
      </c>
      <c r="X51" s="127">
        <v>1</v>
      </c>
      <c r="Y51" s="127">
        <v>1</v>
      </c>
      <c r="Z51" s="127">
        <v>1</v>
      </c>
      <c r="AA51" s="127">
        <v>1</v>
      </c>
      <c r="AB51" s="127">
        <v>1</v>
      </c>
      <c r="AC51" s="127">
        <v>1</v>
      </c>
      <c r="AD51" s="127">
        <v>1</v>
      </c>
      <c r="AE51" s="127">
        <v>1</v>
      </c>
      <c r="AF51" s="127">
        <v>1</v>
      </c>
      <c r="AG51" s="127">
        <v>1</v>
      </c>
      <c r="AH51" s="127">
        <v>1</v>
      </c>
      <c r="AI51" s="127">
        <v>1</v>
      </c>
      <c r="AJ51" s="127">
        <v>1</v>
      </c>
      <c r="AK51" s="127">
        <v>1</v>
      </c>
      <c r="AL51" s="127">
        <v>1</v>
      </c>
      <c r="AM51" s="127">
        <v>1</v>
      </c>
      <c r="AN51" s="127">
        <v>1</v>
      </c>
      <c r="AO51" s="127">
        <v>1</v>
      </c>
      <c r="AP51" s="127">
        <v>1</v>
      </c>
      <c r="AQ51" s="127">
        <v>1</v>
      </c>
      <c r="AR51" s="127">
        <v>1</v>
      </c>
      <c r="AS51" s="127">
        <v>1</v>
      </c>
      <c r="AT51" s="127">
        <v>1</v>
      </c>
      <c r="AU51" s="127">
        <v>1</v>
      </c>
      <c r="AV51" s="127">
        <v>1</v>
      </c>
      <c r="AW51" s="127">
        <v>1</v>
      </c>
      <c r="AX51" s="127">
        <v>1</v>
      </c>
      <c r="AY51" s="127">
        <v>1</v>
      </c>
      <c r="AZ51" s="127">
        <v>1</v>
      </c>
      <c r="BA51" s="127">
        <v>1</v>
      </c>
      <c r="BB51" s="127">
        <v>1</v>
      </c>
      <c r="BC51" s="127">
        <v>1</v>
      </c>
      <c r="BD51" s="127">
        <v>1</v>
      </c>
      <c r="BE51" s="127">
        <v>1</v>
      </c>
      <c r="BF51" s="127">
        <v>1</v>
      </c>
      <c r="BG51" s="163">
        <v>1</v>
      </c>
      <c r="BH51" s="163">
        <v>1</v>
      </c>
      <c r="BI51" s="127">
        <v>1</v>
      </c>
      <c r="BJ51" s="127">
        <v>1</v>
      </c>
      <c r="BK51" s="127">
        <v>1</v>
      </c>
      <c r="BL51" s="127">
        <v>1</v>
      </c>
      <c r="BM51" s="127">
        <v>1</v>
      </c>
      <c r="BN51" s="127">
        <v>1</v>
      </c>
      <c r="BO51" s="127">
        <v>1</v>
      </c>
      <c r="BP51" s="127">
        <v>1</v>
      </c>
      <c r="BQ51" s="127">
        <v>1</v>
      </c>
      <c r="BR51" s="127">
        <v>1</v>
      </c>
      <c r="BS51" s="127">
        <v>1</v>
      </c>
      <c r="BT51" s="127">
        <v>1</v>
      </c>
      <c r="BU51" s="127">
        <v>1</v>
      </c>
      <c r="BV51" s="127">
        <v>1</v>
      </c>
      <c r="BW51" s="127">
        <v>1</v>
      </c>
      <c r="BX51" s="127">
        <v>1</v>
      </c>
      <c r="BY51" s="127">
        <v>1</v>
      </c>
      <c r="BZ51" s="127">
        <v>1</v>
      </c>
      <c r="CA51" s="127">
        <v>1</v>
      </c>
      <c r="CB51" s="127">
        <v>1</v>
      </c>
      <c r="CC51" s="127">
        <v>1</v>
      </c>
      <c r="CD51" s="127">
        <v>1</v>
      </c>
      <c r="CE51" s="127">
        <v>1</v>
      </c>
      <c r="CF51" s="127">
        <v>1</v>
      </c>
      <c r="CG51" s="127">
        <v>1</v>
      </c>
      <c r="CH51" s="127">
        <v>1</v>
      </c>
      <c r="CI51" s="127">
        <v>1</v>
      </c>
      <c r="CJ51" s="127">
        <v>1</v>
      </c>
      <c r="CK51" s="127">
        <v>1</v>
      </c>
      <c r="CL51" s="127">
        <v>1</v>
      </c>
      <c r="CM51" s="127">
        <v>1</v>
      </c>
      <c r="CN51" s="127">
        <v>1</v>
      </c>
      <c r="CO51" s="127">
        <v>1</v>
      </c>
      <c r="CP51" s="127">
        <v>1</v>
      </c>
      <c r="CQ51" s="127">
        <v>1</v>
      </c>
      <c r="CR51" s="127">
        <v>1</v>
      </c>
      <c r="CS51" s="127">
        <v>1</v>
      </c>
      <c r="CT51" s="127">
        <v>1</v>
      </c>
      <c r="CU51" s="127">
        <v>1</v>
      </c>
      <c r="CV51" s="127">
        <v>1</v>
      </c>
      <c r="CW51" s="127">
        <v>1</v>
      </c>
      <c r="CX51" s="127">
        <v>1</v>
      </c>
      <c r="CY51" s="127">
        <v>1</v>
      </c>
      <c r="CZ51" s="127">
        <v>1</v>
      </c>
      <c r="DA51" s="127">
        <v>1</v>
      </c>
      <c r="DB51" s="127">
        <v>1</v>
      </c>
      <c r="DC51" s="127">
        <v>1</v>
      </c>
      <c r="DD51" s="127">
        <v>1</v>
      </c>
      <c r="DE51" s="127">
        <v>1</v>
      </c>
      <c r="DF51" s="127">
        <v>1</v>
      </c>
      <c r="DG51" s="127">
        <v>1</v>
      </c>
      <c r="DH51" s="127">
        <v>1</v>
      </c>
      <c r="DI51" s="127">
        <v>1</v>
      </c>
      <c r="DJ51" s="127">
        <v>1</v>
      </c>
      <c r="DK51" s="127">
        <v>1</v>
      </c>
      <c r="DL51" s="127">
        <v>1</v>
      </c>
      <c r="DM51" s="127">
        <v>1</v>
      </c>
      <c r="DN51" s="127">
        <v>1</v>
      </c>
      <c r="DO51" s="127">
        <v>1</v>
      </c>
      <c r="DP51" s="127">
        <v>1</v>
      </c>
      <c r="DQ51" s="127">
        <v>1</v>
      </c>
      <c r="DR51" s="127">
        <v>1</v>
      </c>
      <c r="DS51" s="127">
        <v>1</v>
      </c>
      <c r="DT51" s="127">
        <v>1</v>
      </c>
      <c r="DU51" s="127">
        <v>1</v>
      </c>
      <c r="DV51" s="127">
        <v>1</v>
      </c>
      <c r="DW51" s="127">
        <v>1</v>
      </c>
      <c r="DX51" s="127">
        <v>1</v>
      </c>
      <c r="DY51" s="127">
        <v>1</v>
      </c>
      <c r="DZ51" s="127">
        <v>1</v>
      </c>
      <c r="EA51" s="127">
        <v>1</v>
      </c>
      <c r="EB51" s="127">
        <v>1</v>
      </c>
      <c r="EC51" s="127">
        <v>1</v>
      </c>
      <c r="ED51" s="127">
        <v>1</v>
      </c>
      <c r="EE51" s="127">
        <v>1</v>
      </c>
      <c r="EF51" s="127">
        <v>1</v>
      </c>
      <c r="EG51" s="127">
        <v>1</v>
      </c>
      <c r="EH51" s="127">
        <v>1</v>
      </c>
      <c r="EI51" s="127">
        <v>1</v>
      </c>
    </row>
    <row r="52" spans="2:139" ht="15" hidden="1" customHeight="1" outlineLevel="3" x14ac:dyDescent="0.3">
      <c r="B52" s="29"/>
      <c r="C52" s="30"/>
      <c r="D52" s="30"/>
      <c r="E52" s="52" t="s">
        <v>56</v>
      </c>
      <c r="F52" s="33">
        <v>10</v>
      </c>
      <c r="G52" s="35">
        <v>6.7000000000000004E-2</v>
      </c>
      <c r="H52" s="162"/>
      <c r="I52" s="127">
        <v>0</v>
      </c>
      <c r="J52" s="127">
        <v>0</v>
      </c>
      <c r="K52" s="127">
        <v>0</v>
      </c>
      <c r="L52" s="127">
        <v>0</v>
      </c>
      <c r="M52" s="127">
        <v>0</v>
      </c>
      <c r="N52" s="127">
        <v>0</v>
      </c>
      <c r="O52" s="127">
        <v>0</v>
      </c>
      <c r="P52" s="127">
        <v>1.4705882352941178E-2</v>
      </c>
      <c r="Q52" s="127">
        <v>2.9411764705882356E-2</v>
      </c>
      <c r="R52" s="127">
        <v>4.4117647058823532E-2</v>
      </c>
      <c r="S52" s="127">
        <v>5.8823529411764712E-2</v>
      </c>
      <c r="T52" s="127">
        <v>7.3529411764705885E-2</v>
      </c>
      <c r="U52" s="127">
        <v>8.8235294117647065E-2</v>
      </c>
      <c r="V52" s="127">
        <v>0.15909090909090909</v>
      </c>
      <c r="W52" s="127">
        <v>0.29090909090909089</v>
      </c>
      <c r="X52" s="127">
        <v>0.5636363636363636</v>
      </c>
      <c r="Y52" s="127">
        <v>0.94545454545454544</v>
      </c>
      <c r="Z52" s="127">
        <v>0.97272727272727266</v>
      </c>
      <c r="AA52" s="127">
        <v>0.97272727272727266</v>
      </c>
      <c r="AB52" s="127">
        <v>0.97272727272727266</v>
      </c>
      <c r="AC52" s="127">
        <v>0.97272727272727266</v>
      </c>
      <c r="AD52" s="127">
        <v>0.97272727272727266</v>
      </c>
      <c r="AE52" s="127">
        <v>1</v>
      </c>
      <c r="AF52" s="127">
        <v>1</v>
      </c>
      <c r="AG52" s="127">
        <v>1</v>
      </c>
      <c r="AH52" s="127">
        <v>1</v>
      </c>
      <c r="AI52" s="127">
        <v>1</v>
      </c>
      <c r="AJ52" s="127">
        <v>1</v>
      </c>
      <c r="AK52" s="127">
        <v>1</v>
      </c>
      <c r="AL52" s="127">
        <v>1</v>
      </c>
      <c r="AM52" s="127">
        <v>1</v>
      </c>
      <c r="AN52" s="127">
        <v>1</v>
      </c>
      <c r="AO52" s="127">
        <v>1</v>
      </c>
      <c r="AP52" s="127">
        <v>1</v>
      </c>
      <c r="AQ52" s="127">
        <v>1</v>
      </c>
      <c r="AR52" s="127">
        <v>1</v>
      </c>
      <c r="AS52" s="127">
        <v>1</v>
      </c>
      <c r="AT52" s="127">
        <v>1</v>
      </c>
      <c r="AU52" s="127">
        <v>1</v>
      </c>
      <c r="AV52" s="127">
        <v>1</v>
      </c>
      <c r="AW52" s="127">
        <v>1</v>
      </c>
      <c r="AX52" s="127">
        <v>1</v>
      </c>
      <c r="AY52" s="127">
        <v>1</v>
      </c>
      <c r="AZ52" s="127">
        <v>1</v>
      </c>
      <c r="BA52" s="127">
        <v>1</v>
      </c>
      <c r="BB52" s="127">
        <v>1</v>
      </c>
      <c r="BC52" s="127">
        <v>1</v>
      </c>
      <c r="BD52" s="127">
        <v>1</v>
      </c>
      <c r="BE52" s="127">
        <v>1</v>
      </c>
      <c r="BF52" s="127">
        <v>1</v>
      </c>
      <c r="BG52" s="163">
        <v>1</v>
      </c>
      <c r="BH52" s="163">
        <v>1</v>
      </c>
      <c r="BI52" s="127">
        <v>1</v>
      </c>
      <c r="BJ52" s="127">
        <v>1</v>
      </c>
      <c r="BK52" s="127">
        <v>1</v>
      </c>
      <c r="BL52" s="127">
        <v>1</v>
      </c>
      <c r="BM52" s="127">
        <v>1</v>
      </c>
      <c r="BN52" s="127">
        <v>1</v>
      </c>
      <c r="BO52" s="127">
        <v>1</v>
      </c>
      <c r="BP52" s="127">
        <v>1</v>
      </c>
      <c r="BQ52" s="127">
        <v>1</v>
      </c>
      <c r="BR52" s="127">
        <v>1</v>
      </c>
      <c r="BS52" s="127">
        <v>1</v>
      </c>
      <c r="BT52" s="127">
        <v>1</v>
      </c>
      <c r="BU52" s="127">
        <v>1</v>
      </c>
      <c r="BV52" s="127">
        <v>1</v>
      </c>
      <c r="BW52" s="127">
        <v>1</v>
      </c>
      <c r="BX52" s="127">
        <v>1</v>
      </c>
      <c r="BY52" s="127">
        <v>1</v>
      </c>
      <c r="BZ52" s="127">
        <v>1</v>
      </c>
      <c r="CA52" s="127">
        <v>1</v>
      </c>
      <c r="CB52" s="127">
        <v>1</v>
      </c>
      <c r="CC52" s="127">
        <v>1</v>
      </c>
      <c r="CD52" s="127">
        <v>1</v>
      </c>
      <c r="CE52" s="127">
        <v>1</v>
      </c>
      <c r="CF52" s="127">
        <v>1</v>
      </c>
      <c r="CG52" s="127">
        <v>1</v>
      </c>
      <c r="CH52" s="127">
        <v>1</v>
      </c>
      <c r="CI52" s="127">
        <v>1</v>
      </c>
      <c r="CJ52" s="127">
        <v>1</v>
      </c>
      <c r="CK52" s="127">
        <v>1</v>
      </c>
      <c r="CL52" s="127">
        <v>1</v>
      </c>
      <c r="CM52" s="127">
        <v>1</v>
      </c>
      <c r="CN52" s="127">
        <v>1</v>
      </c>
      <c r="CO52" s="127">
        <v>1</v>
      </c>
      <c r="CP52" s="127">
        <v>1</v>
      </c>
      <c r="CQ52" s="127">
        <v>1</v>
      </c>
      <c r="CR52" s="127">
        <v>1</v>
      </c>
      <c r="CS52" s="127">
        <v>1</v>
      </c>
      <c r="CT52" s="127">
        <v>1</v>
      </c>
      <c r="CU52" s="127">
        <v>1</v>
      </c>
      <c r="CV52" s="127">
        <v>1</v>
      </c>
      <c r="CW52" s="127">
        <v>1</v>
      </c>
      <c r="CX52" s="127">
        <v>1</v>
      </c>
      <c r="CY52" s="127">
        <v>1</v>
      </c>
      <c r="CZ52" s="127">
        <v>1</v>
      </c>
      <c r="DA52" s="127">
        <v>1</v>
      </c>
      <c r="DB52" s="127">
        <v>1</v>
      </c>
      <c r="DC52" s="127">
        <v>1</v>
      </c>
      <c r="DD52" s="127">
        <v>1</v>
      </c>
      <c r="DE52" s="127">
        <v>1</v>
      </c>
      <c r="DF52" s="127">
        <v>1</v>
      </c>
      <c r="DG52" s="127">
        <v>1</v>
      </c>
      <c r="DH52" s="127">
        <v>1</v>
      </c>
      <c r="DI52" s="127">
        <v>1</v>
      </c>
      <c r="DJ52" s="127">
        <v>1</v>
      </c>
      <c r="DK52" s="127">
        <v>1</v>
      </c>
      <c r="DL52" s="127">
        <v>1</v>
      </c>
      <c r="DM52" s="127">
        <v>1</v>
      </c>
      <c r="DN52" s="127">
        <v>1</v>
      </c>
      <c r="DO52" s="127">
        <v>1</v>
      </c>
      <c r="DP52" s="127">
        <v>1</v>
      </c>
      <c r="DQ52" s="127">
        <v>1</v>
      </c>
      <c r="DR52" s="127">
        <v>1</v>
      </c>
      <c r="DS52" s="127">
        <v>1</v>
      </c>
      <c r="DT52" s="127">
        <v>1</v>
      </c>
      <c r="DU52" s="127">
        <v>1</v>
      </c>
      <c r="DV52" s="127">
        <v>1</v>
      </c>
      <c r="DW52" s="127">
        <v>1</v>
      </c>
      <c r="DX52" s="127">
        <v>1</v>
      </c>
      <c r="DY52" s="127">
        <v>1</v>
      </c>
      <c r="DZ52" s="127">
        <v>1</v>
      </c>
      <c r="EA52" s="127">
        <v>1</v>
      </c>
      <c r="EB52" s="127">
        <v>1</v>
      </c>
      <c r="EC52" s="127">
        <v>1</v>
      </c>
      <c r="ED52" s="127">
        <v>1</v>
      </c>
      <c r="EE52" s="127">
        <v>1</v>
      </c>
      <c r="EF52" s="127">
        <v>1</v>
      </c>
      <c r="EG52" s="127">
        <v>1</v>
      </c>
      <c r="EH52" s="127">
        <v>1</v>
      </c>
      <c r="EI52" s="127">
        <v>1</v>
      </c>
    </row>
    <row r="53" spans="2:139" ht="15" hidden="1" customHeight="1" outlineLevel="3" x14ac:dyDescent="0.3">
      <c r="B53" s="29"/>
      <c r="C53" s="30"/>
      <c r="D53" s="30"/>
      <c r="E53" s="52" t="s">
        <v>57</v>
      </c>
      <c r="F53" s="33">
        <v>15</v>
      </c>
      <c r="G53" s="35">
        <v>0.13300000000000001</v>
      </c>
      <c r="H53" s="162"/>
      <c r="I53" s="127">
        <v>0</v>
      </c>
      <c r="J53" s="127">
        <v>0</v>
      </c>
      <c r="K53" s="127">
        <v>0</v>
      </c>
      <c r="L53" s="127">
        <v>0</v>
      </c>
      <c r="M53" s="127">
        <v>0</v>
      </c>
      <c r="N53" s="127">
        <v>0</v>
      </c>
      <c r="O53" s="127">
        <v>1.2167300380228138E-2</v>
      </c>
      <c r="P53" s="127">
        <v>3.8593155893536124E-2</v>
      </c>
      <c r="Q53" s="127">
        <v>5.8935361216730042E-2</v>
      </c>
      <c r="R53" s="127">
        <v>7.3193916349809887E-2</v>
      </c>
      <c r="S53" s="127">
        <v>8.7452471482889732E-2</v>
      </c>
      <c r="T53" s="127">
        <v>0.10171102661596958</v>
      </c>
      <c r="U53" s="127">
        <v>0.11596958174904942</v>
      </c>
      <c r="V53" s="127">
        <v>0.13022813688212928</v>
      </c>
      <c r="W53" s="127">
        <v>0.23574144486692014</v>
      </c>
      <c r="X53" s="127">
        <v>0.4923954372623574</v>
      </c>
      <c r="Y53" s="127">
        <v>0.73574144486692017</v>
      </c>
      <c r="Z53" s="127">
        <v>0.97148288973384034</v>
      </c>
      <c r="AA53" s="127">
        <v>0.97148288973384034</v>
      </c>
      <c r="AB53" s="127">
        <v>0.97148288973384034</v>
      </c>
      <c r="AC53" s="127">
        <v>0.97148288973384034</v>
      </c>
      <c r="AD53" s="127">
        <v>0.97148288973384034</v>
      </c>
      <c r="AE53" s="127">
        <v>1</v>
      </c>
      <c r="AF53" s="127">
        <v>1</v>
      </c>
      <c r="AG53" s="127">
        <v>1</v>
      </c>
      <c r="AH53" s="127">
        <v>1</v>
      </c>
      <c r="AI53" s="127">
        <v>1</v>
      </c>
      <c r="AJ53" s="127">
        <v>1</v>
      </c>
      <c r="AK53" s="127">
        <v>1</v>
      </c>
      <c r="AL53" s="127">
        <v>1</v>
      </c>
      <c r="AM53" s="127">
        <v>1</v>
      </c>
      <c r="AN53" s="127">
        <v>1</v>
      </c>
      <c r="AO53" s="127">
        <v>1</v>
      </c>
      <c r="AP53" s="127">
        <v>1</v>
      </c>
      <c r="AQ53" s="127">
        <v>1</v>
      </c>
      <c r="AR53" s="127">
        <v>1</v>
      </c>
      <c r="AS53" s="127">
        <v>1</v>
      </c>
      <c r="AT53" s="127">
        <v>1</v>
      </c>
      <c r="AU53" s="127">
        <v>1</v>
      </c>
      <c r="AV53" s="127">
        <v>1</v>
      </c>
      <c r="AW53" s="127">
        <v>1</v>
      </c>
      <c r="AX53" s="127">
        <v>1</v>
      </c>
      <c r="AY53" s="127">
        <v>1</v>
      </c>
      <c r="AZ53" s="127">
        <v>1</v>
      </c>
      <c r="BA53" s="127">
        <v>1</v>
      </c>
      <c r="BB53" s="127">
        <v>1</v>
      </c>
      <c r="BC53" s="127">
        <v>1</v>
      </c>
      <c r="BD53" s="127">
        <v>1</v>
      </c>
      <c r="BE53" s="127">
        <v>1</v>
      </c>
      <c r="BF53" s="127">
        <v>1</v>
      </c>
      <c r="BG53" s="163">
        <v>1</v>
      </c>
      <c r="BH53" s="163">
        <v>1</v>
      </c>
      <c r="BI53" s="127">
        <v>1</v>
      </c>
      <c r="BJ53" s="127">
        <v>1</v>
      </c>
      <c r="BK53" s="127">
        <v>1</v>
      </c>
      <c r="BL53" s="127">
        <v>1</v>
      </c>
      <c r="BM53" s="127">
        <v>1</v>
      </c>
      <c r="BN53" s="127">
        <v>1</v>
      </c>
      <c r="BO53" s="127">
        <v>1</v>
      </c>
      <c r="BP53" s="127">
        <v>1</v>
      </c>
      <c r="BQ53" s="127">
        <v>1</v>
      </c>
      <c r="BR53" s="127">
        <v>1</v>
      </c>
      <c r="BS53" s="127">
        <v>1</v>
      </c>
      <c r="BT53" s="127">
        <v>1</v>
      </c>
      <c r="BU53" s="127">
        <v>1</v>
      </c>
      <c r="BV53" s="127">
        <v>1</v>
      </c>
      <c r="BW53" s="127">
        <v>1</v>
      </c>
      <c r="BX53" s="127">
        <v>1</v>
      </c>
      <c r="BY53" s="127">
        <v>1</v>
      </c>
      <c r="BZ53" s="127">
        <v>1</v>
      </c>
      <c r="CA53" s="127">
        <v>1</v>
      </c>
      <c r="CB53" s="127">
        <v>1</v>
      </c>
      <c r="CC53" s="127">
        <v>1</v>
      </c>
      <c r="CD53" s="127">
        <v>1</v>
      </c>
      <c r="CE53" s="127">
        <v>1</v>
      </c>
      <c r="CF53" s="127">
        <v>1</v>
      </c>
      <c r="CG53" s="127">
        <v>1</v>
      </c>
      <c r="CH53" s="127">
        <v>1</v>
      </c>
      <c r="CI53" s="127">
        <v>1</v>
      </c>
      <c r="CJ53" s="127">
        <v>1</v>
      </c>
      <c r="CK53" s="127">
        <v>1</v>
      </c>
      <c r="CL53" s="127">
        <v>1</v>
      </c>
      <c r="CM53" s="127">
        <v>1</v>
      </c>
      <c r="CN53" s="127">
        <v>1</v>
      </c>
      <c r="CO53" s="127">
        <v>1</v>
      </c>
      <c r="CP53" s="127">
        <v>1</v>
      </c>
      <c r="CQ53" s="127">
        <v>1</v>
      </c>
      <c r="CR53" s="127">
        <v>1</v>
      </c>
      <c r="CS53" s="127">
        <v>1</v>
      </c>
      <c r="CT53" s="127">
        <v>1</v>
      </c>
      <c r="CU53" s="127">
        <v>1</v>
      </c>
      <c r="CV53" s="127">
        <v>1</v>
      </c>
      <c r="CW53" s="127">
        <v>1</v>
      </c>
      <c r="CX53" s="127">
        <v>1</v>
      </c>
      <c r="CY53" s="127">
        <v>1</v>
      </c>
      <c r="CZ53" s="127">
        <v>1</v>
      </c>
      <c r="DA53" s="127">
        <v>1</v>
      </c>
      <c r="DB53" s="127">
        <v>1</v>
      </c>
      <c r="DC53" s="127">
        <v>1</v>
      </c>
      <c r="DD53" s="127">
        <v>1</v>
      </c>
      <c r="DE53" s="127">
        <v>1</v>
      </c>
      <c r="DF53" s="127">
        <v>1</v>
      </c>
      <c r="DG53" s="127">
        <v>1</v>
      </c>
      <c r="DH53" s="127">
        <v>1</v>
      </c>
      <c r="DI53" s="127">
        <v>1</v>
      </c>
      <c r="DJ53" s="127">
        <v>1</v>
      </c>
      <c r="DK53" s="127">
        <v>1</v>
      </c>
      <c r="DL53" s="127">
        <v>1</v>
      </c>
      <c r="DM53" s="127">
        <v>1</v>
      </c>
      <c r="DN53" s="127">
        <v>1</v>
      </c>
      <c r="DO53" s="127">
        <v>1</v>
      </c>
      <c r="DP53" s="127">
        <v>1</v>
      </c>
      <c r="DQ53" s="127">
        <v>1</v>
      </c>
      <c r="DR53" s="127">
        <v>1</v>
      </c>
      <c r="DS53" s="127">
        <v>1</v>
      </c>
      <c r="DT53" s="127">
        <v>1</v>
      </c>
      <c r="DU53" s="127">
        <v>1</v>
      </c>
      <c r="DV53" s="127">
        <v>1</v>
      </c>
      <c r="DW53" s="127">
        <v>1</v>
      </c>
      <c r="DX53" s="127">
        <v>1</v>
      </c>
      <c r="DY53" s="127">
        <v>1</v>
      </c>
      <c r="DZ53" s="127">
        <v>1</v>
      </c>
      <c r="EA53" s="127">
        <v>1</v>
      </c>
      <c r="EB53" s="127">
        <v>1</v>
      </c>
      <c r="EC53" s="127">
        <v>1</v>
      </c>
      <c r="ED53" s="127">
        <v>1</v>
      </c>
      <c r="EE53" s="127">
        <v>1</v>
      </c>
      <c r="EF53" s="127">
        <v>1</v>
      </c>
      <c r="EG53" s="127">
        <v>1</v>
      </c>
      <c r="EH53" s="127">
        <v>1</v>
      </c>
      <c r="EI53" s="127">
        <v>1</v>
      </c>
    </row>
    <row r="54" spans="2:139" ht="28.95" hidden="1" customHeight="1" outlineLevel="3" x14ac:dyDescent="0.3">
      <c r="B54" s="29"/>
      <c r="C54" s="30"/>
      <c r="D54" s="30"/>
      <c r="E54" s="52" t="s">
        <v>58</v>
      </c>
      <c r="F54" s="33">
        <v>30</v>
      </c>
      <c r="G54" s="35">
        <v>0.13</v>
      </c>
      <c r="H54" s="162"/>
      <c r="I54" s="127">
        <v>0</v>
      </c>
      <c r="J54" s="127">
        <v>0</v>
      </c>
      <c r="K54" s="127">
        <v>0</v>
      </c>
      <c r="L54" s="127">
        <v>1.3079019073569481E-2</v>
      </c>
      <c r="M54" s="127">
        <v>2.6158038147138962E-2</v>
      </c>
      <c r="N54" s="127">
        <v>3.2697547683923703E-2</v>
      </c>
      <c r="O54" s="127">
        <v>3.9237057220708443E-2</v>
      </c>
      <c r="P54" s="127">
        <v>6.2534059945504081E-2</v>
      </c>
      <c r="Q54" s="127">
        <v>8.5831062670299718E-2</v>
      </c>
      <c r="R54" s="127">
        <v>0.34573941045330692</v>
      </c>
      <c r="S54" s="127">
        <v>0.63325563325563328</v>
      </c>
      <c r="T54" s="127">
        <v>0.83974358974358965</v>
      </c>
      <c r="U54" s="127">
        <v>0.8504273504273504</v>
      </c>
      <c r="V54" s="127">
        <v>0.86111111111111116</v>
      </c>
      <c r="W54" s="127">
        <v>1</v>
      </c>
      <c r="X54" s="127">
        <v>1</v>
      </c>
      <c r="Y54" s="127">
        <v>1</v>
      </c>
      <c r="Z54" s="127">
        <v>1</v>
      </c>
      <c r="AA54" s="127">
        <v>1</v>
      </c>
      <c r="AB54" s="127">
        <v>1</v>
      </c>
      <c r="AC54" s="127">
        <v>1</v>
      </c>
      <c r="AD54" s="127">
        <v>1</v>
      </c>
      <c r="AE54" s="127">
        <v>1</v>
      </c>
      <c r="AF54" s="127">
        <v>1</v>
      </c>
      <c r="AG54" s="127">
        <v>1</v>
      </c>
      <c r="AH54" s="127">
        <v>1</v>
      </c>
      <c r="AI54" s="127">
        <v>1</v>
      </c>
      <c r="AJ54" s="127">
        <v>1</v>
      </c>
      <c r="AK54" s="127">
        <v>1</v>
      </c>
      <c r="AL54" s="127">
        <v>1</v>
      </c>
      <c r="AM54" s="127">
        <v>1</v>
      </c>
      <c r="AN54" s="127">
        <v>1</v>
      </c>
      <c r="AO54" s="127">
        <v>1</v>
      </c>
      <c r="AP54" s="127">
        <v>1</v>
      </c>
      <c r="AQ54" s="127">
        <v>1</v>
      </c>
      <c r="AR54" s="127">
        <v>1</v>
      </c>
      <c r="AS54" s="127">
        <v>1</v>
      </c>
      <c r="AT54" s="127">
        <v>1</v>
      </c>
      <c r="AU54" s="127">
        <v>1</v>
      </c>
      <c r="AV54" s="127">
        <v>1</v>
      </c>
      <c r="AW54" s="127">
        <v>1</v>
      </c>
      <c r="AX54" s="127">
        <v>1</v>
      </c>
      <c r="AY54" s="127">
        <v>1</v>
      </c>
      <c r="AZ54" s="127">
        <v>1</v>
      </c>
      <c r="BA54" s="127">
        <v>1</v>
      </c>
      <c r="BB54" s="127">
        <v>1</v>
      </c>
      <c r="BC54" s="127">
        <v>1</v>
      </c>
      <c r="BD54" s="127">
        <v>1</v>
      </c>
      <c r="BE54" s="127">
        <v>1</v>
      </c>
      <c r="BF54" s="127">
        <v>1</v>
      </c>
      <c r="BG54" s="163">
        <v>1</v>
      </c>
      <c r="BH54" s="163">
        <v>1</v>
      </c>
      <c r="BI54" s="127">
        <v>1</v>
      </c>
      <c r="BJ54" s="127">
        <v>1</v>
      </c>
      <c r="BK54" s="127">
        <v>1</v>
      </c>
      <c r="BL54" s="127">
        <v>1</v>
      </c>
      <c r="BM54" s="127">
        <v>1</v>
      </c>
      <c r="BN54" s="127">
        <v>1</v>
      </c>
      <c r="BO54" s="127">
        <v>1</v>
      </c>
      <c r="BP54" s="127">
        <v>1</v>
      </c>
      <c r="BQ54" s="127">
        <v>1</v>
      </c>
      <c r="BR54" s="127">
        <v>1</v>
      </c>
      <c r="BS54" s="127">
        <v>1</v>
      </c>
      <c r="BT54" s="127">
        <v>1</v>
      </c>
      <c r="BU54" s="127">
        <v>1</v>
      </c>
      <c r="BV54" s="127">
        <v>1</v>
      </c>
      <c r="BW54" s="127">
        <v>1</v>
      </c>
      <c r="BX54" s="127">
        <v>1</v>
      </c>
      <c r="BY54" s="127">
        <v>1</v>
      </c>
      <c r="BZ54" s="127">
        <v>1</v>
      </c>
      <c r="CA54" s="127">
        <v>1</v>
      </c>
      <c r="CB54" s="127">
        <v>1</v>
      </c>
      <c r="CC54" s="127">
        <v>1</v>
      </c>
      <c r="CD54" s="127">
        <v>1</v>
      </c>
      <c r="CE54" s="127">
        <v>1</v>
      </c>
      <c r="CF54" s="127">
        <v>1</v>
      </c>
      <c r="CG54" s="127">
        <v>1</v>
      </c>
      <c r="CH54" s="127">
        <v>1</v>
      </c>
      <c r="CI54" s="127">
        <v>1</v>
      </c>
      <c r="CJ54" s="127">
        <v>1</v>
      </c>
      <c r="CK54" s="127">
        <v>1</v>
      </c>
      <c r="CL54" s="127">
        <v>1</v>
      </c>
      <c r="CM54" s="127">
        <v>1</v>
      </c>
      <c r="CN54" s="127">
        <v>1</v>
      </c>
      <c r="CO54" s="127">
        <v>1</v>
      </c>
      <c r="CP54" s="127">
        <v>1</v>
      </c>
      <c r="CQ54" s="127">
        <v>1</v>
      </c>
      <c r="CR54" s="127">
        <v>1</v>
      </c>
      <c r="CS54" s="127">
        <v>1</v>
      </c>
      <c r="CT54" s="127">
        <v>1</v>
      </c>
      <c r="CU54" s="127">
        <v>1</v>
      </c>
      <c r="CV54" s="127">
        <v>1</v>
      </c>
      <c r="CW54" s="127">
        <v>1</v>
      </c>
      <c r="CX54" s="127">
        <v>1</v>
      </c>
      <c r="CY54" s="127">
        <v>1</v>
      </c>
      <c r="CZ54" s="127">
        <v>1</v>
      </c>
      <c r="DA54" s="127">
        <v>1</v>
      </c>
      <c r="DB54" s="127">
        <v>1</v>
      </c>
      <c r="DC54" s="127">
        <v>1</v>
      </c>
      <c r="DD54" s="127">
        <v>1</v>
      </c>
      <c r="DE54" s="127">
        <v>1</v>
      </c>
      <c r="DF54" s="127">
        <v>1</v>
      </c>
      <c r="DG54" s="127">
        <v>1</v>
      </c>
      <c r="DH54" s="127">
        <v>1</v>
      </c>
      <c r="DI54" s="127">
        <v>1</v>
      </c>
      <c r="DJ54" s="127">
        <v>1</v>
      </c>
      <c r="DK54" s="127">
        <v>1</v>
      </c>
      <c r="DL54" s="127">
        <v>1</v>
      </c>
      <c r="DM54" s="127">
        <v>1</v>
      </c>
      <c r="DN54" s="127">
        <v>1</v>
      </c>
      <c r="DO54" s="127">
        <v>1</v>
      </c>
      <c r="DP54" s="127">
        <v>1</v>
      </c>
      <c r="DQ54" s="127">
        <v>1</v>
      </c>
      <c r="DR54" s="127">
        <v>1</v>
      </c>
      <c r="DS54" s="127">
        <v>1</v>
      </c>
      <c r="DT54" s="127">
        <v>1</v>
      </c>
      <c r="DU54" s="127">
        <v>1</v>
      </c>
      <c r="DV54" s="127">
        <v>1</v>
      </c>
      <c r="DW54" s="127">
        <v>1</v>
      </c>
      <c r="DX54" s="127">
        <v>1</v>
      </c>
      <c r="DY54" s="127">
        <v>1</v>
      </c>
      <c r="DZ54" s="127">
        <v>1</v>
      </c>
      <c r="EA54" s="127">
        <v>1</v>
      </c>
      <c r="EB54" s="127">
        <v>1</v>
      </c>
      <c r="EC54" s="127">
        <v>1</v>
      </c>
      <c r="ED54" s="127">
        <v>1</v>
      </c>
      <c r="EE54" s="127">
        <v>1</v>
      </c>
      <c r="EF54" s="127">
        <v>1</v>
      </c>
      <c r="EG54" s="127">
        <v>1</v>
      </c>
      <c r="EH54" s="127">
        <v>1</v>
      </c>
      <c r="EI54" s="127">
        <v>1</v>
      </c>
    </row>
    <row r="55" spans="2:139" ht="15" hidden="1" customHeight="1" outlineLevel="3" x14ac:dyDescent="0.3">
      <c r="B55" s="29"/>
      <c r="C55" s="30"/>
      <c r="D55" s="30"/>
      <c r="E55" s="52" t="s">
        <v>59</v>
      </c>
      <c r="F55" s="33">
        <v>5</v>
      </c>
      <c r="G55" s="35">
        <v>0.13300000000000001</v>
      </c>
      <c r="H55" s="162"/>
      <c r="I55" s="127">
        <v>0</v>
      </c>
      <c r="J55" s="127">
        <v>0</v>
      </c>
      <c r="K55" s="127">
        <v>0</v>
      </c>
      <c r="L55" s="127">
        <v>0</v>
      </c>
      <c r="M55" s="127">
        <v>0</v>
      </c>
      <c r="N55" s="127">
        <v>0</v>
      </c>
      <c r="O55" s="127">
        <v>0</v>
      </c>
      <c r="P55" s="127">
        <v>2.2727272727272728E-2</v>
      </c>
      <c r="Q55" s="127">
        <v>4.5454545454545456E-2</v>
      </c>
      <c r="R55" s="127">
        <v>6.8181818181818177E-2</v>
      </c>
      <c r="S55" s="127">
        <v>9.0909090909090912E-2</v>
      </c>
      <c r="T55" s="127">
        <v>0.11363636363636363</v>
      </c>
      <c r="U55" s="127">
        <v>0.13636363636363635</v>
      </c>
      <c r="V55" s="127">
        <v>0.15909090909090909</v>
      </c>
      <c r="W55" s="127">
        <v>0.15909090909090909</v>
      </c>
      <c r="X55" s="127">
        <v>0.15909090909090909</v>
      </c>
      <c r="Y55" s="127">
        <v>0.15909090909090909</v>
      </c>
      <c r="Z55" s="127">
        <v>0.15909090909090909</v>
      </c>
      <c r="AA55" s="127">
        <v>0.37727272727272726</v>
      </c>
      <c r="AB55" s="127">
        <v>0.70909090909090899</v>
      </c>
      <c r="AC55" s="127">
        <v>0.90909090909090906</v>
      </c>
      <c r="AD55" s="127">
        <v>0.95</v>
      </c>
      <c r="AE55" s="127">
        <v>1</v>
      </c>
      <c r="AF55" s="127">
        <v>1</v>
      </c>
      <c r="AG55" s="127">
        <v>1</v>
      </c>
      <c r="AH55" s="127">
        <v>1</v>
      </c>
      <c r="AI55" s="127">
        <v>1</v>
      </c>
      <c r="AJ55" s="127">
        <v>1</v>
      </c>
      <c r="AK55" s="127">
        <v>1</v>
      </c>
      <c r="AL55" s="127">
        <v>1</v>
      </c>
      <c r="AM55" s="127">
        <v>1</v>
      </c>
      <c r="AN55" s="127">
        <v>1</v>
      </c>
      <c r="AO55" s="127">
        <v>1</v>
      </c>
      <c r="AP55" s="127">
        <v>1</v>
      </c>
      <c r="AQ55" s="127">
        <v>1</v>
      </c>
      <c r="AR55" s="127">
        <v>1</v>
      </c>
      <c r="AS55" s="127">
        <v>1</v>
      </c>
      <c r="AT55" s="127">
        <v>1</v>
      </c>
      <c r="AU55" s="127">
        <v>1</v>
      </c>
      <c r="AV55" s="127">
        <v>1</v>
      </c>
      <c r="AW55" s="127">
        <v>1</v>
      </c>
      <c r="AX55" s="127">
        <v>1</v>
      </c>
      <c r="AY55" s="127">
        <v>1</v>
      </c>
      <c r="AZ55" s="127">
        <v>1</v>
      </c>
      <c r="BA55" s="127">
        <v>1</v>
      </c>
      <c r="BB55" s="127">
        <v>1</v>
      </c>
      <c r="BC55" s="127">
        <v>1</v>
      </c>
      <c r="BD55" s="127">
        <v>1</v>
      </c>
      <c r="BE55" s="127">
        <v>1</v>
      </c>
      <c r="BF55" s="127">
        <v>1</v>
      </c>
      <c r="BG55" s="163">
        <v>1</v>
      </c>
      <c r="BH55" s="163">
        <v>1</v>
      </c>
      <c r="BI55" s="127">
        <v>1</v>
      </c>
      <c r="BJ55" s="127">
        <v>1</v>
      </c>
      <c r="BK55" s="127">
        <v>1</v>
      </c>
      <c r="BL55" s="127">
        <v>1</v>
      </c>
      <c r="BM55" s="127">
        <v>1</v>
      </c>
      <c r="BN55" s="127">
        <v>1</v>
      </c>
      <c r="BO55" s="127">
        <v>1</v>
      </c>
      <c r="BP55" s="127">
        <v>1</v>
      </c>
      <c r="BQ55" s="127">
        <v>1</v>
      </c>
      <c r="BR55" s="127">
        <v>1</v>
      </c>
      <c r="BS55" s="127">
        <v>1</v>
      </c>
      <c r="BT55" s="127">
        <v>1</v>
      </c>
      <c r="BU55" s="127">
        <v>1</v>
      </c>
      <c r="BV55" s="127">
        <v>1</v>
      </c>
      <c r="BW55" s="127">
        <v>1</v>
      </c>
      <c r="BX55" s="127">
        <v>1</v>
      </c>
      <c r="BY55" s="127">
        <v>1</v>
      </c>
      <c r="BZ55" s="127">
        <v>1</v>
      </c>
      <c r="CA55" s="127">
        <v>1</v>
      </c>
      <c r="CB55" s="127">
        <v>1</v>
      </c>
      <c r="CC55" s="127">
        <v>1</v>
      </c>
      <c r="CD55" s="127">
        <v>1</v>
      </c>
      <c r="CE55" s="127">
        <v>1</v>
      </c>
      <c r="CF55" s="127">
        <v>1</v>
      </c>
      <c r="CG55" s="127">
        <v>1</v>
      </c>
      <c r="CH55" s="127">
        <v>1</v>
      </c>
      <c r="CI55" s="127">
        <v>1</v>
      </c>
      <c r="CJ55" s="127">
        <v>1</v>
      </c>
      <c r="CK55" s="127">
        <v>1</v>
      </c>
      <c r="CL55" s="127">
        <v>1</v>
      </c>
      <c r="CM55" s="127">
        <v>1</v>
      </c>
      <c r="CN55" s="127">
        <v>1</v>
      </c>
      <c r="CO55" s="127">
        <v>1</v>
      </c>
      <c r="CP55" s="127">
        <v>1</v>
      </c>
      <c r="CQ55" s="127">
        <v>1</v>
      </c>
      <c r="CR55" s="127">
        <v>1</v>
      </c>
      <c r="CS55" s="127">
        <v>1</v>
      </c>
      <c r="CT55" s="127">
        <v>1</v>
      </c>
      <c r="CU55" s="127">
        <v>1</v>
      </c>
      <c r="CV55" s="127">
        <v>1</v>
      </c>
      <c r="CW55" s="127">
        <v>1</v>
      </c>
      <c r="CX55" s="127">
        <v>1</v>
      </c>
      <c r="CY55" s="127">
        <v>1</v>
      </c>
      <c r="CZ55" s="127">
        <v>1</v>
      </c>
      <c r="DA55" s="127">
        <v>1</v>
      </c>
      <c r="DB55" s="127">
        <v>1</v>
      </c>
      <c r="DC55" s="127">
        <v>1</v>
      </c>
      <c r="DD55" s="127">
        <v>1</v>
      </c>
      <c r="DE55" s="127">
        <v>1</v>
      </c>
      <c r="DF55" s="127">
        <v>1</v>
      </c>
      <c r="DG55" s="127">
        <v>1</v>
      </c>
      <c r="DH55" s="127">
        <v>1</v>
      </c>
      <c r="DI55" s="127">
        <v>1</v>
      </c>
      <c r="DJ55" s="127">
        <v>1</v>
      </c>
      <c r="DK55" s="127">
        <v>1</v>
      </c>
      <c r="DL55" s="127">
        <v>1</v>
      </c>
      <c r="DM55" s="127">
        <v>1</v>
      </c>
      <c r="DN55" s="127">
        <v>1</v>
      </c>
      <c r="DO55" s="127">
        <v>1</v>
      </c>
      <c r="DP55" s="127">
        <v>1</v>
      </c>
      <c r="DQ55" s="127">
        <v>1</v>
      </c>
      <c r="DR55" s="127">
        <v>1</v>
      </c>
      <c r="DS55" s="127">
        <v>1</v>
      </c>
      <c r="DT55" s="127">
        <v>1</v>
      </c>
      <c r="DU55" s="127">
        <v>1</v>
      </c>
      <c r="DV55" s="127">
        <v>1</v>
      </c>
      <c r="DW55" s="127">
        <v>1</v>
      </c>
      <c r="DX55" s="127">
        <v>1</v>
      </c>
      <c r="DY55" s="127">
        <v>1</v>
      </c>
      <c r="DZ55" s="127">
        <v>1</v>
      </c>
      <c r="EA55" s="127">
        <v>1</v>
      </c>
      <c r="EB55" s="127">
        <v>1</v>
      </c>
      <c r="EC55" s="127">
        <v>1</v>
      </c>
      <c r="ED55" s="127">
        <v>1</v>
      </c>
      <c r="EE55" s="127">
        <v>1</v>
      </c>
      <c r="EF55" s="127">
        <v>1</v>
      </c>
      <c r="EG55" s="127">
        <v>1</v>
      </c>
      <c r="EH55" s="127">
        <v>1</v>
      </c>
      <c r="EI55" s="127">
        <v>1</v>
      </c>
    </row>
    <row r="56" spans="2:139" ht="15" hidden="1" customHeight="1" outlineLevel="3" x14ac:dyDescent="0.3">
      <c r="B56" s="29"/>
      <c r="C56" s="30"/>
      <c r="D56" s="30"/>
      <c r="E56" s="52" t="s">
        <v>60</v>
      </c>
      <c r="F56" s="33">
        <v>20</v>
      </c>
      <c r="G56" s="35">
        <v>0.20300000000000001</v>
      </c>
      <c r="H56" s="162"/>
      <c r="I56" s="127">
        <v>0</v>
      </c>
      <c r="J56" s="127">
        <v>0</v>
      </c>
      <c r="K56" s="127">
        <v>0</v>
      </c>
      <c r="L56" s="127">
        <v>0</v>
      </c>
      <c r="M56" s="127">
        <v>0</v>
      </c>
      <c r="N56" s="127">
        <v>0</v>
      </c>
      <c r="O56" s="127">
        <v>0</v>
      </c>
      <c r="P56" s="127">
        <v>2.2727272727272728E-2</v>
      </c>
      <c r="Q56" s="127">
        <v>4.5454545454545456E-2</v>
      </c>
      <c r="R56" s="127">
        <v>6.8181818181818177E-2</v>
      </c>
      <c r="S56" s="127">
        <v>9.0909090909090912E-2</v>
      </c>
      <c r="T56" s="127">
        <v>0.11363636363636363</v>
      </c>
      <c r="U56" s="127">
        <v>0.13636363636363635</v>
      </c>
      <c r="V56" s="127">
        <v>0.15909090909090909</v>
      </c>
      <c r="W56" s="127">
        <v>0.15909090909090909</v>
      </c>
      <c r="X56" s="127">
        <v>0.15909090909090909</v>
      </c>
      <c r="Y56" s="127">
        <v>0.15909090909090909</v>
      </c>
      <c r="Z56" s="127">
        <v>0.15909090909090909</v>
      </c>
      <c r="AA56" s="127">
        <v>0.15909090909090909</v>
      </c>
      <c r="AB56" s="127">
        <v>0.15909090909090909</v>
      </c>
      <c r="AC56" s="127">
        <v>0.18672727272727274</v>
      </c>
      <c r="AD56" s="127">
        <v>0.29090909090909089</v>
      </c>
      <c r="AE56" s="127">
        <v>0.4</v>
      </c>
      <c r="AF56" s="127">
        <v>0.4</v>
      </c>
      <c r="AG56" s="127">
        <v>0.4</v>
      </c>
      <c r="AH56" s="127">
        <v>0.4</v>
      </c>
      <c r="AI56" s="127">
        <v>0.4</v>
      </c>
      <c r="AJ56" s="127">
        <v>0.4</v>
      </c>
      <c r="AK56" s="127">
        <v>0.60000000000000009</v>
      </c>
      <c r="AL56" s="127">
        <v>0.9563636363636363</v>
      </c>
      <c r="AM56" s="127">
        <v>0.9563636363636363</v>
      </c>
      <c r="AN56" s="127">
        <v>0.9563636363636363</v>
      </c>
      <c r="AO56" s="127">
        <v>0.97272727272727266</v>
      </c>
      <c r="AP56" s="127">
        <v>0.97272727272727266</v>
      </c>
      <c r="AQ56" s="127">
        <v>0.98909090909090902</v>
      </c>
      <c r="AR56" s="127">
        <v>1</v>
      </c>
      <c r="AS56" s="127">
        <v>1</v>
      </c>
      <c r="AT56" s="127">
        <v>1</v>
      </c>
      <c r="AU56" s="127">
        <v>1</v>
      </c>
      <c r="AV56" s="127">
        <v>1</v>
      </c>
      <c r="AW56" s="127">
        <v>1</v>
      </c>
      <c r="AX56" s="127">
        <v>1</v>
      </c>
      <c r="AY56" s="127">
        <v>1</v>
      </c>
      <c r="AZ56" s="127">
        <v>1</v>
      </c>
      <c r="BA56" s="127">
        <v>1</v>
      </c>
      <c r="BB56" s="127">
        <v>1</v>
      </c>
      <c r="BC56" s="127">
        <v>1</v>
      </c>
      <c r="BD56" s="127">
        <v>1</v>
      </c>
      <c r="BE56" s="127">
        <v>1</v>
      </c>
      <c r="BF56" s="127">
        <v>1</v>
      </c>
      <c r="BG56" s="163">
        <v>1</v>
      </c>
      <c r="BH56" s="163">
        <v>1</v>
      </c>
      <c r="BI56" s="127">
        <v>1</v>
      </c>
      <c r="BJ56" s="127">
        <v>1</v>
      </c>
      <c r="BK56" s="127">
        <v>1</v>
      </c>
      <c r="BL56" s="127">
        <v>1</v>
      </c>
      <c r="BM56" s="127">
        <v>1</v>
      </c>
      <c r="BN56" s="127">
        <v>1</v>
      </c>
      <c r="BO56" s="127">
        <v>1</v>
      </c>
      <c r="BP56" s="127">
        <v>1</v>
      </c>
      <c r="BQ56" s="127">
        <v>1</v>
      </c>
      <c r="BR56" s="127">
        <v>1</v>
      </c>
      <c r="BS56" s="127">
        <v>1</v>
      </c>
      <c r="BT56" s="127">
        <v>1</v>
      </c>
      <c r="BU56" s="127">
        <v>1</v>
      </c>
      <c r="BV56" s="127">
        <v>1</v>
      </c>
      <c r="BW56" s="127">
        <v>1</v>
      </c>
      <c r="BX56" s="127">
        <v>1</v>
      </c>
      <c r="BY56" s="127">
        <v>1</v>
      </c>
      <c r="BZ56" s="127">
        <v>1</v>
      </c>
      <c r="CA56" s="127">
        <v>1</v>
      </c>
      <c r="CB56" s="127">
        <v>1</v>
      </c>
      <c r="CC56" s="127">
        <v>1</v>
      </c>
      <c r="CD56" s="127">
        <v>1</v>
      </c>
      <c r="CE56" s="127">
        <v>1</v>
      </c>
      <c r="CF56" s="127">
        <v>1</v>
      </c>
      <c r="CG56" s="127">
        <v>1</v>
      </c>
      <c r="CH56" s="127">
        <v>1</v>
      </c>
      <c r="CI56" s="127">
        <v>1</v>
      </c>
      <c r="CJ56" s="127">
        <v>1</v>
      </c>
      <c r="CK56" s="127">
        <v>1</v>
      </c>
      <c r="CL56" s="127">
        <v>1</v>
      </c>
      <c r="CM56" s="127">
        <v>1</v>
      </c>
      <c r="CN56" s="127">
        <v>1</v>
      </c>
      <c r="CO56" s="127">
        <v>1</v>
      </c>
      <c r="CP56" s="127">
        <v>1</v>
      </c>
      <c r="CQ56" s="127">
        <v>1</v>
      </c>
      <c r="CR56" s="127">
        <v>1</v>
      </c>
      <c r="CS56" s="127">
        <v>1</v>
      </c>
      <c r="CT56" s="127">
        <v>1</v>
      </c>
      <c r="CU56" s="127">
        <v>1</v>
      </c>
      <c r="CV56" s="127">
        <v>1</v>
      </c>
      <c r="CW56" s="127">
        <v>1</v>
      </c>
      <c r="CX56" s="127">
        <v>1</v>
      </c>
      <c r="CY56" s="127">
        <v>1</v>
      </c>
      <c r="CZ56" s="127">
        <v>1</v>
      </c>
      <c r="DA56" s="127">
        <v>1</v>
      </c>
      <c r="DB56" s="127">
        <v>1</v>
      </c>
      <c r="DC56" s="127">
        <v>1</v>
      </c>
      <c r="DD56" s="127">
        <v>1</v>
      </c>
      <c r="DE56" s="127">
        <v>1</v>
      </c>
      <c r="DF56" s="127">
        <v>1</v>
      </c>
      <c r="DG56" s="127">
        <v>1</v>
      </c>
      <c r="DH56" s="127">
        <v>1</v>
      </c>
      <c r="DI56" s="127">
        <v>1</v>
      </c>
      <c r="DJ56" s="127">
        <v>1</v>
      </c>
      <c r="DK56" s="127">
        <v>1</v>
      </c>
      <c r="DL56" s="127">
        <v>1</v>
      </c>
      <c r="DM56" s="127">
        <v>1</v>
      </c>
      <c r="DN56" s="127">
        <v>1</v>
      </c>
      <c r="DO56" s="127">
        <v>1</v>
      </c>
      <c r="DP56" s="127">
        <v>1</v>
      </c>
      <c r="DQ56" s="127">
        <v>1</v>
      </c>
      <c r="DR56" s="127">
        <v>1</v>
      </c>
      <c r="DS56" s="127">
        <v>1</v>
      </c>
      <c r="DT56" s="127">
        <v>1</v>
      </c>
      <c r="DU56" s="127">
        <v>1</v>
      </c>
      <c r="DV56" s="127">
        <v>1</v>
      </c>
      <c r="DW56" s="127">
        <v>1</v>
      </c>
      <c r="DX56" s="127">
        <v>1</v>
      </c>
      <c r="DY56" s="127">
        <v>1</v>
      </c>
      <c r="DZ56" s="127">
        <v>1</v>
      </c>
      <c r="EA56" s="127">
        <v>1</v>
      </c>
      <c r="EB56" s="127">
        <v>1</v>
      </c>
      <c r="EC56" s="127">
        <v>1</v>
      </c>
      <c r="ED56" s="127">
        <v>1</v>
      </c>
      <c r="EE56" s="127">
        <v>1</v>
      </c>
      <c r="EF56" s="127">
        <v>1</v>
      </c>
      <c r="EG56" s="127">
        <v>1</v>
      </c>
      <c r="EH56" s="127">
        <v>1</v>
      </c>
      <c r="EI56" s="127">
        <v>1</v>
      </c>
    </row>
    <row r="57" spans="2:139" ht="15" hidden="1" customHeight="1" outlineLevel="3" x14ac:dyDescent="0.3">
      <c r="B57" s="29"/>
      <c r="C57" s="30"/>
      <c r="D57" s="30"/>
      <c r="E57" s="52" t="s">
        <v>61</v>
      </c>
      <c r="F57" s="33">
        <v>30</v>
      </c>
      <c r="G57" s="35">
        <v>6.7000000000000004E-2</v>
      </c>
      <c r="H57" s="162"/>
      <c r="I57" s="127">
        <v>0</v>
      </c>
      <c r="J57" s="127">
        <v>0</v>
      </c>
      <c r="K57" s="127">
        <v>1.0643015521064302E-3</v>
      </c>
      <c r="L57" s="127">
        <v>1.7738359201773836E-3</v>
      </c>
      <c r="M57" s="127">
        <v>2.8381374722838137E-3</v>
      </c>
      <c r="N57" s="127">
        <v>3.5476718403547672E-3</v>
      </c>
      <c r="O57" s="127">
        <v>5.3215077605321508E-3</v>
      </c>
      <c r="P57" s="127">
        <v>1.5410199556541019E-2</v>
      </c>
      <c r="Q57" s="127">
        <v>0.770509977827051</v>
      </c>
      <c r="R57" s="127">
        <v>0.85864745011086474</v>
      </c>
      <c r="S57" s="127">
        <v>0.78</v>
      </c>
      <c r="T57" s="127">
        <v>0.78749999999999998</v>
      </c>
      <c r="U57" s="127">
        <v>0.79500000000000004</v>
      </c>
      <c r="V57" s="127">
        <v>0.80249999999999999</v>
      </c>
      <c r="W57" s="127">
        <v>0.80249999999999999</v>
      </c>
      <c r="X57" s="127">
        <v>0.80249999999999999</v>
      </c>
      <c r="Y57" s="127">
        <v>0.80249999999999999</v>
      </c>
      <c r="Z57" s="127">
        <v>0.80249999999999999</v>
      </c>
      <c r="AA57" s="127">
        <v>0.80249999999999999</v>
      </c>
      <c r="AB57" s="127">
        <v>0.80249999999999999</v>
      </c>
      <c r="AC57" s="127">
        <v>0.80249999999999999</v>
      </c>
      <c r="AD57" s="127">
        <v>0.80249999999999999</v>
      </c>
      <c r="AE57" s="127">
        <v>0.80249999999999999</v>
      </c>
      <c r="AF57" s="127">
        <v>0.80249999999999999</v>
      </c>
      <c r="AG57" s="127">
        <v>0.84250000000000003</v>
      </c>
      <c r="AH57" s="127">
        <v>0.96000000000000008</v>
      </c>
      <c r="AI57" s="127">
        <v>0.96000000000000008</v>
      </c>
      <c r="AJ57" s="127">
        <v>0.96000000000000008</v>
      </c>
      <c r="AK57" s="127">
        <v>0.97</v>
      </c>
      <c r="AL57" s="127">
        <v>0.98000000000000009</v>
      </c>
      <c r="AM57" s="127">
        <v>0.98000000000000009</v>
      </c>
      <c r="AN57" s="127">
        <v>1</v>
      </c>
      <c r="AO57" s="127">
        <v>1</v>
      </c>
      <c r="AP57" s="127">
        <v>1</v>
      </c>
      <c r="AQ57" s="127">
        <v>1</v>
      </c>
      <c r="AR57" s="127">
        <v>1</v>
      </c>
      <c r="AS57" s="127">
        <v>1</v>
      </c>
      <c r="AT57" s="127">
        <v>1</v>
      </c>
      <c r="AU57" s="127">
        <v>1</v>
      </c>
      <c r="AV57" s="127">
        <v>1</v>
      </c>
      <c r="AW57" s="127">
        <v>1</v>
      </c>
      <c r="AX57" s="127">
        <v>1</v>
      </c>
      <c r="AY57" s="127">
        <v>1</v>
      </c>
      <c r="AZ57" s="127">
        <v>1</v>
      </c>
      <c r="BA57" s="127">
        <v>1</v>
      </c>
      <c r="BB57" s="127">
        <v>1</v>
      </c>
      <c r="BC57" s="127">
        <v>1</v>
      </c>
      <c r="BD57" s="127">
        <v>1</v>
      </c>
      <c r="BE57" s="127">
        <v>1</v>
      </c>
      <c r="BF57" s="127">
        <v>1</v>
      </c>
      <c r="BG57" s="163">
        <v>1</v>
      </c>
      <c r="BH57" s="163">
        <v>1</v>
      </c>
      <c r="BI57" s="127">
        <v>1</v>
      </c>
      <c r="BJ57" s="127">
        <v>1</v>
      </c>
      <c r="BK57" s="127">
        <v>1</v>
      </c>
      <c r="BL57" s="127">
        <v>1</v>
      </c>
      <c r="BM57" s="127">
        <v>1</v>
      </c>
      <c r="BN57" s="127">
        <v>1</v>
      </c>
      <c r="BO57" s="127">
        <v>1</v>
      </c>
      <c r="BP57" s="127">
        <v>1</v>
      </c>
      <c r="BQ57" s="127">
        <v>1</v>
      </c>
      <c r="BR57" s="127">
        <v>1</v>
      </c>
      <c r="BS57" s="127">
        <v>1</v>
      </c>
      <c r="BT57" s="127">
        <v>1</v>
      </c>
      <c r="BU57" s="127">
        <v>1</v>
      </c>
      <c r="BV57" s="127">
        <v>1</v>
      </c>
      <c r="BW57" s="127">
        <v>1</v>
      </c>
      <c r="BX57" s="127">
        <v>1</v>
      </c>
      <c r="BY57" s="127">
        <v>1</v>
      </c>
      <c r="BZ57" s="127">
        <v>1</v>
      </c>
      <c r="CA57" s="127">
        <v>1</v>
      </c>
      <c r="CB57" s="127">
        <v>1</v>
      </c>
      <c r="CC57" s="127">
        <v>1</v>
      </c>
      <c r="CD57" s="127">
        <v>1</v>
      </c>
      <c r="CE57" s="127">
        <v>1</v>
      </c>
      <c r="CF57" s="127">
        <v>1</v>
      </c>
      <c r="CG57" s="127">
        <v>1</v>
      </c>
      <c r="CH57" s="127">
        <v>1</v>
      </c>
      <c r="CI57" s="127">
        <v>1</v>
      </c>
      <c r="CJ57" s="127">
        <v>1</v>
      </c>
      <c r="CK57" s="127">
        <v>1</v>
      </c>
      <c r="CL57" s="127">
        <v>1</v>
      </c>
      <c r="CM57" s="127">
        <v>1</v>
      </c>
      <c r="CN57" s="127">
        <v>1</v>
      </c>
      <c r="CO57" s="127">
        <v>1</v>
      </c>
      <c r="CP57" s="127">
        <v>1</v>
      </c>
      <c r="CQ57" s="127">
        <v>1</v>
      </c>
      <c r="CR57" s="127">
        <v>1</v>
      </c>
      <c r="CS57" s="127">
        <v>1</v>
      </c>
      <c r="CT57" s="127">
        <v>1</v>
      </c>
      <c r="CU57" s="127">
        <v>1</v>
      </c>
      <c r="CV57" s="127">
        <v>1</v>
      </c>
      <c r="CW57" s="127">
        <v>1</v>
      </c>
      <c r="CX57" s="127">
        <v>1</v>
      </c>
      <c r="CY57" s="127">
        <v>1</v>
      </c>
      <c r="CZ57" s="127">
        <v>1</v>
      </c>
      <c r="DA57" s="127">
        <v>1</v>
      </c>
      <c r="DB57" s="127">
        <v>1</v>
      </c>
      <c r="DC57" s="127">
        <v>1</v>
      </c>
      <c r="DD57" s="127">
        <v>1</v>
      </c>
      <c r="DE57" s="127">
        <v>1</v>
      </c>
      <c r="DF57" s="127">
        <v>1</v>
      </c>
      <c r="DG57" s="127">
        <v>1</v>
      </c>
      <c r="DH57" s="127">
        <v>1</v>
      </c>
      <c r="DI57" s="127">
        <v>1</v>
      </c>
      <c r="DJ57" s="127">
        <v>1</v>
      </c>
      <c r="DK57" s="127">
        <v>1</v>
      </c>
      <c r="DL57" s="127">
        <v>1</v>
      </c>
      <c r="DM57" s="127">
        <v>1</v>
      </c>
      <c r="DN57" s="127">
        <v>1</v>
      </c>
      <c r="DO57" s="127">
        <v>1</v>
      </c>
      <c r="DP57" s="127">
        <v>1</v>
      </c>
      <c r="DQ57" s="127">
        <v>1</v>
      </c>
      <c r="DR57" s="127">
        <v>1</v>
      </c>
      <c r="DS57" s="127">
        <v>1</v>
      </c>
      <c r="DT57" s="127">
        <v>1</v>
      </c>
      <c r="DU57" s="127">
        <v>1</v>
      </c>
      <c r="DV57" s="127">
        <v>1</v>
      </c>
      <c r="DW57" s="127">
        <v>1</v>
      </c>
      <c r="DX57" s="127">
        <v>1</v>
      </c>
      <c r="DY57" s="127">
        <v>1</v>
      </c>
      <c r="DZ57" s="127">
        <v>1</v>
      </c>
      <c r="EA57" s="127">
        <v>1</v>
      </c>
      <c r="EB57" s="127">
        <v>1</v>
      </c>
      <c r="EC57" s="127">
        <v>1</v>
      </c>
      <c r="ED57" s="127">
        <v>1</v>
      </c>
      <c r="EE57" s="127">
        <v>1</v>
      </c>
      <c r="EF57" s="127">
        <v>1</v>
      </c>
      <c r="EG57" s="127">
        <v>1</v>
      </c>
      <c r="EH57" s="127">
        <v>1</v>
      </c>
      <c r="EI57" s="127">
        <v>1</v>
      </c>
    </row>
    <row r="58" spans="2:139" ht="28.95" hidden="1" customHeight="1" outlineLevel="3" x14ac:dyDescent="0.3">
      <c r="B58" s="29"/>
      <c r="C58" s="30"/>
      <c r="D58" s="30"/>
      <c r="E58" s="52" t="s">
        <v>62</v>
      </c>
      <c r="F58" s="33"/>
      <c r="G58" s="35">
        <v>6.7000000000000004E-2</v>
      </c>
      <c r="H58" s="162"/>
      <c r="I58" s="127">
        <v>0</v>
      </c>
      <c r="J58" s="127">
        <v>1.3400335008375208E-3</v>
      </c>
      <c r="K58" s="127">
        <v>4.0201005025125624E-3</v>
      </c>
      <c r="L58" s="127">
        <v>6.3651591289782247E-2</v>
      </c>
      <c r="M58" s="127">
        <v>0.12730318257956449</v>
      </c>
      <c r="N58" s="127">
        <v>0.16147403685092127</v>
      </c>
      <c r="O58" s="127">
        <v>0.25494137353433838</v>
      </c>
      <c r="P58" s="127">
        <v>0.32654941373534341</v>
      </c>
      <c r="Q58" s="127">
        <v>0.59547738693467345</v>
      </c>
      <c r="R58" s="127">
        <v>0.60175879396984921</v>
      </c>
      <c r="S58" s="127">
        <v>0.74204355108877718</v>
      </c>
      <c r="T58" s="127">
        <v>0.77763819095477382</v>
      </c>
      <c r="U58" s="127">
        <v>0.82328308207705192</v>
      </c>
      <c r="V58" s="127">
        <v>0.89824120603015079</v>
      </c>
      <c r="W58" s="127">
        <v>0.99999999999999978</v>
      </c>
      <c r="X58" s="127">
        <v>0.99999999999999978</v>
      </c>
      <c r="Y58" s="127">
        <v>0.99999999999999978</v>
      </c>
      <c r="Z58" s="127">
        <v>0.99999999999999978</v>
      </c>
      <c r="AA58" s="127">
        <v>0.99999999999999978</v>
      </c>
      <c r="AB58" s="127">
        <v>0.99999999999999978</v>
      </c>
      <c r="AC58" s="127">
        <v>0.99999999999999978</v>
      </c>
      <c r="AD58" s="127">
        <v>0.99999999999999978</v>
      </c>
      <c r="AE58" s="127">
        <v>0.99999999999999978</v>
      </c>
      <c r="AF58" s="127">
        <v>0.99999999999999978</v>
      </c>
      <c r="AG58" s="127">
        <v>0.99999999999999978</v>
      </c>
      <c r="AH58" s="127">
        <v>0.99999999999999978</v>
      </c>
      <c r="AI58" s="127">
        <v>0.99999999999999978</v>
      </c>
      <c r="AJ58" s="127">
        <v>0.99999999999999978</v>
      </c>
      <c r="AK58" s="127">
        <v>0.99999999999999978</v>
      </c>
      <c r="AL58" s="127">
        <v>0.99999999999999978</v>
      </c>
      <c r="AM58" s="127">
        <v>0.99999999999999978</v>
      </c>
      <c r="AN58" s="127">
        <v>1</v>
      </c>
      <c r="AO58" s="127">
        <v>1</v>
      </c>
      <c r="AP58" s="127">
        <v>1</v>
      </c>
      <c r="AQ58" s="127">
        <v>1</v>
      </c>
      <c r="AR58" s="127">
        <v>1</v>
      </c>
      <c r="AS58" s="127">
        <v>1</v>
      </c>
      <c r="AT58" s="127">
        <v>1</v>
      </c>
      <c r="AU58" s="127">
        <v>1</v>
      </c>
      <c r="AV58" s="127">
        <v>1</v>
      </c>
      <c r="AW58" s="127">
        <v>1</v>
      </c>
      <c r="AX58" s="127">
        <v>1</v>
      </c>
      <c r="AY58" s="127">
        <v>1</v>
      </c>
      <c r="AZ58" s="127">
        <v>1</v>
      </c>
      <c r="BA58" s="127">
        <v>1</v>
      </c>
      <c r="BB58" s="127">
        <v>1</v>
      </c>
      <c r="BC58" s="127">
        <v>1</v>
      </c>
      <c r="BD58" s="127">
        <v>1</v>
      </c>
      <c r="BE58" s="127">
        <v>1</v>
      </c>
      <c r="BF58" s="127">
        <v>1</v>
      </c>
      <c r="BG58" s="163">
        <v>1</v>
      </c>
      <c r="BH58" s="163">
        <v>1</v>
      </c>
      <c r="BI58" s="127">
        <v>1</v>
      </c>
      <c r="BJ58" s="127">
        <v>1</v>
      </c>
      <c r="BK58" s="127">
        <v>1</v>
      </c>
      <c r="BL58" s="127">
        <v>1</v>
      </c>
      <c r="BM58" s="127">
        <v>1</v>
      </c>
      <c r="BN58" s="127">
        <v>1</v>
      </c>
      <c r="BO58" s="127">
        <v>1</v>
      </c>
      <c r="BP58" s="127">
        <v>1</v>
      </c>
      <c r="BQ58" s="127">
        <v>1</v>
      </c>
      <c r="BR58" s="127">
        <v>1</v>
      </c>
      <c r="BS58" s="127">
        <v>1</v>
      </c>
      <c r="BT58" s="127">
        <v>1</v>
      </c>
      <c r="BU58" s="127">
        <v>1</v>
      </c>
      <c r="BV58" s="127">
        <v>1</v>
      </c>
      <c r="BW58" s="127">
        <v>1</v>
      </c>
      <c r="BX58" s="127">
        <v>1</v>
      </c>
      <c r="BY58" s="127">
        <v>1</v>
      </c>
      <c r="BZ58" s="127">
        <v>1</v>
      </c>
      <c r="CA58" s="127">
        <v>1</v>
      </c>
      <c r="CB58" s="127">
        <v>1</v>
      </c>
      <c r="CC58" s="127">
        <v>1</v>
      </c>
      <c r="CD58" s="127">
        <v>1</v>
      </c>
      <c r="CE58" s="127">
        <v>1</v>
      </c>
      <c r="CF58" s="127">
        <v>1</v>
      </c>
      <c r="CG58" s="127">
        <v>1</v>
      </c>
      <c r="CH58" s="127">
        <v>1</v>
      </c>
      <c r="CI58" s="127">
        <v>1</v>
      </c>
      <c r="CJ58" s="127">
        <v>1</v>
      </c>
      <c r="CK58" s="127">
        <v>1</v>
      </c>
      <c r="CL58" s="127">
        <v>1</v>
      </c>
      <c r="CM58" s="127">
        <v>1</v>
      </c>
      <c r="CN58" s="127">
        <v>1</v>
      </c>
      <c r="CO58" s="127">
        <v>1</v>
      </c>
      <c r="CP58" s="127">
        <v>1</v>
      </c>
      <c r="CQ58" s="127">
        <v>1</v>
      </c>
      <c r="CR58" s="127">
        <v>1</v>
      </c>
      <c r="CS58" s="127">
        <v>1</v>
      </c>
      <c r="CT58" s="127">
        <v>1</v>
      </c>
      <c r="CU58" s="127">
        <v>1</v>
      </c>
      <c r="CV58" s="127">
        <v>1</v>
      </c>
      <c r="CW58" s="127">
        <v>1</v>
      </c>
      <c r="CX58" s="127">
        <v>1</v>
      </c>
      <c r="CY58" s="127">
        <v>1</v>
      </c>
      <c r="CZ58" s="127">
        <v>1</v>
      </c>
      <c r="DA58" s="127">
        <v>1</v>
      </c>
      <c r="DB58" s="127">
        <v>1</v>
      </c>
      <c r="DC58" s="127">
        <v>1</v>
      </c>
      <c r="DD58" s="127">
        <v>1</v>
      </c>
      <c r="DE58" s="127">
        <v>1</v>
      </c>
      <c r="DF58" s="127">
        <v>1</v>
      </c>
      <c r="DG58" s="127">
        <v>1</v>
      </c>
      <c r="DH58" s="127">
        <v>1</v>
      </c>
      <c r="DI58" s="127">
        <v>1</v>
      </c>
      <c r="DJ58" s="127">
        <v>1</v>
      </c>
      <c r="DK58" s="127">
        <v>1</v>
      </c>
      <c r="DL58" s="127">
        <v>1</v>
      </c>
      <c r="DM58" s="127">
        <v>1</v>
      </c>
      <c r="DN58" s="127">
        <v>1</v>
      </c>
      <c r="DO58" s="127">
        <v>1</v>
      </c>
      <c r="DP58" s="127">
        <v>1</v>
      </c>
      <c r="DQ58" s="127">
        <v>1</v>
      </c>
      <c r="DR58" s="127">
        <v>1</v>
      </c>
      <c r="DS58" s="127">
        <v>1</v>
      </c>
      <c r="DT58" s="127">
        <v>1</v>
      </c>
      <c r="DU58" s="127">
        <v>1</v>
      </c>
      <c r="DV58" s="127">
        <v>1</v>
      </c>
      <c r="DW58" s="127">
        <v>1</v>
      </c>
      <c r="DX58" s="127">
        <v>1</v>
      </c>
      <c r="DY58" s="127">
        <v>1</v>
      </c>
      <c r="DZ58" s="127">
        <v>1</v>
      </c>
      <c r="EA58" s="127">
        <v>1</v>
      </c>
      <c r="EB58" s="127">
        <v>1</v>
      </c>
      <c r="EC58" s="127">
        <v>1</v>
      </c>
      <c r="ED58" s="127">
        <v>1</v>
      </c>
      <c r="EE58" s="127">
        <v>1</v>
      </c>
      <c r="EF58" s="127">
        <v>1</v>
      </c>
      <c r="EG58" s="127">
        <v>1</v>
      </c>
      <c r="EH58" s="127">
        <v>1</v>
      </c>
      <c r="EI58" s="127">
        <v>1</v>
      </c>
    </row>
    <row r="59" spans="2:139" ht="15" outlineLevel="2" collapsed="1" x14ac:dyDescent="0.3">
      <c r="B59" s="22"/>
      <c r="C59" s="23"/>
      <c r="D59" s="23" t="s">
        <v>63</v>
      </c>
      <c r="E59" s="50"/>
      <c r="F59" s="26">
        <f>+SUM(F60:F72)</f>
        <v>500</v>
      </c>
      <c r="G59" s="28">
        <v>9.3701133352485519E-2</v>
      </c>
      <c r="H59" s="160"/>
      <c r="I59" s="28">
        <f t="shared" ref="I59:BD59" si="452">+SUMPRODUCT($G$60:$G$72,I60:I72)</f>
        <v>0</v>
      </c>
      <c r="J59" s="28">
        <f t="shared" si="452"/>
        <v>0</v>
      </c>
      <c r="K59" s="28">
        <f t="shared" si="452"/>
        <v>0</v>
      </c>
      <c r="L59" s="28">
        <f t="shared" si="452"/>
        <v>0</v>
      </c>
      <c r="M59" s="64">
        <f t="shared" si="452"/>
        <v>0</v>
      </c>
      <c r="N59" s="64">
        <f t="shared" si="452"/>
        <v>0</v>
      </c>
      <c r="O59" s="28">
        <f t="shared" si="452"/>
        <v>0</v>
      </c>
      <c r="P59" s="28">
        <f t="shared" si="452"/>
        <v>0</v>
      </c>
      <c r="Q59" s="28">
        <f t="shared" si="452"/>
        <v>0</v>
      </c>
      <c r="R59" s="28">
        <f t="shared" si="452"/>
        <v>0</v>
      </c>
      <c r="S59" s="28">
        <f t="shared" si="452"/>
        <v>1.0640394088669951E-2</v>
      </c>
      <c r="T59" s="28">
        <f t="shared" si="452"/>
        <v>1.5546798029556651E-2</v>
      </c>
      <c r="U59" s="28">
        <f t="shared" si="452"/>
        <v>2.8480788177339903E-2</v>
      </c>
      <c r="V59" s="28">
        <f t="shared" si="452"/>
        <v>3.712665571975917E-2</v>
      </c>
      <c r="W59" s="28">
        <f t="shared" si="452"/>
        <v>5.0091472359058566E-2</v>
      </c>
      <c r="X59" s="28">
        <f t="shared" si="452"/>
        <v>7.8190607553366182E-2</v>
      </c>
      <c r="Y59" s="28">
        <f t="shared" si="452"/>
        <v>9.0715413956509949E-2</v>
      </c>
      <c r="Z59" s="28">
        <f t="shared" si="452"/>
        <v>0.10745476612941796</v>
      </c>
      <c r="AA59" s="28">
        <f t="shared" si="452"/>
        <v>0.12754312286774436</v>
      </c>
      <c r="AB59" s="28">
        <f t="shared" si="452"/>
        <v>0.16211811564398107</v>
      </c>
      <c r="AC59" s="28">
        <f t="shared" si="452"/>
        <v>0.19573400214421222</v>
      </c>
      <c r="AD59" s="28">
        <f t="shared" si="452"/>
        <v>0.22375707773367132</v>
      </c>
      <c r="AE59" s="28">
        <f t="shared" si="452"/>
        <v>0.2726243533086623</v>
      </c>
      <c r="AF59" s="28">
        <f t="shared" si="452"/>
        <v>0.29726693757413347</v>
      </c>
      <c r="AG59" s="28">
        <f t="shared" si="452"/>
        <v>0.31094027149321268</v>
      </c>
      <c r="AH59" s="28">
        <f t="shared" si="452"/>
        <v>0.32849290076000531</v>
      </c>
      <c r="AI59" s="28">
        <f t="shared" si="452"/>
        <v>0.32849290076000531</v>
      </c>
      <c r="AJ59" s="28">
        <f t="shared" si="452"/>
        <v>0.32849290076000531</v>
      </c>
      <c r="AK59" s="28">
        <f t="shared" si="452"/>
        <v>0.33318430347493744</v>
      </c>
      <c r="AL59" s="28">
        <f t="shared" si="452"/>
        <v>0.34159041866186357</v>
      </c>
      <c r="AM59" s="28">
        <f t="shared" si="452"/>
        <v>0.36162118789263281</v>
      </c>
      <c r="AN59" s="28">
        <f t="shared" si="452"/>
        <v>0.38770643379427211</v>
      </c>
      <c r="AO59" s="28">
        <f t="shared" si="452"/>
        <v>0.4261064337942721</v>
      </c>
      <c r="AP59" s="28">
        <f t="shared" si="452"/>
        <v>0.46322819278913219</v>
      </c>
      <c r="AQ59" s="28">
        <f t="shared" si="452"/>
        <v>0.47906936925972043</v>
      </c>
      <c r="AR59" s="28">
        <f t="shared" si="452"/>
        <v>0.48471217908267877</v>
      </c>
      <c r="AS59" s="28">
        <f t="shared" si="452"/>
        <v>0.48574982614150231</v>
      </c>
      <c r="AT59" s="28">
        <f t="shared" si="452"/>
        <v>0.49184622320032578</v>
      </c>
      <c r="AU59" s="28">
        <f t="shared" si="452"/>
        <v>0.50935492418071793</v>
      </c>
      <c r="AV59" s="28">
        <f t="shared" si="452"/>
        <v>0.53979186111765487</v>
      </c>
      <c r="AW59" s="28">
        <f t="shared" si="452"/>
        <v>0.55011808782980398</v>
      </c>
      <c r="AX59" s="28">
        <f t="shared" si="452"/>
        <v>0.57273892225646361</v>
      </c>
      <c r="AY59" s="28">
        <f t="shared" si="452"/>
        <v>0.57273892225646361</v>
      </c>
      <c r="AZ59" s="28">
        <f t="shared" si="452"/>
        <v>0.58748131270516468</v>
      </c>
      <c r="BA59" s="28">
        <f t="shared" si="452"/>
        <v>0.6100391715348682</v>
      </c>
      <c r="BB59" s="28">
        <f t="shared" si="452"/>
        <v>0.62574047000898214</v>
      </c>
      <c r="BC59" s="28">
        <f t="shared" si="452"/>
        <v>0.67036028982880214</v>
      </c>
      <c r="BD59" s="28">
        <f t="shared" si="452"/>
        <v>0.69085135844156598</v>
      </c>
      <c r="BE59" s="28">
        <f t="shared" ref="BE59:BF59" si="453">+SUMPRODUCT($G$60:$G$72,BE60:BE72)</f>
        <v>0.70473453194242275</v>
      </c>
      <c r="BF59" s="28">
        <f t="shared" si="453"/>
        <v>0.73525880378708297</v>
      </c>
      <c r="BG59" s="161">
        <f t="shared" ref="BG59:BH59" si="454">+SUMPRODUCT($G$60:$G$72,BG60:BG72)</f>
        <v>0.76632432276491269</v>
      </c>
      <c r="BH59" s="161">
        <f t="shared" si="454"/>
        <v>0.7701501253030113</v>
      </c>
      <c r="BI59" s="28">
        <f t="shared" ref="BI59:BJ59" si="455">+SUMPRODUCT($G$60:$G$72,BI60:BI72)</f>
        <v>0.80981709159985205</v>
      </c>
      <c r="BJ59" s="28">
        <f t="shared" si="455"/>
        <v>0.83897273263951877</v>
      </c>
      <c r="BK59" s="28">
        <f t="shared" ref="BK59:BL59" si="456">+SUMPRODUCT($G$60:$G$72,BK60:BK72)</f>
        <v>0.85924826694693468</v>
      </c>
      <c r="BL59" s="28">
        <f t="shared" si="456"/>
        <v>0.87652622838312755</v>
      </c>
      <c r="BM59" s="28">
        <f t="shared" ref="BM59:BN59" si="457">+SUMPRODUCT($G$60:$G$72,BM60:BM72)</f>
        <v>0.90383264007211894</v>
      </c>
      <c r="BN59" s="28">
        <f t="shared" si="457"/>
        <v>0.92118705809783352</v>
      </c>
      <c r="BO59" s="28">
        <f t="shared" ref="BO59:BP59" si="458">+SUMPRODUCT($G$60:$G$72,BO60:BO72)</f>
        <v>0.93563436286876389</v>
      </c>
      <c r="BP59" s="28">
        <f t="shared" si="458"/>
        <v>0.94640370896984016</v>
      </c>
      <c r="BQ59" s="28">
        <f t="shared" ref="BQ59:BR59" si="459">+SUMPRODUCT($G$60:$G$72,BQ60:BQ72)</f>
        <v>0.95547334220369085</v>
      </c>
      <c r="BR59" s="28">
        <f t="shared" si="459"/>
        <v>0.96104603771564989</v>
      </c>
      <c r="BS59" s="28">
        <f t="shared" ref="BS59:BT59" si="460">+SUMPRODUCT($G$60:$G$72,BS60:BS72)</f>
        <v>0.96104603771564989</v>
      </c>
      <c r="BT59" s="28">
        <f t="shared" si="460"/>
        <v>0.96206714555198847</v>
      </c>
      <c r="BU59" s="28">
        <f t="shared" ref="BU59:BV59" si="461">+SUMPRODUCT($G$60:$G$72,BU60:BU72)</f>
        <v>0.96346398271080624</v>
      </c>
      <c r="BV59" s="28">
        <f t="shared" si="461"/>
        <v>0.96433471638454971</v>
      </c>
      <c r="BW59" s="28">
        <f t="shared" ref="BW59:BX59" si="462">+SUMPRODUCT($G$60:$G$72,BW60:BW72)</f>
        <v>0.96433471638454971</v>
      </c>
      <c r="BX59" s="28">
        <f t="shared" si="462"/>
        <v>0.96433471638454971</v>
      </c>
      <c r="BY59" s="28">
        <f t="shared" ref="BY59:BZ59" si="463">+SUMPRODUCT($G$60:$G$72,BY60:BY72)</f>
        <v>0.96433471638454971</v>
      </c>
      <c r="BZ59" s="28">
        <f t="shared" si="463"/>
        <v>0.96433471638454971</v>
      </c>
      <c r="CA59" s="28">
        <f t="shared" ref="CA59:CB59" si="464">+SUMPRODUCT($G$60:$G$72,CA60:CA72)</f>
        <v>0.96433471638454971</v>
      </c>
      <c r="CB59" s="28">
        <f t="shared" si="464"/>
        <v>0.96433471638454971</v>
      </c>
      <c r="CC59" s="28">
        <f t="shared" ref="CC59:CD59" si="465">+SUMPRODUCT($G$60:$G$72,CC60:CC72)</f>
        <v>0.99384781553398049</v>
      </c>
      <c r="CD59" s="28">
        <f t="shared" si="465"/>
        <v>0.99384781553398049</v>
      </c>
      <c r="CE59" s="28">
        <f t="shared" ref="CE59" si="466">+SUMPRODUCT($G$60:$G$72,CE60:CE72)</f>
        <v>0.99384781553398049</v>
      </c>
      <c r="CF59" s="28">
        <f t="shared" ref="CF59" si="467">+SUMPRODUCT($G$60:$G$72,CF60:CF72)</f>
        <v>0.99384781553398049</v>
      </c>
      <c r="CG59" s="28">
        <f t="shared" ref="CG59" si="468">+SUMPRODUCT($G$60:$G$72,CG60:CG72)</f>
        <v>0.99384781553398049</v>
      </c>
      <c r="CH59" s="28">
        <f t="shared" ref="CH59" si="469">+SUMPRODUCT($G$60:$G$72,CH60:CH72)</f>
        <v>0.99384781553398049</v>
      </c>
      <c r="CI59" s="28">
        <f t="shared" ref="CI59" si="470">+SUMPRODUCT($G$60:$G$72,CI60:CI72)</f>
        <v>0.99384781553398049</v>
      </c>
      <c r="CJ59" s="28">
        <f t="shared" ref="CJ59:CK59" si="471">+SUMPRODUCT($G$60:$G$72,CJ60:CJ72)</f>
        <v>0.99384781553398049</v>
      </c>
      <c r="CK59" s="28">
        <f t="shared" si="471"/>
        <v>0.99384781553398049</v>
      </c>
      <c r="CL59" s="28">
        <f t="shared" ref="CL59:CV59" si="472">+SUMPRODUCT($G$60:$G$72,CL60:CL72)</f>
        <v>0.99384781553398049</v>
      </c>
      <c r="CM59" s="28">
        <f t="shared" si="472"/>
        <v>0.99384781553398049</v>
      </c>
      <c r="CN59" s="28">
        <f t="shared" si="472"/>
        <v>0.99384781553398049</v>
      </c>
      <c r="CO59" s="28">
        <f t="shared" si="472"/>
        <v>0.99384781553398049</v>
      </c>
      <c r="CP59" s="28">
        <f t="shared" si="472"/>
        <v>0.99384781553398049</v>
      </c>
      <c r="CQ59" s="28">
        <f t="shared" si="472"/>
        <v>0.99384781553398049</v>
      </c>
      <c r="CR59" s="28">
        <f t="shared" si="472"/>
        <v>0.99384781553398049</v>
      </c>
      <c r="CS59" s="28">
        <f t="shared" si="472"/>
        <v>0.99384781553398049</v>
      </c>
      <c r="CT59" s="28">
        <f t="shared" si="472"/>
        <v>0.99384781553398049</v>
      </c>
      <c r="CU59" s="28">
        <f t="shared" si="472"/>
        <v>0.99384781553398049</v>
      </c>
      <c r="CV59" s="28">
        <f t="shared" si="472"/>
        <v>0.99384781553398049</v>
      </c>
      <c r="CW59" s="28">
        <f t="shared" ref="CW59" si="473">+SUMPRODUCT($G$60:$G$72,CW60:CW72)</f>
        <v>0.99384781553398049</v>
      </c>
      <c r="CX59" s="28">
        <f t="shared" ref="CX59:CY59" si="474">+SUMPRODUCT($G$60:$G$72,CX60:CX72)</f>
        <v>0.99384781553398049</v>
      </c>
      <c r="CY59" s="28">
        <f t="shared" si="474"/>
        <v>0.99384781553398049</v>
      </c>
      <c r="CZ59" s="28">
        <f t="shared" ref="CZ59:DA59" si="475">+SUMPRODUCT($G$60:$G$72,CZ60:CZ72)</f>
        <v>0.99384781553398049</v>
      </c>
      <c r="DA59" s="28">
        <f t="shared" si="475"/>
        <v>0.99384781553398049</v>
      </c>
      <c r="DB59" s="28">
        <f t="shared" ref="DB59:DC59" si="476">+SUMPRODUCT($G$60:$G$72,DB60:DB72)</f>
        <v>0.99384781553398049</v>
      </c>
      <c r="DC59" s="28">
        <f t="shared" si="476"/>
        <v>0.99384781553398049</v>
      </c>
      <c r="DD59" s="28">
        <f t="shared" ref="DD59:DE59" si="477">+SUMPRODUCT($G$60:$G$72,DD60:DD72)</f>
        <v>0.99384781553398049</v>
      </c>
      <c r="DE59" s="28">
        <f t="shared" si="477"/>
        <v>0.99760000000000004</v>
      </c>
      <c r="DF59" s="28">
        <f t="shared" ref="DF59" si="478">+SUMPRODUCT($G$60:$G$72,DF60:DF72)</f>
        <v>0.99760000000000004</v>
      </c>
      <c r="DG59" s="28">
        <f t="shared" ref="DG59:EI59" si="479">+SUMPRODUCT($G$60:$G$72,DG60:DG72)</f>
        <v>0.99760000000000004</v>
      </c>
      <c r="DH59" s="28">
        <f t="shared" si="479"/>
        <v>0.99760000000000004</v>
      </c>
      <c r="DI59" s="28">
        <f t="shared" si="479"/>
        <v>0.99760000000000004</v>
      </c>
      <c r="DJ59" s="28">
        <f t="shared" si="479"/>
        <v>0.99384781553398049</v>
      </c>
      <c r="DK59" s="28">
        <f t="shared" si="479"/>
        <v>0.99384781553398049</v>
      </c>
      <c r="DL59" s="28">
        <f t="shared" si="479"/>
        <v>0.99384781553398049</v>
      </c>
      <c r="DM59" s="28">
        <f t="shared" si="479"/>
        <v>0.99384781553398049</v>
      </c>
      <c r="DN59" s="28">
        <f t="shared" si="479"/>
        <v>0.99384781553398049</v>
      </c>
      <c r="DO59" s="28">
        <f t="shared" si="479"/>
        <v>0.99384781553398049</v>
      </c>
      <c r="DP59" s="28">
        <f t="shared" si="479"/>
        <v>0.99384781553398049</v>
      </c>
      <c r="DQ59" s="28">
        <f t="shared" si="479"/>
        <v>0.99384781553398049</v>
      </c>
      <c r="DR59" s="28">
        <f t="shared" si="479"/>
        <v>0.99384781553398049</v>
      </c>
      <c r="DS59" s="28">
        <f t="shared" si="479"/>
        <v>0.99384781553398049</v>
      </c>
      <c r="DT59" s="28">
        <f t="shared" si="479"/>
        <v>0.99384781553398049</v>
      </c>
      <c r="DU59" s="28">
        <f t="shared" si="479"/>
        <v>0.99384781553398049</v>
      </c>
      <c r="DV59" s="28">
        <f t="shared" si="479"/>
        <v>0.99384781553398049</v>
      </c>
      <c r="DW59" s="28">
        <f t="shared" si="479"/>
        <v>0.99384781553398049</v>
      </c>
      <c r="DX59" s="28">
        <f t="shared" si="479"/>
        <v>0.99384781553398049</v>
      </c>
      <c r="DY59" s="28">
        <f t="shared" si="479"/>
        <v>0.99384781553398049</v>
      </c>
      <c r="DZ59" s="28">
        <f t="shared" si="479"/>
        <v>0.99384781553398049</v>
      </c>
      <c r="EA59" s="28">
        <f t="shared" si="479"/>
        <v>0.99384781553398049</v>
      </c>
      <c r="EB59" s="28">
        <f t="shared" si="479"/>
        <v>0.99384781553398049</v>
      </c>
      <c r="EC59" s="28">
        <f t="shared" si="479"/>
        <v>0.99384781553398049</v>
      </c>
      <c r="ED59" s="28">
        <f t="shared" si="479"/>
        <v>0.99384781553398049</v>
      </c>
      <c r="EE59" s="28">
        <f t="shared" si="479"/>
        <v>0.99384781553398049</v>
      </c>
      <c r="EF59" s="28">
        <f t="shared" si="479"/>
        <v>0.99384781553398049</v>
      </c>
      <c r="EG59" s="28">
        <f t="shared" si="479"/>
        <v>0.99384781553398049</v>
      </c>
      <c r="EH59" s="28">
        <f t="shared" si="479"/>
        <v>0.99384781553398049</v>
      </c>
      <c r="EI59" s="28">
        <f t="shared" si="479"/>
        <v>0.99384781553398049</v>
      </c>
    </row>
    <row r="60" spans="2:139" ht="15" hidden="1" customHeight="1" outlineLevel="3" x14ac:dyDescent="0.3">
      <c r="B60" s="280"/>
      <c r="C60" s="281"/>
      <c r="D60" s="285"/>
      <c r="E60" s="282" t="s">
        <v>64</v>
      </c>
      <c r="F60" s="283">
        <v>30</v>
      </c>
      <c r="G60" s="284">
        <v>0.06</v>
      </c>
      <c r="H60" s="162"/>
      <c r="I60" s="127">
        <v>0</v>
      </c>
      <c r="J60" s="127">
        <v>0</v>
      </c>
      <c r="K60" s="127">
        <v>0</v>
      </c>
      <c r="L60" s="127">
        <v>0</v>
      </c>
      <c r="M60" s="128">
        <v>0</v>
      </c>
      <c r="N60" s="128">
        <v>0</v>
      </c>
      <c r="O60" s="127">
        <v>0</v>
      </c>
      <c r="P60" s="127">
        <v>0</v>
      </c>
      <c r="Q60" s="127">
        <v>0</v>
      </c>
      <c r="R60" s="127">
        <v>0</v>
      </c>
      <c r="S60" s="127">
        <v>0</v>
      </c>
      <c r="T60" s="127">
        <v>0</v>
      </c>
      <c r="U60" s="127">
        <v>0</v>
      </c>
      <c r="V60" s="127">
        <v>0</v>
      </c>
      <c r="W60" s="127">
        <v>0</v>
      </c>
      <c r="X60" s="127">
        <v>0</v>
      </c>
      <c r="Y60" s="127">
        <v>4.7785194174757278E-3</v>
      </c>
      <c r="Z60" s="127">
        <v>4.8847087378640783E-2</v>
      </c>
      <c r="AA60" s="127">
        <v>0.12238319174757284</v>
      </c>
      <c r="AB60" s="127">
        <v>0.16990291262135923</v>
      </c>
      <c r="AC60" s="127">
        <v>0.21140776699029126</v>
      </c>
      <c r="AD60" s="127">
        <v>0.24253640776699031</v>
      </c>
      <c r="AE60" s="127">
        <v>0.33592233009708738</v>
      </c>
      <c r="AF60" s="127">
        <v>0.46043689320388348</v>
      </c>
      <c r="AG60" s="127">
        <v>0.6</v>
      </c>
      <c r="AH60" s="127">
        <v>0.82014563106796112</v>
      </c>
      <c r="AI60" s="127">
        <v>0.82014563106796112</v>
      </c>
      <c r="AJ60" s="127">
        <v>0.82014563106796112</v>
      </c>
      <c r="AK60" s="127">
        <v>0.82014563106796112</v>
      </c>
      <c r="AL60" s="127">
        <v>0.83398058252427176</v>
      </c>
      <c r="AM60" s="127">
        <v>0.83398058252427176</v>
      </c>
      <c r="AN60" s="127">
        <v>0.83398058252427176</v>
      </c>
      <c r="AO60" s="127">
        <v>0.83398058252427176</v>
      </c>
      <c r="AP60" s="127">
        <v>0.91699029126213583</v>
      </c>
      <c r="AQ60" s="127">
        <v>0.91699029126213583</v>
      </c>
      <c r="AR60" s="127">
        <v>0.92621359223300959</v>
      </c>
      <c r="AS60" s="127">
        <v>0.92621359223300959</v>
      </c>
      <c r="AT60" s="127">
        <v>0.92621359223300959</v>
      </c>
      <c r="AU60" s="127">
        <v>0.92621359223300959</v>
      </c>
      <c r="AV60" s="127">
        <v>0.92621359223300959</v>
      </c>
      <c r="AW60" s="127">
        <v>0.9469660194174756</v>
      </c>
      <c r="AX60" s="127">
        <v>0.9469660194174756</v>
      </c>
      <c r="AY60" s="127">
        <v>0.9469660194174756</v>
      </c>
      <c r="AZ60" s="127">
        <v>0.9492718446601941</v>
      </c>
      <c r="BA60" s="127">
        <v>0.9492718446601941</v>
      </c>
      <c r="BB60" s="127">
        <f>Real[[#This Row],[05/05/25]]+(1-Real[[#This Row],[05/05/25]])*'Avance 39'!I32</f>
        <v>0.9492718446601941</v>
      </c>
      <c r="BC60" s="127">
        <f>Real[[#This Row],[05/05/25]]+(1-Real[[#This Row],[05/05/25]])*'Avance 39'!J32</f>
        <v>0.9492718446601941</v>
      </c>
      <c r="BD60" s="127">
        <f>Real[[#This Row],[05/05/25]]+(1-Real[[#This Row],[05/05/25]])*'Avance 39'!K32</f>
        <v>0.9492718446601941</v>
      </c>
      <c r="BE60" s="127">
        <f>Real[[#This Row],[05/05/25]]+(1-Real[[#This Row],[05/05/25]])*'Avance 39'!L32</f>
        <v>0.9492718446601941</v>
      </c>
      <c r="BF60" s="127">
        <f>Real[[#This Row],[05/05/25]]+(1-Real[[#This Row],[05/05/25]])*'Avance 39'!M32</f>
        <v>0.9492718446601941</v>
      </c>
      <c r="BG60" s="163">
        <f>Real[[#This Row],[05/05/25]]+(1-Real[[#This Row],[05/05/25]])*'Avance 39'!N32</f>
        <v>0.9492718446601941</v>
      </c>
      <c r="BH60" s="163">
        <f>Real[[#This Row],[05/05/25]]+(1-Real[[#This Row],[05/05/25]])*'Avance 39'!O32</f>
        <v>0.9492718446601941</v>
      </c>
      <c r="BI60" s="127">
        <f>Real[[#This Row],[05/05/25]]+(1-Real[[#This Row],[05/05/25]])*'Avance 39'!P32</f>
        <v>0.95180825242718436</v>
      </c>
      <c r="BJ60" s="127">
        <f>Real[[#This Row],[05/05/25]]+(1-Real[[#This Row],[05/05/25]])*'Avance 39'!Q32</f>
        <v>0.9778970180305131</v>
      </c>
      <c r="BK60" s="127">
        <f>Real[[#This Row],[05/05/25]]+(1-Real[[#This Row],[05/05/25]])*'Avance 39'!R32</f>
        <v>0.9778970180305131</v>
      </c>
      <c r="BL60" s="127">
        <f>Real[[#This Row],[05/05/25]]+(1-Real[[#This Row],[05/05/25]])*'Avance 39'!S32</f>
        <v>0.9778970180305131</v>
      </c>
      <c r="BM60" s="127">
        <f>Real[[#This Row],[05/05/25]]+(1-Real[[#This Row],[05/05/25]])*'Avance 39'!T32</f>
        <v>0.9778970180305131</v>
      </c>
      <c r="BN60" s="127">
        <f>Real[[#This Row],[05/05/25]]+(1-Real[[#This Row],[05/05/25]])*'Avance 39'!U32</f>
        <v>0.9778970180305131</v>
      </c>
      <c r="BO60" s="127">
        <f>Real[[#This Row],[05/05/25]]+(1-Real[[#This Row],[05/05/25]])*'Avance 39'!V32</f>
        <v>0.9778970180305131</v>
      </c>
      <c r="BP60" s="127">
        <f>Real[[#This Row],[05/05/25]]+(1-Real[[#This Row],[05/05/25]])*'Avance 39'!W32</f>
        <v>0.9778970180305131</v>
      </c>
      <c r="BQ60" s="127">
        <f>Real[[#This Row],[05/05/25]]+(1-Real[[#This Row],[05/05/25]])*'Avance 39'!X32</f>
        <v>0.9778970180305131</v>
      </c>
      <c r="BR60" s="127">
        <f>Real[[#This Row],[05/05/25]]+(1-Real[[#This Row],[05/05/25]])*'Avance 39'!Y32</f>
        <v>0.9778970180305131</v>
      </c>
      <c r="BS60" s="127">
        <f>Real[[#This Row],[05/05/25]]+(1-Real[[#This Row],[05/05/25]])*'Avance 39'!Z32</f>
        <v>0.9778970180305131</v>
      </c>
      <c r="BT60" s="127">
        <f>Real[[#This Row],[05/05/25]]+(1-Real[[#This Row],[05/05/25]])*'Avance 39'!AA32</f>
        <v>0.99103198682385574</v>
      </c>
      <c r="BU60" s="127">
        <f>Real[[#This Row],[05/05/25]]+(1-Real[[#This Row],[05/05/25]])*'Avance 39'!AB32</f>
        <v>0.99103198682385574</v>
      </c>
      <c r="BV60" s="127">
        <f>Real[[#This Row],[05/05/25]]+(1-Real[[#This Row],[05/05/25]])*'Avance 39'!AC32</f>
        <v>0.99103198682385574</v>
      </c>
      <c r="BW60" s="127">
        <f>Real[[#This Row],[05/05/25]]+(1-Real[[#This Row],[05/05/25]])*'Avance 39'!AD32</f>
        <v>0.99103198682385574</v>
      </c>
      <c r="BX60" s="127">
        <f>Real[[#This Row],[05/05/25]]+(1-Real[[#This Row],[05/05/25]])*'Avance 39'!AE32</f>
        <v>0.99103198682385574</v>
      </c>
      <c r="BY60" s="127">
        <f>Real[[#This Row],[05/05/25]]+(1-Real[[#This Row],[05/05/25]])*'Avance 39'!AF32</f>
        <v>0.99103198682385574</v>
      </c>
      <c r="BZ60" s="127">
        <f>Real[[#This Row],[05/05/25]]+(1-Real[[#This Row],[05/05/25]])*'Avance 39'!AG32</f>
        <v>0.99103198682385574</v>
      </c>
      <c r="CA60" s="127">
        <f>Real[[#This Row],[05/05/25]]+(1-Real[[#This Row],[05/05/25]])*'Avance 39'!AH32</f>
        <v>0.99103198682385574</v>
      </c>
      <c r="CB60" s="127">
        <f>Real[[#This Row],[05/05/25]]+(1-Real[[#This Row],[05/05/25]])*'Avance 39'!AI32</f>
        <v>0.99103198682385574</v>
      </c>
      <c r="CC60" s="127">
        <f>Real[[#This Row],[05/05/25]]+(1-Real[[#This Row],[05/05/25]])*'Avance 39'!AJ32</f>
        <v>0.99746359223300973</v>
      </c>
      <c r="CD60" s="127">
        <f>Real[[#This Row],[05/05/25]]+(1-Real[[#This Row],[05/05/25]])*'Avance 39'!AK32</f>
        <v>0.99746359223300973</v>
      </c>
      <c r="CE60" s="127">
        <f>Real[[#This Row],[05/05/25]]+(1-Real[[#This Row],[05/05/25]])*'Avance 39'!AL32</f>
        <v>0.99746359223300973</v>
      </c>
      <c r="CF60" s="127">
        <f>Real[[#This Row],[05/05/25]]+(1-Real[[#This Row],[05/05/25]])*'Avance 39'!AM32</f>
        <v>0.99746359223300973</v>
      </c>
      <c r="CG60" s="127">
        <f>Real[[#This Row],[05/05/25]]+(1-Real[[#This Row],[05/05/25]])*'Avance 39'!AN32</f>
        <v>0.99746359223300973</v>
      </c>
      <c r="CH60" s="127">
        <f>Real[[#This Row],[05/05/25]]+(1-Real[[#This Row],[05/05/25]])*'Avance 39'!AO32</f>
        <v>0.99746359223300973</v>
      </c>
      <c r="CI60" s="127">
        <f>Real[[#This Row],[05/05/25]]+(1-Real[[#This Row],[05/05/25]])*'Avance 39'!AP32</f>
        <v>0.99746359223300973</v>
      </c>
      <c r="CJ60" s="127">
        <f>Real[[#This Row],[05/05/25]]+(1-Real[[#This Row],[05/05/25]])*'Avance 39'!AQ32</f>
        <v>0.99746359223300973</v>
      </c>
      <c r="CK60" s="127">
        <f>Real[[#This Row],[05/05/25]]+(1-Real[[#This Row],[05/05/25]])*'Avance 39'!AR32</f>
        <v>0.99746359223300973</v>
      </c>
      <c r="CL60" s="127">
        <f>Real[[#This Row],[05/05/25]]+(1-Real[[#This Row],[05/05/25]])*'Avance 39'!AS32</f>
        <v>0.99746359223300973</v>
      </c>
      <c r="CM60" s="127">
        <f>Real[[#This Row],[05/05/25]]+(1-Real[[#This Row],[05/05/25]])*'Avance 39'!AT32</f>
        <v>0.99746359223300973</v>
      </c>
      <c r="CN60" s="127">
        <f>Real[[#This Row],[05/05/25]]+(1-Real[[#This Row],[05/05/25]])*'Avance 39'!AU32</f>
        <v>0.99746359223300973</v>
      </c>
      <c r="CO60" s="127">
        <f>Real[[#This Row],[05/05/25]]+(1-Real[[#This Row],[05/05/25]])*'Avance 39'!AV32</f>
        <v>0.99746359223300973</v>
      </c>
      <c r="CP60" s="127">
        <f>Real[[#This Row],[05/05/25]]+(1-Real[[#This Row],[05/05/25]])*'Avance 39'!AW32</f>
        <v>0.99746359223300973</v>
      </c>
      <c r="CQ60" s="127">
        <f>Real[[#This Row],[05/05/25]]+(1-Real[[#This Row],[05/05/25]])*'Avance 39'!AX32</f>
        <v>0.99746359223300973</v>
      </c>
      <c r="CR60" s="127">
        <f>Real[[#This Row],[05/05/25]]+(1-Real[[#This Row],[05/05/25]])*'Avance 39'!AY32</f>
        <v>0.99746359223300973</v>
      </c>
      <c r="CS60" s="127">
        <f>Real[[#This Row],[05/05/25]]+(1-Real[[#This Row],[05/05/25]])*'Avance 39'!AZ32</f>
        <v>0.99746359223300973</v>
      </c>
      <c r="CT60" s="127">
        <f>Real[[#This Row],[05/05/25]]+(1-Real[[#This Row],[05/05/25]])*'Avance 39'!BA32</f>
        <v>0.99746359223300973</v>
      </c>
      <c r="CU60" s="127">
        <f>Real[[#This Row],[05/05/25]]+(1-Real[[#This Row],[05/05/25]])*'Avance 39'!BB32</f>
        <v>0.99746359223300973</v>
      </c>
      <c r="CV60" s="127">
        <f>Real[[#This Row],[05/05/25]]+(1-Real[[#This Row],[05/05/25]])*'Avance 39'!BC32</f>
        <v>0.99746359223300973</v>
      </c>
      <c r="CW60" s="127">
        <f>Real[[#This Row],[05/05/25]]+(1-Real[[#This Row],[05/05/25]])*'Avance 39'!BD32</f>
        <v>0.99746359223300973</v>
      </c>
      <c r="CX60" s="127">
        <f>Real[[#This Row],[05/05/25]]+(1-Real[[#This Row],[05/05/25]])*'Avance 39'!BE32</f>
        <v>0.99746359223300973</v>
      </c>
      <c r="CY60" s="127">
        <f>Real[[#This Row],[05/05/25]]+(1-Real[[#This Row],[05/05/25]])*'Avance 39'!BF32</f>
        <v>0.99746359223300973</v>
      </c>
      <c r="CZ60" s="127">
        <f>Real[[#This Row],[05/05/25]]+(1-Real[[#This Row],[05/05/25]])*'Avance 39'!BG32</f>
        <v>0.99746359223300973</v>
      </c>
      <c r="DA60" s="127">
        <f>Real[[#This Row],[05/05/25]]+(1-Real[[#This Row],[05/05/25]])*'Avance 39'!BH32</f>
        <v>0.99746359223300973</v>
      </c>
      <c r="DB60" s="127">
        <f>Real[[#This Row],[05/05/25]]+(1-Real[[#This Row],[05/05/25]])*'Avance 39'!BI32</f>
        <v>0.99746359223300973</v>
      </c>
      <c r="DC60" s="127">
        <f>Real[[#This Row],[05/05/25]]+(1-Real[[#This Row],[05/05/25]])*'Avance 39'!BJ32</f>
        <v>0.99746359223300973</v>
      </c>
      <c r="DD60" s="127">
        <f>Real[[#This Row],[05/05/25]]+(1-Real[[#This Row],[05/05/25]])*'Avance 39'!BK32</f>
        <v>0.99746359223300973</v>
      </c>
      <c r="DE60" s="127">
        <f>Real[[#This Row],[05/05/25]]+(1-Real[[#This Row],[05/05/25]])*'Avance 39'!BL32</f>
        <v>1</v>
      </c>
      <c r="DF60" s="127">
        <f>Real[[#This Row],[05/05/25]]+(1-Real[[#This Row],[05/05/25]])*'Avance 39'!BM32</f>
        <v>1</v>
      </c>
      <c r="DG60" s="127">
        <f>Real[[#This Row],[05/05/25]]+(1-Real[[#This Row],[05/05/25]])*'Avance 39'!BN32</f>
        <v>1</v>
      </c>
      <c r="DH60" s="127">
        <f>Real[[#This Row],[05/05/25]]+(1-Real[[#This Row],[05/05/25]])*'Avance 39'!BO32</f>
        <v>1</v>
      </c>
      <c r="DI60" s="127">
        <f>Real[[#This Row],[05/05/25]]+(1-Real[[#This Row],[05/05/25]])*'Avance 39'!BP32</f>
        <v>1</v>
      </c>
      <c r="DJ60" s="127">
        <f>Real[[#This Row],[05/05/25]]+(1-Real[[#This Row],[05/05/25]])*'Avance 39'!BQ32</f>
        <v>0.99746359223300973</v>
      </c>
      <c r="DK60" s="127">
        <f>Real[[#This Row],[05/05/25]]+(1-Real[[#This Row],[05/05/25]])*'Avance 39'!BR32</f>
        <v>0.99746359223300973</v>
      </c>
      <c r="DL60" s="127">
        <f>Real[[#This Row],[05/05/25]]+(1-Real[[#This Row],[05/05/25]])*'Avance 39'!BS32</f>
        <v>0.99746359223300973</v>
      </c>
      <c r="DM60" s="127">
        <f>Real[[#This Row],[05/05/25]]+(1-Real[[#This Row],[05/05/25]])*'Avance 39'!BT32</f>
        <v>0.99746359223300973</v>
      </c>
      <c r="DN60" s="127">
        <f>Real[[#This Row],[05/05/25]]+(1-Real[[#This Row],[05/05/25]])*'Avance 39'!BU32</f>
        <v>0.99746359223300973</v>
      </c>
      <c r="DO60" s="127">
        <f>Real[[#This Row],[05/05/25]]+(1-Real[[#This Row],[05/05/25]])*'Avance 39'!BV32</f>
        <v>0.99746359223300973</v>
      </c>
      <c r="DP60" s="127">
        <f>Real[[#This Row],[05/05/25]]+(1-Real[[#This Row],[05/05/25]])*'Avance 39'!BW32</f>
        <v>0.99746359223300973</v>
      </c>
      <c r="DQ60" s="127">
        <f>Real[[#This Row],[05/05/25]]+(1-Real[[#This Row],[05/05/25]])*'Avance 39'!BX32</f>
        <v>0.99746359223300973</v>
      </c>
      <c r="DR60" s="127">
        <f>Real[[#This Row],[05/05/25]]+(1-Real[[#This Row],[05/05/25]])*'Avance 39'!BY32</f>
        <v>0.99746359223300973</v>
      </c>
      <c r="DS60" s="127">
        <f>Real[[#This Row],[05/05/25]]+(1-Real[[#This Row],[05/05/25]])*'Avance 39'!BZ32</f>
        <v>0.99746359223300973</v>
      </c>
      <c r="DT60" s="127">
        <f>Real[[#This Row],[05/05/25]]+(1-Real[[#This Row],[05/05/25]])*'Avance 39'!CA32</f>
        <v>0.99746359223300973</v>
      </c>
      <c r="DU60" s="127">
        <f>Real[[#This Row],[05/05/25]]+(1-Real[[#This Row],[05/05/25]])*'Avance 39'!CB32</f>
        <v>0.99746359223300973</v>
      </c>
      <c r="DV60" s="127">
        <f>Real[[#This Row],[05/05/25]]+(1-Real[[#This Row],[05/05/25]])*'Avance 39'!CC32</f>
        <v>0.99746359223300973</v>
      </c>
      <c r="DW60" s="127">
        <f>Real[[#This Row],[05/05/25]]+(1-Real[[#This Row],[05/05/25]])*'Avance 39'!CD32</f>
        <v>0.99746359223300973</v>
      </c>
      <c r="DX60" s="127">
        <f>Real[[#This Row],[05/05/25]]+(1-Real[[#This Row],[05/05/25]])*'Avance 39'!CE32</f>
        <v>0.99746359223300973</v>
      </c>
      <c r="DY60" s="127">
        <f>Real[[#This Row],[05/05/25]]+(1-Real[[#This Row],[05/05/25]])*'Avance 39'!CF32</f>
        <v>0.99746359223300973</v>
      </c>
      <c r="DZ60" s="127">
        <f>Real[[#This Row],[05/05/25]]+(1-Real[[#This Row],[05/05/25]])*'Avance 39'!CG32</f>
        <v>0.99746359223300973</v>
      </c>
      <c r="EA60" s="127">
        <f>Real[[#This Row],[05/05/25]]+(1-Real[[#This Row],[05/05/25]])*'Avance 39'!CH32</f>
        <v>0.99746359223300973</v>
      </c>
      <c r="EB60" s="127">
        <f>Real[[#This Row],[05/05/25]]+(1-Real[[#This Row],[05/05/25]])*'Avance 39'!CI32</f>
        <v>0.99746359223300973</v>
      </c>
      <c r="EC60" s="127">
        <f>Real[[#This Row],[05/05/25]]+(1-Real[[#This Row],[05/05/25]])*'Avance 39'!CJ32</f>
        <v>0.99746359223300973</v>
      </c>
      <c r="ED60" s="127">
        <f>Real[[#This Row],[05/05/25]]+(1-Real[[#This Row],[05/05/25]])*'Avance 39'!CK32</f>
        <v>0.99746359223300973</v>
      </c>
      <c r="EE60" s="127">
        <f>Real[[#This Row],[05/05/25]]+(1-Real[[#This Row],[05/05/25]])*'Avance 39'!CL32</f>
        <v>0.99746359223300973</v>
      </c>
      <c r="EF60" s="127">
        <f>Real[[#This Row],[05/05/25]]+(1-Real[[#This Row],[05/05/25]])*'Avance 39'!CM32</f>
        <v>0.99746359223300973</v>
      </c>
      <c r="EG60" s="127">
        <f>Real[[#This Row],[05/05/25]]+(1-Real[[#This Row],[05/05/25]])*'Avance 39'!CN32</f>
        <v>0.99746359223300973</v>
      </c>
      <c r="EH60" s="127">
        <f>Real[[#This Row],[05/05/25]]+(1-Real[[#This Row],[05/05/25]])*'Avance 39'!CO32</f>
        <v>0.99746359223300973</v>
      </c>
      <c r="EI60" s="127">
        <f>Real[[#This Row],[05/05/25]]+(1-Real[[#This Row],[05/05/25]])*'Avance 39'!CP32</f>
        <v>0.99746359223300973</v>
      </c>
    </row>
    <row r="61" spans="2:139" ht="15" hidden="1" customHeight="1" outlineLevel="3" x14ac:dyDescent="0.3">
      <c r="B61" s="280"/>
      <c r="C61" s="281"/>
      <c r="D61" s="285"/>
      <c r="E61" s="282" t="s">
        <v>65</v>
      </c>
      <c r="F61" s="283">
        <v>10</v>
      </c>
      <c r="G61" s="284">
        <v>0.02</v>
      </c>
      <c r="H61" s="162"/>
      <c r="I61" s="127">
        <v>0</v>
      </c>
      <c r="J61" s="127">
        <v>0</v>
      </c>
      <c r="K61" s="127">
        <v>0</v>
      </c>
      <c r="L61" s="127">
        <v>0</v>
      </c>
      <c r="M61" s="128">
        <v>0</v>
      </c>
      <c r="N61" s="128">
        <v>0</v>
      </c>
      <c r="O61" s="127">
        <v>0</v>
      </c>
      <c r="P61" s="127">
        <v>0</v>
      </c>
      <c r="Q61" s="127">
        <v>0</v>
      </c>
      <c r="R61" s="127">
        <v>0</v>
      </c>
      <c r="S61" s="127">
        <v>0</v>
      </c>
      <c r="T61" s="127">
        <v>0</v>
      </c>
      <c r="U61" s="127">
        <v>0</v>
      </c>
      <c r="V61" s="127">
        <v>0</v>
      </c>
      <c r="W61" s="127">
        <v>0</v>
      </c>
      <c r="X61" s="127">
        <v>0</v>
      </c>
      <c r="Y61" s="127">
        <v>0</v>
      </c>
      <c r="Z61" s="127">
        <v>0</v>
      </c>
      <c r="AA61" s="127">
        <v>0</v>
      </c>
      <c r="AB61" s="127">
        <v>0</v>
      </c>
      <c r="AC61" s="127">
        <v>0</v>
      </c>
      <c r="AD61" s="127">
        <v>0</v>
      </c>
      <c r="AE61" s="127">
        <v>0</v>
      </c>
      <c r="AF61" s="127">
        <v>0</v>
      </c>
      <c r="AG61" s="127">
        <v>0</v>
      </c>
      <c r="AH61" s="127">
        <v>0</v>
      </c>
      <c r="AI61" s="127">
        <v>0</v>
      </c>
      <c r="AJ61" s="127">
        <v>0</v>
      </c>
      <c r="AK61" s="127">
        <v>0</v>
      </c>
      <c r="AL61" s="127">
        <v>0</v>
      </c>
      <c r="AM61" s="127">
        <v>0</v>
      </c>
      <c r="AN61" s="127">
        <v>0</v>
      </c>
      <c r="AO61" s="127">
        <v>0</v>
      </c>
      <c r="AP61" s="127">
        <v>0</v>
      </c>
      <c r="AQ61" s="127">
        <v>0</v>
      </c>
      <c r="AR61" s="127">
        <v>0</v>
      </c>
      <c r="AS61" s="127">
        <v>0</v>
      </c>
      <c r="AT61" s="127">
        <v>0</v>
      </c>
      <c r="AU61" s="127">
        <v>0</v>
      </c>
      <c r="AV61" s="127">
        <v>0</v>
      </c>
      <c r="AW61" s="127">
        <v>0</v>
      </c>
      <c r="AX61" s="127">
        <v>0</v>
      </c>
      <c r="AY61" s="127">
        <v>0</v>
      </c>
      <c r="AZ61" s="127">
        <v>0</v>
      </c>
      <c r="BA61" s="127">
        <v>0</v>
      </c>
      <c r="BB61" s="127">
        <f>Real[[#This Row],[05/05/25]]+(1-Real[[#This Row],[05/05/25]])*'Avance 39'!I33</f>
        <v>0</v>
      </c>
      <c r="BC61" s="127">
        <f>Real[[#This Row],[05/05/25]]+(1-Real[[#This Row],[05/05/25]])*'Avance 39'!J33</f>
        <v>0</v>
      </c>
      <c r="BD61" s="127">
        <f>Real[[#This Row],[05/05/25]]+(1-Real[[#This Row],[05/05/25]])*'Avance 39'!K33</f>
        <v>0</v>
      </c>
      <c r="BE61" s="127">
        <f>Real[[#This Row],[05/05/25]]+(1-Real[[#This Row],[05/05/25]])*'Avance 39'!L33</f>
        <v>0</v>
      </c>
      <c r="BF61" s="127">
        <f>Real[[#This Row],[05/05/25]]+(1-Real[[#This Row],[05/05/25]])*'Avance 39'!M33</f>
        <v>0</v>
      </c>
      <c r="BG61" s="163">
        <f>Real[[#This Row],[05/05/25]]+(1-Real[[#This Row],[05/05/25]])*'Avance 39'!N33</f>
        <v>0</v>
      </c>
      <c r="BH61" s="163">
        <f>Real[[#This Row],[05/05/25]]+(1-Real[[#This Row],[05/05/25]])*'Avance 39'!O33</f>
        <v>0</v>
      </c>
      <c r="BI61" s="127">
        <f>Real[[#This Row],[05/05/25]]+(1-Real[[#This Row],[05/05/25]])*'Avance 39'!P33</f>
        <v>0</v>
      </c>
      <c r="BJ61" s="127">
        <f>Real[[#This Row],[05/05/25]]+(1-Real[[#This Row],[05/05/25]])*'Avance 39'!Q33</f>
        <v>0</v>
      </c>
      <c r="BK61" s="127">
        <f>Real[[#This Row],[05/05/25]]+(1-Real[[#This Row],[05/05/25]])*'Avance 39'!R33</f>
        <v>0</v>
      </c>
      <c r="BL61" s="127">
        <f>Real[[#This Row],[05/05/25]]+(1-Real[[#This Row],[05/05/25]])*'Avance 39'!S33</f>
        <v>0</v>
      </c>
      <c r="BM61" s="127">
        <f>Real[[#This Row],[05/05/25]]+(1-Real[[#This Row],[05/05/25]])*'Avance 39'!T33</f>
        <v>0</v>
      </c>
      <c r="BN61" s="127">
        <f>Real[[#This Row],[05/05/25]]+(1-Real[[#This Row],[05/05/25]])*'Avance 39'!U33</f>
        <v>0</v>
      </c>
      <c r="BO61" s="127">
        <f>Real[[#This Row],[05/05/25]]+(1-Real[[#This Row],[05/05/25]])*'Avance 39'!V33</f>
        <v>0</v>
      </c>
      <c r="BP61" s="127">
        <f>Real[[#This Row],[05/05/25]]+(1-Real[[#This Row],[05/05/25]])*'Avance 39'!W33</f>
        <v>0</v>
      </c>
      <c r="BQ61" s="127">
        <f>Real[[#This Row],[05/05/25]]+(1-Real[[#This Row],[05/05/25]])*'Avance 39'!X33</f>
        <v>0</v>
      </c>
      <c r="BR61" s="127">
        <f>Real[[#This Row],[05/05/25]]+(1-Real[[#This Row],[05/05/25]])*'Avance 39'!Y33</f>
        <v>0</v>
      </c>
      <c r="BS61" s="127">
        <f>Real[[#This Row],[05/05/25]]+(1-Real[[#This Row],[05/05/25]])*'Avance 39'!Z33</f>
        <v>0</v>
      </c>
      <c r="BT61" s="127">
        <f>Real[[#This Row],[05/05/25]]+(1-Real[[#This Row],[05/05/25]])*'Avance 39'!AA33</f>
        <v>0</v>
      </c>
      <c r="BU61" s="127">
        <f>Real[[#This Row],[05/05/25]]+(1-Real[[#This Row],[05/05/25]])*'Avance 39'!AB33</f>
        <v>0</v>
      </c>
      <c r="BV61" s="127">
        <f>Real[[#This Row],[05/05/25]]+(1-Real[[#This Row],[05/05/25]])*'Avance 39'!AC33</f>
        <v>0</v>
      </c>
      <c r="BW61" s="127">
        <f>Real[[#This Row],[05/05/25]]+(1-Real[[#This Row],[05/05/25]])*'Avance 39'!AD33</f>
        <v>0</v>
      </c>
      <c r="BX61" s="127">
        <f>Real[[#This Row],[05/05/25]]+(1-Real[[#This Row],[05/05/25]])*'Avance 39'!AE33</f>
        <v>0</v>
      </c>
      <c r="BY61" s="127">
        <f>Real[[#This Row],[05/05/25]]+(1-Real[[#This Row],[05/05/25]])*'Avance 39'!AF33</f>
        <v>0</v>
      </c>
      <c r="BZ61" s="127">
        <f>Real[[#This Row],[05/05/25]]+(1-Real[[#This Row],[05/05/25]])*'Avance 39'!AG33</f>
        <v>0</v>
      </c>
      <c r="CA61" s="127">
        <f>Real[[#This Row],[05/05/25]]+(1-Real[[#This Row],[05/05/25]])*'Avance 39'!AH33</f>
        <v>0</v>
      </c>
      <c r="CB61" s="127">
        <f>Real[[#This Row],[05/05/25]]+(1-Real[[#This Row],[05/05/25]])*'Avance 39'!AI33</f>
        <v>0</v>
      </c>
      <c r="CC61" s="127">
        <f>Real[[#This Row],[05/05/25]]+(1-Real[[#This Row],[05/05/25]])*'Avance 39'!AJ33</f>
        <v>0.9</v>
      </c>
      <c r="CD61" s="127">
        <f>Real[[#This Row],[05/05/25]]+(1-Real[[#This Row],[05/05/25]])*'Avance 39'!AK33</f>
        <v>0.9</v>
      </c>
      <c r="CE61" s="127">
        <f>Real[[#This Row],[05/05/25]]+(1-Real[[#This Row],[05/05/25]])*'Avance 39'!AL33</f>
        <v>0.9</v>
      </c>
      <c r="CF61" s="127">
        <f>Real[[#This Row],[05/05/25]]+(1-Real[[#This Row],[05/05/25]])*'Avance 39'!AM33</f>
        <v>0.9</v>
      </c>
      <c r="CG61" s="127">
        <f>Real[[#This Row],[05/05/25]]+(1-Real[[#This Row],[05/05/25]])*'Avance 39'!AN33</f>
        <v>0.9</v>
      </c>
      <c r="CH61" s="127">
        <f>Real[[#This Row],[05/05/25]]+(1-Real[[#This Row],[05/05/25]])*'Avance 39'!AO33</f>
        <v>0.9</v>
      </c>
      <c r="CI61" s="127">
        <f>Real[[#This Row],[05/05/25]]+(1-Real[[#This Row],[05/05/25]])*'Avance 39'!AP33</f>
        <v>0.9</v>
      </c>
      <c r="CJ61" s="127">
        <f>Real[[#This Row],[05/05/25]]+(1-Real[[#This Row],[05/05/25]])*'Avance 39'!AQ33</f>
        <v>0.9</v>
      </c>
      <c r="CK61" s="127">
        <f>Real[[#This Row],[05/05/25]]+(1-Real[[#This Row],[05/05/25]])*'Avance 39'!AR33</f>
        <v>0.9</v>
      </c>
      <c r="CL61" s="127">
        <f>Real[[#This Row],[05/05/25]]+(1-Real[[#This Row],[05/05/25]])*'Avance 39'!AS33</f>
        <v>0.9</v>
      </c>
      <c r="CM61" s="127">
        <f>Real[[#This Row],[05/05/25]]+(1-Real[[#This Row],[05/05/25]])*'Avance 39'!AT33</f>
        <v>0.9</v>
      </c>
      <c r="CN61" s="127">
        <f>Real[[#This Row],[05/05/25]]+(1-Real[[#This Row],[05/05/25]])*'Avance 39'!AU33</f>
        <v>0.9</v>
      </c>
      <c r="CO61" s="127">
        <f>Real[[#This Row],[05/05/25]]+(1-Real[[#This Row],[05/05/25]])*'Avance 39'!AV33</f>
        <v>0.9</v>
      </c>
      <c r="CP61" s="127">
        <f>Real[[#This Row],[05/05/25]]+(1-Real[[#This Row],[05/05/25]])*'Avance 39'!AW33</f>
        <v>0.9</v>
      </c>
      <c r="CQ61" s="127">
        <f>Real[[#This Row],[05/05/25]]+(1-Real[[#This Row],[05/05/25]])*'Avance 39'!AX33</f>
        <v>0.9</v>
      </c>
      <c r="CR61" s="127">
        <f>Real[[#This Row],[05/05/25]]+(1-Real[[#This Row],[05/05/25]])*'Avance 39'!AY33</f>
        <v>0.9</v>
      </c>
      <c r="CS61" s="127">
        <f>Real[[#This Row],[05/05/25]]+(1-Real[[#This Row],[05/05/25]])*'Avance 39'!AZ33</f>
        <v>0.9</v>
      </c>
      <c r="CT61" s="127">
        <f>Real[[#This Row],[05/05/25]]+(1-Real[[#This Row],[05/05/25]])*'Avance 39'!BA33</f>
        <v>0.9</v>
      </c>
      <c r="CU61" s="127">
        <f>Real[[#This Row],[05/05/25]]+(1-Real[[#This Row],[05/05/25]])*'Avance 39'!BB33</f>
        <v>0.9</v>
      </c>
      <c r="CV61" s="127">
        <f>Real[[#This Row],[05/05/25]]+(1-Real[[#This Row],[05/05/25]])*'Avance 39'!BC33</f>
        <v>0.9</v>
      </c>
      <c r="CW61" s="127">
        <f>Real[[#This Row],[05/05/25]]+(1-Real[[#This Row],[05/05/25]])*'Avance 39'!BD33</f>
        <v>0.9</v>
      </c>
      <c r="CX61" s="127">
        <f>Real[[#This Row],[05/05/25]]+(1-Real[[#This Row],[05/05/25]])*'Avance 39'!BE33</f>
        <v>0.9</v>
      </c>
      <c r="CY61" s="127">
        <f>Real[[#This Row],[05/05/25]]+(1-Real[[#This Row],[05/05/25]])*'Avance 39'!BF33</f>
        <v>0.9</v>
      </c>
      <c r="CZ61" s="127">
        <f>Real[[#This Row],[05/05/25]]+(1-Real[[#This Row],[05/05/25]])*'Avance 39'!BG33</f>
        <v>0.9</v>
      </c>
      <c r="DA61" s="127">
        <f>Real[[#This Row],[05/05/25]]+(1-Real[[#This Row],[05/05/25]])*'Avance 39'!BH33</f>
        <v>0.9</v>
      </c>
      <c r="DB61" s="127">
        <f>Real[[#This Row],[05/05/25]]+(1-Real[[#This Row],[05/05/25]])*'Avance 39'!BI33</f>
        <v>0.9</v>
      </c>
      <c r="DC61" s="127">
        <f>Real[[#This Row],[05/05/25]]+(1-Real[[#This Row],[05/05/25]])*'Avance 39'!BJ33</f>
        <v>0.9</v>
      </c>
      <c r="DD61" s="127">
        <f>Real[[#This Row],[05/05/25]]+(1-Real[[#This Row],[05/05/25]])*'Avance 39'!BK33</f>
        <v>0.9</v>
      </c>
      <c r="DE61" s="127">
        <f>Real[[#This Row],[05/05/25]]+(1-Real[[#This Row],[05/05/25]])*'Avance 39'!BL33</f>
        <v>0.9</v>
      </c>
      <c r="DF61" s="127">
        <f>Real[[#This Row],[05/05/25]]+(1-Real[[#This Row],[05/05/25]])*'Avance 39'!BM33</f>
        <v>0.9</v>
      </c>
      <c r="DG61" s="127">
        <f>Real[[#This Row],[05/05/25]]+(1-Real[[#This Row],[05/05/25]])*'Avance 39'!BN33</f>
        <v>0.9</v>
      </c>
      <c r="DH61" s="127">
        <f>Real[[#This Row],[05/05/25]]+(1-Real[[#This Row],[05/05/25]])*'Avance 39'!BO33</f>
        <v>0.9</v>
      </c>
      <c r="DI61" s="127">
        <f>Real[[#This Row],[05/05/25]]+(1-Real[[#This Row],[05/05/25]])*'Avance 39'!BP33</f>
        <v>0.9</v>
      </c>
      <c r="DJ61" s="127">
        <f>Real[[#This Row],[05/05/25]]+(1-Real[[#This Row],[05/05/25]])*'Avance 39'!BQ33</f>
        <v>0.9</v>
      </c>
      <c r="DK61" s="127">
        <f>Real[[#This Row],[05/05/25]]+(1-Real[[#This Row],[05/05/25]])*'Avance 39'!BR33</f>
        <v>0.9</v>
      </c>
      <c r="DL61" s="127">
        <f>Real[[#This Row],[05/05/25]]+(1-Real[[#This Row],[05/05/25]])*'Avance 39'!BS33</f>
        <v>0.9</v>
      </c>
      <c r="DM61" s="127">
        <f>Real[[#This Row],[05/05/25]]+(1-Real[[#This Row],[05/05/25]])*'Avance 39'!BT33</f>
        <v>0.9</v>
      </c>
      <c r="DN61" s="127">
        <f>Real[[#This Row],[05/05/25]]+(1-Real[[#This Row],[05/05/25]])*'Avance 39'!BU33</f>
        <v>0.9</v>
      </c>
      <c r="DO61" s="127">
        <f>Real[[#This Row],[05/05/25]]+(1-Real[[#This Row],[05/05/25]])*'Avance 39'!BV33</f>
        <v>0.9</v>
      </c>
      <c r="DP61" s="127">
        <f>Real[[#This Row],[05/05/25]]+(1-Real[[#This Row],[05/05/25]])*'Avance 39'!BW33</f>
        <v>0.9</v>
      </c>
      <c r="DQ61" s="127">
        <f>Real[[#This Row],[05/05/25]]+(1-Real[[#This Row],[05/05/25]])*'Avance 39'!BX33</f>
        <v>0.9</v>
      </c>
      <c r="DR61" s="127">
        <f>Real[[#This Row],[05/05/25]]+(1-Real[[#This Row],[05/05/25]])*'Avance 39'!BY33</f>
        <v>0.9</v>
      </c>
      <c r="DS61" s="127">
        <f>Real[[#This Row],[05/05/25]]+(1-Real[[#This Row],[05/05/25]])*'Avance 39'!BZ33</f>
        <v>0.9</v>
      </c>
      <c r="DT61" s="127">
        <f>Real[[#This Row],[05/05/25]]+(1-Real[[#This Row],[05/05/25]])*'Avance 39'!CA33</f>
        <v>0.9</v>
      </c>
      <c r="DU61" s="127">
        <f>Real[[#This Row],[05/05/25]]+(1-Real[[#This Row],[05/05/25]])*'Avance 39'!CB33</f>
        <v>0.9</v>
      </c>
      <c r="DV61" s="127">
        <f>Real[[#This Row],[05/05/25]]+(1-Real[[#This Row],[05/05/25]])*'Avance 39'!CC33</f>
        <v>0.9</v>
      </c>
      <c r="DW61" s="127">
        <f>Real[[#This Row],[05/05/25]]+(1-Real[[#This Row],[05/05/25]])*'Avance 39'!CD33</f>
        <v>0.9</v>
      </c>
      <c r="DX61" s="127">
        <f>Real[[#This Row],[05/05/25]]+(1-Real[[#This Row],[05/05/25]])*'Avance 39'!CE33</f>
        <v>0.9</v>
      </c>
      <c r="DY61" s="127">
        <f>Real[[#This Row],[05/05/25]]+(1-Real[[#This Row],[05/05/25]])*'Avance 39'!CF33</f>
        <v>0.9</v>
      </c>
      <c r="DZ61" s="127">
        <f>Real[[#This Row],[05/05/25]]+(1-Real[[#This Row],[05/05/25]])*'Avance 39'!CG33</f>
        <v>0.9</v>
      </c>
      <c r="EA61" s="127">
        <f>Real[[#This Row],[05/05/25]]+(1-Real[[#This Row],[05/05/25]])*'Avance 39'!CH33</f>
        <v>0.9</v>
      </c>
      <c r="EB61" s="127">
        <f>Real[[#This Row],[05/05/25]]+(1-Real[[#This Row],[05/05/25]])*'Avance 39'!CI33</f>
        <v>0.9</v>
      </c>
      <c r="EC61" s="127">
        <f>Real[[#This Row],[05/05/25]]+(1-Real[[#This Row],[05/05/25]])*'Avance 39'!CJ33</f>
        <v>0.9</v>
      </c>
      <c r="ED61" s="127">
        <f>Real[[#This Row],[05/05/25]]+(1-Real[[#This Row],[05/05/25]])*'Avance 39'!CK33</f>
        <v>0.9</v>
      </c>
      <c r="EE61" s="127">
        <f>Real[[#This Row],[05/05/25]]+(1-Real[[#This Row],[05/05/25]])*'Avance 39'!CL33</f>
        <v>0.9</v>
      </c>
      <c r="EF61" s="127">
        <f>Real[[#This Row],[05/05/25]]+(1-Real[[#This Row],[05/05/25]])*'Avance 39'!CM33</f>
        <v>0.9</v>
      </c>
      <c r="EG61" s="127">
        <f>Real[[#This Row],[05/05/25]]+(1-Real[[#This Row],[05/05/25]])*'Avance 39'!CN33</f>
        <v>0.9</v>
      </c>
      <c r="EH61" s="127">
        <f>Real[[#This Row],[05/05/25]]+(1-Real[[#This Row],[05/05/25]])*'Avance 39'!CO33</f>
        <v>0.9</v>
      </c>
      <c r="EI61" s="127">
        <f>Real[[#This Row],[05/05/25]]+(1-Real[[#This Row],[05/05/25]])*'Avance 39'!CP33</f>
        <v>0.9</v>
      </c>
    </row>
    <row r="62" spans="2:139" ht="15" hidden="1" customHeight="1" outlineLevel="3" x14ac:dyDescent="0.3">
      <c r="B62" s="280"/>
      <c r="C62" s="281"/>
      <c r="D62" s="285"/>
      <c r="E62" s="282" t="s">
        <v>66</v>
      </c>
      <c r="F62" s="283">
        <v>40</v>
      </c>
      <c r="G62" s="284">
        <v>0.08</v>
      </c>
      <c r="H62" s="162"/>
      <c r="I62" s="127">
        <v>0</v>
      </c>
      <c r="J62" s="127">
        <v>0</v>
      </c>
      <c r="K62" s="127">
        <v>0</v>
      </c>
      <c r="L62" s="127">
        <v>0</v>
      </c>
      <c r="M62" s="128">
        <v>0</v>
      </c>
      <c r="N62" s="128">
        <v>0</v>
      </c>
      <c r="O62" s="127">
        <v>0</v>
      </c>
      <c r="P62" s="127">
        <v>0</v>
      </c>
      <c r="Q62" s="127">
        <v>0</v>
      </c>
      <c r="R62" s="127">
        <v>0</v>
      </c>
      <c r="S62" s="127">
        <v>0.13300492610837439</v>
      </c>
      <c r="T62" s="127">
        <v>0.19433497536945812</v>
      </c>
      <c r="U62" s="127">
        <v>0.3560098522167488</v>
      </c>
      <c r="V62" s="127">
        <v>0.46408319649698965</v>
      </c>
      <c r="W62" s="127">
        <v>0.62614340448823202</v>
      </c>
      <c r="X62" s="127">
        <v>0.93452545155993438</v>
      </c>
      <c r="Y62" s="127">
        <v>0.93452545155993438</v>
      </c>
      <c r="Z62" s="127">
        <v>0.93452545155993438</v>
      </c>
      <c r="AA62" s="127">
        <v>0.93452545155993438</v>
      </c>
      <c r="AB62" s="127">
        <v>0.93452545155993438</v>
      </c>
      <c r="AC62" s="127">
        <v>0.93452545155993438</v>
      </c>
      <c r="AD62" s="127">
        <v>0.93452545155993438</v>
      </c>
      <c r="AE62" s="127">
        <v>0.95000000000000018</v>
      </c>
      <c r="AF62" s="127">
        <v>0.95000000000000018</v>
      </c>
      <c r="AG62" s="127">
        <v>0.95000000000000018</v>
      </c>
      <c r="AH62" s="127">
        <v>0.95000000000000018</v>
      </c>
      <c r="AI62" s="127">
        <v>0.95000000000000018</v>
      </c>
      <c r="AJ62" s="127">
        <v>0.95000000000000018</v>
      </c>
      <c r="AK62" s="127">
        <v>0.95000000000000018</v>
      </c>
      <c r="AL62" s="127">
        <v>0.95000000000000018</v>
      </c>
      <c r="AM62" s="127">
        <v>0.95000000000000018</v>
      </c>
      <c r="AN62" s="127">
        <v>0.95000000000000018</v>
      </c>
      <c r="AO62" s="127">
        <v>0.95000000000000018</v>
      </c>
      <c r="AP62" s="127">
        <v>0.95000000000000018</v>
      </c>
      <c r="AQ62" s="127">
        <v>0.95000000000000018</v>
      </c>
      <c r="AR62" s="127">
        <v>0.95000000000000018</v>
      </c>
      <c r="AS62" s="127">
        <v>0.95000000000000018</v>
      </c>
      <c r="AT62" s="127">
        <v>0.95000000000000018</v>
      </c>
      <c r="AU62" s="127">
        <v>0.95000000000000018</v>
      </c>
      <c r="AV62" s="127">
        <v>0.95000000000000018</v>
      </c>
      <c r="AW62" s="127">
        <v>0.95000000000000018</v>
      </c>
      <c r="AX62" s="127">
        <v>0.95000000000000018</v>
      </c>
      <c r="AY62" s="127">
        <v>0.95000000000000018</v>
      </c>
      <c r="AZ62" s="127">
        <v>0.95000000000000018</v>
      </c>
      <c r="BA62" s="127">
        <v>0.95000000000000018</v>
      </c>
      <c r="BB62" s="127">
        <f>Real[[#This Row],[05/05/25]]+(1-Real[[#This Row],[05/05/25]])*'Avance 39'!I34</f>
        <v>0.95000000000000018</v>
      </c>
      <c r="BC62" s="127">
        <f>Real[[#This Row],[05/05/25]]+(1-Real[[#This Row],[05/05/25]])*'Avance 39'!J34</f>
        <v>0.95000000000000018</v>
      </c>
      <c r="BD62" s="127">
        <f>Real[[#This Row],[05/05/25]]+(1-Real[[#This Row],[05/05/25]])*'Avance 39'!K34</f>
        <v>0.95000000000000018</v>
      </c>
      <c r="BE62" s="127">
        <f>Real[[#This Row],[05/05/25]]+(1-Real[[#This Row],[05/05/25]])*'Avance 39'!L34</f>
        <v>0.95000000000000018</v>
      </c>
      <c r="BF62" s="127">
        <f>Real[[#This Row],[05/05/25]]+(1-Real[[#This Row],[05/05/25]])*'Avance 39'!M34</f>
        <v>0.95000000000000018</v>
      </c>
      <c r="BG62" s="163">
        <f>Real[[#This Row],[05/05/25]]+(1-Real[[#This Row],[05/05/25]])*'Avance 39'!N34</f>
        <v>0.95000000000000018</v>
      </c>
      <c r="BH62" s="163">
        <f>Real[[#This Row],[05/05/25]]+(1-Real[[#This Row],[05/05/25]])*'Avance 39'!O34</f>
        <v>0.95000000000000018</v>
      </c>
      <c r="BI62" s="127">
        <f>Real[[#This Row],[05/05/25]]+(1-Real[[#This Row],[05/05/25]])*'Avance 39'!P34</f>
        <v>0.95000000000000018</v>
      </c>
      <c r="BJ62" s="127">
        <f>Real[[#This Row],[05/05/25]]+(1-Real[[#This Row],[05/05/25]])*'Avance 39'!Q34</f>
        <v>0.95000000000000018</v>
      </c>
      <c r="BK62" s="127">
        <f>Real[[#This Row],[05/05/25]]+(1-Real[[#This Row],[05/05/25]])*'Avance 39'!R34</f>
        <v>0.95000000000000018</v>
      </c>
      <c r="BL62" s="127">
        <f>Real[[#This Row],[05/05/25]]+(1-Real[[#This Row],[05/05/25]])*'Avance 39'!S34</f>
        <v>0.95000000000000018</v>
      </c>
      <c r="BM62" s="127">
        <f>Real[[#This Row],[05/05/25]]+(1-Real[[#This Row],[05/05/25]])*'Avance 39'!T34</f>
        <v>0.95000000000000018</v>
      </c>
      <c r="BN62" s="127">
        <f>Real[[#This Row],[05/05/25]]+(1-Real[[#This Row],[05/05/25]])*'Avance 39'!U34</f>
        <v>0.95000000000000018</v>
      </c>
      <c r="BO62" s="127">
        <f>Real[[#This Row],[05/05/25]]+(1-Real[[#This Row],[05/05/25]])*'Avance 39'!V34</f>
        <v>0.95000000000000018</v>
      </c>
      <c r="BP62" s="127">
        <f>Real[[#This Row],[05/05/25]]+(1-Real[[#This Row],[05/05/25]])*'Avance 39'!W34</f>
        <v>0.95000000000000018</v>
      </c>
      <c r="BQ62" s="127">
        <f>Real[[#This Row],[05/05/25]]+(1-Real[[#This Row],[05/05/25]])*'Avance 39'!X34</f>
        <v>0.95000000000000018</v>
      </c>
      <c r="BR62" s="127">
        <f>Real[[#This Row],[05/05/25]]+(1-Real[[#This Row],[05/05/25]])*'Avance 39'!Y34</f>
        <v>0.95000000000000018</v>
      </c>
      <c r="BS62" s="127">
        <f>Real[[#This Row],[05/05/25]]+(1-Real[[#This Row],[05/05/25]])*'Avance 39'!Z34</f>
        <v>0.95000000000000018</v>
      </c>
      <c r="BT62" s="127">
        <f>Real[[#This Row],[05/05/25]]+(1-Real[[#This Row],[05/05/25]])*'Avance 39'!AA34</f>
        <v>0.95000000000000018</v>
      </c>
      <c r="BU62" s="127">
        <f>Real[[#This Row],[05/05/25]]+(1-Real[[#This Row],[05/05/25]])*'Avance 39'!AB34</f>
        <v>0.95000000000000018</v>
      </c>
      <c r="BV62" s="127">
        <f>Real[[#This Row],[05/05/25]]+(1-Real[[#This Row],[05/05/25]])*'Avance 39'!AC34</f>
        <v>0.95000000000000018</v>
      </c>
      <c r="BW62" s="127">
        <f>Real[[#This Row],[05/05/25]]+(1-Real[[#This Row],[05/05/25]])*'Avance 39'!AD34</f>
        <v>0.95000000000000018</v>
      </c>
      <c r="BX62" s="127">
        <f>Real[[#This Row],[05/05/25]]+(1-Real[[#This Row],[05/05/25]])*'Avance 39'!AE34</f>
        <v>0.95000000000000018</v>
      </c>
      <c r="BY62" s="127">
        <f>Real[[#This Row],[05/05/25]]+(1-Real[[#This Row],[05/05/25]])*'Avance 39'!AF34</f>
        <v>0.95000000000000018</v>
      </c>
      <c r="BZ62" s="127">
        <f>Real[[#This Row],[05/05/25]]+(1-Real[[#This Row],[05/05/25]])*'Avance 39'!AG34</f>
        <v>0.95000000000000018</v>
      </c>
      <c r="CA62" s="127">
        <f>Real[[#This Row],[05/05/25]]+(1-Real[[#This Row],[05/05/25]])*'Avance 39'!AH34</f>
        <v>0.95000000000000018</v>
      </c>
      <c r="CB62" s="127">
        <f>Real[[#This Row],[05/05/25]]+(1-Real[[#This Row],[05/05/25]])*'Avance 39'!AI34</f>
        <v>0.95000000000000018</v>
      </c>
      <c r="CC62" s="127">
        <f>Real[[#This Row],[05/05/25]]+(1-Real[[#This Row],[05/05/25]])*'Avance 39'!AJ34</f>
        <v>0.95000000000000018</v>
      </c>
      <c r="CD62" s="127">
        <f>Real[[#This Row],[05/05/25]]+(1-Real[[#This Row],[05/05/25]])*'Avance 39'!AK34</f>
        <v>0.95000000000000018</v>
      </c>
      <c r="CE62" s="127">
        <f>Real[[#This Row],[05/05/25]]+(1-Real[[#This Row],[05/05/25]])*'Avance 39'!AL34</f>
        <v>0.95000000000000018</v>
      </c>
      <c r="CF62" s="127">
        <f>Real[[#This Row],[05/05/25]]+(1-Real[[#This Row],[05/05/25]])*'Avance 39'!AM34</f>
        <v>0.95000000000000018</v>
      </c>
      <c r="CG62" s="127">
        <f>Real[[#This Row],[05/05/25]]+(1-Real[[#This Row],[05/05/25]])*'Avance 39'!AN34</f>
        <v>0.95000000000000018</v>
      </c>
      <c r="CH62" s="127">
        <f>Real[[#This Row],[05/05/25]]+(1-Real[[#This Row],[05/05/25]])*'Avance 39'!AO34</f>
        <v>0.95000000000000018</v>
      </c>
      <c r="CI62" s="127">
        <f>Real[[#This Row],[05/05/25]]+(1-Real[[#This Row],[05/05/25]])*'Avance 39'!AP34</f>
        <v>0.95000000000000018</v>
      </c>
      <c r="CJ62" s="127">
        <f>Real[[#This Row],[05/05/25]]+(1-Real[[#This Row],[05/05/25]])*'Avance 39'!AQ34</f>
        <v>0.95000000000000018</v>
      </c>
      <c r="CK62" s="127">
        <f>Real[[#This Row],[05/05/25]]+(1-Real[[#This Row],[05/05/25]])*'Avance 39'!AR34</f>
        <v>0.95000000000000018</v>
      </c>
      <c r="CL62" s="127">
        <f>Real[[#This Row],[05/05/25]]+(1-Real[[#This Row],[05/05/25]])*'Avance 39'!AS34</f>
        <v>0.95000000000000018</v>
      </c>
      <c r="CM62" s="127">
        <f>Real[[#This Row],[05/05/25]]+(1-Real[[#This Row],[05/05/25]])*'Avance 39'!AT34</f>
        <v>0.95000000000000018</v>
      </c>
      <c r="CN62" s="127">
        <f>Real[[#This Row],[05/05/25]]+(1-Real[[#This Row],[05/05/25]])*'Avance 39'!AU34</f>
        <v>0.95000000000000018</v>
      </c>
      <c r="CO62" s="127">
        <f>Real[[#This Row],[05/05/25]]+(1-Real[[#This Row],[05/05/25]])*'Avance 39'!AV34</f>
        <v>0.95000000000000018</v>
      </c>
      <c r="CP62" s="127">
        <f>Real[[#This Row],[05/05/25]]+(1-Real[[#This Row],[05/05/25]])*'Avance 39'!AW34</f>
        <v>0.95000000000000018</v>
      </c>
      <c r="CQ62" s="127">
        <f>Real[[#This Row],[05/05/25]]+(1-Real[[#This Row],[05/05/25]])*'Avance 39'!AX34</f>
        <v>0.95000000000000018</v>
      </c>
      <c r="CR62" s="127">
        <f>Real[[#This Row],[05/05/25]]+(1-Real[[#This Row],[05/05/25]])*'Avance 39'!AY34</f>
        <v>0.95000000000000018</v>
      </c>
      <c r="CS62" s="127">
        <f>Real[[#This Row],[05/05/25]]+(1-Real[[#This Row],[05/05/25]])*'Avance 39'!AZ34</f>
        <v>0.95000000000000018</v>
      </c>
      <c r="CT62" s="127">
        <f>Real[[#This Row],[05/05/25]]+(1-Real[[#This Row],[05/05/25]])*'Avance 39'!BA34</f>
        <v>0.95000000000000018</v>
      </c>
      <c r="CU62" s="127">
        <f>Real[[#This Row],[05/05/25]]+(1-Real[[#This Row],[05/05/25]])*'Avance 39'!BB34</f>
        <v>0.95000000000000018</v>
      </c>
      <c r="CV62" s="127">
        <f>Real[[#This Row],[05/05/25]]+(1-Real[[#This Row],[05/05/25]])*'Avance 39'!BC34</f>
        <v>0.95000000000000018</v>
      </c>
      <c r="CW62" s="127">
        <f>Real[[#This Row],[05/05/25]]+(1-Real[[#This Row],[05/05/25]])*'Avance 39'!BD34</f>
        <v>0.95000000000000018</v>
      </c>
      <c r="CX62" s="127">
        <f>Real[[#This Row],[05/05/25]]+(1-Real[[#This Row],[05/05/25]])*'Avance 39'!BE34</f>
        <v>0.95000000000000018</v>
      </c>
      <c r="CY62" s="127">
        <f>Real[[#This Row],[05/05/25]]+(1-Real[[#This Row],[05/05/25]])*'Avance 39'!BF34</f>
        <v>0.95000000000000018</v>
      </c>
      <c r="CZ62" s="127">
        <f>Real[[#This Row],[05/05/25]]+(1-Real[[#This Row],[05/05/25]])*'Avance 39'!BG34</f>
        <v>0.95000000000000018</v>
      </c>
      <c r="DA62" s="127">
        <f>Real[[#This Row],[05/05/25]]+(1-Real[[#This Row],[05/05/25]])*'Avance 39'!BH34</f>
        <v>0.95000000000000018</v>
      </c>
      <c r="DB62" s="127">
        <f>Real[[#This Row],[05/05/25]]+(1-Real[[#This Row],[05/05/25]])*'Avance 39'!BI34</f>
        <v>0.95000000000000018</v>
      </c>
      <c r="DC62" s="127">
        <f>Real[[#This Row],[05/05/25]]+(1-Real[[#This Row],[05/05/25]])*'Avance 39'!BJ34</f>
        <v>0.95000000000000018</v>
      </c>
      <c r="DD62" s="127">
        <f>Real[[#This Row],[05/05/25]]+(1-Real[[#This Row],[05/05/25]])*'Avance 39'!BK34</f>
        <v>0.95000000000000018</v>
      </c>
      <c r="DE62" s="127">
        <f>Real[[#This Row],[05/05/25]]+(1-Real[[#This Row],[05/05/25]])*'Avance 39'!BL34</f>
        <v>0.995</v>
      </c>
      <c r="DF62" s="127">
        <f>Real[[#This Row],[05/05/25]]+(1-Real[[#This Row],[05/05/25]])*'Avance 39'!BM34</f>
        <v>0.995</v>
      </c>
      <c r="DG62" s="127">
        <f>Real[[#This Row],[05/05/25]]+(1-Real[[#This Row],[05/05/25]])*'Avance 39'!BN34</f>
        <v>0.995</v>
      </c>
      <c r="DH62" s="127">
        <f>Real[[#This Row],[05/05/25]]+(1-Real[[#This Row],[05/05/25]])*'Avance 39'!BO34</f>
        <v>0.995</v>
      </c>
      <c r="DI62" s="127">
        <f>Real[[#This Row],[05/05/25]]+(1-Real[[#This Row],[05/05/25]])*'Avance 39'!BP34</f>
        <v>0.995</v>
      </c>
      <c r="DJ62" s="127">
        <f>Real[[#This Row],[05/05/25]]+(1-Real[[#This Row],[05/05/25]])*'Avance 39'!BQ34</f>
        <v>0.95000000000000018</v>
      </c>
      <c r="DK62" s="127">
        <f>Real[[#This Row],[05/05/25]]+(1-Real[[#This Row],[05/05/25]])*'Avance 39'!BR34</f>
        <v>0.95000000000000018</v>
      </c>
      <c r="DL62" s="127">
        <f>Real[[#This Row],[05/05/25]]+(1-Real[[#This Row],[05/05/25]])*'Avance 39'!BS34</f>
        <v>0.95000000000000018</v>
      </c>
      <c r="DM62" s="127">
        <f>Real[[#This Row],[05/05/25]]+(1-Real[[#This Row],[05/05/25]])*'Avance 39'!BT34</f>
        <v>0.95000000000000018</v>
      </c>
      <c r="DN62" s="127">
        <f>Real[[#This Row],[05/05/25]]+(1-Real[[#This Row],[05/05/25]])*'Avance 39'!BU34</f>
        <v>0.95000000000000018</v>
      </c>
      <c r="DO62" s="127">
        <f>Real[[#This Row],[05/05/25]]+(1-Real[[#This Row],[05/05/25]])*'Avance 39'!BV34</f>
        <v>0.95000000000000018</v>
      </c>
      <c r="DP62" s="127">
        <f>Real[[#This Row],[05/05/25]]+(1-Real[[#This Row],[05/05/25]])*'Avance 39'!BW34</f>
        <v>0.95000000000000018</v>
      </c>
      <c r="DQ62" s="127">
        <f>Real[[#This Row],[05/05/25]]+(1-Real[[#This Row],[05/05/25]])*'Avance 39'!BX34</f>
        <v>0.95000000000000018</v>
      </c>
      <c r="DR62" s="127">
        <f>Real[[#This Row],[05/05/25]]+(1-Real[[#This Row],[05/05/25]])*'Avance 39'!BY34</f>
        <v>0.95000000000000018</v>
      </c>
      <c r="DS62" s="127">
        <f>Real[[#This Row],[05/05/25]]+(1-Real[[#This Row],[05/05/25]])*'Avance 39'!BZ34</f>
        <v>0.95000000000000018</v>
      </c>
      <c r="DT62" s="127">
        <f>Real[[#This Row],[05/05/25]]+(1-Real[[#This Row],[05/05/25]])*'Avance 39'!CA34</f>
        <v>0.95000000000000018</v>
      </c>
      <c r="DU62" s="127">
        <f>Real[[#This Row],[05/05/25]]+(1-Real[[#This Row],[05/05/25]])*'Avance 39'!CB34</f>
        <v>0.95000000000000018</v>
      </c>
      <c r="DV62" s="127">
        <f>Real[[#This Row],[05/05/25]]+(1-Real[[#This Row],[05/05/25]])*'Avance 39'!CC34</f>
        <v>0.95000000000000018</v>
      </c>
      <c r="DW62" s="127">
        <f>Real[[#This Row],[05/05/25]]+(1-Real[[#This Row],[05/05/25]])*'Avance 39'!CD34</f>
        <v>0.95000000000000018</v>
      </c>
      <c r="DX62" s="127">
        <f>Real[[#This Row],[05/05/25]]+(1-Real[[#This Row],[05/05/25]])*'Avance 39'!CE34</f>
        <v>0.95000000000000018</v>
      </c>
      <c r="DY62" s="127">
        <f>Real[[#This Row],[05/05/25]]+(1-Real[[#This Row],[05/05/25]])*'Avance 39'!CF34</f>
        <v>0.95000000000000018</v>
      </c>
      <c r="DZ62" s="127">
        <f>Real[[#This Row],[05/05/25]]+(1-Real[[#This Row],[05/05/25]])*'Avance 39'!CG34</f>
        <v>0.95000000000000018</v>
      </c>
      <c r="EA62" s="127">
        <f>Real[[#This Row],[05/05/25]]+(1-Real[[#This Row],[05/05/25]])*'Avance 39'!CH34</f>
        <v>0.95000000000000018</v>
      </c>
      <c r="EB62" s="127">
        <f>Real[[#This Row],[05/05/25]]+(1-Real[[#This Row],[05/05/25]])*'Avance 39'!CI34</f>
        <v>0.95000000000000018</v>
      </c>
      <c r="EC62" s="127">
        <f>Real[[#This Row],[05/05/25]]+(1-Real[[#This Row],[05/05/25]])*'Avance 39'!CJ34</f>
        <v>0.95000000000000018</v>
      </c>
      <c r="ED62" s="127">
        <f>Real[[#This Row],[05/05/25]]+(1-Real[[#This Row],[05/05/25]])*'Avance 39'!CK34</f>
        <v>0.95000000000000018</v>
      </c>
      <c r="EE62" s="127">
        <f>Real[[#This Row],[05/05/25]]+(1-Real[[#This Row],[05/05/25]])*'Avance 39'!CL34</f>
        <v>0.95000000000000018</v>
      </c>
      <c r="EF62" s="127">
        <f>Real[[#This Row],[05/05/25]]+(1-Real[[#This Row],[05/05/25]])*'Avance 39'!CM34</f>
        <v>0.95000000000000018</v>
      </c>
      <c r="EG62" s="127">
        <f>Real[[#This Row],[05/05/25]]+(1-Real[[#This Row],[05/05/25]])*'Avance 39'!CN34</f>
        <v>0.95000000000000018</v>
      </c>
      <c r="EH62" s="127">
        <f>Real[[#This Row],[05/05/25]]+(1-Real[[#This Row],[05/05/25]])*'Avance 39'!CO34</f>
        <v>0.95000000000000018</v>
      </c>
      <c r="EI62" s="127">
        <f>Real[[#This Row],[05/05/25]]+(1-Real[[#This Row],[05/05/25]])*'Avance 39'!CP34</f>
        <v>0.95000000000000018</v>
      </c>
    </row>
    <row r="63" spans="2:139" ht="15" hidden="1" customHeight="1" outlineLevel="3" x14ac:dyDescent="0.3">
      <c r="B63" s="29"/>
      <c r="C63" s="30"/>
      <c r="D63" s="65"/>
      <c r="E63" s="52" t="s">
        <v>67</v>
      </c>
      <c r="F63" s="33">
        <v>30</v>
      </c>
      <c r="G63" s="35">
        <v>0.06</v>
      </c>
      <c r="H63" s="162"/>
      <c r="I63" s="127">
        <v>0</v>
      </c>
      <c r="J63" s="127">
        <v>0</v>
      </c>
      <c r="K63" s="127">
        <v>0</v>
      </c>
      <c r="L63" s="127">
        <v>0</v>
      </c>
      <c r="M63" s="128">
        <v>0</v>
      </c>
      <c r="N63" s="128">
        <v>0</v>
      </c>
      <c r="O63" s="127">
        <v>0</v>
      </c>
      <c r="P63" s="127">
        <v>0</v>
      </c>
      <c r="Q63" s="127">
        <v>0</v>
      </c>
      <c r="R63" s="127">
        <v>0</v>
      </c>
      <c r="S63" s="127">
        <v>0</v>
      </c>
      <c r="T63" s="127">
        <v>0</v>
      </c>
      <c r="U63" s="127">
        <v>0</v>
      </c>
      <c r="V63" s="127">
        <v>0</v>
      </c>
      <c r="W63" s="127">
        <v>0</v>
      </c>
      <c r="X63" s="127">
        <v>0</v>
      </c>
      <c r="Y63" s="127">
        <v>0</v>
      </c>
      <c r="Z63" s="127">
        <v>0</v>
      </c>
      <c r="AA63" s="127">
        <v>0</v>
      </c>
      <c r="AB63" s="127">
        <v>0</v>
      </c>
      <c r="AC63" s="127">
        <v>0</v>
      </c>
      <c r="AD63" s="127">
        <v>0</v>
      </c>
      <c r="AE63" s="127">
        <v>2.3167420814479641E-2</v>
      </c>
      <c r="AF63" s="127">
        <v>0.12452488687782806</v>
      </c>
      <c r="AG63" s="127">
        <v>0.21285067873303168</v>
      </c>
      <c r="AH63" s="127">
        <v>0.28524886877828054</v>
      </c>
      <c r="AI63" s="127">
        <v>0.28524886877828054</v>
      </c>
      <c r="AJ63" s="127">
        <v>0.28524886877828054</v>
      </c>
      <c r="AK63" s="127">
        <v>0.36343891402714934</v>
      </c>
      <c r="AL63" s="127">
        <v>0.48970588235294116</v>
      </c>
      <c r="AM63" s="127">
        <v>0.48970588235294116</v>
      </c>
      <c r="AN63" s="127">
        <v>0.48970588235294116</v>
      </c>
      <c r="AO63" s="127">
        <v>0.48970588235294116</v>
      </c>
      <c r="AP63" s="127">
        <v>0.57205882352941173</v>
      </c>
      <c r="AQ63" s="127">
        <v>0.72941176470588243</v>
      </c>
      <c r="AR63" s="127">
        <v>0.81423529411764706</v>
      </c>
      <c r="AS63" s="127">
        <v>0.83152941176470585</v>
      </c>
      <c r="AT63" s="127">
        <v>0.86282352941176466</v>
      </c>
      <c r="AU63" s="127">
        <v>0.9110588235294117</v>
      </c>
      <c r="AV63" s="127">
        <v>0.9110588235294117</v>
      </c>
      <c r="AW63" s="127">
        <v>0.9110588235294117</v>
      </c>
      <c r="AX63" s="127">
        <v>0.9110588235294117</v>
      </c>
      <c r="AY63" s="127">
        <v>0.9110588235294117</v>
      </c>
      <c r="AZ63" s="127">
        <v>0.9110588235294117</v>
      </c>
      <c r="BA63" s="127">
        <v>0.9110588235294117</v>
      </c>
      <c r="BB63" s="127">
        <f>Real[[#This Row],[05/05/25]]+(1-Real[[#This Row],[05/05/25]])*'Avance 39'!I35</f>
        <v>0.9110588235294117</v>
      </c>
      <c r="BC63" s="127">
        <f>Real[[#This Row],[05/05/25]]+(1-Real[[#This Row],[05/05/25]])*'Avance 39'!J35</f>
        <v>0.9110588235294117</v>
      </c>
      <c r="BD63" s="127">
        <f>Real[[#This Row],[05/05/25]]+(1-Real[[#This Row],[05/05/25]])*'Avance 39'!K35</f>
        <v>0.91910588235294111</v>
      </c>
      <c r="BE63" s="127">
        <f>Real[[#This Row],[05/05/25]]+(1-Real[[#This Row],[05/05/25]])*'Avance 39'!L35</f>
        <v>0.98932705882352945</v>
      </c>
      <c r="BF63" s="127">
        <f>Real[[#This Row],[05/05/25]]+(1-Real[[#This Row],[05/05/25]])*'Avance 39'!M35</f>
        <v>0.98932705882352945</v>
      </c>
      <c r="BG63" s="163">
        <f>Real[[#This Row],[05/05/25]]+(1-Real[[#This Row],[05/05/25]])*'Avance 39'!N35</f>
        <v>0.98932705882352945</v>
      </c>
      <c r="BH63" s="163">
        <f>Real[[#This Row],[05/05/25]]+(1-Real[[#This Row],[05/05/25]])*'Avance 39'!O35</f>
        <v>0.99075011764705878</v>
      </c>
      <c r="BI63" s="127">
        <f>Real[[#This Row],[05/05/25]]+(1-Real[[#This Row],[05/05/25]])*'Avance 39'!P35</f>
        <v>0.99075011764705878</v>
      </c>
      <c r="BJ63" s="127">
        <f>Real[[#This Row],[05/05/25]]+(1-Real[[#This Row],[05/05/25]])*'Avance 39'!Q35</f>
        <v>0.99075011764705878</v>
      </c>
      <c r="BK63" s="127">
        <f>Real[[#This Row],[05/05/25]]+(1-Real[[#This Row],[05/05/25]])*'Avance 39'!R35</f>
        <v>0.99075011764705878</v>
      </c>
      <c r="BL63" s="127">
        <f>Real[[#This Row],[05/05/25]]+(1-Real[[#This Row],[05/05/25]])*'Avance 39'!S35</f>
        <v>0.99075011764705878</v>
      </c>
      <c r="BM63" s="127">
        <f>Real[[#This Row],[05/05/25]]+(1-Real[[#This Row],[05/05/25]])*'Avance 39'!T35</f>
        <v>0.99075011764705878</v>
      </c>
      <c r="BN63" s="127">
        <f>Real[[#This Row],[05/05/25]]+(1-Real[[#This Row],[05/05/25]])*'Avance 39'!U35</f>
        <v>0.99075011764705878</v>
      </c>
      <c r="BO63" s="127">
        <f>Real[[#This Row],[05/05/25]]+(1-Real[[#This Row],[05/05/25]])*'Avance 39'!V35</f>
        <v>0.99075011764705878</v>
      </c>
      <c r="BP63" s="127">
        <f>Real[[#This Row],[05/05/25]]+(1-Real[[#This Row],[05/05/25]])*'Avance 39'!W35</f>
        <v>0.99075011764705878</v>
      </c>
      <c r="BQ63" s="127">
        <f>Real[[#This Row],[05/05/25]]+(1-Real[[#This Row],[05/05/25]])*'Avance 39'!X35</f>
        <v>0.99075011764705878</v>
      </c>
      <c r="BR63" s="127">
        <f>Real[[#This Row],[05/05/25]]+(1-Real[[#This Row],[05/05/25]])*'Avance 39'!Y35</f>
        <v>0.99075011764705878</v>
      </c>
      <c r="BS63" s="127">
        <f>Real[[#This Row],[05/05/25]]+(1-Real[[#This Row],[05/05/25]])*'Avance 39'!Z35</f>
        <v>0.99075011764705878</v>
      </c>
      <c r="BT63" s="127">
        <f>Real[[#This Row],[05/05/25]]+(1-Real[[#This Row],[05/05/25]])*'Avance 39'!AA35</f>
        <v>0.99075011764705878</v>
      </c>
      <c r="BU63" s="127">
        <f>Real[[#This Row],[05/05/25]]+(1-Real[[#This Row],[05/05/25]])*'Avance 39'!AB35</f>
        <v>0.99075011764705878</v>
      </c>
      <c r="BV63" s="127">
        <f>Real[[#This Row],[05/05/25]]+(1-Real[[#This Row],[05/05/25]])*'Avance 39'!AC35</f>
        <v>0.99075011764705878</v>
      </c>
      <c r="BW63" s="127">
        <f>Real[[#This Row],[05/05/25]]+(1-Real[[#This Row],[05/05/25]])*'Avance 39'!AD35</f>
        <v>0.99075011764705878</v>
      </c>
      <c r="BX63" s="127">
        <f>Real[[#This Row],[05/05/25]]+(1-Real[[#This Row],[05/05/25]])*'Avance 39'!AE35</f>
        <v>0.99075011764705878</v>
      </c>
      <c r="BY63" s="127">
        <f>Real[[#This Row],[05/05/25]]+(1-Real[[#This Row],[05/05/25]])*'Avance 39'!AF35</f>
        <v>0.99075011764705878</v>
      </c>
      <c r="BZ63" s="127">
        <f>Real[[#This Row],[05/05/25]]+(1-Real[[#This Row],[05/05/25]])*'Avance 39'!AG35</f>
        <v>0.99075011764705878</v>
      </c>
      <c r="CA63" s="127">
        <f>Real[[#This Row],[05/05/25]]+(1-Real[[#This Row],[05/05/25]])*'Avance 39'!AH35</f>
        <v>0.99075011764705878</v>
      </c>
      <c r="CB63" s="127">
        <f>Real[[#This Row],[05/05/25]]+(1-Real[[#This Row],[05/05/25]])*'Avance 39'!AI35</f>
        <v>0.99075011764705878</v>
      </c>
      <c r="CC63" s="127">
        <f>Real[[#This Row],[05/05/25]]+(1-Real[[#This Row],[05/05/25]])*'Avance 39'!AJ35</f>
        <v>1</v>
      </c>
      <c r="CD63" s="127">
        <f>Real[[#This Row],[05/05/25]]+(1-Real[[#This Row],[05/05/25]])*'Avance 39'!AK35</f>
        <v>1</v>
      </c>
      <c r="CE63" s="127">
        <f>Real[[#This Row],[05/05/25]]+(1-Real[[#This Row],[05/05/25]])*'Avance 39'!AL35</f>
        <v>1</v>
      </c>
      <c r="CF63" s="127">
        <f>Real[[#This Row],[05/05/25]]+(1-Real[[#This Row],[05/05/25]])*'Avance 39'!AM35</f>
        <v>1</v>
      </c>
      <c r="CG63" s="127">
        <f>Real[[#This Row],[05/05/25]]+(1-Real[[#This Row],[05/05/25]])*'Avance 39'!AN35</f>
        <v>1</v>
      </c>
      <c r="CH63" s="127">
        <f>Real[[#This Row],[05/05/25]]+(1-Real[[#This Row],[05/05/25]])*'Avance 39'!AO35</f>
        <v>1</v>
      </c>
      <c r="CI63" s="127">
        <f>Real[[#This Row],[05/05/25]]+(1-Real[[#This Row],[05/05/25]])*'Avance 39'!AP35</f>
        <v>1</v>
      </c>
      <c r="CJ63" s="127">
        <f>Real[[#This Row],[05/05/25]]+(1-Real[[#This Row],[05/05/25]])*'Avance 39'!AQ35</f>
        <v>1</v>
      </c>
      <c r="CK63" s="127">
        <f>Real[[#This Row],[05/05/25]]+(1-Real[[#This Row],[05/05/25]])*'Avance 39'!AR35</f>
        <v>1</v>
      </c>
      <c r="CL63" s="127">
        <f>Real[[#This Row],[05/05/25]]+(1-Real[[#This Row],[05/05/25]])*'Avance 39'!AS35</f>
        <v>1</v>
      </c>
      <c r="CM63" s="127">
        <f>Real[[#This Row],[05/05/25]]+(1-Real[[#This Row],[05/05/25]])*'Avance 39'!AT35</f>
        <v>1</v>
      </c>
      <c r="CN63" s="127">
        <f>Real[[#This Row],[05/05/25]]+(1-Real[[#This Row],[05/05/25]])*'Avance 39'!AU35</f>
        <v>1</v>
      </c>
      <c r="CO63" s="127">
        <f>Real[[#This Row],[05/05/25]]+(1-Real[[#This Row],[05/05/25]])*'Avance 39'!AV35</f>
        <v>1</v>
      </c>
      <c r="CP63" s="127">
        <f>Real[[#This Row],[05/05/25]]+(1-Real[[#This Row],[05/05/25]])*'Avance 39'!AW35</f>
        <v>1</v>
      </c>
      <c r="CQ63" s="127">
        <f>Real[[#This Row],[05/05/25]]+(1-Real[[#This Row],[05/05/25]])*'Avance 39'!AX35</f>
        <v>1</v>
      </c>
      <c r="CR63" s="127">
        <f>Real[[#This Row],[05/05/25]]+(1-Real[[#This Row],[05/05/25]])*'Avance 39'!AY35</f>
        <v>1</v>
      </c>
      <c r="CS63" s="127">
        <f>Real[[#This Row],[05/05/25]]+(1-Real[[#This Row],[05/05/25]])*'Avance 39'!AZ35</f>
        <v>1</v>
      </c>
      <c r="CT63" s="127">
        <f>Real[[#This Row],[05/05/25]]+(1-Real[[#This Row],[05/05/25]])*'Avance 39'!BA35</f>
        <v>1</v>
      </c>
      <c r="CU63" s="127">
        <f>Real[[#This Row],[05/05/25]]+(1-Real[[#This Row],[05/05/25]])*'Avance 39'!BB35</f>
        <v>1</v>
      </c>
      <c r="CV63" s="127">
        <f>Real[[#This Row],[05/05/25]]+(1-Real[[#This Row],[05/05/25]])*'Avance 39'!BC35</f>
        <v>1</v>
      </c>
      <c r="CW63" s="127">
        <f>Real[[#This Row],[05/05/25]]+(1-Real[[#This Row],[05/05/25]])*'Avance 39'!BD35</f>
        <v>1</v>
      </c>
      <c r="CX63" s="127">
        <f>Real[[#This Row],[05/05/25]]+(1-Real[[#This Row],[05/05/25]])*'Avance 39'!BE35</f>
        <v>1</v>
      </c>
      <c r="CY63" s="127">
        <f>Real[[#This Row],[05/05/25]]+(1-Real[[#This Row],[05/05/25]])*'Avance 39'!BF35</f>
        <v>1</v>
      </c>
      <c r="CZ63" s="127">
        <f>Real[[#This Row],[05/05/25]]+(1-Real[[#This Row],[05/05/25]])*'Avance 39'!BG35</f>
        <v>1</v>
      </c>
      <c r="DA63" s="127">
        <f>Real[[#This Row],[05/05/25]]+(1-Real[[#This Row],[05/05/25]])*'Avance 39'!BH35</f>
        <v>1</v>
      </c>
      <c r="DB63" s="127">
        <f>Real[[#This Row],[05/05/25]]+(1-Real[[#This Row],[05/05/25]])*'Avance 39'!BI35</f>
        <v>1</v>
      </c>
      <c r="DC63" s="127">
        <f>Real[[#This Row],[05/05/25]]+(1-Real[[#This Row],[05/05/25]])*'Avance 39'!BJ35</f>
        <v>1</v>
      </c>
      <c r="DD63" s="127">
        <f>Real[[#This Row],[05/05/25]]+(1-Real[[#This Row],[05/05/25]])*'Avance 39'!BK35</f>
        <v>1</v>
      </c>
      <c r="DE63" s="127">
        <f>Real[[#This Row],[05/05/25]]+(1-Real[[#This Row],[05/05/25]])*'Avance 39'!BL35</f>
        <v>1</v>
      </c>
      <c r="DF63" s="127">
        <f>Real[[#This Row],[05/05/25]]+(1-Real[[#This Row],[05/05/25]])*'Avance 39'!BM35</f>
        <v>1</v>
      </c>
      <c r="DG63" s="127">
        <f>Real[[#This Row],[05/05/25]]+(1-Real[[#This Row],[05/05/25]])*'Avance 39'!BN35</f>
        <v>1</v>
      </c>
      <c r="DH63" s="127">
        <f>Real[[#This Row],[05/05/25]]+(1-Real[[#This Row],[05/05/25]])*'Avance 39'!BO35</f>
        <v>1</v>
      </c>
      <c r="DI63" s="127">
        <f>Real[[#This Row],[05/05/25]]+(1-Real[[#This Row],[05/05/25]])*'Avance 39'!BP35</f>
        <v>1</v>
      </c>
      <c r="DJ63" s="127">
        <f>Real[[#This Row],[05/05/25]]+(1-Real[[#This Row],[05/05/25]])*'Avance 39'!BQ35</f>
        <v>1</v>
      </c>
      <c r="DK63" s="127">
        <f>Real[[#This Row],[05/05/25]]+(1-Real[[#This Row],[05/05/25]])*'Avance 39'!BR35</f>
        <v>1</v>
      </c>
      <c r="DL63" s="127">
        <f>Real[[#This Row],[05/05/25]]+(1-Real[[#This Row],[05/05/25]])*'Avance 39'!BS35</f>
        <v>1</v>
      </c>
      <c r="DM63" s="127">
        <f>Real[[#This Row],[05/05/25]]+(1-Real[[#This Row],[05/05/25]])*'Avance 39'!BT35</f>
        <v>1</v>
      </c>
      <c r="DN63" s="127">
        <f>Real[[#This Row],[05/05/25]]+(1-Real[[#This Row],[05/05/25]])*'Avance 39'!BU35</f>
        <v>1</v>
      </c>
      <c r="DO63" s="127">
        <f>Real[[#This Row],[05/05/25]]+(1-Real[[#This Row],[05/05/25]])*'Avance 39'!BV35</f>
        <v>1</v>
      </c>
      <c r="DP63" s="127">
        <f>Real[[#This Row],[05/05/25]]+(1-Real[[#This Row],[05/05/25]])*'Avance 39'!BW35</f>
        <v>1</v>
      </c>
      <c r="DQ63" s="127">
        <f>Real[[#This Row],[05/05/25]]+(1-Real[[#This Row],[05/05/25]])*'Avance 39'!BX35</f>
        <v>1</v>
      </c>
      <c r="DR63" s="127">
        <f>Real[[#This Row],[05/05/25]]+(1-Real[[#This Row],[05/05/25]])*'Avance 39'!BY35</f>
        <v>1</v>
      </c>
      <c r="DS63" s="127">
        <f>Real[[#This Row],[05/05/25]]+(1-Real[[#This Row],[05/05/25]])*'Avance 39'!BZ35</f>
        <v>1</v>
      </c>
      <c r="DT63" s="127">
        <f>Real[[#This Row],[05/05/25]]+(1-Real[[#This Row],[05/05/25]])*'Avance 39'!CA35</f>
        <v>1</v>
      </c>
      <c r="DU63" s="127">
        <f>Real[[#This Row],[05/05/25]]+(1-Real[[#This Row],[05/05/25]])*'Avance 39'!CB35</f>
        <v>1</v>
      </c>
      <c r="DV63" s="127">
        <f>Real[[#This Row],[05/05/25]]+(1-Real[[#This Row],[05/05/25]])*'Avance 39'!CC35</f>
        <v>1</v>
      </c>
      <c r="DW63" s="127">
        <f>Real[[#This Row],[05/05/25]]+(1-Real[[#This Row],[05/05/25]])*'Avance 39'!CD35</f>
        <v>1</v>
      </c>
      <c r="DX63" s="127">
        <f>Real[[#This Row],[05/05/25]]+(1-Real[[#This Row],[05/05/25]])*'Avance 39'!CE35</f>
        <v>1</v>
      </c>
      <c r="DY63" s="127">
        <f>Real[[#This Row],[05/05/25]]+(1-Real[[#This Row],[05/05/25]])*'Avance 39'!CF35</f>
        <v>1</v>
      </c>
      <c r="DZ63" s="127">
        <f>Real[[#This Row],[05/05/25]]+(1-Real[[#This Row],[05/05/25]])*'Avance 39'!CG35</f>
        <v>1</v>
      </c>
      <c r="EA63" s="127">
        <f>Real[[#This Row],[05/05/25]]+(1-Real[[#This Row],[05/05/25]])*'Avance 39'!CH35</f>
        <v>1</v>
      </c>
      <c r="EB63" s="127">
        <f>Real[[#This Row],[05/05/25]]+(1-Real[[#This Row],[05/05/25]])*'Avance 39'!CI35</f>
        <v>1</v>
      </c>
      <c r="EC63" s="127">
        <f>Real[[#This Row],[05/05/25]]+(1-Real[[#This Row],[05/05/25]])*'Avance 39'!CJ35</f>
        <v>1</v>
      </c>
      <c r="ED63" s="127">
        <f>Real[[#This Row],[05/05/25]]+(1-Real[[#This Row],[05/05/25]])*'Avance 39'!CK35</f>
        <v>1</v>
      </c>
      <c r="EE63" s="127">
        <f>Real[[#This Row],[05/05/25]]+(1-Real[[#This Row],[05/05/25]])*'Avance 39'!CL35</f>
        <v>1</v>
      </c>
      <c r="EF63" s="127">
        <f>Real[[#This Row],[05/05/25]]+(1-Real[[#This Row],[05/05/25]])*'Avance 39'!CM35</f>
        <v>1</v>
      </c>
      <c r="EG63" s="127">
        <f>Real[[#This Row],[05/05/25]]+(1-Real[[#This Row],[05/05/25]])*'Avance 39'!CN35</f>
        <v>1</v>
      </c>
      <c r="EH63" s="127">
        <f>Real[[#This Row],[05/05/25]]+(1-Real[[#This Row],[05/05/25]])*'Avance 39'!CO35</f>
        <v>1</v>
      </c>
      <c r="EI63" s="127">
        <f>Real[[#This Row],[05/05/25]]+(1-Real[[#This Row],[05/05/25]])*'Avance 39'!CP35</f>
        <v>1</v>
      </c>
    </row>
    <row r="64" spans="2:139" ht="15" hidden="1" customHeight="1" outlineLevel="3" x14ac:dyDescent="0.3">
      <c r="B64" s="29"/>
      <c r="C64" s="30"/>
      <c r="D64" s="65"/>
      <c r="E64" s="52" t="s">
        <v>68</v>
      </c>
      <c r="F64" s="33">
        <v>30</v>
      </c>
      <c r="G64" s="35">
        <v>0.06</v>
      </c>
      <c r="H64" s="162"/>
      <c r="I64" s="127">
        <v>0</v>
      </c>
      <c r="J64" s="127">
        <v>0</v>
      </c>
      <c r="K64" s="127">
        <v>0</v>
      </c>
      <c r="L64" s="127">
        <v>0</v>
      </c>
      <c r="M64" s="128">
        <v>0</v>
      </c>
      <c r="N64" s="128">
        <v>0</v>
      </c>
      <c r="O64" s="127">
        <v>0</v>
      </c>
      <c r="P64" s="127">
        <v>0</v>
      </c>
      <c r="Q64" s="127">
        <v>0</v>
      </c>
      <c r="R64" s="127">
        <v>0</v>
      </c>
      <c r="S64" s="127">
        <v>0</v>
      </c>
      <c r="T64" s="127">
        <v>0</v>
      </c>
      <c r="U64" s="127">
        <v>0</v>
      </c>
      <c r="V64" s="127">
        <v>0</v>
      </c>
      <c r="W64" s="127">
        <v>0</v>
      </c>
      <c r="X64" s="127">
        <v>0</v>
      </c>
      <c r="Y64" s="127">
        <v>0</v>
      </c>
      <c r="Z64" s="127">
        <v>0</v>
      </c>
      <c r="AA64" s="127">
        <v>0</v>
      </c>
      <c r="AB64" s="127">
        <v>0</v>
      </c>
      <c r="AC64" s="127">
        <v>0</v>
      </c>
      <c r="AD64" s="127">
        <v>0</v>
      </c>
      <c r="AE64" s="127">
        <v>0</v>
      </c>
      <c r="AF64" s="127">
        <v>0</v>
      </c>
      <c r="AG64" s="127">
        <v>0</v>
      </c>
      <c r="AH64" s="127">
        <v>0</v>
      </c>
      <c r="AI64" s="127">
        <v>0</v>
      </c>
      <c r="AJ64" s="127">
        <v>0</v>
      </c>
      <c r="AK64" s="127">
        <v>0</v>
      </c>
      <c r="AL64" s="127">
        <v>0</v>
      </c>
      <c r="AM64" s="127">
        <v>0</v>
      </c>
      <c r="AN64" s="127">
        <v>0.11475409836065575</v>
      </c>
      <c r="AO64" s="127">
        <v>0.11475409836065575</v>
      </c>
      <c r="AP64" s="127">
        <v>0.11475409836065575</v>
      </c>
      <c r="AQ64" s="127">
        <v>0.11475409836065575</v>
      </c>
      <c r="AR64" s="127">
        <v>0.11475409836065575</v>
      </c>
      <c r="AS64" s="127">
        <v>0.11475409836065575</v>
      </c>
      <c r="AT64" s="127">
        <v>0.11475409836065575</v>
      </c>
      <c r="AU64" s="127">
        <v>0.11475409836065575</v>
      </c>
      <c r="AV64" s="127">
        <v>0.11475409836065575</v>
      </c>
      <c r="AW64" s="127">
        <v>0.11475409836065575</v>
      </c>
      <c r="AX64" s="127">
        <v>0.11475409836065575</v>
      </c>
      <c r="AY64" s="127">
        <v>0.11475409836065575</v>
      </c>
      <c r="AZ64" s="127">
        <v>0.11475409836065575</v>
      </c>
      <c r="BA64" s="127">
        <v>0.11475409836065575</v>
      </c>
      <c r="BB64" s="127">
        <f>Real[[#This Row],[05/05/25]]+(1-Real[[#This Row],[05/05/25]])*'Avance 39'!I36</f>
        <v>0.11475409836065575</v>
      </c>
      <c r="BC64" s="127">
        <f>Real[[#This Row],[05/05/25]]+(1-Real[[#This Row],[05/05/25]])*'Avance 39'!J36</f>
        <v>0.11475409836065575</v>
      </c>
      <c r="BD64" s="127">
        <f>Real[[#This Row],[05/05/25]]+(1-Real[[#This Row],[05/05/25]])*'Avance 39'!K36</f>
        <v>0.13797366299381889</v>
      </c>
      <c r="BE64" s="127">
        <f>Real[[#This Row],[05/05/25]]+(1-Real[[#This Row],[05/05/25]])*'Avance 39'!L36</f>
        <v>0.13797366299381889</v>
      </c>
      <c r="BF64" s="127">
        <f>Real[[#This Row],[05/05/25]]+(1-Real[[#This Row],[05/05/25]])*'Avance 39'!M36</f>
        <v>0.13797366299381889</v>
      </c>
      <c r="BG64" s="163">
        <f>Real[[#This Row],[05/05/25]]+(1-Real[[#This Row],[05/05/25]])*'Avance 39'!N36</f>
        <v>0.14958344531040046</v>
      </c>
      <c r="BH64" s="163">
        <f>Real[[#This Row],[05/05/25]]+(1-Real[[#This Row],[05/05/25]])*'Avance 39'!O36</f>
        <v>0.14958344531040046</v>
      </c>
      <c r="BI64" s="127">
        <f>Real[[#This Row],[05/05/25]]+(1-Real[[#This Row],[05/05/25]])*'Avance 39'!P36</f>
        <v>0.18441279226014515</v>
      </c>
      <c r="BJ64" s="127">
        <f>Real[[#This Row],[05/05/25]]+(1-Real[[#This Row],[05/05/25]])*'Avance 39'!Q36</f>
        <v>0.25987637731792534</v>
      </c>
      <c r="BK64" s="127">
        <f>Real[[#This Row],[05/05/25]]+(1-Real[[#This Row],[05/05/25]])*'Avance 39'!R36</f>
        <v>0.2714861596345069</v>
      </c>
      <c r="BL64" s="127">
        <f>Real[[#This Row],[05/05/25]]+(1-Real[[#This Row],[05/05/25]])*'Avance 39'!S36</f>
        <v>0.48626713249126585</v>
      </c>
      <c r="BM64" s="127">
        <f>Real[[#This Row],[05/05/25]]+(1-Real[[#This Row],[05/05/25]])*'Avance 39'!T36</f>
        <v>0.62558452029024458</v>
      </c>
      <c r="BN64" s="127">
        <f>Real[[#This Row],[05/05/25]]+(1-Real[[#This Row],[05/05/25]])*'Avance 39'!U36</f>
        <v>0.73587745229776957</v>
      </c>
      <c r="BO64" s="127">
        <f>Real[[#This Row],[05/05/25]]+(1-Real[[#This Row],[05/05/25]])*'Avance 39'!V36</f>
        <v>0.83456060198871285</v>
      </c>
      <c r="BP64" s="127">
        <f>Real[[#This Row],[05/05/25]]+(1-Real[[#This Row],[05/05/25]])*'Avance 39'!W36</f>
        <v>0.84036549314700348</v>
      </c>
      <c r="BQ64" s="127">
        <f>Real[[#This Row],[05/05/25]]+(1-Real[[#This Row],[05/05/25]])*'Avance 39'!X36</f>
        <v>0.88099973125503905</v>
      </c>
      <c r="BR64" s="127">
        <f>Real[[#This Row],[05/05/25]]+(1-Real[[#This Row],[05/05/25]])*'Avance 39'!Y36</f>
        <v>0.97387798978769147</v>
      </c>
      <c r="BS64" s="127">
        <f>Real[[#This Row],[05/05/25]]+(1-Real[[#This Row],[05/05/25]])*'Avance 39'!Z36</f>
        <v>0.97387798978769147</v>
      </c>
      <c r="BT64" s="127">
        <f>Real[[#This Row],[05/05/25]]+(1-Real[[#This Row],[05/05/25]])*'Avance 39'!AA36</f>
        <v>0.97387798978769147</v>
      </c>
      <c r="BU64" s="127">
        <f>Real[[#This Row],[05/05/25]]+(1-Real[[#This Row],[05/05/25]])*'Avance 39'!AB36</f>
        <v>0.97968288094598233</v>
      </c>
      <c r="BV64" s="127">
        <f>Real[[#This Row],[05/05/25]]+(1-Real[[#This Row],[05/05/25]])*'Avance 39'!AC36</f>
        <v>0.99419510884170925</v>
      </c>
      <c r="BW64" s="127">
        <f>Real[[#This Row],[05/05/25]]+(1-Real[[#This Row],[05/05/25]])*'Avance 39'!AD36</f>
        <v>0.99419510884170925</v>
      </c>
      <c r="BX64" s="127">
        <f>Real[[#This Row],[05/05/25]]+(1-Real[[#This Row],[05/05/25]])*'Avance 39'!AE36</f>
        <v>0.99419510884170925</v>
      </c>
      <c r="BY64" s="127">
        <f>Real[[#This Row],[05/05/25]]+(1-Real[[#This Row],[05/05/25]])*'Avance 39'!AF36</f>
        <v>0.99419510884170925</v>
      </c>
      <c r="BZ64" s="127">
        <f>Real[[#This Row],[05/05/25]]+(1-Real[[#This Row],[05/05/25]])*'Avance 39'!AG36</f>
        <v>0.99419510884170925</v>
      </c>
      <c r="CA64" s="127">
        <f>Real[[#This Row],[05/05/25]]+(1-Real[[#This Row],[05/05/25]])*'Avance 39'!AH36</f>
        <v>0.99419510884170925</v>
      </c>
      <c r="CB64" s="127">
        <f>Real[[#This Row],[05/05/25]]+(1-Real[[#This Row],[05/05/25]])*'Avance 39'!AI36</f>
        <v>0.99419510884170925</v>
      </c>
      <c r="CC64" s="127">
        <f>Real[[#This Row],[05/05/25]]+(1-Real[[#This Row],[05/05/25]])*'Avance 39'!AJ36</f>
        <v>1</v>
      </c>
      <c r="CD64" s="127">
        <f>Real[[#This Row],[05/05/25]]+(1-Real[[#This Row],[05/05/25]])*'Avance 39'!AK36</f>
        <v>1</v>
      </c>
      <c r="CE64" s="127">
        <f>Real[[#This Row],[05/05/25]]+(1-Real[[#This Row],[05/05/25]])*'Avance 39'!AL36</f>
        <v>1</v>
      </c>
      <c r="CF64" s="127">
        <f>Real[[#This Row],[05/05/25]]+(1-Real[[#This Row],[05/05/25]])*'Avance 39'!AM36</f>
        <v>1</v>
      </c>
      <c r="CG64" s="127">
        <f>Real[[#This Row],[05/05/25]]+(1-Real[[#This Row],[05/05/25]])*'Avance 39'!AN36</f>
        <v>1</v>
      </c>
      <c r="CH64" s="127">
        <f>Real[[#This Row],[05/05/25]]+(1-Real[[#This Row],[05/05/25]])*'Avance 39'!AO36</f>
        <v>1</v>
      </c>
      <c r="CI64" s="127">
        <f>Real[[#This Row],[05/05/25]]+(1-Real[[#This Row],[05/05/25]])*'Avance 39'!AP36</f>
        <v>1</v>
      </c>
      <c r="CJ64" s="127">
        <f>Real[[#This Row],[05/05/25]]+(1-Real[[#This Row],[05/05/25]])*'Avance 39'!AQ36</f>
        <v>1</v>
      </c>
      <c r="CK64" s="127">
        <f>Real[[#This Row],[05/05/25]]+(1-Real[[#This Row],[05/05/25]])*'Avance 39'!AR36</f>
        <v>1</v>
      </c>
      <c r="CL64" s="127">
        <f>Real[[#This Row],[05/05/25]]+(1-Real[[#This Row],[05/05/25]])*'Avance 39'!AS36</f>
        <v>1</v>
      </c>
      <c r="CM64" s="127">
        <f>Real[[#This Row],[05/05/25]]+(1-Real[[#This Row],[05/05/25]])*'Avance 39'!AT36</f>
        <v>1</v>
      </c>
      <c r="CN64" s="127">
        <f>Real[[#This Row],[05/05/25]]+(1-Real[[#This Row],[05/05/25]])*'Avance 39'!AU36</f>
        <v>1</v>
      </c>
      <c r="CO64" s="127">
        <f>Real[[#This Row],[05/05/25]]+(1-Real[[#This Row],[05/05/25]])*'Avance 39'!AV36</f>
        <v>1</v>
      </c>
      <c r="CP64" s="127">
        <f>Real[[#This Row],[05/05/25]]+(1-Real[[#This Row],[05/05/25]])*'Avance 39'!AW36</f>
        <v>1</v>
      </c>
      <c r="CQ64" s="127">
        <f>Real[[#This Row],[05/05/25]]+(1-Real[[#This Row],[05/05/25]])*'Avance 39'!AX36</f>
        <v>1</v>
      </c>
      <c r="CR64" s="127">
        <f>Real[[#This Row],[05/05/25]]+(1-Real[[#This Row],[05/05/25]])*'Avance 39'!AY36</f>
        <v>1</v>
      </c>
      <c r="CS64" s="127">
        <f>Real[[#This Row],[05/05/25]]+(1-Real[[#This Row],[05/05/25]])*'Avance 39'!AZ36</f>
        <v>1</v>
      </c>
      <c r="CT64" s="127">
        <f>Real[[#This Row],[05/05/25]]+(1-Real[[#This Row],[05/05/25]])*'Avance 39'!BA36</f>
        <v>1</v>
      </c>
      <c r="CU64" s="127">
        <f>Real[[#This Row],[05/05/25]]+(1-Real[[#This Row],[05/05/25]])*'Avance 39'!BB36</f>
        <v>1</v>
      </c>
      <c r="CV64" s="127">
        <f>Real[[#This Row],[05/05/25]]+(1-Real[[#This Row],[05/05/25]])*'Avance 39'!BC36</f>
        <v>1</v>
      </c>
      <c r="CW64" s="127">
        <f>Real[[#This Row],[05/05/25]]+(1-Real[[#This Row],[05/05/25]])*'Avance 39'!BD36</f>
        <v>1</v>
      </c>
      <c r="CX64" s="127">
        <f>Real[[#This Row],[05/05/25]]+(1-Real[[#This Row],[05/05/25]])*'Avance 39'!BE36</f>
        <v>1</v>
      </c>
      <c r="CY64" s="127">
        <f>Real[[#This Row],[05/05/25]]+(1-Real[[#This Row],[05/05/25]])*'Avance 39'!BF36</f>
        <v>1</v>
      </c>
      <c r="CZ64" s="127">
        <f>Real[[#This Row],[05/05/25]]+(1-Real[[#This Row],[05/05/25]])*'Avance 39'!BG36</f>
        <v>1</v>
      </c>
      <c r="DA64" s="127">
        <f>Real[[#This Row],[05/05/25]]+(1-Real[[#This Row],[05/05/25]])*'Avance 39'!BH36</f>
        <v>1</v>
      </c>
      <c r="DB64" s="127">
        <f>Real[[#This Row],[05/05/25]]+(1-Real[[#This Row],[05/05/25]])*'Avance 39'!BI36</f>
        <v>1</v>
      </c>
      <c r="DC64" s="127">
        <f>Real[[#This Row],[05/05/25]]+(1-Real[[#This Row],[05/05/25]])*'Avance 39'!BJ36</f>
        <v>1</v>
      </c>
      <c r="DD64" s="127">
        <f>Real[[#This Row],[05/05/25]]+(1-Real[[#This Row],[05/05/25]])*'Avance 39'!BK36</f>
        <v>1</v>
      </c>
      <c r="DE64" s="127">
        <f>Real[[#This Row],[05/05/25]]+(1-Real[[#This Row],[05/05/25]])*'Avance 39'!BL36</f>
        <v>1</v>
      </c>
      <c r="DF64" s="127">
        <f>Real[[#This Row],[05/05/25]]+(1-Real[[#This Row],[05/05/25]])*'Avance 39'!BM36</f>
        <v>1</v>
      </c>
      <c r="DG64" s="127">
        <f>Real[[#This Row],[05/05/25]]+(1-Real[[#This Row],[05/05/25]])*'Avance 39'!BN36</f>
        <v>1</v>
      </c>
      <c r="DH64" s="127">
        <f>Real[[#This Row],[05/05/25]]+(1-Real[[#This Row],[05/05/25]])*'Avance 39'!BO36</f>
        <v>1</v>
      </c>
      <c r="DI64" s="127">
        <f>Real[[#This Row],[05/05/25]]+(1-Real[[#This Row],[05/05/25]])*'Avance 39'!BP36</f>
        <v>1</v>
      </c>
      <c r="DJ64" s="127">
        <f>Real[[#This Row],[05/05/25]]+(1-Real[[#This Row],[05/05/25]])*'Avance 39'!BQ36</f>
        <v>1</v>
      </c>
      <c r="DK64" s="127">
        <f>Real[[#This Row],[05/05/25]]+(1-Real[[#This Row],[05/05/25]])*'Avance 39'!BR36</f>
        <v>1</v>
      </c>
      <c r="DL64" s="127">
        <f>Real[[#This Row],[05/05/25]]+(1-Real[[#This Row],[05/05/25]])*'Avance 39'!BS36</f>
        <v>1</v>
      </c>
      <c r="DM64" s="127">
        <f>Real[[#This Row],[05/05/25]]+(1-Real[[#This Row],[05/05/25]])*'Avance 39'!BT36</f>
        <v>1</v>
      </c>
      <c r="DN64" s="127">
        <f>Real[[#This Row],[05/05/25]]+(1-Real[[#This Row],[05/05/25]])*'Avance 39'!BU36</f>
        <v>1</v>
      </c>
      <c r="DO64" s="127">
        <f>Real[[#This Row],[05/05/25]]+(1-Real[[#This Row],[05/05/25]])*'Avance 39'!BV36</f>
        <v>1</v>
      </c>
      <c r="DP64" s="127">
        <f>Real[[#This Row],[05/05/25]]+(1-Real[[#This Row],[05/05/25]])*'Avance 39'!BW36</f>
        <v>1</v>
      </c>
      <c r="DQ64" s="127">
        <f>Real[[#This Row],[05/05/25]]+(1-Real[[#This Row],[05/05/25]])*'Avance 39'!BX36</f>
        <v>1</v>
      </c>
      <c r="DR64" s="127">
        <f>Real[[#This Row],[05/05/25]]+(1-Real[[#This Row],[05/05/25]])*'Avance 39'!BY36</f>
        <v>1</v>
      </c>
      <c r="DS64" s="127">
        <f>Real[[#This Row],[05/05/25]]+(1-Real[[#This Row],[05/05/25]])*'Avance 39'!BZ36</f>
        <v>1</v>
      </c>
      <c r="DT64" s="127">
        <f>Real[[#This Row],[05/05/25]]+(1-Real[[#This Row],[05/05/25]])*'Avance 39'!CA36</f>
        <v>1</v>
      </c>
      <c r="DU64" s="127">
        <f>Real[[#This Row],[05/05/25]]+(1-Real[[#This Row],[05/05/25]])*'Avance 39'!CB36</f>
        <v>1</v>
      </c>
      <c r="DV64" s="127">
        <f>Real[[#This Row],[05/05/25]]+(1-Real[[#This Row],[05/05/25]])*'Avance 39'!CC36</f>
        <v>1</v>
      </c>
      <c r="DW64" s="127">
        <f>Real[[#This Row],[05/05/25]]+(1-Real[[#This Row],[05/05/25]])*'Avance 39'!CD36</f>
        <v>1</v>
      </c>
      <c r="DX64" s="127">
        <f>Real[[#This Row],[05/05/25]]+(1-Real[[#This Row],[05/05/25]])*'Avance 39'!CE36</f>
        <v>1</v>
      </c>
      <c r="DY64" s="127">
        <f>Real[[#This Row],[05/05/25]]+(1-Real[[#This Row],[05/05/25]])*'Avance 39'!CF36</f>
        <v>1</v>
      </c>
      <c r="DZ64" s="127">
        <f>Real[[#This Row],[05/05/25]]+(1-Real[[#This Row],[05/05/25]])*'Avance 39'!CG36</f>
        <v>1</v>
      </c>
      <c r="EA64" s="127">
        <f>Real[[#This Row],[05/05/25]]+(1-Real[[#This Row],[05/05/25]])*'Avance 39'!CH36</f>
        <v>1</v>
      </c>
      <c r="EB64" s="127">
        <f>Real[[#This Row],[05/05/25]]+(1-Real[[#This Row],[05/05/25]])*'Avance 39'!CI36</f>
        <v>1</v>
      </c>
      <c r="EC64" s="127">
        <f>Real[[#This Row],[05/05/25]]+(1-Real[[#This Row],[05/05/25]])*'Avance 39'!CJ36</f>
        <v>1</v>
      </c>
      <c r="ED64" s="127">
        <f>Real[[#This Row],[05/05/25]]+(1-Real[[#This Row],[05/05/25]])*'Avance 39'!CK36</f>
        <v>1</v>
      </c>
      <c r="EE64" s="127">
        <f>Real[[#This Row],[05/05/25]]+(1-Real[[#This Row],[05/05/25]])*'Avance 39'!CL36</f>
        <v>1</v>
      </c>
      <c r="EF64" s="127">
        <f>Real[[#This Row],[05/05/25]]+(1-Real[[#This Row],[05/05/25]])*'Avance 39'!CM36</f>
        <v>1</v>
      </c>
      <c r="EG64" s="127">
        <f>Real[[#This Row],[05/05/25]]+(1-Real[[#This Row],[05/05/25]])*'Avance 39'!CN36</f>
        <v>1</v>
      </c>
      <c r="EH64" s="127">
        <f>Real[[#This Row],[05/05/25]]+(1-Real[[#This Row],[05/05/25]])*'Avance 39'!CO36</f>
        <v>1</v>
      </c>
      <c r="EI64" s="127">
        <f>Real[[#This Row],[05/05/25]]+(1-Real[[#This Row],[05/05/25]])*'Avance 39'!CP36</f>
        <v>1</v>
      </c>
    </row>
    <row r="65" spans="2:139" ht="15" hidden="1" customHeight="1" outlineLevel="3" x14ac:dyDescent="0.3">
      <c r="B65" s="29"/>
      <c r="C65" s="30"/>
      <c r="D65" s="65"/>
      <c r="E65" s="52" t="s">
        <v>69</v>
      </c>
      <c r="F65" s="33">
        <v>60</v>
      </c>
      <c r="G65" s="35">
        <v>0.12</v>
      </c>
      <c r="H65" s="162"/>
      <c r="I65" s="127">
        <v>0</v>
      </c>
      <c r="J65" s="127">
        <v>0</v>
      </c>
      <c r="K65" s="127">
        <v>0</v>
      </c>
      <c r="L65" s="127">
        <v>0</v>
      </c>
      <c r="M65" s="128">
        <v>0</v>
      </c>
      <c r="N65" s="128">
        <v>0</v>
      </c>
      <c r="O65" s="127">
        <v>0</v>
      </c>
      <c r="P65" s="127">
        <v>0</v>
      </c>
      <c r="Q65" s="127">
        <v>0</v>
      </c>
      <c r="R65" s="127">
        <v>0</v>
      </c>
      <c r="S65" s="127">
        <v>0</v>
      </c>
      <c r="T65" s="127">
        <v>0</v>
      </c>
      <c r="U65" s="127">
        <v>0</v>
      </c>
      <c r="V65" s="127">
        <v>0</v>
      </c>
      <c r="W65" s="127">
        <v>0</v>
      </c>
      <c r="X65" s="127">
        <v>2.8571428571428574E-2</v>
      </c>
      <c r="Y65" s="127">
        <v>0.13055555555555556</v>
      </c>
      <c r="Z65" s="127">
        <v>0.24801587301587302</v>
      </c>
      <c r="AA65" s="127">
        <v>0.36865079365079367</v>
      </c>
      <c r="AB65" s="127">
        <v>0.63134920634920633</v>
      </c>
      <c r="AC65" s="127">
        <v>0.875</v>
      </c>
      <c r="AD65" s="127">
        <v>0.99285714285714288</v>
      </c>
      <c r="AE65" s="127">
        <v>0.99285714285714288</v>
      </c>
      <c r="AF65" s="127">
        <v>0.99307692307692319</v>
      </c>
      <c r="AG65" s="127">
        <v>0.99307692307692319</v>
      </c>
      <c r="AH65" s="127">
        <v>0.99307692307692319</v>
      </c>
      <c r="AI65" s="127">
        <v>0.99307692307692319</v>
      </c>
      <c r="AJ65" s="127">
        <v>0.99307692307692319</v>
      </c>
      <c r="AK65" s="127">
        <v>0.99307692307692319</v>
      </c>
      <c r="AL65" s="127">
        <v>0.99307692307692319</v>
      </c>
      <c r="AM65" s="127">
        <v>1</v>
      </c>
      <c r="AN65" s="127">
        <v>1</v>
      </c>
      <c r="AO65" s="127">
        <v>1</v>
      </c>
      <c r="AP65" s="127">
        <v>1</v>
      </c>
      <c r="AQ65" s="127">
        <v>1</v>
      </c>
      <c r="AR65" s="127">
        <v>1</v>
      </c>
      <c r="AS65" s="127">
        <v>1</v>
      </c>
      <c r="AT65" s="127">
        <v>1</v>
      </c>
      <c r="AU65" s="127">
        <v>1</v>
      </c>
      <c r="AV65" s="127">
        <v>1</v>
      </c>
      <c r="AW65" s="127">
        <v>1</v>
      </c>
      <c r="AX65" s="127">
        <v>1</v>
      </c>
      <c r="AY65" s="127">
        <v>1</v>
      </c>
      <c r="AZ65" s="127">
        <v>1</v>
      </c>
      <c r="BA65" s="127">
        <v>1</v>
      </c>
      <c r="BB65" s="127">
        <v>1</v>
      </c>
      <c r="BC65" s="127">
        <v>1</v>
      </c>
      <c r="BD65" s="127">
        <v>1</v>
      </c>
      <c r="BE65" s="127">
        <v>1</v>
      </c>
      <c r="BF65" s="127">
        <v>1</v>
      </c>
      <c r="BG65" s="163">
        <v>1</v>
      </c>
      <c r="BH65" s="163">
        <v>1</v>
      </c>
      <c r="BI65" s="127">
        <v>1</v>
      </c>
      <c r="BJ65" s="127">
        <v>1</v>
      </c>
      <c r="BK65" s="127">
        <v>1</v>
      </c>
      <c r="BL65" s="127">
        <v>1</v>
      </c>
      <c r="BM65" s="127">
        <v>1</v>
      </c>
      <c r="BN65" s="127">
        <v>1</v>
      </c>
      <c r="BO65" s="127">
        <v>1</v>
      </c>
      <c r="BP65" s="127">
        <v>1</v>
      </c>
      <c r="BQ65" s="127">
        <v>1</v>
      </c>
      <c r="BR65" s="127">
        <v>1</v>
      </c>
      <c r="BS65" s="127">
        <v>1</v>
      </c>
      <c r="BT65" s="127">
        <v>1</v>
      </c>
      <c r="BU65" s="127">
        <v>1</v>
      </c>
      <c r="BV65" s="127">
        <v>1</v>
      </c>
      <c r="BW65" s="127">
        <v>1</v>
      </c>
      <c r="BX65" s="127">
        <v>1</v>
      </c>
      <c r="BY65" s="127">
        <v>1</v>
      </c>
      <c r="BZ65" s="127">
        <v>1</v>
      </c>
      <c r="CA65" s="127">
        <v>1</v>
      </c>
      <c r="CB65" s="127">
        <v>1</v>
      </c>
      <c r="CC65" s="127">
        <v>1</v>
      </c>
      <c r="CD65" s="127">
        <v>1</v>
      </c>
      <c r="CE65" s="127">
        <v>1</v>
      </c>
      <c r="CF65" s="127">
        <v>1</v>
      </c>
      <c r="CG65" s="127">
        <v>1</v>
      </c>
      <c r="CH65" s="127">
        <v>1</v>
      </c>
      <c r="CI65" s="127">
        <v>1</v>
      </c>
      <c r="CJ65" s="127">
        <v>1</v>
      </c>
      <c r="CK65" s="127">
        <v>1</v>
      </c>
      <c r="CL65" s="127">
        <v>1</v>
      </c>
      <c r="CM65" s="127">
        <v>1</v>
      </c>
      <c r="CN65" s="127">
        <v>1</v>
      </c>
      <c r="CO65" s="127">
        <v>1</v>
      </c>
      <c r="CP65" s="127">
        <v>1</v>
      </c>
      <c r="CQ65" s="127">
        <v>1</v>
      </c>
      <c r="CR65" s="127">
        <v>1</v>
      </c>
      <c r="CS65" s="127">
        <v>1</v>
      </c>
      <c r="CT65" s="127">
        <v>1</v>
      </c>
      <c r="CU65" s="127">
        <v>1</v>
      </c>
      <c r="CV65" s="127">
        <v>1</v>
      </c>
      <c r="CW65" s="127">
        <v>1</v>
      </c>
      <c r="CX65" s="127">
        <v>1</v>
      </c>
      <c r="CY65" s="127">
        <v>1</v>
      </c>
      <c r="CZ65" s="127">
        <v>1</v>
      </c>
      <c r="DA65" s="127">
        <v>1</v>
      </c>
      <c r="DB65" s="127">
        <v>1</v>
      </c>
      <c r="DC65" s="127">
        <v>1</v>
      </c>
      <c r="DD65" s="127">
        <v>1</v>
      </c>
      <c r="DE65" s="127">
        <v>1</v>
      </c>
      <c r="DF65" s="127">
        <v>1</v>
      </c>
      <c r="DG65" s="127">
        <v>1</v>
      </c>
      <c r="DH65" s="127">
        <v>1</v>
      </c>
      <c r="DI65" s="127">
        <v>1</v>
      </c>
      <c r="DJ65" s="127">
        <v>1</v>
      </c>
      <c r="DK65" s="127">
        <v>1</v>
      </c>
      <c r="DL65" s="127">
        <v>1</v>
      </c>
      <c r="DM65" s="127">
        <v>1</v>
      </c>
      <c r="DN65" s="127">
        <v>1</v>
      </c>
      <c r="DO65" s="127">
        <v>1</v>
      </c>
      <c r="DP65" s="127">
        <v>1</v>
      </c>
      <c r="DQ65" s="127">
        <v>1</v>
      </c>
      <c r="DR65" s="127">
        <v>1</v>
      </c>
      <c r="DS65" s="127">
        <v>1</v>
      </c>
      <c r="DT65" s="127">
        <v>1</v>
      </c>
      <c r="DU65" s="127">
        <v>1</v>
      </c>
      <c r="DV65" s="127">
        <v>1</v>
      </c>
      <c r="DW65" s="127">
        <v>1</v>
      </c>
      <c r="DX65" s="127">
        <v>1</v>
      </c>
      <c r="DY65" s="127">
        <v>1</v>
      </c>
      <c r="DZ65" s="127">
        <v>1</v>
      </c>
      <c r="EA65" s="127">
        <v>1</v>
      </c>
      <c r="EB65" s="127">
        <v>1</v>
      </c>
      <c r="EC65" s="127">
        <v>1</v>
      </c>
      <c r="ED65" s="127">
        <v>1</v>
      </c>
      <c r="EE65" s="127">
        <v>1</v>
      </c>
      <c r="EF65" s="127">
        <v>1</v>
      </c>
      <c r="EG65" s="127">
        <v>1</v>
      </c>
      <c r="EH65" s="127">
        <v>1</v>
      </c>
      <c r="EI65" s="127">
        <v>1</v>
      </c>
    </row>
    <row r="66" spans="2:139" ht="15" hidden="1" customHeight="1" outlineLevel="3" x14ac:dyDescent="0.3">
      <c r="B66" s="29"/>
      <c r="C66" s="30"/>
      <c r="D66" s="65"/>
      <c r="E66" s="52" t="s">
        <v>70</v>
      </c>
      <c r="F66" s="33">
        <v>20</v>
      </c>
      <c r="G66" s="35">
        <v>0.04</v>
      </c>
      <c r="H66" s="162"/>
      <c r="I66" s="127">
        <v>0</v>
      </c>
      <c r="J66" s="127">
        <v>0</v>
      </c>
      <c r="K66" s="127">
        <v>0</v>
      </c>
      <c r="L66" s="127">
        <v>0</v>
      </c>
      <c r="M66" s="128">
        <v>0</v>
      </c>
      <c r="N66" s="128">
        <v>0</v>
      </c>
      <c r="O66" s="127">
        <v>0</v>
      </c>
      <c r="P66" s="127">
        <v>0</v>
      </c>
      <c r="Q66" s="127">
        <v>0</v>
      </c>
      <c r="R66" s="127">
        <v>0</v>
      </c>
      <c r="S66" s="127">
        <v>0</v>
      </c>
      <c r="T66" s="127">
        <v>0</v>
      </c>
      <c r="U66" s="127">
        <v>0</v>
      </c>
      <c r="V66" s="127">
        <v>0</v>
      </c>
      <c r="W66" s="127">
        <v>0</v>
      </c>
      <c r="X66" s="127">
        <v>0</v>
      </c>
      <c r="Y66" s="127">
        <v>0</v>
      </c>
      <c r="Z66" s="127">
        <v>0</v>
      </c>
      <c r="AA66" s="127">
        <v>0.03</v>
      </c>
      <c r="AB66" s="127">
        <v>3.4999999999999996E-2</v>
      </c>
      <c r="AC66" s="127">
        <v>4.0000000000000008E-2</v>
      </c>
      <c r="AD66" s="127">
        <v>4.5000000000000005E-2</v>
      </c>
      <c r="AE66" s="127">
        <v>0.80777777777777793</v>
      </c>
      <c r="AF66" s="127">
        <v>1</v>
      </c>
      <c r="AG66" s="127">
        <v>1</v>
      </c>
      <c r="AH66" s="127">
        <v>1</v>
      </c>
      <c r="AI66" s="127">
        <v>1</v>
      </c>
      <c r="AJ66" s="127">
        <v>1</v>
      </c>
      <c r="AK66" s="127">
        <v>1</v>
      </c>
      <c r="AL66" s="127">
        <v>1</v>
      </c>
      <c r="AM66" s="127">
        <v>1</v>
      </c>
      <c r="AN66" s="127">
        <v>1</v>
      </c>
      <c r="AO66" s="127">
        <v>1</v>
      </c>
      <c r="AP66" s="127">
        <v>1</v>
      </c>
      <c r="AQ66" s="127">
        <v>1</v>
      </c>
      <c r="AR66" s="127">
        <v>1</v>
      </c>
      <c r="AS66" s="127">
        <v>1</v>
      </c>
      <c r="AT66" s="127">
        <v>1</v>
      </c>
      <c r="AU66" s="127">
        <v>1</v>
      </c>
      <c r="AV66" s="127">
        <v>1</v>
      </c>
      <c r="AW66" s="127">
        <v>1</v>
      </c>
      <c r="AX66" s="127">
        <v>1</v>
      </c>
      <c r="AY66" s="127">
        <v>1</v>
      </c>
      <c r="AZ66" s="127">
        <v>1</v>
      </c>
      <c r="BA66" s="127">
        <v>1</v>
      </c>
      <c r="BB66" s="127">
        <v>1</v>
      </c>
      <c r="BC66" s="127">
        <v>1</v>
      </c>
      <c r="BD66" s="127">
        <v>1</v>
      </c>
      <c r="BE66" s="127">
        <v>1</v>
      </c>
      <c r="BF66" s="127">
        <v>1</v>
      </c>
      <c r="BG66" s="163">
        <v>1</v>
      </c>
      <c r="BH66" s="163">
        <v>1</v>
      </c>
      <c r="BI66" s="127">
        <v>1</v>
      </c>
      <c r="BJ66" s="127">
        <v>1</v>
      </c>
      <c r="BK66" s="127">
        <v>1</v>
      </c>
      <c r="BL66" s="127">
        <v>1</v>
      </c>
      <c r="BM66" s="127">
        <v>1</v>
      </c>
      <c r="BN66" s="127">
        <v>1</v>
      </c>
      <c r="BO66" s="127">
        <v>1</v>
      </c>
      <c r="BP66" s="127">
        <v>1</v>
      </c>
      <c r="BQ66" s="127">
        <v>1</v>
      </c>
      <c r="BR66" s="127">
        <v>1</v>
      </c>
      <c r="BS66" s="127">
        <v>1</v>
      </c>
      <c r="BT66" s="127">
        <v>1</v>
      </c>
      <c r="BU66" s="127">
        <v>1</v>
      </c>
      <c r="BV66" s="127">
        <v>1</v>
      </c>
      <c r="BW66" s="127">
        <v>1</v>
      </c>
      <c r="BX66" s="127">
        <v>1</v>
      </c>
      <c r="BY66" s="127">
        <v>1</v>
      </c>
      <c r="BZ66" s="127">
        <v>1</v>
      </c>
      <c r="CA66" s="127">
        <v>1</v>
      </c>
      <c r="CB66" s="127">
        <v>1</v>
      </c>
      <c r="CC66" s="127">
        <v>1</v>
      </c>
      <c r="CD66" s="127">
        <v>1</v>
      </c>
      <c r="CE66" s="127">
        <v>1</v>
      </c>
      <c r="CF66" s="127">
        <v>1</v>
      </c>
      <c r="CG66" s="127">
        <v>1</v>
      </c>
      <c r="CH66" s="127">
        <v>1</v>
      </c>
      <c r="CI66" s="127">
        <v>1</v>
      </c>
      <c r="CJ66" s="127">
        <v>1</v>
      </c>
      <c r="CK66" s="127">
        <v>1</v>
      </c>
      <c r="CL66" s="127">
        <v>1</v>
      </c>
      <c r="CM66" s="127">
        <v>1</v>
      </c>
      <c r="CN66" s="127">
        <v>1</v>
      </c>
      <c r="CO66" s="127">
        <v>1</v>
      </c>
      <c r="CP66" s="127">
        <v>1</v>
      </c>
      <c r="CQ66" s="127">
        <v>1</v>
      </c>
      <c r="CR66" s="127">
        <v>1</v>
      </c>
      <c r="CS66" s="127">
        <v>1</v>
      </c>
      <c r="CT66" s="127">
        <v>1</v>
      </c>
      <c r="CU66" s="127">
        <v>1</v>
      </c>
      <c r="CV66" s="127">
        <v>1</v>
      </c>
      <c r="CW66" s="127">
        <v>1</v>
      </c>
      <c r="CX66" s="127">
        <v>1</v>
      </c>
      <c r="CY66" s="127">
        <v>1</v>
      </c>
      <c r="CZ66" s="127">
        <v>1</v>
      </c>
      <c r="DA66" s="127">
        <v>1</v>
      </c>
      <c r="DB66" s="127">
        <v>1</v>
      </c>
      <c r="DC66" s="127">
        <v>1</v>
      </c>
      <c r="DD66" s="127">
        <v>1</v>
      </c>
      <c r="DE66" s="127">
        <v>1</v>
      </c>
      <c r="DF66" s="127">
        <v>1</v>
      </c>
      <c r="DG66" s="127">
        <v>1</v>
      </c>
      <c r="DH66" s="127">
        <v>1</v>
      </c>
      <c r="DI66" s="127">
        <v>1</v>
      </c>
      <c r="DJ66" s="127">
        <v>1</v>
      </c>
      <c r="DK66" s="127">
        <v>1</v>
      </c>
      <c r="DL66" s="127">
        <v>1</v>
      </c>
      <c r="DM66" s="127">
        <v>1</v>
      </c>
      <c r="DN66" s="127">
        <v>1</v>
      </c>
      <c r="DO66" s="127">
        <v>1</v>
      </c>
      <c r="DP66" s="127">
        <v>1</v>
      </c>
      <c r="DQ66" s="127">
        <v>1</v>
      </c>
      <c r="DR66" s="127">
        <v>1</v>
      </c>
      <c r="DS66" s="127">
        <v>1</v>
      </c>
      <c r="DT66" s="127">
        <v>1</v>
      </c>
      <c r="DU66" s="127">
        <v>1</v>
      </c>
      <c r="DV66" s="127">
        <v>1</v>
      </c>
      <c r="DW66" s="127">
        <v>1</v>
      </c>
      <c r="DX66" s="127">
        <v>1</v>
      </c>
      <c r="DY66" s="127">
        <v>1</v>
      </c>
      <c r="DZ66" s="127">
        <v>1</v>
      </c>
      <c r="EA66" s="127">
        <v>1</v>
      </c>
      <c r="EB66" s="127">
        <v>1</v>
      </c>
      <c r="EC66" s="127">
        <v>1</v>
      </c>
      <c r="ED66" s="127">
        <v>1</v>
      </c>
      <c r="EE66" s="127">
        <v>1</v>
      </c>
      <c r="EF66" s="127">
        <v>1</v>
      </c>
      <c r="EG66" s="127">
        <v>1</v>
      </c>
      <c r="EH66" s="127">
        <v>1</v>
      </c>
      <c r="EI66" s="127">
        <v>1</v>
      </c>
    </row>
    <row r="67" spans="2:139" ht="15" hidden="1" customHeight="1" outlineLevel="3" x14ac:dyDescent="0.3">
      <c r="B67" s="29"/>
      <c r="C67" s="30"/>
      <c r="D67" s="65"/>
      <c r="E67" s="52" t="s">
        <v>71</v>
      </c>
      <c r="F67" s="33">
        <v>60</v>
      </c>
      <c r="G67" s="35">
        <v>0.12</v>
      </c>
      <c r="H67" s="162"/>
      <c r="I67" s="127">
        <v>0</v>
      </c>
      <c r="J67" s="127">
        <v>0</v>
      </c>
      <c r="K67" s="127">
        <v>0</v>
      </c>
      <c r="L67" s="127">
        <v>0</v>
      </c>
      <c r="M67" s="128">
        <v>0</v>
      </c>
      <c r="N67" s="128">
        <v>0</v>
      </c>
      <c r="O67" s="127">
        <v>0</v>
      </c>
      <c r="P67" s="127">
        <v>0</v>
      </c>
      <c r="Q67" s="127">
        <v>0</v>
      </c>
      <c r="R67" s="127">
        <v>0</v>
      </c>
      <c r="S67" s="127">
        <v>0</v>
      </c>
      <c r="T67" s="127">
        <v>0</v>
      </c>
      <c r="U67" s="127">
        <v>0</v>
      </c>
      <c r="V67" s="127">
        <v>0</v>
      </c>
      <c r="W67" s="127">
        <v>0</v>
      </c>
      <c r="X67" s="127">
        <v>0</v>
      </c>
      <c r="Y67" s="127">
        <v>0</v>
      </c>
      <c r="Z67" s="127">
        <v>0</v>
      </c>
      <c r="AA67" s="127">
        <v>0</v>
      </c>
      <c r="AB67" s="127">
        <v>0</v>
      </c>
      <c r="AC67" s="127">
        <v>0</v>
      </c>
      <c r="AD67" s="127">
        <v>0</v>
      </c>
      <c r="AE67" s="127">
        <v>0</v>
      </c>
      <c r="AF67" s="127">
        <v>0</v>
      </c>
      <c r="AG67" s="127">
        <v>0</v>
      </c>
      <c r="AH67" s="127">
        <v>0</v>
      </c>
      <c r="AI67" s="127">
        <v>0</v>
      </c>
      <c r="AJ67" s="127">
        <v>0</v>
      </c>
      <c r="AK67" s="127">
        <v>0</v>
      </c>
      <c r="AL67" s="127">
        <v>0</v>
      </c>
      <c r="AM67" s="127">
        <v>0</v>
      </c>
      <c r="AN67" s="127">
        <v>0</v>
      </c>
      <c r="AO67" s="127">
        <v>0</v>
      </c>
      <c r="AP67" s="127">
        <v>0</v>
      </c>
      <c r="AQ67" s="127">
        <v>0</v>
      </c>
      <c r="AR67" s="127">
        <v>0</v>
      </c>
      <c r="AS67" s="127">
        <v>0</v>
      </c>
      <c r="AT67" s="127">
        <v>0</v>
      </c>
      <c r="AU67" s="127">
        <v>0</v>
      </c>
      <c r="AV67" s="127">
        <v>0</v>
      </c>
      <c r="AW67" s="127">
        <v>0</v>
      </c>
      <c r="AX67" s="127">
        <v>0</v>
      </c>
      <c r="AY67" s="127">
        <v>0</v>
      </c>
      <c r="AZ67" s="127">
        <v>0</v>
      </c>
      <c r="BA67" s="127">
        <v>0</v>
      </c>
      <c r="BB67" s="127">
        <f>Real[[#This Row],[05/05/25]]+(1-Real[[#This Row],[05/05/25]])*'Avance 39'!I37</f>
        <v>0</v>
      </c>
      <c r="BC67" s="127">
        <f>Real[[#This Row],[05/05/25]]+(1-Real[[#This Row],[05/05/25]])*'Avance 39'!J37</f>
        <v>0</v>
      </c>
      <c r="BD67" s="127">
        <f>Real[[#This Row],[05/05/25]]+(1-Real[[#This Row],[05/05/25]])*'Avance 39'!K37</f>
        <v>0</v>
      </c>
      <c r="BE67" s="127">
        <f>Real[[#This Row],[05/05/25]]+(1-Real[[#This Row],[05/05/25]])*'Avance 39'!L37</f>
        <v>0</v>
      </c>
      <c r="BF67" s="127">
        <f>Real[[#This Row],[05/05/25]]+(1-Real[[#This Row],[05/05/25]])*'Avance 39'!M37</f>
        <v>0</v>
      </c>
      <c r="BG67" s="163">
        <f>Real[[#This Row],[05/05/25]]+(1-Real[[#This Row],[05/05/25]])*'Avance 39'!N37</f>
        <v>0</v>
      </c>
      <c r="BH67" s="163">
        <f>Real[[#This Row],[05/05/25]]+(1-Real[[#This Row],[05/05/25]])*'Avance 39'!O37</f>
        <v>2.6315789473684209E-2</v>
      </c>
      <c r="BI67" s="127">
        <f>Real[[#This Row],[05/05/25]]+(1-Real[[#This Row],[05/05/25]])*'Avance 39'!P37</f>
        <v>0.21842105263157896</v>
      </c>
      <c r="BJ67" s="127">
        <f>Real[[#This Row],[05/05/25]]+(1-Real[[#This Row],[05/05/25]])*'Avance 39'!Q37</f>
        <v>0.36842105263157898</v>
      </c>
      <c r="BK67" s="127">
        <f>Real[[#This Row],[05/05/25]]+(1-Real[[#This Row],[05/05/25]])*'Avance 39'!R37</f>
        <v>0.53157894736842104</v>
      </c>
      <c r="BL67" s="127">
        <f>Real[[#This Row],[05/05/25]]+(1-Real[[#This Row],[05/05/25]])*'Avance 39'!S37</f>
        <v>0.53947368421052633</v>
      </c>
      <c r="BM67" s="127">
        <f>Real[[#This Row],[05/05/25]]+(1-Real[[#This Row],[05/05/25]])*'Avance 39'!T37</f>
        <v>0.69736842105263164</v>
      </c>
      <c r="BN67" s="127">
        <f>Real[[#This Row],[05/05/25]]+(1-Real[[#This Row],[05/05/25]])*'Avance 39'!U37</f>
        <v>0.7868421052631579</v>
      </c>
      <c r="BO67" s="127">
        <f>Real[[#This Row],[05/05/25]]+(1-Real[[#This Row],[05/05/25]])*'Avance 39'!V37</f>
        <v>0.85789473684210527</v>
      </c>
      <c r="BP67" s="127">
        <f>Real[[#This Row],[05/05/25]]+(1-Real[[#This Row],[05/05/25]])*'Avance 39'!W37</f>
        <v>0.94473684210526321</v>
      </c>
      <c r="BQ67" s="127">
        <f>Real[[#This Row],[05/05/25]]+(1-Real[[#This Row],[05/05/25]])*'Avance 39'!X37</f>
        <v>1</v>
      </c>
      <c r="BR67" s="127">
        <f>Real[[#This Row],[05/05/25]]+(1-Real[[#This Row],[05/05/25]])*'Avance 39'!Y37</f>
        <v>1</v>
      </c>
      <c r="BS67" s="127">
        <f>Real[[#This Row],[05/05/25]]+(1-Real[[#This Row],[05/05/25]])*'Avance 39'!Z37</f>
        <v>1</v>
      </c>
      <c r="BT67" s="127">
        <f>Real[[#This Row],[05/05/25]]+(1-Real[[#This Row],[05/05/25]])*'Avance 39'!AA37</f>
        <v>1</v>
      </c>
      <c r="BU67" s="127">
        <f>Real[[#This Row],[05/05/25]]+(1-Real[[#This Row],[05/05/25]])*'Avance 39'!AB37</f>
        <v>1</v>
      </c>
      <c r="BV67" s="127">
        <f>Real[[#This Row],[05/05/25]]+(1-Real[[#This Row],[05/05/25]])*'Avance 39'!AC37</f>
        <v>1</v>
      </c>
      <c r="BW67" s="127">
        <f>Real[[#This Row],[05/05/25]]+(1-Real[[#This Row],[05/05/25]])*'Avance 39'!AD37</f>
        <v>1</v>
      </c>
      <c r="BX67" s="127">
        <f>Real[[#This Row],[05/05/25]]+(1-Real[[#This Row],[05/05/25]])*'Avance 39'!AE37</f>
        <v>1</v>
      </c>
      <c r="BY67" s="127">
        <f>Real[[#This Row],[05/05/25]]+(1-Real[[#This Row],[05/05/25]])*'Avance 39'!AF37</f>
        <v>1</v>
      </c>
      <c r="BZ67" s="127">
        <f>Real[[#This Row],[05/05/25]]+(1-Real[[#This Row],[05/05/25]])*'Avance 39'!AG37</f>
        <v>1</v>
      </c>
      <c r="CA67" s="127">
        <f>Real[[#This Row],[05/05/25]]+(1-Real[[#This Row],[05/05/25]])*'Avance 39'!AH37</f>
        <v>1</v>
      </c>
      <c r="CB67" s="127">
        <f>Real[[#This Row],[05/05/25]]+(1-Real[[#This Row],[05/05/25]])*'Avance 39'!AI37</f>
        <v>1</v>
      </c>
      <c r="CC67" s="127">
        <f>Real[[#This Row],[05/05/25]]+(1-Real[[#This Row],[05/05/25]])*'Avance 39'!AJ37</f>
        <v>1</v>
      </c>
      <c r="CD67" s="127">
        <f>Real[[#This Row],[05/05/25]]+(1-Real[[#This Row],[05/05/25]])*'Avance 39'!AK37</f>
        <v>1</v>
      </c>
      <c r="CE67" s="127">
        <f>Real[[#This Row],[05/05/25]]+(1-Real[[#This Row],[05/05/25]])*'Avance 39'!AL37</f>
        <v>1</v>
      </c>
      <c r="CF67" s="127">
        <f>Real[[#This Row],[05/05/25]]+(1-Real[[#This Row],[05/05/25]])*'Avance 39'!AM37</f>
        <v>1</v>
      </c>
      <c r="CG67" s="127">
        <f>Real[[#This Row],[05/05/25]]+(1-Real[[#This Row],[05/05/25]])*'Avance 39'!AN37</f>
        <v>1</v>
      </c>
      <c r="CH67" s="127">
        <f>Real[[#This Row],[05/05/25]]+(1-Real[[#This Row],[05/05/25]])*'Avance 39'!AO37</f>
        <v>1</v>
      </c>
      <c r="CI67" s="127">
        <f>Real[[#This Row],[05/05/25]]+(1-Real[[#This Row],[05/05/25]])*'Avance 39'!AP37</f>
        <v>1</v>
      </c>
      <c r="CJ67" s="127">
        <f>Real[[#This Row],[05/05/25]]+(1-Real[[#This Row],[05/05/25]])*'Avance 39'!AQ37</f>
        <v>1</v>
      </c>
      <c r="CK67" s="127">
        <f>Real[[#This Row],[05/05/25]]+(1-Real[[#This Row],[05/05/25]])*'Avance 39'!AR37</f>
        <v>1</v>
      </c>
      <c r="CL67" s="127">
        <f>Real[[#This Row],[05/05/25]]+(1-Real[[#This Row],[05/05/25]])*'Avance 39'!AS37</f>
        <v>1</v>
      </c>
      <c r="CM67" s="127">
        <f>Real[[#This Row],[05/05/25]]+(1-Real[[#This Row],[05/05/25]])*'Avance 39'!AT37</f>
        <v>1</v>
      </c>
      <c r="CN67" s="127">
        <f>Real[[#This Row],[05/05/25]]+(1-Real[[#This Row],[05/05/25]])*'Avance 39'!AU37</f>
        <v>1</v>
      </c>
      <c r="CO67" s="127">
        <f>Real[[#This Row],[05/05/25]]+(1-Real[[#This Row],[05/05/25]])*'Avance 39'!AV37</f>
        <v>1</v>
      </c>
      <c r="CP67" s="127">
        <f>Real[[#This Row],[05/05/25]]+(1-Real[[#This Row],[05/05/25]])*'Avance 39'!AW37</f>
        <v>1</v>
      </c>
      <c r="CQ67" s="127">
        <f>Real[[#This Row],[05/05/25]]+(1-Real[[#This Row],[05/05/25]])*'Avance 39'!AX37</f>
        <v>1</v>
      </c>
      <c r="CR67" s="127">
        <f>Real[[#This Row],[05/05/25]]+(1-Real[[#This Row],[05/05/25]])*'Avance 39'!AY37</f>
        <v>1</v>
      </c>
      <c r="CS67" s="127">
        <f>Real[[#This Row],[05/05/25]]+(1-Real[[#This Row],[05/05/25]])*'Avance 39'!AZ37</f>
        <v>1</v>
      </c>
      <c r="CT67" s="127">
        <f>Real[[#This Row],[05/05/25]]+(1-Real[[#This Row],[05/05/25]])*'Avance 39'!BA37</f>
        <v>1</v>
      </c>
      <c r="CU67" s="127">
        <f>Real[[#This Row],[05/05/25]]+(1-Real[[#This Row],[05/05/25]])*'Avance 39'!BB37</f>
        <v>1</v>
      </c>
      <c r="CV67" s="127">
        <f>Real[[#This Row],[05/05/25]]+(1-Real[[#This Row],[05/05/25]])*'Avance 39'!BC37</f>
        <v>1</v>
      </c>
      <c r="CW67" s="127">
        <f>Real[[#This Row],[05/05/25]]+(1-Real[[#This Row],[05/05/25]])*'Avance 39'!BD37</f>
        <v>1</v>
      </c>
      <c r="CX67" s="127">
        <f>Real[[#This Row],[05/05/25]]+(1-Real[[#This Row],[05/05/25]])*'Avance 39'!BE37</f>
        <v>1</v>
      </c>
      <c r="CY67" s="127">
        <f>Real[[#This Row],[05/05/25]]+(1-Real[[#This Row],[05/05/25]])*'Avance 39'!BF37</f>
        <v>1</v>
      </c>
      <c r="CZ67" s="127">
        <f>Real[[#This Row],[05/05/25]]+(1-Real[[#This Row],[05/05/25]])*'Avance 39'!BG37</f>
        <v>1</v>
      </c>
      <c r="DA67" s="127">
        <f>Real[[#This Row],[05/05/25]]+(1-Real[[#This Row],[05/05/25]])*'Avance 39'!BH37</f>
        <v>1</v>
      </c>
      <c r="DB67" s="127">
        <f>Real[[#This Row],[05/05/25]]+(1-Real[[#This Row],[05/05/25]])*'Avance 39'!BI37</f>
        <v>1</v>
      </c>
      <c r="DC67" s="127">
        <f>Real[[#This Row],[05/05/25]]+(1-Real[[#This Row],[05/05/25]])*'Avance 39'!BJ37</f>
        <v>1</v>
      </c>
      <c r="DD67" s="127">
        <f>Real[[#This Row],[05/05/25]]+(1-Real[[#This Row],[05/05/25]])*'Avance 39'!BK37</f>
        <v>1</v>
      </c>
      <c r="DE67" s="127">
        <f>Real[[#This Row],[05/05/25]]+(1-Real[[#This Row],[05/05/25]])*'Avance 39'!BL37</f>
        <v>1</v>
      </c>
      <c r="DF67" s="127">
        <f>Real[[#This Row],[05/05/25]]+(1-Real[[#This Row],[05/05/25]])*'Avance 39'!BM37</f>
        <v>1</v>
      </c>
      <c r="DG67" s="127">
        <f>Real[[#This Row],[05/05/25]]+(1-Real[[#This Row],[05/05/25]])*'Avance 39'!BN37</f>
        <v>1</v>
      </c>
      <c r="DH67" s="127">
        <f>Real[[#This Row],[05/05/25]]+(1-Real[[#This Row],[05/05/25]])*'Avance 39'!BO37</f>
        <v>1</v>
      </c>
      <c r="DI67" s="127">
        <f>Real[[#This Row],[05/05/25]]+(1-Real[[#This Row],[05/05/25]])*'Avance 39'!BP37</f>
        <v>1</v>
      </c>
      <c r="DJ67" s="127">
        <f>Real[[#This Row],[05/05/25]]+(1-Real[[#This Row],[05/05/25]])*'Avance 39'!BQ37</f>
        <v>1</v>
      </c>
      <c r="DK67" s="127">
        <f>Real[[#This Row],[05/05/25]]+(1-Real[[#This Row],[05/05/25]])*'Avance 39'!BR37</f>
        <v>1</v>
      </c>
      <c r="DL67" s="127">
        <f>Real[[#This Row],[05/05/25]]+(1-Real[[#This Row],[05/05/25]])*'Avance 39'!BS37</f>
        <v>1</v>
      </c>
      <c r="DM67" s="127">
        <f>Real[[#This Row],[05/05/25]]+(1-Real[[#This Row],[05/05/25]])*'Avance 39'!BT37</f>
        <v>1</v>
      </c>
      <c r="DN67" s="127">
        <f>Real[[#This Row],[05/05/25]]+(1-Real[[#This Row],[05/05/25]])*'Avance 39'!BU37</f>
        <v>1</v>
      </c>
      <c r="DO67" s="127">
        <f>Real[[#This Row],[05/05/25]]+(1-Real[[#This Row],[05/05/25]])*'Avance 39'!BV37</f>
        <v>1</v>
      </c>
      <c r="DP67" s="127">
        <f>Real[[#This Row],[05/05/25]]+(1-Real[[#This Row],[05/05/25]])*'Avance 39'!BW37</f>
        <v>1</v>
      </c>
      <c r="DQ67" s="127">
        <f>Real[[#This Row],[05/05/25]]+(1-Real[[#This Row],[05/05/25]])*'Avance 39'!BX37</f>
        <v>1</v>
      </c>
      <c r="DR67" s="127">
        <f>Real[[#This Row],[05/05/25]]+(1-Real[[#This Row],[05/05/25]])*'Avance 39'!BY37</f>
        <v>1</v>
      </c>
      <c r="DS67" s="127">
        <f>Real[[#This Row],[05/05/25]]+(1-Real[[#This Row],[05/05/25]])*'Avance 39'!BZ37</f>
        <v>1</v>
      </c>
      <c r="DT67" s="127">
        <f>Real[[#This Row],[05/05/25]]+(1-Real[[#This Row],[05/05/25]])*'Avance 39'!CA37</f>
        <v>1</v>
      </c>
      <c r="DU67" s="127">
        <f>Real[[#This Row],[05/05/25]]+(1-Real[[#This Row],[05/05/25]])*'Avance 39'!CB37</f>
        <v>1</v>
      </c>
      <c r="DV67" s="127">
        <f>Real[[#This Row],[05/05/25]]+(1-Real[[#This Row],[05/05/25]])*'Avance 39'!CC37</f>
        <v>1</v>
      </c>
      <c r="DW67" s="127">
        <f>Real[[#This Row],[05/05/25]]+(1-Real[[#This Row],[05/05/25]])*'Avance 39'!CD37</f>
        <v>1</v>
      </c>
      <c r="DX67" s="127">
        <f>Real[[#This Row],[05/05/25]]+(1-Real[[#This Row],[05/05/25]])*'Avance 39'!CE37</f>
        <v>1</v>
      </c>
      <c r="DY67" s="127">
        <f>Real[[#This Row],[05/05/25]]+(1-Real[[#This Row],[05/05/25]])*'Avance 39'!CF37</f>
        <v>1</v>
      </c>
      <c r="DZ67" s="127">
        <f>Real[[#This Row],[05/05/25]]+(1-Real[[#This Row],[05/05/25]])*'Avance 39'!CG37</f>
        <v>1</v>
      </c>
      <c r="EA67" s="127">
        <f>Real[[#This Row],[05/05/25]]+(1-Real[[#This Row],[05/05/25]])*'Avance 39'!CH37</f>
        <v>1</v>
      </c>
      <c r="EB67" s="127">
        <f>Real[[#This Row],[05/05/25]]+(1-Real[[#This Row],[05/05/25]])*'Avance 39'!CI37</f>
        <v>1</v>
      </c>
      <c r="EC67" s="127">
        <f>Real[[#This Row],[05/05/25]]+(1-Real[[#This Row],[05/05/25]])*'Avance 39'!CJ37</f>
        <v>1</v>
      </c>
      <c r="ED67" s="127">
        <f>Real[[#This Row],[05/05/25]]+(1-Real[[#This Row],[05/05/25]])*'Avance 39'!CK37</f>
        <v>1</v>
      </c>
      <c r="EE67" s="127">
        <f>Real[[#This Row],[05/05/25]]+(1-Real[[#This Row],[05/05/25]])*'Avance 39'!CL37</f>
        <v>1</v>
      </c>
      <c r="EF67" s="127">
        <f>Real[[#This Row],[05/05/25]]+(1-Real[[#This Row],[05/05/25]])*'Avance 39'!CM37</f>
        <v>1</v>
      </c>
      <c r="EG67" s="127">
        <f>Real[[#This Row],[05/05/25]]+(1-Real[[#This Row],[05/05/25]])*'Avance 39'!CN37</f>
        <v>1</v>
      </c>
      <c r="EH67" s="127">
        <f>Real[[#This Row],[05/05/25]]+(1-Real[[#This Row],[05/05/25]])*'Avance 39'!CO37</f>
        <v>1</v>
      </c>
      <c r="EI67" s="127">
        <f>Real[[#This Row],[05/05/25]]+(1-Real[[#This Row],[05/05/25]])*'Avance 39'!CP37</f>
        <v>1</v>
      </c>
    </row>
    <row r="68" spans="2:139" ht="15" hidden="1" customHeight="1" outlineLevel="3" x14ac:dyDescent="0.3">
      <c r="B68" s="29"/>
      <c r="C68" s="30"/>
      <c r="D68" s="65"/>
      <c r="E68" s="52" t="s">
        <v>72</v>
      </c>
      <c r="F68" s="33">
        <v>60</v>
      </c>
      <c r="G68" s="35">
        <v>0.12</v>
      </c>
      <c r="H68" s="162"/>
      <c r="I68" s="127">
        <v>0</v>
      </c>
      <c r="J68" s="127">
        <v>0</v>
      </c>
      <c r="K68" s="127">
        <v>0</v>
      </c>
      <c r="L68" s="127">
        <v>0</v>
      </c>
      <c r="M68" s="128">
        <v>0</v>
      </c>
      <c r="N68" s="128">
        <v>0</v>
      </c>
      <c r="O68" s="127">
        <v>0</v>
      </c>
      <c r="P68" s="127">
        <v>0</v>
      </c>
      <c r="Q68" s="127">
        <v>0</v>
      </c>
      <c r="R68" s="127">
        <v>0</v>
      </c>
      <c r="S68" s="127">
        <v>0</v>
      </c>
      <c r="T68" s="127">
        <v>0</v>
      </c>
      <c r="U68" s="127">
        <v>0</v>
      </c>
      <c r="V68" s="127">
        <v>0</v>
      </c>
      <c r="W68" s="127">
        <v>0</v>
      </c>
      <c r="X68" s="127">
        <v>0</v>
      </c>
      <c r="Y68" s="127">
        <v>0</v>
      </c>
      <c r="Z68" s="127">
        <v>0</v>
      </c>
      <c r="AA68" s="127">
        <v>0</v>
      </c>
      <c r="AB68" s="127">
        <v>0</v>
      </c>
      <c r="AC68" s="127">
        <v>0</v>
      </c>
      <c r="AD68" s="127">
        <v>0</v>
      </c>
      <c r="AE68" s="127">
        <v>0</v>
      </c>
      <c r="AF68" s="127">
        <v>0</v>
      </c>
      <c r="AG68" s="127">
        <v>0</v>
      </c>
      <c r="AH68" s="127">
        <v>0</v>
      </c>
      <c r="AI68" s="127">
        <v>0</v>
      </c>
      <c r="AJ68" s="127">
        <v>0</v>
      </c>
      <c r="AK68" s="127">
        <v>0</v>
      </c>
      <c r="AL68" s="127">
        <v>0</v>
      </c>
      <c r="AM68" s="127">
        <v>0</v>
      </c>
      <c r="AN68" s="127">
        <v>0</v>
      </c>
      <c r="AO68" s="127">
        <v>0</v>
      </c>
      <c r="AP68" s="127">
        <v>0</v>
      </c>
      <c r="AQ68" s="127">
        <v>0</v>
      </c>
      <c r="AR68" s="127">
        <v>0</v>
      </c>
      <c r="AS68" s="127">
        <v>0</v>
      </c>
      <c r="AT68" s="127">
        <v>0</v>
      </c>
      <c r="AU68" s="127">
        <v>0</v>
      </c>
      <c r="AV68" s="127">
        <v>0.11891891891891893</v>
      </c>
      <c r="AW68" s="127">
        <v>0.19459459459459461</v>
      </c>
      <c r="AX68" s="127">
        <v>0.36756756756756759</v>
      </c>
      <c r="AY68" s="127">
        <v>0.36756756756756759</v>
      </c>
      <c r="AZ68" s="127">
        <v>0.4756756756756757</v>
      </c>
      <c r="BA68" s="127">
        <v>0.60540540540540544</v>
      </c>
      <c r="BB68" s="127">
        <f>Real[[#This Row],[05/05/25]]+(1-Real[[#This Row],[05/05/25]])*'Avance 39'!I38</f>
        <v>0.64207480207480216</v>
      </c>
      <c r="BC68" s="127">
        <f>Real[[#This Row],[05/05/25]]+(1-Real[[#This Row],[05/05/25]])*'Avance 39'!J38</f>
        <v>0.91390663390663396</v>
      </c>
      <c r="BD68" s="127">
        <f>Real[[#This Row],[05/05/25]]+(1-Real[[#This Row],[05/05/25]])*'Avance 39'!K38</f>
        <v>0.92825552825552826</v>
      </c>
      <c r="BE68" s="127">
        <f>Real[[#This Row],[05/05/25]]+(1-Real[[#This Row],[05/05/25]])*'Avance 39'!L38</f>
        <v>0.92825552825552826</v>
      </c>
      <c r="BF68" s="127">
        <f>Real[[#This Row],[05/05/25]]+(1-Real[[#This Row],[05/05/25]])*'Avance 39'!M38</f>
        <v>0.92825552825552826</v>
      </c>
      <c r="BG68" s="163">
        <f>Real[[#This Row],[05/05/25]]+(1-Real[[#This Row],[05/05/25]])*'Avance 39'!N38</f>
        <v>0.92825552825552826</v>
      </c>
      <c r="BH68" s="163">
        <f>Real[[#This Row],[05/05/25]]+(1-Real[[#This Row],[05/05/25]])*'Avance 39'!O38</f>
        <v>0.92825552825552826</v>
      </c>
      <c r="BI68" s="127">
        <f>Real[[#This Row],[05/05/25]]+(1-Real[[#This Row],[05/05/25]])*'Avance 39'!P38</f>
        <v>0.94021294021294022</v>
      </c>
      <c r="BJ68" s="127">
        <f>Real[[#This Row],[05/05/25]]+(1-Real[[#This Row],[05/05/25]])*'Avance 39'!Q38</f>
        <v>0.94021294021294022</v>
      </c>
      <c r="BK68" s="127">
        <f>Real[[#This Row],[05/05/25]]+(1-Real[[#This Row],[05/05/25]])*'Avance 39'!R38</f>
        <v>0.94021294021294022</v>
      </c>
      <c r="BL68" s="127">
        <f>Real[[#This Row],[05/05/25]]+(1-Real[[#This Row],[05/05/25]])*'Avance 39'!S38</f>
        <v>0.96891072891072894</v>
      </c>
      <c r="BM68" s="127">
        <f>Real[[#This Row],[05/05/25]]+(1-Real[[#This Row],[05/05/25]])*'Avance 39'!T38</f>
        <v>0.96891072891072894</v>
      </c>
      <c r="BN68" s="127">
        <f>Real[[#This Row],[05/05/25]]+(1-Real[[#This Row],[05/05/25]])*'Avance 39'!U38</f>
        <v>0.96891072891072894</v>
      </c>
      <c r="BO68" s="127">
        <f>Real[[#This Row],[05/05/25]]+(1-Real[[#This Row],[05/05/25]])*'Avance 39'!V38</f>
        <v>0.96891072891072894</v>
      </c>
      <c r="BP68" s="127">
        <f>Real[[#This Row],[05/05/25]]+(1-Real[[#This Row],[05/05/25]])*'Avance 39'!W38</f>
        <v>0.96891072891072894</v>
      </c>
      <c r="BQ68" s="127">
        <f>Real[[#This Row],[05/05/25]]+(1-Real[[#This Row],[05/05/25]])*'Avance 39'!X38</f>
        <v>0.96891072891072894</v>
      </c>
      <c r="BR68" s="127">
        <f>Real[[#This Row],[05/05/25]]+(1-Real[[#This Row],[05/05/25]])*'Avance 39'!Y38</f>
        <v>0.96891072891072894</v>
      </c>
      <c r="BS68" s="127">
        <f>Real[[#This Row],[05/05/25]]+(1-Real[[#This Row],[05/05/25]])*'Avance 39'!Z38</f>
        <v>0.96891072891072894</v>
      </c>
      <c r="BT68" s="127">
        <f>Real[[#This Row],[05/05/25]]+(1-Real[[#This Row],[05/05/25]])*'Avance 39'!AA38</f>
        <v>0.96891072891072894</v>
      </c>
      <c r="BU68" s="127">
        <f>Real[[#This Row],[05/05/25]]+(1-Real[[#This Row],[05/05/25]])*'Avance 39'!AB38</f>
        <v>0.96891072891072894</v>
      </c>
      <c r="BV68" s="127">
        <f>Real[[#This Row],[05/05/25]]+(1-Real[[#This Row],[05/05/25]])*'Avance 39'!AC38</f>
        <v>0.96891072891072894</v>
      </c>
      <c r="BW68" s="127">
        <f>Real[[#This Row],[05/05/25]]+(1-Real[[#This Row],[05/05/25]])*'Avance 39'!AD38</f>
        <v>0.96891072891072894</v>
      </c>
      <c r="BX68" s="127">
        <f>Real[[#This Row],[05/05/25]]+(1-Real[[#This Row],[05/05/25]])*'Avance 39'!AE38</f>
        <v>0.96891072891072894</v>
      </c>
      <c r="BY68" s="127">
        <f>Real[[#This Row],[05/05/25]]+(1-Real[[#This Row],[05/05/25]])*'Avance 39'!AF38</f>
        <v>0.96891072891072894</v>
      </c>
      <c r="BZ68" s="127">
        <f>Real[[#This Row],[05/05/25]]+(1-Real[[#This Row],[05/05/25]])*'Avance 39'!AG38</f>
        <v>0.96891072891072894</v>
      </c>
      <c r="CA68" s="127">
        <f>Real[[#This Row],[05/05/25]]+(1-Real[[#This Row],[05/05/25]])*'Avance 39'!AH38</f>
        <v>0.96891072891072894</v>
      </c>
      <c r="CB68" s="127">
        <f>Real[[#This Row],[05/05/25]]+(1-Real[[#This Row],[05/05/25]])*'Avance 39'!AI38</f>
        <v>0.96891072891072894</v>
      </c>
      <c r="CC68" s="127">
        <f>Real[[#This Row],[05/05/25]]+(1-Real[[#This Row],[05/05/25]])*'Avance 39'!AJ38</f>
        <v>1</v>
      </c>
      <c r="CD68" s="127">
        <f>Real[[#This Row],[05/05/25]]+(1-Real[[#This Row],[05/05/25]])*'Avance 39'!AK38</f>
        <v>1</v>
      </c>
      <c r="CE68" s="127">
        <f>Real[[#This Row],[05/05/25]]+(1-Real[[#This Row],[05/05/25]])*'Avance 39'!AL38</f>
        <v>1</v>
      </c>
      <c r="CF68" s="127">
        <f>Real[[#This Row],[05/05/25]]+(1-Real[[#This Row],[05/05/25]])*'Avance 39'!AM38</f>
        <v>1</v>
      </c>
      <c r="CG68" s="127">
        <f>Real[[#This Row],[05/05/25]]+(1-Real[[#This Row],[05/05/25]])*'Avance 39'!AN38</f>
        <v>1</v>
      </c>
      <c r="CH68" s="127">
        <f>Real[[#This Row],[05/05/25]]+(1-Real[[#This Row],[05/05/25]])*'Avance 39'!AO38</f>
        <v>1</v>
      </c>
      <c r="CI68" s="127">
        <f>Real[[#This Row],[05/05/25]]+(1-Real[[#This Row],[05/05/25]])*'Avance 39'!AP38</f>
        <v>1</v>
      </c>
      <c r="CJ68" s="127">
        <f>Real[[#This Row],[05/05/25]]+(1-Real[[#This Row],[05/05/25]])*'Avance 39'!AQ38</f>
        <v>1</v>
      </c>
      <c r="CK68" s="127">
        <f>Real[[#This Row],[05/05/25]]+(1-Real[[#This Row],[05/05/25]])*'Avance 39'!AR38</f>
        <v>1</v>
      </c>
      <c r="CL68" s="127">
        <f>Real[[#This Row],[05/05/25]]+(1-Real[[#This Row],[05/05/25]])*'Avance 39'!AS38</f>
        <v>1</v>
      </c>
      <c r="CM68" s="127">
        <f>Real[[#This Row],[05/05/25]]+(1-Real[[#This Row],[05/05/25]])*'Avance 39'!AT38</f>
        <v>1</v>
      </c>
      <c r="CN68" s="127">
        <f>Real[[#This Row],[05/05/25]]+(1-Real[[#This Row],[05/05/25]])*'Avance 39'!AU38</f>
        <v>1</v>
      </c>
      <c r="CO68" s="127">
        <f>Real[[#This Row],[05/05/25]]+(1-Real[[#This Row],[05/05/25]])*'Avance 39'!AV38</f>
        <v>1</v>
      </c>
      <c r="CP68" s="127">
        <f>Real[[#This Row],[05/05/25]]+(1-Real[[#This Row],[05/05/25]])*'Avance 39'!AW38</f>
        <v>1</v>
      </c>
      <c r="CQ68" s="127">
        <f>Real[[#This Row],[05/05/25]]+(1-Real[[#This Row],[05/05/25]])*'Avance 39'!AX38</f>
        <v>1</v>
      </c>
      <c r="CR68" s="127">
        <f>Real[[#This Row],[05/05/25]]+(1-Real[[#This Row],[05/05/25]])*'Avance 39'!AY38</f>
        <v>1</v>
      </c>
      <c r="CS68" s="127">
        <f>Real[[#This Row],[05/05/25]]+(1-Real[[#This Row],[05/05/25]])*'Avance 39'!AZ38</f>
        <v>1</v>
      </c>
      <c r="CT68" s="127">
        <f>Real[[#This Row],[05/05/25]]+(1-Real[[#This Row],[05/05/25]])*'Avance 39'!BA38</f>
        <v>1</v>
      </c>
      <c r="CU68" s="127">
        <f>Real[[#This Row],[05/05/25]]+(1-Real[[#This Row],[05/05/25]])*'Avance 39'!BB38</f>
        <v>1</v>
      </c>
      <c r="CV68" s="127">
        <f>Real[[#This Row],[05/05/25]]+(1-Real[[#This Row],[05/05/25]])*'Avance 39'!BC38</f>
        <v>1</v>
      </c>
      <c r="CW68" s="127">
        <f>Real[[#This Row],[05/05/25]]+(1-Real[[#This Row],[05/05/25]])*'Avance 39'!BD38</f>
        <v>1</v>
      </c>
      <c r="CX68" s="127">
        <f>Real[[#This Row],[05/05/25]]+(1-Real[[#This Row],[05/05/25]])*'Avance 39'!BE38</f>
        <v>1</v>
      </c>
      <c r="CY68" s="127">
        <f>Real[[#This Row],[05/05/25]]+(1-Real[[#This Row],[05/05/25]])*'Avance 39'!BF38</f>
        <v>1</v>
      </c>
      <c r="CZ68" s="127">
        <f>Real[[#This Row],[05/05/25]]+(1-Real[[#This Row],[05/05/25]])*'Avance 39'!BG38</f>
        <v>1</v>
      </c>
      <c r="DA68" s="127">
        <f>Real[[#This Row],[05/05/25]]+(1-Real[[#This Row],[05/05/25]])*'Avance 39'!BH38</f>
        <v>1</v>
      </c>
      <c r="DB68" s="127">
        <f>Real[[#This Row],[05/05/25]]+(1-Real[[#This Row],[05/05/25]])*'Avance 39'!BI38</f>
        <v>1</v>
      </c>
      <c r="DC68" s="127">
        <f>Real[[#This Row],[05/05/25]]+(1-Real[[#This Row],[05/05/25]])*'Avance 39'!BJ38</f>
        <v>1</v>
      </c>
      <c r="DD68" s="127">
        <f>Real[[#This Row],[05/05/25]]+(1-Real[[#This Row],[05/05/25]])*'Avance 39'!BK38</f>
        <v>1</v>
      </c>
      <c r="DE68" s="127">
        <f>Real[[#This Row],[05/05/25]]+(1-Real[[#This Row],[05/05/25]])*'Avance 39'!BL38</f>
        <v>1</v>
      </c>
      <c r="DF68" s="127">
        <f>Real[[#This Row],[05/05/25]]+(1-Real[[#This Row],[05/05/25]])*'Avance 39'!BM38</f>
        <v>1</v>
      </c>
      <c r="DG68" s="127">
        <f>Real[[#This Row],[05/05/25]]+(1-Real[[#This Row],[05/05/25]])*'Avance 39'!BN38</f>
        <v>1</v>
      </c>
      <c r="DH68" s="127">
        <f>Real[[#This Row],[05/05/25]]+(1-Real[[#This Row],[05/05/25]])*'Avance 39'!BO38</f>
        <v>1</v>
      </c>
      <c r="DI68" s="127">
        <f>Real[[#This Row],[05/05/25]]+(1-Real[[#This Row],[05/05/25]])*'Avance 39'!BP38</f>
        <v>1</v>
      </c>
      <c r="DJ68" s="127">
        <f>Real[[#This Row],[05/05/25]]+(1-Real[[#This Row],[05/05/25]])*'Avance 39'!BQ38</f>
        <v>1</v>
      </c>
      <c r="DK68" s="127">
        <f>Real[[#This Row],[05/05/25]]+(1-Real[[#This Row],[05/05/25]])*'Avance 39'!BR38</f>
        <v>1</v>
      </c>
      <c r="DL68" s="127">
        <f>Real[[#This Row],[05/05/25]]+(1-Real[[#This Row],[05/05/25]])*'Avance 39'!BS38</f>
        <v>1</v>
      </c>
      <c r="DM68" s="127">
        <f>Real[[#This Row],[05/05/25]]+(1-Real[[#This Row],[05/05/25]])*'Avance 39'!BT38</f>
        <v>1</v>
      </c>
      <c r="DN68" s="127">
        <f>Real[[#This Row],[05/05/25]]+(1-Real[[#This Row],[05/05/25]])*'Avance 39'!BU38</f>
        <v>1</v>
      </c>
      <c r="DO68" s="127">
        <f>Real[[#This Row],[05/05/25]]+(1-Real[[#This Row],[05/05/25]])*'Avance 39'!BV38</f>
        <v>1</v>
      </c>
      <c r="DP68" s="127">
        <f>Real[[#This Row],[05/05/25]]+(1-Real[[#This Row],[05/05/25]])*'Avance 39'!BW38</f>
        <v>1</v>
      </c>
      <c r="DQ68" s="127">
        <f>Real[[#This Row],[05/05/25]]+(1-Real[[#This Row],[05/05/25]])*'Avance 39'!BX38</f>
        <v>1</v>
      </c>
      <c r="DR68" s="127">
        <f>Real[[#This Row],[05/05/25]]+(1-Real[[#This Row],[05/05/25]])*'Avance 39'!BY38</f>
        <v>1</v>
      </c>
      <c r="DS68" s="127">
        <f>Real[[#This Row],[05/05/25]]+(1-Real[[#This Row],[05/05/25]])*'Avance 39'!BZ38</f>
        <v>1</v>
      </c>
      <c r="DT68" s="127">
        <f>Real[[#This Row],[05/05/25]]+(1-Real[[#This Row],[05/05/25]])*'Avance 39'!CA38</f>
        <v>1</v>
      </c>
      <c r="DU68" s="127">
        <f>Real[[#This Row],[05/05/25]]+(1-Real[[#This Row],[05/05/25]])*'Avance 39'!CB38</f>
        <v>1</v>
      </c>
      <c r="DV68" s="127">
        <f>Real[[#This Row],[05/05/25]]+(1-Real[[#This Row],[05/05/25]])*'Avance 39'!CC38</f>
        <v>1</v>
      </c>
      <c r="DW68" s="127">
        <f>Real[[#This Row],[05/05/25]]+(1-Real[[#This Row],[05/05/25]])*'Avance 39'!CD38</f>
        <v>1</v>
      </c>
      <c r="DX68" s="127">
        <f>Real[[#This Row],[05/05/25]]+(1-Real[[#This Row],[05/05/25]])*'Avance 39'!CE38</f>
        <v>1</v>
      </c>
      <c r="DY68" s="127">
        <f>Real[[#This Row],[05/05/25]]+(1-Real[[#This Row],[05/05/25]])*'Avance 39'!CF38</f>
        <v>1</v>
      </c>
      <c r="DZ68" s="127">
        <f>Real[[#This Row],[05/05/25]]+(1-Real[[#This Row],[05/05/25]])*'Avance 39'!CG38</f>
        <v>1</v>
      </c>
      <c r="EA68" s="127">
        <f>Real[[#This Row],[05/05/25]]+(1-Real[[#This Row],[05/05/25]])*'Avance 39'!CH38</f>
        <v>1</v>
      </c>
      <c r="EB68" s="127">
        <f>Real[[#This Row],[05/05/25]]+(1-Real[[#This Row],[05/05/25]])*'Avance 39'!CI38</f>
        <v>1</v>
      </c>
      <c r="EC68" s="127">
        <f>Real[[#This Row],[05/05/25]]+(1-Real[[#This Row],[05/05/25]])*'Avance 39'!CJ38</f>
        <v>1</v>
      </c>
      <c r="ED68" s="127">
        <f>Real[[#This Row],[05/05/25]]+(1-Real[[#This Row],[05/05/25]])*'Avance 39'!CK38</f>
        <v>1</v>
      </c>
      <c r="EE68" s="127">
        <f>Real[[#This Row],[05/05/25]]+(1-Real[[#This Row],[05/05/25]])*'Avance 39'!CL38</f>
        <v>1</v>
      </c>
      <c r="EF68" s="127">
        <f>Real[[#This Row],[05/05/25]]+(1-Real[[#This Row],[05/05/25]])*'Avance 39'!CM38</f>
        <v>1</v>
      </c>
      <c r="EG68" s="127">
        <f>Real[[#This Row],[05/05/25]]+(1-Real[[#This Row],[05/05/25]])*'Avance 39'!CN38</f>
        <v>1</v>
      </c>
      <c r="EH68" s="127">
        <f>Real[[#This Row],[05/05/25]]+(1-Real[[#This Row],[05/05/25]])*'Avance 39'!CO38</f>
        <v>1</v>
      </c>
      <c r="EI68" s="127">
        <f>Real[[#This Row],[05/05/25]]+(1-Real[[#This Row],[05/05/25]])*'Avance 39'!CP38</f>
        <v>1</v>
      </c>
    </row>
    <row r="69" spans="2:139" ht="15" hidden="1" customHeight="1" outlineLevel="3" x14ac:dyDescent="0.3">
      <c r="B69" s="29"/>
      <c r="C69" s="30"/>
      <c r="D69" s="65"/>
      <c r="E69" s="52" t="s">
        <v>73</v>
      </c>
      <c r="F69" s="33">
        <v>30</v>
      </c>
      <c r="G69" s="35">
        <v>0.06</v>
      </c>
      <c r="H69" s="162"/>
      <c r="I69" s="127">
        <v>0</v>
      </c>
      <c r="J69" s="127">
        <v>0</v>
      </c>
      <c r="K69" s="127">
        <v>0</v>
      </c>
      <c r="L69" s="127">
        <v>0</v>
      </c>
      <c r="M69" s="128">
        <v>0</v>
      </c>
      <c r="N69" s="128">
        <v>0</v>
      </c>
      <c r="O69" s="127">
        <v>0</v>
      </c>
      <c r="P69" s="127">
        <v>0</v>
      </c>
      <c r="Q69" s="127">
        <v>0</v>
      </c>
      <c r="R69" s="127">
        <v>0</v>
      </c>
      <c r="S69" s="127">
        <v>0</v>
      </c>
      <c r="T69" s="127">
        <v>0</v>
      </c>
      <c r="U69" s="127">
        <v>0</v>
      </c>
      <c r="V69" s="127">
        <v>0</v>
      </c>
      <c r="W69" s="127">
        <v>0</v>
      </c>
      <c r="X69" s="127">
        <v>0</v>
      </c>
      <c r="Y69" s="127">
        <v>0</v>
      </c>
      <c r="Z69" s="127">
        <v>0</v>
      </c>
      <c r="AA69" s="127">
        <v>0</v>
      </c>
      <c r="AB69" s="127">
        <v>0</v>
      </c>
      <c r="AC69" s="127">
        <v>2.8125000000000001E-2</v>
      </c>
      <c r="AD69" s="127">
        <v>0.22500000000000001</v>
      </c>
      <c r="AE69" s="127">
        <v>0.39374999999999999</v>
      </c>
      <c r="AF69" s="127">
        <v>0.45</v>
      </c>
      <c r="AG69" s="127">
        <v>0.45</v>
      </c>
      <c r="AH69" s="127">
        <v>0.45</v>
      </c>
      <c r="AI69" s="127">
        <v>0.45</v>
      </c>
      <c r="AJ69" s="127">
        <v>0.45</v>
      </c>
      <c r="AK69" s="127">
        <v>0.45</v>
      </c>
      <c r="AL69" s="127">
        <v>0.45</v>
      </c>
      <c r="AM69" s="127">
        <v>0.45</v>
      </c>
      <c r="AN69" s="127">
        <v>0.45</v>
      </c>
      <c r="AO69" s="127">
        <v>0.45</v>
      </c>
      <c r="AP69" s="127">
        <v>0.45</v>
      </c>
      <c r="AQ69" s="127">
        <v>0.45</v>
      </c>
      <c r="AR69" s="127">
        <v>0.45</v>
      </c>
      <c r="AS69" s="127">
        <v>0.45</v>
      </c>
      <c r="AT69" s="127">
        <v>0.52031249999999996</v>
      </c>
      <c r="AU69" s="127">
        <v>0.57499999999999996</v>
      </c>
      <c r="AV69" s="127">
        <v>0.7</v>
      </c>
      <c r="AW69" s="127">
        <v>0.7</v>
      </c>
      <c r="AX69" s="127">
        <v>0.7</v>
      </c>
      <c r="AY69" s="127">
        <v>0.7</v>
      </c>
      <c r="AZ69" s="127">
        <v>0.7</v>
      </c>
      <c r="BA69" s="127">
        <v>0.7</v>
      </c>
      <c r="BB69" s="127">
        <f>Real[[#This Row],[05/05/25]]+(1-Real[[#This Row],[05/05/25]])*'Avance 39'!I39</f>
        <v>0.7</v>
      </c>
      <c r="BC69" s="127">
        <f>Real[[#This Row],[05/05/25]]+(1-Real[[#This Row],[05/05/25]])*'Avance 39'!J39</f>
        <v>0.7</v>
      </c>
      <c r="BD69" s="127">
        <f>Real[[#This Row],[05/05/25]]+(1-Real[[#This Row],[05/05/25]])*'Avance 39'!K39</f>
        <v>0.7</v>
      </c>
      <c r="BE69" s="127">
        <f>Real[[#This Row],[05/05/25]]+(1-Real[[#This Row],[05/05/25]])*'Avance 39'!L39</f>
        <v>0.7</v>
      </c>
      <c r="BF69" s="127">
        <f>Real[[#This Row],[05/05/25]]+(1-Real[[#This Row],[05/05/25]])*'Avance 39'!M39</f>
        <v>0.7</v>
      </c>
      <c r="BG69" s="163">
        <f>Real[[#This Row],[05/05/25]]+(1-Real[[#This Row],[05/05/25]])*'Avance 39'!N39</f>
        <v>0.7</v>
      </c>
      <c r="BH69" s="163">
        <f>Real[[#This Row],[05/05/25]]+(1-Real[[#This Row],[05/05/25]])*'Avance 39'!O39</f>
        <v>0.7</v>
      </c>
      <c r="BI69" s="127">
        <f>Real[[#This Row],[05/05/25]]+(1-Real[[#This Row],[05/05/25]])*'Avance 39'!P39</f>
        <v>0.91562500000000002</v>
      </c>
      <c r="BJ69" s="127">
        <f>Real[[#This Row],[05/05/25]]+(1-Real[[#This Row],[05/05/25]])*'Avance 39'!Q39</f>
        <v>1</v>
      </c>
      <c r="BK69" s="127">
        <f>Real[[#This Row],[05/05/25]]+(1-Real[[#This Row],[05/05/25]])*'Avance 39'!R39</f>
        <v>1</v>
      </c>
      <c r="BL69" s="127">
        <f>Real[[#This Row],[05/05/25]]+(1-Real[[#This Row],[05/05/25]])*'Avance 39'!S39</f>
        <v>1</v>
      </c>
      <c r="BM69" s="127">
        <f>Real[[#This Row],[05/05/25]]+(1-Real[[#This Row],[05/05/25]])*'Avance 39'!T39</f>
        <v>1</v>
      </c>
      <c r="BN69" s="127">
        <f>Real[[#This Row],[05/05/25]]+(1-Real[[#This Row],[05/05/25]])*'Avance 39'!U39</f>
        <v>1</v>
      </c>
      <c r="BO69" s="127">
        <f>Real[[#This Row],[05/05/25]]+(1-Real[[#This Row],[05/05/25]])*'Avance 39'!V39</f>
        <v>1</v>
      </c>
      <c r="BP69" s="127">
        <f>Real[[#This Row],[05/05/25]]+(1-Real[[#This Row],[05/05/25]])*'Avance 39'!W39</f>
        <v>1</v>
      </c>
      <c r="BQ69" s="127">
        <f>Real[[#This Row],[05/05/25]]+(1-Real[[#This Row],[05/05/25]])*'Avance 39'!X39</f>
        <v>1</v>
      </c>
      <c r="BR69" s="127">
        <f>Real[[#This Row],[05/05/25]]+(1-Real[[#This Row],[05/05/25]])*'Avance 39'!Y39</f>
        <v>1</v>
      </c>
      <c r="BS69" s="127">
        <f>Real[[#This Row],[05/05/25]]+(1-Real[[#This Row],[05/05/25]])*'Avance 39'!Z39</f>
        <v>1</v>
      </c>
      <c r="BT69" s="127">
        <f>Real[[#This Row],[05/05/25]]+(1-Real[[#This Row],[05/05/25]])*'Avance 39'!AA39</f>
        <v>1</v>
      </c>
      <c r="BU69" s="127">
        <f>Real[[#This Row],[05/05/25]]+(1-Real[[#This Row],[05/05/25]])*'Avance 39'!AB39</f>
        <v>1</v>
      </c>
      <c r="BV69" s="127">
        <f>Real[[#This Row],[05/05/25]]+(1-Real[[#This Row],[05/05/25]])*'Avance 39'!AC39</f>
        <v>1</v>
      </c>
      <c r="BW69" s="127">
        <f>Real[[#This Row],[05/05/25]]+(1-Real[[#This Row],[05/05/25]])*'Avance 39'!AD39</f>
        <v>1</v>
      </c>
      <c r="BX69" s="127">
        <f>Real[[#This Row],[05/05/25]]+(1-Real[[#This Row],[05/05/25]])*'Avance 39'!AE39</f>
        <v>1</v>
      </c>
      <c r="BY69" s="127">
        <f>Real[[#This Row],[05/05/25]]+(1-Real[[#This Row],[05/05/25]])*'Avance 39'!AF39</f>
        <v>1</v>
      </c>
      <c r="BZ69" s="127">
        <f>Real[[#This Row],[05/05/25]]+(1-Real[[#This Row],[05/05/25]])*'Avance 39'!AG39</f>
        <v>1</v>
      </c>
      <c r="CA69" s="127">
        <f>Real[[#This Row],[05/05/25]]+(1-Real[[#This Row],[05/05/25]])*'Avance 39'!AH39</f>
        <v>1</v>
      </c>
      <c r="CB69" s="127">
        <f>Real[[#This Row],[05/05/25]]+(1-Real[[#This Row],[05/05/25]])*'Avance 39'!AI39</f>
        <v>1</v>
      </c>
      <c r="CC69" s="127">
        <f>Real[[#This Row],[05/05/25]]+(1-Real[[#This Row],[05/05/25]])*'Avance 39'!AJ39</f>
        <v>1</v>
      </c>
      <c r="CD69" s="127">
        <f>Real[[#This Row],[05/05/25]]+(1-Real[[#This Row],[05/05/25]])*'Avance 39'!AK39</f>
        <v>1</v>
      </c>
      <c r="CE69" s="127">
        <f>Real[[#This Row],[05/05/25]]+(1-Real[[#This Row],[05/05/25]])*'Avance 39'!AL39</f>
        <v>1</v>
      </c>
      <c r="CF69" s="127">
        <f>Real[[#This Row],[05/05/25]]+(1-Real[[#This Row],[05/05/25]])*'Avance 39'!AM39</f>
        <v>1</v>
      </c>
      <c r="CG69" s="127">
        <f>Real[[#This Row],[05/05/25]]+(1-Real[[#This Row],[05/05/25]])*'Avance 39'!AN39</f>
        <v>1</v>
      </c>
      <c r="CH69" s="127">
        <f>Real[[#This Row],[05/05/25]]+(1-Real[[#This Row],[05/05/25]])*'Avance 39'!AO39</f>
        <v>1</v>
      </c>
      <c r="CI69" s="127">
        <f>Real[[#This Row],[05/05/25]]+(1-Real[[#This Row],[05/05/25]])*'Avance 39'!AP39</f>
        <v>1</v>
      </c>
      <c r="CJ69" s="127">
        <f>Real[[#This Row],[05/05/25]]+(1-Real[[#This Row],[05/05/25]])*'Avance 39'!AQ39</f>
        <v>1</v>
      </c>
      <c r="CK69" s="127">
        <f>Real[[#This Row],[05/05/25]]+(1-Real[[#This Row],[05/05/25]])*'Avance 39'!AR39</f>
        <v>1</v>
      </c>
      <c r="CL69" s="127">
        <f>Real[[#This Row],[05/05/25]]+(1-Real[[#This Row],[05/05/25]])*'Avance 39'!AS39</f>
        <v>1</v>
      </c>
      <c r="CM69" s="127">
        <f>Real[[#This Row],[05/05/25]]+(1-Real[[#This Row],[05/05/25]])*'Avance 39'!AT39</f>
        <v>1</v>
      </c>
      <c r="CN69" s="127">
        <f>Real[[#This Row],[05/05/25]]+(1-Real[[#This Row],[05/05/25]])*'Avance 39'!AU39</f>
        <v>1</v>
      </c>
      <c r="CO69" s="127">
        <f>Real[[#This Row],[05/05/25]]+(1-Real[[#This Row],[05/05/25]])*'Avance 39'!AV39</f>
        <v>1</v>
      </c>
      <c r="CP69" s="127">
        <f>Real[[#This Row],[05/05/25]]+(1-Real[[#This Row],[05/05/25]])*'Avance 39'!AW39</f>
        <v>1</v>
      </c>
      <c r="CQ69" s="127">
        <f>Real[[#This Row],[05/05/25]]+(1-Real[[#This Row],[05/05/25]])*'Avance 39'!AX39</f>
        <v>1</v>
      </c>
      <c r="CR69" s="127">
        <f>Real[[#This Row],[05/05/25]]+(1-Real[[#This Row],[05/05/25]])*'Avance 39'!AY39</f>
        <v>1</v>
      </c>
      <c r="CS69" s="127">
        <f>Real[[#This Row],[05/05/25]]+(1-Real[[#This Row],[05/05/25]])*'Avance 39'!AZ39</f>
        <v>1</v>
      </c>
      <c r="CT69" s="127">
        <f>Real[[#This Row],[05/05/25]]+(1-Real[[#This Row],[05/05/25]])*'Avance 39'!BA39</f>
        <v>1</v>
      </c>
      <c r="CU69" s="127">
        <f>Real[[#This Row],[05/05/25]]+(1-Real[[#This Row],[05/05/25]])*'Avance 39'!BB39</f>
        <v>1</v>
      </c>
      <c r="CV69" s="127">
        <f>Real[[#This Row],[05/05/25]]+(1-Real[[#This Row],[05/05/25]])*'Avance 39'!BC39</f>
        <v>1</v>
      </c>
      <c r="CW69" s="127">
        <f>Real[[#This Row],[05/05/25]]+(1-Real[[#This Row],[05/05/25]])*'Avance 39'!BD39</f>
        <v>1</v>
      </c>
      <c r="CX69" s="127">
        <f>Real[[#This Row],[05/05/25]]+(1-Real[[#This Row],[05/05/25]])*'Avance 39'!BE39</f>
        <v>1</v>
      </c>
      <c r="CY69" s="127">
        <f>Real[[#This Row],[05/05/25]]+(1-Real[[#This Row],[05/05/25]])*'Avance 39'!BF39</f>
        <v>1</v>
      </c>
      <c r="CZ69" s="127">
        <f>Real[[#This Row],[05/05/25]]+(1-Real[[#This Row],[05/05/25]])*'Avance 39'!BG39</f>
        <v>1</v>
      </c>
      <c r="DA69" s="127">
        <f>Real[[#This Row],[05/05/25]]+(1-Real[[#This Row],[05/05/25]])*'Avance 39'!BH39</f>
        <v>1</v>
      </c>
      <c r="DB69" s="127">
        <f>Real[[#This Row],[05/05/25]]+(1-Real[[#This Row],[05/05/25]])*'Avance 39'!BI39</f>
        <v>1</v>
      </c>
      <c r="DC69" s="127">
        <f>Real[[#This Row],[05/05/25]]+(1-Real[[#This Row],[05/05/25]])*'Avance 39'!BJ39</f>
        <v>1</v>
      </c>
      <c r="DD69" s="127">
        <f>Real[[#This Row],[05/05/25]]+(1-Real[[#This Row],[05/05/25]])*'Avance 39'!BK39</f>
        <v>1</v>
      </c>
      <c r="DE69" s="127">
        <f>Real[[#This Row],[05/05/25]]+(1-Real[[#This Row],[05/05/25]])*'Avance 39'!BL39</f>
        <v>1</v>
      </c>
      <c r="DF69" s="127">
        <f>Real[[#This Row],[05/05/25]]+(1-Real[[#This Row],[05/05/25]])*'Avance 39'!BM39</f>
        <v>1</v>
      </c>
      <c r="DG69" s="127">
        <f>Real[[#This Row],[05/05/25]]+(1-Real[[#This Row],[05/05/25]])*'Avance 39'!BN39</f>
        <v>1</v>
      </c>
      <c r="DH69" s="127">
        <f>Real[[#This Row],[05/05/25]]+(1-Real[[#This Row],[05/05/25]])*'Avance 39'!BO39</f>
        <v>1</v>
      </c>
      <c r="DI69" s="127">
        <f>Real[[#This Row],[05/05/25]]+(1-Real[[#This Row],[05/05/25]])*'Avance 39'!BP39</f>
        <v>1</v>
      </c>
      <c r="DJ69" s="127">
        <f>Real[[#This Row],[05/05/25]]+(1-Real[[#This Row],[05/05/25]])*'Avance 39'!BQ39</f>
        <v>1</v>
      </c>
      <c r="DK69" s="127">
        <f>Real[[#This Row],[05/05/25]]+(1-Real[[#This Row],[05/05/25]])*'Avance 39'!BR39</f>
        <v>1</v>
      </c>
      <c r="DL69" s="127">
        <f>Real[[#This Row],[05/05/25]]+(1-Real[[#This Row],[05/05/25]])*'Avance 39'!BS39</f>
        <v>1</v>
      </c>
      <c r="DM69" s="127">
        <f>Real[[#This Row],[05/05/25]]+(1-Real[[#This Row],[05/05/25]])*'Avance 39'!BT39</f>
        <v>1</v>
      </c>
      <c r="DN69" s="127">
        <f>Real[[#This Row],[05/05/25]]+(1-Real[[#This Row],[05/05/25]])*'Avance 39'!BU39</f>
        <v>1</v>
      </c>
      <c r="DO69" s="127">
        <f>Real[[#This Row],[05/05/25]]+(1-Real[[#This Row],[05/05/25]])*'Avance 39'!BV39</f>
        <v>1</v>
      </c>
      <c r="DP69" s="127">
        <f>Real[[#This Row],[05/05/25]]+(1-Real[[#This Row],[05/05/25]])*'Avance 39'!BW39</f>
        <v>1</v>
      </c>
      <c r="DQ69" s="127">
        <f>Real[[#This Row],[05/05/25]]+(1-Real[[#This Row],[05/05/25]])*'Avance 39'!BX39</f>
        <v>1</v>
      </c>
      <c r="DR69" s="127">
        <f>Real[[#This Row],[05/05/25]]+(1-Real[[#This Row],[05/05/25]])*'Avance 39'!BY39</f>
        <v>1</v>
      </c>
      <c r="DS69" s="127">
        <f>Real[[#This Row],[05/05/25]]+(1-Real[[#This Row],[05/05/25]])*'Avance 39'!BZ39</f>
        <v>1</v>
      </c>
      <c r="DT69" s="127">
        <f>Real[[#This Row],[05/05/25]]+(1-Real[[#This Row],[05/05/25]])*'Avance 39'!CA39</f>
        <v>1</v>
      </c>
      <c r="DU69" s="127">
        <f>Real[[#This Row],[05/05/25]]+(1-Real[[#This Row],[05/05/25]])*'Avance 39'!CB39</f>
        <v>1</v>
      </c>
      <c r="DV69" s="127">
        <f>Real[[#This Row],[05/05/25]]+(1-Real[[#This Row],[05/05/25]])*'Avance 39'!CC39</f>
        <v>1</v>
      </c>
      <c r="DW69" s="127">
        <f>Real[[#This Row],[05/05/25]]+(1-Real[[#This Row],[05/05/25]])*'Avance 39'!CD39</f>
        <v>1</v>
      </c>
      <c r="DX69" s="127">
        <f>Real[[#This Row],[05/05/25]]+(1-Real[[#This Row],[05/05/25]])*'Avance 39'!CE39</f>
        <v>1</v>
      </c>
      <c r="DY69" s="127">
        <f>Real[[#This Row],[05/05/25]]+(1-Real[[#This Row],[05/05/25]])*'Avance 39'!CF39</f>
        <v>1</v>
      </c>
      <c r="DZ69" s="127">
        <f>Real[[#This Row],[05/05/25]]+(1-Real[[#This Row],[05/05/25]])*'Avance 39'!CG39</f>
        <v>1</v>
      </c>
      <c r="EA69" s="127">
        <f>Real[[#This Row],[05/05/25]]+(1-Real[[#This Row],[05/05/25]])*'Avance 39'!CH39</f>
        <v>1</v>
      </c>
      <c r="EB69" s="127">
        <f>Real[[#This Row],[05/05/25]]+(1-Real[[#This Row],[05/05/25]])*'Avance 39'!CI39</f>
        <v>1</v>
      </c>
      <c r="EC69" s="127">
        <f>Real[[#This Row],[05/05/25]]+(1-Real[[#This Row],[05/05/25]])*'Avance 39'!CJ39</f>
        <v>1</v>
      </c>
      <c r="ED69" s="127">
        <f>Real[[#This Row],[05/05/25]]+(1-Real[[#This Row],[05/05/25]])*'Avance 39'!CK39</f>
        <v>1</v>
      </c>
      <c r="EE69" s="127">
        <f>Real[[#This Row],[05/05/25]]+(1-Real[[#This Row],[05/05/25]])*'Avance 39'!CL39</f>
        <v>1</v>
      </c>
      <c r="EF69" s="127">
        <f>Real[[#This Row],[05/05/25]]+(1-Real[[#This Row],[05/05/25]])*'Avance 39'!CM39</f>
        <v>1</v>
      </c>
      <c r="EG69" s="127">
        <f>Real[[#This Row],[05/05/25]]+(1-Real[[#This Row],[05/05/25]])*'Avance 39'!CN39</f>
        <v>1</v>
      </c>
      <c r="EH69" s="127">
        <f>Real[[#This Row],[05/05/25]]+(1-Real[[#This Row],[05/05/25]])*'Avance 39'!CO39</f>
        <v>1</v>
      </c>
      <c r="EI69" s="127">
        <f>Real[[#This Row],[05/05/25]]+(1-Real[[#This Row],[05/05/25]])*'Avance 39'!CP39</f>
        <v>1</v>
      </c>
    </row>
    <row r="70" spans="2:139" ht="15" hidden="1" customHeight="1" outlineLevel="3" x14ac:dyDescent="0.3">
      <c r="B70" s="29"/>
      <c r="C70" s="30"/>
      <c r="D70" s="65"/>
      <c r="E70" s="52" t="s">
        <v>74</v>
      </c>
      <c r="F70" s="33">
        <v>60</v>
      </c>
      <c r="G70" s="35">
        <v>0.12</v>
      </c>
      <c r="H70" s="162"/>
      <c r="I70" s="127">
        <v>0</v>
      </c>
      <c r="J70" s="127">
        <v>0</v>
      </c>
      <c r="K70" s="127">
        <v>0</v>
      </c>
      <c r="L70" s="127">
        <v>0</v>
      </c>
      <c r="M70" s="128">
        <v>0</v>
      </c>
      <c r="N70" s="128">
        <v>0</v>
      </c>
      <c r="O70" s="127">
        <v>0</v>
      </c>
      <c r="P70" s="127">
        <v>0</v>
      </c>
      <c r="Q70" s="127">
        <v>0</v>
      </c>
      <c r="R70" s="127">
        <v>0</v>
      </c>
      <c r="S70" s="127">
        <v>0</v>
      </c>
      <c r="T70" s="127">
        <v>0</v>
      </c>
      <c r="U70" s="127">
        <v>0</v>
      </c>
      <c r="V70" s="127">
        <v>0</v>
      </c>
      <c r="W70" s="127">
        <v>0</v>
      </c>
      <c r="X70" s="127">
        <v>0</v>
      </c>
      <c r="Y70" s="127">
        <v>0</v>
      </c>
      <c r="Z70" s="127">
        <v>0</v>
      </c>
      <c r="AA70" s="127">
        <v>0</v>
      </c>
      <c r="AB70" s="127">
        <v>0</v>
      </c>
      <c r="AC70" s="127">
        <v>0</v>
      </c>
      <c r="AD70" s="127">
        <v>0</v>
      </c>
      <c r="AE70" s="127">
        <v>0</v>
      </c>
      <c r="AF70" s="127">
        <v>0</v>
      </c>
      <c r="AG70" s="127">
        <v>0</v>
      </c>
      <c r="AH70" s="127">
        <v>0</v>
      </c>
      <c r="AI70" s="127">
        <v>0</v>
      </c>
      <c r="AJ70" s="127">
        <v>0</v>
      </c>
      <c r="AK70" s="127">
        <v>0</v>
      </c>
      <c r="AL70" s="127">
        <v>0</v>
      </c>
      <c r="AM70" s="127">
        <v>0.16</v>
      </c>
      <c r="AN70" s="127">
        <v>0.32</v>
      </c>
      <c r="AO70" s="127">
        <v>0.64</v>
      </c>
      <c r="AP70" s="127">
        <v>0.8666666666666667</v>
      </c>
      <c r="AQ70" s="127">
        <v>0.92</v>
      </c>
      <c r="AR70" s="127">
        <v>0.92</v>
      </c>
      <c r="AS70" s="127">
        <v>0.92</v>
      </c>
      <c r="AT70" s="127">
        <v>0.92</v>
      </c>
      <c r="AU70" s="127">
        <v>0.92</v>
      </c>
      <c r="AV70" s="127">
        <v>0.92</v>
      </c>
      <c r="AW70" s="127">
        <v>0.92</v>
      </c>
      <c r="AX70" s="127">
        <v>0.92</v>
      </c>
      <c r="AY70" s="127">
        <v>0.92</v>
      </c>
      <c r="AZ70" s="127">
        <v>0.92</v>
      </c>
      <c r="BA70" s="127">
        <v>0.92</v>
      </c>
      <c r="BB70" s="127">
        <f>Real[[#This Row],[05/05/25]]+(1-Real[[#This Row],[05/05/25]])*'Avance 39'!I40</f>
        <v>0.92</v>
      </c>
      <c r="BC70" s="127">
        <f>Real[[#This Row],[05/05/25]]+(1-Real[[#This Row],[05/05/25]])*'Avance 39'!J40</f>
        <v>0.92</v>
      </c>
      <c r="BD70" s="127">
        <f>Real[[#This Row],[05/05/25]]+(1-Real[[#This Row],[05/05/25]])*'Avance 39'!K40</f>
        <v>0.92</v>
      </c>
      <c r="BE70" s="127">
        <f>Real[[#This Row],[05/05/25]]+(1-Real[[#This Row],[05/05/25]])*'Avance 39'!L40</f>
        <v>0.92</v>
      </c>
      <c r="BF70" s="127">
        <f>Real[[#This Row],[05/05/25]]+(1-Real[[#This Row],[05/05/25]])*'Avance 39'!M40</f>
        <v>0.92</v>
      </c>
      <c r="BG70" s="163">
        <f>Real[[#This Row],[05/05/25]]+(1-Real[[#This Row],[05/05/25]])*'Avance 39'!N40</f>
        <v>0.98666666666666669</v>
      </c>
      <c r="BH70" s="163">
        <f>Real[[#This Row],[05/05/25]]+(1-Real[[#This Row],[05/05/25]])*'Avance 39'!O40</f>
        <v>0.98666666666666669</v>
      </c>
      <c r="BI70" s="127">
        <f>Real[[#This Row],[05/05/25]]+(1-Real[[#This Row],[05/05/25]])*'Avance 39'!P40</f>
        <v>0.98666666666666669</v>
      </c>
      <c r="BJ70" s="127">
        <f>Real[[#This Row],[05/05/25]]+(1-Real[[#This Row],[05/05/25]])*'Avance 39'!Q40</f>
        <v>0.98666666666666669</v>
      </c>
      <c r="BK70" s="127">
        <f>Real[[#This Row],[05/05/25]]+(1-Real[[#This Row],[05/05/25]])*'Avance 39'!R40</f>
        <v>0.98666666666666669</v>
      </c>
      <c r="BL70" s="127">
        <f>Real[[#This Row],[05/05/25]]+(1-Real[[#This Row],[05/05/25]])*'Avance 39'!S40</f>
        <v>0.98666666666666669</v>
      </c>
      <c r="BM70" s="127">
        <f>Real[[#This Row],[05/05/25]]+(1-Real[[#This Row],[05/05/25]])*'Avance 39'!T40</f>
        <v>0.98666666666666669</v>
      </c>
      <c r="BN70" s="127">
        <f>Real[[#This Row],[05/05/25]]+(1-Real[[#This Row],[05/05/25]])*'Avance 39'!U40</f>
        <v>0.98666666666666669</v>
      </c>
      <c r="BO70" s="127">
        <f>Real[[#This Row],[05/05/25]]+(1-Real[[#This Row],[05/05/25]])*'Avance 39'!V40</f>
        <v>0.98666666666666669</v>
      </c>
      <c r="BP70" s="127">
        <f>Real[[#This Row],[05/05/25]]+(1-Real[[#This Row],[05/05/25]])*'Avance 39'!W40</f>
        <v>0.98666666666666669</v>
      </c>
      <c r="BQ70" s="127">
        <f>Real[[#This Row],[05/05/25]]+(1-Real[[#This Row],[05/05/25]])*'Avance 39'!X40</f>
        <v>0.98666666666666669</v>
      </c>
      <c r="BR70" s="127">
        <f>Real[[#This Row],[05/05/25]]+(1-Real[[#This Row],[05/05/25]])*'Avance 39'!Y40</f>
        <v>0.98666666666666669</v>
      </c>
      <c r="BS70" s="127">
        <f>Real[[#This Row],[05/05/25]]+(1-Real[[#This Row],[05/05/25]])*'Avance 39'!Z40</f>
        <v>0.98666666666666669</v>
      </c>
      <c r="BT70" s="127">
        <f>Real[[#This Row],[05/05/25]]+(1-Real[[#This Row],[05/05/25]])*'Avance 39'!AA40</f>
        <v>0.98666666666666669</v>
      </c>
      <c r="BU70" s="127">
        <f>Real[[#This Row],[05/05/25]]+(1-Real[[#This Row],[05/05/25]])*'Avance 39'!AB40</f>
        <v>0.98666666666666669</v>
      </c>
      <c r="BV70" s="127">
        <f>Real[[#This Row],[05/05/25]]+(1-Real[[#This Row],[05/05/25]])*'Avance 39'!AC40</f>
        <v>0.98666666666666669</v>
      </c>
      <c r="BW70" s="127">
        <f>Real[[#This Row],[05/05/25]]+(1-Real[[#This Row],[05/05/25]])*'Avance 39'!AD40</f>
        <v>0.98666666666666669</v>
      </c>
      <c r="BX70" s="127">
        <f>Real[[#This Row],[05/05/25]]+(1-Real[[#This Row],[05/05/25]])*'Avance 39'!AE40</f>
        <v>0.98666666666666669</v>
      </c>
      <c r="BY70" s="127">
        <f>Real[[#This Row],[05/05/25]]+(1-Real[[#This Row],[05/05/25]])*'Avance 39'!AF40</f>
        <v>0.98666666666666669</v>
      </c>
      <c r="BZ70" s="127">
        <f>Real[[#This Row],[05/05/25]]+(1-Real[[#This Row],[05/05/25]])*'Avance 39'!AG40</f>
        <v>0.98666666666666669</v>
      </c>
      <c r="CA70" s="127">
        <f>Real[[#This Row],[05/05/25]]+(1-Real[[#This Row],[05/05/25]])*'Avance 39'!AH40</f>
        <v>0.98666666666666669</v>
      </c>
      <c r="CB70" s="127">
        <f>Real[[#This Row],[05/05/25]]+(1-Real[[#This Row],[05/05/25]])*'Avance 39'!AI40</f>
        <v>0.98666666666666669</v>
      </c>
      <c r="CC70" s="127">
        <f>Real[[#This Row],[05/05/25]]+(1-Real[[#This Row],[05/05/25]])*'Avance 39'!AJ40</f>
        <v>1</v>
      </c>
      <c r="CD70" s="127">
        <f>Real[[#This Row],[05/05/25]]+(1-Real[[#This Row],[05/05/25]])*'Avance 39'!AK40</f>
        <v>1</v>
      </c>
      <c r="CE70" s="127">
        <f>Real[[#This Row],[05/05/25]]+(1-Real[[#This Row],[05/05/25]])*'Avance 39'!AL40</f>
        <v>1</v>
      </c>
      <c r="CF70" s="127">
        <f>Real[[#This Row],[05/05/25]]+(1-Real[[#This Row],[05/05/25]])*'Avance 39'!AM40</f>
        <v>1</v>
      </c>
      <c r="CG70" s="127">
        <f>Real[[#This Row],[05/05/25]]+(1-Real[[#This Row],[05/05/25]])*'Avance 39'!AN40</f>
        <v>1</v>
      </c>
      <c r="CH70" s="127">
        <f>Real[[#This Row],[05/05/25]]+(1-Real[[#This Row],[05/05/25]])*'Avance 39'!AO40</f>
        <v>1</v>
      </c>
      <c r="CI70" s="127">
        <f>Real[[#This Row],[05/05/25]]+(1-Real[[#This Row],[05/05/25]])*'Avance 39'!AP40</f>
        <v>1</v>
      </c>
      <c r="CJ70" s="127">
        <f>Real[[#This Row],[05/05/25]]+(1-Real[[#This Row],[05/05/25]])*'Avance 39'!AQ40</f>
        <v>1</v>
      </c>
      <c r="CK70" s="127">
        <f>Real[[#This Row],[05/05/25]]+(1-Real[[#This Row],[05/05/25]])*'Avance 39'!AR40</f>
        <v>1</v>
      </c>
      <c r="CL70" s="127">
        <f>Real[[#This Row],[05/05/25]]+(1-Real[[#This Row],[05/05/25]])*'Avance 39'!AS40</f>
        <v>1</v>
      </c>
      <c r="CM70" s="127">
        <f>Real[[#This Row],[05/05/25]]+(1-Real[[#This Row],[05/05/25]])*'Avance 39'!AT40</f>
        <v>1</v>
      </c>
      <c r="CN70" s="127">
        <f>Real[[#This Row],[05/05/25]]+(1-Real[[#This Row],[05/05/25]])*'Avance 39'!AU40</f>
        <v>1</v>
      </c>
      <c r="CO70" s="127">
        <f>Real[[#This Row],[05/05/25]]+(1-Real[[#This Row],[05/05/25]])*'Avance 39'!AV40</f>
        <v>1</v>
      </c>
      <c r="CP70" s="127">
        <f>Real[[#This Row],[05/05/25]]+(1-Real[[#This Row],[05/05/25]])*'Avance 39'!AW40</f>
        <v>1</v>
      </c>
      <c r="CQ70" s="127">
        <f>Real[[#This Row],[05/05/25]]+(1-Real[[#This Row],[05/05/25]])*'Avance 39'!AX40</f>
        <v>1</v>
      </c>
      <c r="CR70" s="127">
        <f>Real[[#This Row],[05/05/25]]+(1-Real[[#This Row],[05/05/25]])*'Avance 39'!AY40</f>
        <v>1</v>
      </c>
      <c r="CS70" s="127">
        <f>Real[[#This Row],[05/05/25]]+(1-Real[[#This Row],[05/05/25]])*'Avance 39'!AZ40</f>
        <v>1</v>
      </c>
      <c r="CT70" s="127">
        <f>Real[[#This Row],[05/05/25]]+(1-Real[[#This Row],[05/05/25]])*'Avance 39'!BA40</f>
        <v>1</v>
      </c>
      <c r="CU70" s="127">
        <f>Real[[#This Row],[05/05/25]]+(1-Real[[#This Row],[05/05/25]])*'Avance 39'!BB40</f>
        <v>1</v>
      </c>
      <c r="CV70" s="127">
        <f>Real[[#This Row],[05/05/25]]+(1-Real[[#This Row],[05/05/25]])*'Avance 39'!BC40</f>
        <v>1</v>
      </c>
      <c r="CW70" s="127">
        <f>Real[[#This Row],[05/05/25]]+(1-Real[[#This Row],[05/05/25]])*'Avance 39'!BD40</f>
        <v>1</v>
      </c>
      <c r="CX70" s="127">
        <f>Real[[#This Row],[05/05/25]]+(1-Real[[#This Row],[05/05/25]])*'Avance 39'!BE40</f>
        <v>1</v>
      </c>
      <c r="CY70" s="127">
        <f>Real[[#This Row],[05/05/25]]+(1-Real[[#This Row],[05/05/25]])*'Avance 39'!BF40</f>
        <v>1</v>
      </c>
      <c r="CZ70" s="127">
        <f>Real[[#This Row],[05/05/25]]+(1-Real[[#This Row],[05/05/25]])*'Avance 39'!BG40</f>
        <v>1</v>
      </c>
      <c r="DA70" s="127">
        <f>Real[[#This Row],[05/05/25]]+(1-Real[[#This Row],[05/05/25]])*'Avance 39'!BH40</f>
        <v>1</v>
      </c>
      <c r="DB70" s="127">
        <f>Real[[#This Row],[05/05/25]]+(1-Real[[#This Row],[05/05/25]])*'Avance 39'!BI40</f>
        <v>1</v>
      </c>
      <c r="DC70" s="127">
        <f>Real[[#This Row],[05/05/25]]+(1-Real[[#This Row],[05/05/25]])*'Avance 39'!BJ40</f>
        <v>1</v>
      </c>
      <c r="DD70" s="127">
        <f>Real[[#This Row],[05/05/25]]+(1-Real[[#This Row],[05/05/25]])*'Avance 39'!BK40</f>
        <v>1</v>
      </c>
      <c r="DE70" s="127">
        <f>Real[[#This Row],[05/05/25]]+(1-Real[[#This Row],[05/05/25]])*'Avance 39'!BL40</f>
        <v>1</v>
      </c>
      <c r="DF70" s="127">
        <f>Real[[#This Row],[05/05/25]]+(1-Real[[#This Row],[05/05/25]])*'Avance 39'!BM40</f>
        <v>1</v>
      </c>
      <c r="DG70" s="127">
        <f>Real[[#This Row],[05/05/25]]+(1-Real[[#This Row],[05/05/25]])*'Avance 39'!BN40</f>
        <v>1</v>
      </c>
      <c r="DH70" s="127">
        <f>Real[[#This Row],[05/05/25]]+(1-Real[[#This Row],[05/05/25]])*'Avance 39'!BO40</f>
        <v>1</v>
      </c>
      <c r="DI70" s="127">
        <f>Real[[#This Row],[05/05/25]]+(1-Real[[#This Row],[05/05/25]])*'Avance 39'!BP40</f>
        <v>1</v>
      </c>
      <c r="DJ70" s="127">
        <f>Real[[#This Row],[05/05/25]]+(1-Real[[#This Row],[05/05/25]])*'Avance 39'!BQ40</f>
        <v>1</v>
      </c>
      <c r="DK70" s="127">
        <f>Real[[#This Row],[05/05/25]]+(1-Real[[#This Row],[05/05/25]])*'Avance 39'!BR40</f>
        <v>1</v>
      </c>
      <c r="DL70" s="127">
        <f>Real[[#This Row],[05/05/25]]+(1-Real[[#This Row],[05/05/25]])*'Avance 39'!BS40</f>
        <v>1</v>
      </c>
      <c r="DM70" s="127">
        <f>Real[[#This Row],[05/05/25]]+(1-Real[[#This Row],[05/05/25]])*'Avance 39'!BT40</f>
        <v>1</v>
      </c>
      <c r="DN70" s="127">
        <f>Real[[#This Row],[05/05/25]]+(1-Real[[#This Row],[05/05/25]])*'Avance 39'!BU40</f>
        <v>1</v>
      </c>
      <c r="DO70" s="127">
        <f>Real[[#This Row],[05/05/25]]+(1-Real[[#This Row],[05/05/25]])*'Avance 39'!BV40</f>
        <v>1</v>
      </c>
      <c r="DP70" s="127">
        <f>Real[[#This Row],[05/05/25]]+(1-Real[[#This Row],[05/05/25]])*'Avance 39'!BW40</f>
        <v>1</v>
      </c>
      <c r="DQ70" s="127">
        <f>Real[[#This Row],[05/05/25]]+(1-Real[[#This Row],[05/05/25]])*'Avance 39'!BX40</f>
        <v>1</v>
      </c>
      <c r="DR70" s="127">
        <f>Real[[#This Row],[05/05/25]]+(1-Real[[#This Row],[05/05/25]])*'Avance 39'!BY40</f>
        <v>1</v>
      </c>
      <c r="DS70" s="127">
        <f>Real[[#This Row],[05/05/25]]+(1-Real[[#This Row],[05/05/25]])*'Avance 39'!BZ40</f>
        <v>1</v>
      </c>
      <c r="DT70" s="127">
        <f>Real[[#This Row],[05/05/25]]+(1-Real[[#This Row],[05/05/25]])*'Avance 39'!CA40</f>
        <v>1</v>
      </c>
      <c r="DU70" s="127">
        <f>Real[[#This Row],[05/05/25]]+(1-Real[[#This Row],[05/05/25]])*'Avance 39'!CB40</f>
        <v>1</v>
      </c>
      <c r="DV70" s="127">
        <f>Real[[#This Row],[05/05/25]]+(1-Real[[#This Row],[05/05/25]])*'Avance 39'!CC40</f>
        <v>1</v>
      </c>
      <c r="DW70" s="127">
        <f>Real[[#This Row],[05/05/25]]+(1-Real[[#This Row],[05/05/25]])*'Avance 39'!CD40</f>
        <v>1</v>
      </c>
      <c r="DX70" s="127">
        <f>Real[[#This Row],[05/05/25]]+(1-Real[[#This Row],[05/05/25]])*'Avance 39'!CE40</f>
        <v>1</v>
      </c>
      <c r="DY70" s="127">
        <f>Real[[#This Row],[05/05/25]]+(1-Real[[#This Row],[05/05/25]])*'Avance 39'!CF40</f>
        <v>1</v>
      </c>
      <c r="DZ70" s="127">
        <f>Real[[#This Row],[05/05/25]]+(1-Real[[#This Row],[05/05/25]])*'Avance 39'!CG40</f>
        <v>1</v>
      </c>
      <c r="EA70" s="127">
        <f>Real[[#This Row],[05/05/25]]+(1-Real[[#This Row],[05/05/25]])*'Avance 39'!CH40</f>
        <v>1</v>
      </c>
      <c r="EB70" s="127">
        <f>Real[[#This Row],[05/05/25]]+(1-Real[[#This Row],[05/05/25]])*'Avance 39'!CI40</f>
        <v>1</v>
      </c>
      <c r="EC70" s="127">
        <f>Real[[#This Row],[05/05/25]]+(1-Real[[#This Row],[05/05/25]])*'Avance 39'!CJ40</f>
        <v>1</v>
      </c>
      <c r="ED70" s="127">
        <f>Real[[#This Row],[05/05/25]]+(1-Real[[#This Row],[05/05/25]])*'Avance 39'!CK40</f>
        <v>1</v>
      </c>
      <c r="EE70" s="127">
        <f>Real[[#This Row],[05/05/25]]+(1-Real[[#This Row],[05/05/25]])*'Avance 39'!CL40</f>
        <v>1</v>
      </c>
      <c r="EF70" s="127">
        <f>Real[[#This Row],[05/05/25]]+(1-Real[[#This Row],[05/05/25]])*'Avance 39'!CM40</f>
        <v>1</v>
      </c>
      <c r="EG70" s="127">
        <f>Real[[#This Row],[05/05/25]]+(1-Real[[#This Row],[05/05/25]])*'Avance 39'!CN40</f>
        <v>1</v>
      </c>
      <c r="EH70" s="127">
        <f>Real[[#This Row],[05/05/25]]+(1-Real[[#This Row],[05/05/25]])*'Avance 39'!CO40</f>
        <v>1</v>
      </c>
      <c r="EI70" s="127">
        <f>Real[[#This Row],[05/05/25]]+(1-Real[[#This Row],[05/05/25]])*'Avance 39'!CP40</f>
        <v>1</v>
      </c>
    </row>
    <row r="71" spans="2:139" ht="15" hidden="1" customHeight="1" outlineLevel="3" x14ac:dyDescent="0.3">
      <c r="B71" s="29"/>
      <c r="C71" s="30"/>
      <c r="D71" s="65"/>
      <c r="E71" s="52" t="s">
        <v>75</v>
      </c>
      <c r="F71" s="33">
        <v>60</v>
      </c>
      <c r="G71" s="35">
        <v>0.12</v>
      </c>
      <c r="H71" s="162"/>
      <c r="I71" s="127">
        <v>0</v>
      </c>
      <c r="J71" s="127">
        <v>0</v>
      </c>
      <c r="K71" s="127">
        <v>0</v>
      </c>
      <c r="L71" s="127">
        <v>0</v>
      </c>
      <c r="M71" s="128">
        <v>0</v>
      </c>
      <c r="N71" s="128">
        <v>0</v>
      </c>
      <c r="O71" s="127">
        <v>0</v>
      </c>
      <c r="P71" s="127">
        <v>0</v>
      </c>
      <c r="Q71" s="127">
        <v>0</v>
      </c>
      <c r="R71" s="127">
        <v>0</v>
      </c>
      <c r="S71" s="127">
        <v>0</v>
      </c>
      <c r="T71" s="127">
        <v>0</v>
      </c>
      <c r="U71" s="127">
        <v>0</v>
      </c>
      <c r="V71" s="127">
        <v>0</v>
      </c>
      <c r="W71" s="127">
        <v>0</v>
      </c>
      <c r="X71" s="127">
        <v>0</v>
      </c>
      <c r="Y71" s="127">
        <v>0</v>
      </c>
      <c r="Z71" s="127">
        <v>0</v>
      </c>
      <c r="AA71" s="127">
        <v>0</v>
      </c>
      <c r="AB71" s="127">
        <v>0</v>
      </c>
      <c r="AC71" s="127">
        <v>0</v>
      </c>
      <c r="AD71" s="127">
        <v>0</v>
      </c>
      <c r="AE71" s="127">
        <v>0</v>
      </c>
      <c r="AF71" s="127">
        <v>0</v>
      </c>
      <c r="AG71" s="127">
        <v>0</v>
      </c>
      <c r="AH71" s="127">
        <v>0</v>
      </c>
      <c r="AI71" s="127">
        <v>0</v>
      </c>
      <c r="AJ71" s="127">
        <v>0</v>
      </c>
      <c r="AK71" s="127">
        <v>0</v>
      </c>
      <c r="AL71" s="127">
        <v>0</v>
      </c>
      <c r="AM71" s="127">
        <v>0</v>
      </c>
      <c r="AN71" s="127">
        <v>0</v>
      </c>
      <c r="AO71" s="127">
        <v>0</v>
      </c>
      <c r="AP71" s="127">
        <v>0</v>
      </c>
      <c r="AQ71" s="127">
        <v>0</v>
      </c>
      <c r="AR71" s="127">
        <v>0</v>
      </c>
      <c r="AS71" s="127">
        <v>0</v>
      </c>
      <c r="AT71" s="127">
        <v>0</v>
      </c>
      <c r="AU71" s="127">
        <v>0</v>
      </c>
      <c r="AV71" s="127">
        <v>0</v>
      </c>
      <c r="AW71" s="127">
        <v>0</v>
      </c>
      <c r="AX71" s="127">
        <v>1.5533980582524271E-2</v>
      </c>
      <c r="AY71" s="127">
        <v>1.5533980582524271E-2</v>
      </c>
      <c r="AZ71" s="127">
        <v>2.9126213592233014E-2</v>
      </c>
      <c r="BA71" s="127">
        <v>8.7378640776699032E-2</v>
      </c>
      <c r="BB71" s="127">
        <f>Real[[#This Row],[05/05/25]]+(1-Real[[#This Row],[05/05/25]])*'Avance 39'!I41</f>
        <v>0.18155339805825244</v>
      </c>
      <c r="BC71" s="127">
        <f>Real[[#This Row],[05/05/25]]+(1-Real[[#This Row],[05/05/25]])*'Avance 39'!J41</f>
        <v>0.28155339805825247</v>
      </c>
      <c r="BD71" s="127">
        <f>Real[[#This Row],[05/05/25]]+(1-Real[[#This Row],[05/05/25]])*'Avance 39'!K41</f>
        <v>0.42233009708737868</v>
      </c>
      <c r="BE71" s="127">
        <f>Real[[#This Row],[05/05/25]]+(1-Real[[#This Row],[05/05/25]])*'Avance 39'!L41</f>
        <v>0.50291262135922332</v>
      </c>
      <c r="BF71" s="127">
        <f>Real[[#This Row],[05/05/25]]+(1-Real[[#This Row],[05/05/25]])*'Avance 39'!M41</f>
        <v>0.75728155339805825</v>
      </c>
      <c r="BG71" s="163">
        <f>Real[[#This Row],[05/05/25]]+(1-Real[[#This Row],[05/05/25]])*'Avance 39'!N41</f>
        <v>0.94368932038834963</v>
      </c>
      <c r="BH71" s="163">
        <f>Real[[#This Row],[05/05/25]]+(1-Real[[#This Row],[05/05/25]])*'Avance 39'!O41</f>
        <v>0.94854368932038835</v>
      </c>
      <c r="BI71" s="127">
        <f>Real[[#This Row],[05/05/25]]+(1-Real[[#This Row],[05/05/25]])*'Avance 39'!P41</f>
        <v>0.94854368932038835</v>
      </c>
      <c r="BJ71" s="127">
        <f>Real[[#This Row],[05/05/25]]+(1-Real[[#This Row],[05/05/25]])*'Avance 39'!Q41</f>
        <v>0.94854368932038835</v>
      </c>
      <c r="BK71" s="127">
        <f>Real[[#This Row],[05/05/25]]+(1-Real[[#This Row],[05/05/25]])*'Avance 39'!R41</f>
        <v>0.94854368932038835</v>
      </c>
      <c r="BL71" s="127">
        <f>Real[[#This Row],[05/05/25]]+(1-Real[[#This Row],[05/05/25]])*'Avance 39'!S41</f>
        <v>0.94854368932038835</v>
      </c>
      <c r="BM71" s="127">
        <f>Real[[#This Row],[05/05/25]]+(1-Real[[#This Row],[05/05/25]])*'Avance 39'!T41</f>
        <v>0.94854368932038835</v>
      </c>
      <c r="BN71" s="127">
        <f>Real[[#This Row],[05/05/25]]+(1-Real[[#This Row],[05/05/25]])*'Avance 39'!U41</f>
        <v>0.94854368932038835</v>
      </c>
      <c r="BO71" s="127">
        <f>Real[[#This Row],[05/05/25]]+(1-Real[[#This Row],[05/05/25]])*'Avance 39'!V41</f>
        <v>0.94854368932038835</v>
      </c>
      <c r="BP71" s="127">
        <f>Real[[#This Row],[05/05/25]]+(1-Real[[#This Row],[05/05/25]])*'Avance 39'!W41</f>
        <v>0.94854368932038835</v>
      </c>
      <c r="BQ71" s="127">
        <f>Real[[#This Row],[05/05/25]]+(1-Real[[#This Row],[05/05/25]])*'Avance 39'!X41</f>
        <v>0.94854368932038835</v>
      </c>
      <c r="BR71" s="127">
        <f>Real[[#This Row],[05/05/25]]+(1-Real[[#This Row],[05/05/25]])*'Avance 39'!Y41</f>
        <v>0.94854368932038835</v>
      </c>
      <c r="BS71" s="127">
        <f>Real[[#This Row],[05/05/25]]+(1-Real[[#This Row],[05/05/25]])*'Avance 39'!Z41</f>
        <v>0.94854368932038835</v>
      </c>
      <c r="BT71" s="127">
        <f>Real[[#This Row],[05/05/25]]+(1-Real[[#This Row],[05/05/25]])*'Avance 39'!AA41</f>
        <v>0.95048543689320397</v>
      </c>
      <c r="BU71" s="127">
        <f>Real[[#This Row],[05/05/25]]+(1-Real[[#This Row],[05/05/25]])*'Avance 39'!AB41</f>
        <v>0.95922330097087383</v>
      </c>
      <c r="BV71" s="127">
        <f>Real[[#This Row],[05/05/25]]+(1-Real[[#This Row],[05/05/25]])*'Avance 39'!AC41</f>
        <v>0.95922330097087383</v>
      </c>
      <c r="BW71" s="127">
        <f>Real[[#This Row],[05/05/25]]+(1-Real[[#This Row],[05/05/25]])*'Avance 39'!AD41</f>
        <v>0.95922330097087383</v>
      </c>
      <c r="BX71" s="127">
        <f>Real[[#This Row],[05/05/25]]+(1-Real[[#This Row],[05/05/25]])*'Avance 39'!AE41</f>
        <v>0.95922330097087383</v>
      </c>
      <c r="BY71" s="127">
        <f>Real[[#This Row],[05/05/25]]+(1-Real[[#This Row],[05/05/25]])*'Avance 39'!AF41</f>
        <v>0.95922330097087383</v>
      </c>
      <c r="BZ71" s="127">
        <f>Real[[#This Row],[05/05/25]]+(1-Real[[#This Row],[05/05/25]])*'Avance 39'!AG41</f>
        <v>0.95922330097087383</v>
      </c>
      <c r="CA71" s="127">
        <f>Real[[#This Row],[05/05/25]]+(1-Real[[#This Row],[05/05/25]])*'Avance 39'!AH41</f>
        <v>0.95922330097087383</v>
      </c>
      <c r="CB71" s="127">
        <f>Real[[#This Row],[05/05/25]]+(1-Real[[#This Row],[05/05/25]])*'Avance 39'!AI41</f>
        <v>0.95922330097087383</v>
      </c>
      <c r="CC71" s="127">
        <f>Real[[#This Row],[05/05/25]]+(1-Real[[#This Row],[05/05/25]])*'Avance 39'!AJ41</f>
        <v>1</v>
      </c>
      <c r="CD71" s="127">
        <f>Real[[#This Row],[05/05/25]]+(1-Real[[#This Row],[05/05/25]])*'Avance 39'!AK41</f>
        <v>1</v>
      </c>
      <c r="CE71" s="127">
        <f>Real[[#This Row],[05/05/25]]+(1-Real[[#This Row],[05/05/25]])*'Avance 39'!AL41</f>
        <v>1</v>
      </c>
      <c r="CF71" s="127">
        <f>Real[[#This Row],[05/05/25]]+(1-Real[[#This Row],[05/05/25]])*'Avance 39'!AM41</f>
        <v>1</v>
      </c>
      <c r="CG71" s="127">
        <f>Real[[#This Row],[05/05/25]]+(1-Real[[#This Row],[05/05/25]])*'Avance 39'!AN41</f>
        <v>1</v>
      </c>
      <c r="CH71" s="127">
        <f>Real[[#This Row],[05/05/25]]+(1-Real[[#This Row],[05/05/25]])*'Avance 39'!AO41</f>
        <v>1</v>
      </c>
      <c r="CI71" s="127">
        <f>Real[[#This Row],[05/05/25]]+(1-Real[[#This Row],[05/05/25]])*'Avance 39'!AP41</f>
        <v>1</v>
      </c>
      <c r="CJ71" s="127">
        <f>Real[[#This Row],[05/05/25]]+(1-Real[[#This Row],[05/05/25]])*'Avance 39'!AQ41</f>
        <v>1</v>
      </c>
      <c r="CK71" s="127">
        <f>Real[[#This Row],[05/05/25]]+(1-Real[[#This Row],[05/05/25]])*'Avance 39'!AR41</f>
        <v>1</v>
      </c>
      <c r="CL71" s="127">
        <f>Real[[#This Row],[05/05/25]]+(1-Real[[#This Row],[05/05/25]])*'Avance 39'!AS41</f>
        <v>1</v>
      </c>
      <c r="CM71" s="127">
        <f>Real[[#This Row],[05/05/25]]+(1-Real[[#This Row],[05/05/25]])*'Avance 39'!AT41</f>
        <v>1</v>
      </c>
      <c r="CN71" s="127">
        <f>Real[[#This Row],[05/05/25]]+(1-Real[[#This Row],[05/05/25]])*'Avance 39'!AU41</f>
        <v>1</v>
      </c>
      <c r="CO71" s="127">
        <f>Real[[#This Row],[05/05/25]]+(1-Real[[#This Row],[05/05/25]])*'Avance 39'!AV41</f>
        <v>1</v>
      </c>
      <c r="CP71" s="127">
        <f>Real[[#This Row],[05/05/25]]+(1-Real[[#This Row],[05/05/25]])*'Avance 39'!AW41</f>
        <v>1</v>
      </c>
      <c r="CQ71" s="127">
        <f>Real[[#This Row],[05/05/25]]+(1-Real[[#This Row],[05/05/25]])*'Avance 39'!AX41</f>
        <v>1</v>
      </c>
      <c r="CR71" s="127">
        <f>Real[[#This Row],[05/05/25]]+(1-Real[[#This Row],[05/05/25]])*'Avance 39'!AY41</f>
        <v>1</v>
      </c>
      <c r="CS71" s="127">
        <f>Real[[#This Row],[05/05/25]]+(1-Real[[#This Row],[05/05/25]])*'Avance 39'!AZ41</f>
        <v>1</v>
      </c>
      <c r="CT71" s="127">
        <f>Real[[#This Row],[05/05/25]]+(1-Real[[#This Row],[05/05/25]])*'Avance 39'!BA41</f>
        <v>1</v>
      </c>
      <c r="CU71" s="127">
        <f>Real[[#This Row],[05/05/25]]+(1-Real[[#This Row],[05/05/25]])*'Avance 39'!BB41</f>
        <v>1</v>
      </c>
      <c r="CV71" s="127">
        <f>Real[[#This Row],[05/05/25]]+(1-Real[[#This Row],[05/05/25]])*'Avance 39'!BC41</f>
        <v>1</v>
      </c>
      <c r="CW71" s="127">
        <f>Real[[#This Row],[05/05/25]]+(1-Real[[#This Row],[05/05/25]])*'Avance 39'!BD41</f>
        <v>1</v>
      </c>
      <c r="CX71" s="127">
        <f>Real[[#This Row],[05/05/25]]+(1-Real[[#This Row],[05/05/25]])*'Avance 39'!BE41</f>
        <v>1</v>
      </c>
      <c r="CY71" s="127">
        <f>Real[[#This Row],[05/05/25]]+(1-Real[[#This Row],[05/05/25]])*'Avance 39'!BF41</f>
        <v>1</v>
      </c>
      <c r="CZ71" s="127">
        <f>Real[[#This Row],[05/05/25]]+(1-Real[[#This Row],[05/05/25]])*'Avance 39'!BG41</f>
        <v>1</v>
      </c>
      <c r="DA71" s="127">
        <f>Real[[#This Row],[05/05/25]]+(1-Real[[#This Row],[05/05/25]])*'Avance 39'!BH41</f>
        <v>1</v>
      </c>
      <c r="DB71" s="127">
        <f>Real[[#This Row],[05/05/25]]+(1-Real[[#This Row],[05/05/25]])*'Avance 39'!BI41</f>
        <v>1</v>
      </c>
      <c r="DC71" s="127">
        <f>Real[[#This Row],[05/05/25]]+(1-Real[[#This Row],[05/05/25]])*'Avance 39'!BJ41</f>
        <v>1</v>
      </c>
      <c r="DD71" s="127">
        <f>Real[[#This Row],[05/05/25]]+(1-Real[[#This Row],[05/05/25]])*'Avance 39'!BK41</f>
        <v>1</v>
      </c>
      <c r="DE71" s="127">
        <f>Real[[#This Row],[05/05/25]]+(1-Real[[#This Row],[05/05/25]])*'Avance 39'!BL41</f>
        <v>1</v>
      </c>
      <c r="DF71" s="127">
        <f>Real[[#This Row],[05/05/25]]+(1-Real[[#This Row],[05/05/25]])*'Avance 39'!BM41</f>
        <v>1</v>
      </c>
      <c r="DG71" s="127">
        <f>Real[[#This Row],[05/05/25]]+(1-Real[[#This Row],[05/05/25]])*'Avance 39'!BN41</f>
        <v>1</v>
      </c>
      <c r="DH71" s="127">
        <f>Real[[#This Row],[05/05/25]]+(1-Real[[#This Row],[05/05/25]])*'Avance 39'!BO41</f>
        <v>1</v>
      </c>
      <c r="DI71" s="127">
        <f>Real[[#This Row],[05/05/25]]+(1-Real[[#This Row],[05/05/25]])*'Avance 39'!BP41</f>
        <v>1</v>
      </c>
      <c r="DJ71" s="127">
        <f>Real[[#This Row],[05/05/25]]+(1-Real[[#This Row],[05/05/25]])*'Avance 39'!BQ41</f>
        <v>1</v>
      </c>
      <c r="DK71" s="127">
        <f>Real[[#This Row],[05/05/25]]+(1-Real[[#This Row],[05/05/25]])*'Avance 39'!BR41</f>
        <v>1</v>
      </c>
      <c r="DL71" s="127">
        <f>Real[[#This Row],[05/05/25]]+(1-Real[[#This Row],[05/05/25]])*'Avance 39'!BS41</f>
        <v>1</v>
      </c>
      <c r="DM71" s="127">
        <f>Real[[#This Row],[05/05/25]]+(1-Real[[#This Row],[05/05/25]])*'Avance 39'!BT41</f>
        <v>1</v>
      </c>
      <c r="DN71" s="127">
        <f>Real[[#This Row],[05/05/25]]+(1-Real[[#This Row],[05/05/25]])*'Avance 39'!BU41</f>
        <v>1</v>
      </c>
      <c r="DO71" s="127">
        <f>Real[[#This Row],[05/05/25]]+(1-Real[[#This Row],[05/05/25]])*'Avance 39'!BV41</f>
        <v>1</v>
      </c>
      <c r="DP71" s="127">
        <f>Real[[#This Row],[05/05/25]]+(1-Real[[#This Row],[05/05/25]])*'Avance 39'!BW41</f>
        <v>1</v>
      </c>
      <c r="DQ71" s="127">
        <f>Real[[#This Row],[05/05/25]]+(1-Real[[#This Row],[05/05/25]])*'Avance 39'!BX41</f>
        <v>1</v>
      </c>
      <c r="DR71" s="127">
        <f>Real[[#This Row],[05/05/25]]+(1-Real[[#This Row],[05/05/25]])*'Avance 39'!BY41</f>
        <v>1</v>
      </c>
      <c r="DS71" s="127">
        <f>Real[[#This Row],[05/05/25]]+(1-Real[[#This Row],[05/05/25]])*'Avance 39'!BZ41</f>
        <v>1</v>
      </c>
      <c r="DT71" s="127">
        <f>Real[[#This Row],[05/05/25]]+(1-Real[[#This Row],[05/05/25]])*'Avance 39'!CA41</f>
        <v>1</v>
      </c>
      <c r="DU71" s="127">
        <f>Real[[#This Row],[05/05/25]]+(1-Real[[#This Row],[05/05/25]])*'Avance 39'!CB41</f>
        <v>1</v>
      </c>
      <c r="DV71" s="127">
        <f>Real[[#This Row],[05/05/25]]+(1-Real[[#This Row],[05/05/25]])*'Avance 39'!CC41</f>
        <v>1</v>
      </c>
      <c r="DW71" s="127">
        <f>Real[[#This Row],[05/05/25]]+(1-Real[[#This Row],[05/05/25]])*'Avance 39'!CD41</f>
        <v>1</v>
      </c>
      <c r="DX71" s="127">
        <f>Real[[#This Row],[05/05/25]]+(1-Real[[#This Row],[05/05/25]])*'Avance 39'!CE41</f>
        <v>1</v>
      </c>
      <c r="DY71" s="127">
        <f>Real[[#This Row],[05/05/25]]+(1-Real[[#This Row],[05/05/25]])*'Avance 39'!CF41</f>
        <v>1</v>
      </c>
      <c r="DZ71" s="127">
        <f>Real[[#This Row],[05/05/25]]+(1-Real[[#This Row],[05/05/25]])*'Avance 39'!CG41</f>
        <v>1</v>
      </c>
      <c r="EA71" s="127">
        <f>Real[[#This Row],[05/05/25]]+(1-Real[[#This Row],[05/05/25]])*'Avance 39'!CH41</f>
        <v>1</v>
      </c>
      <c r="EB71" s="127">
        <f>Real[[#This Row],[05/05/25]]+(1-Real[[#This Row],[05/05/25]])*'Avance 39'!CI41</f>
        <v>1</v>
      </c>
      <c r="EC71" s="127">
        <f>Real[[#This Row],[05/05/25]]+(1-Real[[#This Row],[05/05/25]])*'Avance 39'!CJ41</f>
        <v>1</v>
      </c>
      <c r="ED71" s="127">
        <f>Real[[#This Row],[05/05/25]]+(1-Real[[#This Row],[05/05/25]])*'Avance 39'!CK41</f>
        <v>1</v>
      </c>
      <c r="EE71" s="127">
        <f>Real[[#This Row],[05/05/25]]+(1-Real[[#This Row],[05/05/25]])*'Avance 39'!CL41</f>
        <v>1</v>
      </c>
      <c r="EF71" s="127">
        <f>Real[[#This Row],[05/05/25]]+(1-Real[[#This Row],[05/05/25]])*'Avance 39'!CM41</f>
        <v>1</v>
      </c>
      <c r="EG71" s="127">
        <f>Real[[#This Row],[05/05/25]]+(1-Real[[#This Row],[05/05/25]])*'Avance 39'!CN41</f>
        <v>1</v>
      </c>
      <c r="EH71" s="127">
        <f>Real[[#This Row],[05/05/25]]+(1-Real[[#This Row],[05/05/25]])*'Avance 39'!CO41</f>
        <v>1</v>
      </c>
      <c r="EI71" s="127">
        <f>Real[[#This Row],[05/05/25]]+(1-Real[[#This Row],[05/05/25]])*'Avance 39'!CP41</f>
        <v>1</v>
      </c>
    </row>
    <row r="72" spans="2:139" ht="15" hidden="1" customHeight="1" outlineLevel="3" x14ac:dyDescent="0.3">
      <c r="B72" s="29"/>
      <c r="C72" s="30"/>
      <c r="D72" s="65"/>
      <c r="E72" s="52" t="s">
        <v>76</v>
      </c>
      <c r="F72" s="33">
        <v>10</v>
      </c>
      <c r="G72" s="35">
        <v>0.02</v>
      </c>
      <c r="H72" s="162"/>
      <c r="I72" s="127">
        <v>0</v>
      </c>
      <c r="J72" s="127">
        <v>0</v>
      </c>
      <c r="K72" s="127">
        <v>0</v>
      </c>
      <c r="L72" s="127">
        <v>0</v>
      </c>
      <c r="M72" s="128">
        <v>0</v>
      </c>
      <c r="N72" s="128">
        <v>0</v>
      </c>
      <c r="O72" s="127">
        <v>0</v>
      </c>
      <c r="P72" s="127">
        <v>0</v>
      </c>
      <c r="Q72" s="127">
        <v>0</v>
      </c>
      <c r="R72" s="127">
        <v>0</v>
      </c>
      <c r="S72" s="127">
        <v>0</v>
      </c>
      <c r="T72" s="127">
        <v>0</v>
      </c>
      <c r="U72" s="127">
        <v>0</v>
      </c>
      <c r="V72" s="127">
        <v>0</v>
      </c>
      <c r="W72" s="127">
        <v>0</v>
      </c>
      <c r="X72" s="127">
        <v>0</v>
      </c>
      <c r="Y72" s="127">
        <v>0</v>
      </c>
      <c r="Z72" s="127">
        <v>0</v>
      </c>
      <c r="AA72" s="127">
        <v>0</v>
      </c>
      <c r="AB72" s="127">
        <v>0</v>
      </c>
      <c r="AC72" s="127">
        <v>0</v>
      </c>
      <c r="AD72" s="127">
        <v>0</v>
      </c>
      <c r="AE72" s="127">
        <v>0</v>
      </c>
      <c r="AF72" s="127">
        <v>0</v>
      </c>
      <c r="AG72" s="127">
        <v>0</v>
      </c>
      <c r="AH72" s="127">
        <v>0</v>
      </c>
      <c r="AI72" s="127">
        <v>0</v>
      </c>
      <c r="AJ72" s="127">
        <v>0</v>
      </c>
      <c r="AK72" s="127">
        <v>0</v>
      </c>
      <c r="AL72" s="127">
        <v>0</v>
      </c>
      <c r="AM72" s="127">
        <v>0</v>
      </c>
      <c r="AN72" s="127">
        <v>0</v>
      </c>
      <c r="AO72" s="127">
        <v>0</v>
      </c>
      <c r="AP72" s="127">
        <v>0</v>
      </c>
      <c r="AQ72" s="127">
        <v>0</v>
      </c>
      <c r="AR72" s="127">
        <v>0</v>
      </c>
      <c r="AS72" s="127">
        <v>0</v>
      </c>
      <c r="AT72" s="127">
        <v>0</v>
      </c>
      <c r="AU72" s="127">
        <v>0.56666666666666665</v>
      </c>
      <c r="AV72" s="127">
        <v>1</v>
      </c>
      <c r="AW72" s="127">
        <v>1</v>
      </c>
      <c r="AX72" s="127">
        <v>1</v>
      </c>
      <c r="AY72" s="127">
        <v>1</v>
      </c>
      <c r="AZ72" s="127">
        <v>1</v>
      </c>
      <c r="BA72" s="127">
        <v>1</v>
      </c>
      <c r="BB72" s="127">
        <v>1</v>
      </c>
      <c r="BC72" s="127">
        <v>1</v>
      </c>
      <c r="BD72" s="127">
        <v>1</v>
      </c>
      <c r="BE72" s="127">
        <v>1</v>
      </c>
      <c r="BF72" s="127">
        <v>1</v>
      </c>
      <c r="BG72" s="163">
        <v>1</v>
      </c>
      <c r="BH72" s="163">
        <v>1</v>
      </c>
      <c r="BI72" s="127">
        <v>1</v>
      </c>
      <c r="BJ72" s="127">
        <v>1</v>
      </c>
      <c r="BK72" s="127">
        <v>1</v>
      </c>
      <c r="BL72" s="127">
        <v>1</v>
      </c>
      <c r="BM72" s="127">
        <v>1</v>
      </c>
      <c r="BN72" s="127">
        <v>1</v>
      </c>
      <c r="BO72" s="127">
        <v>1</v>
      </c>
      <c r="BP72" s="127">
        <v>1</v>
      </c>
      <c r="BQ72" s="127">
        <v>1</v>
      </c>
      <c r="BR72" s="127">
        <v>1</v>
      </c>
      <c r="BS72" s="127">
        <v>1</v>
      </c>
      <c r="BT72" s="127">
        <v>1</v>
      </c>
      <c r="BU72" s="127">
        <v>1</v>
      </c>
      <c r="BV72" s="127">
        <v>1</v>
      </c>
      <c r="BW72" s="127">
        <v>1</v>
      </c>
      <c r="BX72" s="127">
        <v>1</v>
      </c>
      <c r="BY72" s="127">
        <v>1</v>
      </c>
      <c r="BZ72" s="127">
        <v>1</v>
      </c>
      <c r="CA72" s="127">
        <v>1</v>
      </c>
      <c r="CB72" s="127">
        <v>1</v>
      </c>
      <c r="CC72" s="127">
        <v>1</v>
      </c>
      <c r="CD72" s="127">
        <v>1</v>
      </c>
      <c r="CE72" s="127">
        <v>1</v>
      </c>
      <c r="CF72" s="127">
        <v>1</v>
      </c>
      <c r="CG72" s="127">
        <v>1</v>
      </c>
      <c r="CH72" s="127">
        <v>1</v>
      </c>
      <c r="CI72" s="127">
        <v>1</v>
      </c>
      <c r="CJ72" s="127">
        <v>1</v>
      </c>
      <c r="CK72" s="127">
        <v>1</v>
      </c>
      <c r="CL72" s="127">
        <v>1</v>
      </c>
      <c r="CM72" s="127">
        <v>1</v>
      </c>
      <c r="CN72" s="127">
        <v>1</v>
      </c>
      <c r="CO72" s="127">
        <v>1</v>
      </c>
      <c r="CP72" s="127">
        <v>1</v>
      </c>
      <c r="CQ72" s="127">
        <v>1</v>
      </c>
      <c r="CR72" s="127">
        <v>1</v>
      </c>
      <c r="CS72" s="127">
        <v>1</v>
      </c>
      <c r="CT72" s="127">
        <v>1</v>
      </c>
      <c r="CU72" s="127">
        <v>1</v>
      </c>
      <c r="CV72" s="127">
        <v>1</v>
      </c>
      <c r="CW72" s="127">
        <v>1</v>
      </c>
      <c r="CX72" s="127">
        <v>1</v>
      </c>
      <c r="CY72" s="127">
        <v>1</v>
      </c>
      <c r="CZ72" s="127">
        <v>1</v>
      </c>
      <c r="DA72" s="127">
        <v>1</v>
      </c>
      <c r="DB72" s="127">
        <v>1</v>
      </c>
      <c r="DC72" s="127">
        <v>1</v>
      </c>
      <c r="DD72" s="127">
        <v>1</v>
      </c>
      <c r="DE72" s="127">
        <v>1</v>
      </c>
      <c r="DF72" s="127">
        <v>1</v>
      </c>
      <c r="DG72" s="127">
        <v>1</v>
      </c>
      <c r="DH72" s="127">
        <v>1</v>
      </c>
      <c r="DI72" s="127">
        <v>1</v>
      </c>
      <c r="DJ72" s="127">
        <v>1</v>
      </c>
      <c r="DK72" s="127">
        <v>1</v>
      </c>
      <c r="DL72" s="127">
        <v>1</v>
      </c>
      <c r="DM72" s="127">
        <v>1</v>
      </c>
      <c r="DN72" s="127">
        <v>1</v>
      </c>
      <c r="DO72" s="127">
        <v>1</v>
      </c>
      <c r="DP72" s="127">
        <v>1</v>
      </c>
      <c r="DQ72" s="127">
        <v>1</v>
      </c>
      <c r="DR72" s="127">
        <v>1</v>
      </c>
      <c r="DS72" s="127">
        <v>1</v>
      </c>
      <c r="DT72" s="127">
        <v>1</v>
      </c>
      <c r="DU72" s="127">
        <v>1</v>
      </c>
      <c r="DV72" s="127">
        <v>1</v>
      </c>
      <c r="DW72" s="127">
        <v>1</v>
      </c>
      <c r="DX72" s="127">
        <v>1</v>
      </c>
      <c r="DY72" s="127">
        <v>1</v>
      </c>
      <c r="DZ72" s="127">
        <v>1</v>
      </c>
      <c r="EA72" s="127">
        <v>1</v>
      </c>
      <c r="EB72" s="127">
        <v>1</v>
      </c>
      <c r="EC72" s="127">
        <v>1</v>
      </c>
      <c r="ED72" s="127">
        <v>1</v>
      </c>
      <c r="EE72" s="127">
        <v>1</v>
      </c>
      <c r="EF72" s="127">
        <v>1</v>
      </c>
      <c r="EG72" s="127">
        <v>1</v>
      </c>
      <c r="EH72" s="127">
        <v>1</v>
      </c>
      <c r="EI72" s="127">
        <v>1</v>
      </c>
    </row>
    <row r="73" spans="2:139" ht="15" outlineLevel="2" collapsed="1" x14ac:dyDescent="0.3">
      <c r="B73" s="22"/>
      <c r="C73" s="23"/>
      <c r="D73" s="23" t="s">
        <v>77</v>
      </c>
      <c r="E73" s="50"/>
      <c r="F73" s="26">
        <f>+F74</f>
        <v>40</v>
      </c>
      <c r="G73" s="28">
        <v>4.02038710638691E-2</v>
      </c>
      <c r="H73" s="160"/>
      <c r="I73" s="28">
        <f t="shared" ref="I73:CM73" si="480">+I74*$G$74</f>
        <v>0</v>
      </c>
      <c r="J73" s="28">
        <f t="shared" si="480"/>
        <v>0</v>
      </c>
      <c r="K73" s="28">
        <f t="shared" si="480"/>
        <v>0</v>
      </c>
      <c r="L73" s="28">
        <f t="shared" si="480"/>
        <v>0</v>
      </c>
      <c r="M73" s="64">
        <f t="shared" si="480"/>
        <v>0</v>
      </c>
      <c r="N73" s="64">
        <f t="shared" si="480"/>
        <v>0</v>
      </c>
      <c r="O73" s="28">
        <f t="shared" si="480"/>
        <v>0</v>
      </c>
      <c r="P73" s="28">
        <f t="shared" si="480"/>
        <v>0</v>
      </c>
      <c r="Q73" s="28">
        <f t="shared" si="480"/>
        <v>0</v>
      </c>
      <c r="R73" s="28">
        <f t="shared" si="480"/>
        <v>0</v>
      </c>
      <c r="S73" s="28">
        <f t="shared" si="480"/>
        <v>0</v>
      </c>
      <c r="T73" s="28">
        <f t="shared" si="480"/>
        <v>0</v>
      </c>
      <c r="U73" s="28">
        <f t="shared" si="480"/>
        <v>0.12</v>
      </c>
      <c r="V73" s="28">
        <f t="shared" si="480"/>
        <v>0.25</v>
      </c>
      <c r="W73" s="28">
        <f t="shared" si="480"/>
        <v>0.25</v>
      </c>
      <c r="X73" s="28">
        <f t="shared" si="480"/>
        <v>0.25</v>
      </c>
      <c r="Y73" s="28">
        <f t="shared" si="480"/>
        <v>0.25</v>
      </c>
      <c r="Z73" s="28">
        <f t="shared" si="480"/>
        <v>0.25</v>
      </c>
      <c r="AA73" s="28">
        <f t="shared" si="480"/>
        <v>0.31687500000000002</v>
      </c>
      <c r="AB73" s="28">
        <f t="shared" si="480"/>
        <v>0.51218750000000002</v>
      </c>
      <c r="AC73" s="28">
        <f t="shared" si="480"/>
        <v>0.57437500000000008</v>
      </c>
      <c r="AD73" s="28">
        <f t="shared" si="480"/>
        <v>0.57999999999999996</v>
      </c>
      <c r="AE73" s="28">
        <f t="shared" si="480"/>
        <v>0.57999999999999996</v>
      </c>
      <c r="AF73" s="28">
        <f t="shared" si="480"/>
        <v>0.57999999999999996</v>
      </c>
      <c r="AG73" s="28">
        <f t="shared" si="480"/>
        <v>0.62</v>
      </c>
      <c r="AH73" s="28">
        <f t="shared" si="480"/>
        <v>0.62</v>
      </c>
      <c r="AI73" s="28">
        <f t="shared" si="480"/>
        <v>0.62</v>
      </c>
      <c r="AJ73" s="28">
        <f t="shared" si="480"/>
        <v>0.62</v>
      </c>
      <c r="AK73" s="28">
        <f t="shared" si="480"/>
        <v>0.65749999999999997</v>
      </c>
      <c r="AL73" s="28">
        <f t="shared" si="480"/>
        <v>0.76187500000000008</v>
      </c>
      <c r="AM73" s="28">
        <f t="shared" si="480"/>
        <v>0.85125000000000006</v>
      </c>
      <c r="AN73" s="28">
        <f t="shared" si="480"/>
        <v>0.85125000000000006</v>
      </c>
      <c r="AO73" s="28">
        <f t="shared" si="480"/>
        <v>0.85125000000000006</v>
      </c>
      <c r="AP73" s="28">
        <f t="shared" si="480"/>
        <v>0.85125000000000006</v>
      </c>
      <c r="AQ73" s="28">
        <f t="shared" si="480"/>
        <v>0.85125000000000006</v>
      </c>
      <c r="AR73" s="28">
        <f t="shared" si="480"/>
        <v>0.85125000000000006</v>
      </c>
      <c r="AS73" s="28">
        <f t="shared" si="480"/>
        <v>0.85125000000000006</v>
      </c>
      <c r="AT73" s="28">
        <f t="shared" si="480"/>
        <v>0.85125000000000006</v>
      </c>
      <c r="AU73" s="28">
        <f t="shared" si="480"/>
        <v>0.85125000000000006</v>
      </c>
      <c r="AV73" s="28">
        <f t="shared" si="480"/>
        <v>0.89437500000000014</v>
      </c>
      <c r="AW73" s="28">
        <f t="shared" si="480"/>
        <v>0.90062500000000001</v>
      </c>
      <c r="AX73" s="28">
        <f t="shared" si="480"/>
        <v>0.90437500000000015</v>
      </c>
      <c r="AY73" s="28">
        <f t="shared" si="480"/>
        <v>0.90437500000000015</v>
      </c>
      <c r="AZ73" s="28">
        <f t="shared" si="480"/>
        <v>0.90625</v>
      </c>
      <c r="BA73" s="28">
        <f t="shared" si="480"/>
        <v>0.92375000000000007</v>
      </c>
      <c r="BB73" s="28">
        <f t="shared" si="480"/>
        <v>0.95425000000000004</v>
      </c>
      <c r="BC73" s="28">
        <f t="shared" si="480"/>
        <v>0.96187500000000004</v>
      </c>
      <c r="BD73" s="28">
        <f t="shared" si="480"/>
        <v>0.96568750000000003</v>
      </c>
      <c r="BE73" s="28">
        <f t="shared" si="480"/>
        <v>0.98093750000000002</v>
      </c>
      <c r="BF73" s="28">
        <f t="shared" si="480"/>
        <v>0.98856250000000001</v>
      </c>
      <c r="BG73" s="161">
        <f t="shared" si="480"/>
        <v>0.98856250000000001</v>
      </c>
      <c r="BH73" s="161">
        <f t="shared" si="480"/>
        <v>0.98856250000000001</v>
      </c>
      <c r="BI73" s="28">
        <f t="shared" si="480"/>
        <v>0.98856250000000001</v>
      </c>
      <c r="BJ73" s="28">
        <f t="shared" si="480"/>
        <v>0.98856250000000001</v>
      </c>
      <c r="BK73" s="28">
        <f t="shared" si="480"/>
        <v>0.98856250000000001</v>
      </c>
      <c r="BL73" s="28">
        <f t="shared" si="480"/>
        <v>0.98856250000000001</v>
      </c>
      <c r="BM73" s="28">
        <f t="shared" si="480"/>
        <v>0.9961875</v>
      </c>
      <c r="BN73" s="28">
        <f t="shared" si="480"/>
        <v>1</v>
      </c>
      <c r="BO73" s="28">
        <f t="shared" si="480"/>
        <v>1</v>
      </c>
      <c r="BP73" s="28">
        <f t="shared" si="480"/>
        <v>1</v>
      </c>
      <c r="BQ73" s="28">
        <f t="shared" si="480"/>
        <v>1</v>
      </c>
      <c r="BR73" s="28">
        <f t="shared" si="480"/>
        <v>1</v>
      </c>
      <c r="BS73" s="28">
        <f t="shared" si="480"/>
        <v>1</v>
      </c>
      <c r="BT73" s="28">
        <f t="shared" si="480"/>
        <v>1</v>
      </c>
      <c r="BU73" s="28">
        <f t="shared" si="480"/>
        <v>1</v>
      </c>
      <c r="BV73" s="28">
        <f t="shared" si="480"/>
        <v>1</v>
      </c>
      <c r="BW73" s="28">
        <f t="shared" si="480"/>
        <v>1</v>
      </c>
      <c r="BX73" s="28">
        <f t="shared" si="480"/>
        <v>1</v>
      </c>
      <c r="BY73" s="28">
        <f t="shared" si="480"/>
        <v>1</v>
      </c>
      <c r="BZ73" s="28">
        <f t="shared" si="480"/>
        <v>1</v>
      </c>
      <c r="CA73" s="28">
        <f t="shared" si="480"/>
        <v>1</v>
      </c>
      <c r="CB73" s="28">
        <f t="shared" si="480"/>
        <v>1</v>
      </c>
      <c r="CC73" s="28">
        <f t="shared" si="480"/>
        <v>1</v>
      </c>
      <c r="CD73" s="28">
        <f t="shared" si="480"/>
        <v>1</v>
      </c>
      <c r="CE73" s="28">
        <f t="shared" si="480"/>
        <v>1</v>
      </c>
      <c r="CF73" s="28">
        <f t="shared" si="480"/>
        <v>1</v>
      </c>
      <c r="CG73" s="28">
        <f t="shared" si="480"/>
        <v>1</v>
      </c>
      <c r="CH73" s="28">
        <f t="shared" si="480"/>
        <v>1</v>
      </c>
      <c r="CI73" s="28">
        <f t="shared" si="480"/>
        <v>1</v>
      </c>
      <c r="CJ73" s="28">
        <f t="shared" si="480"/>
        <v>1</v>
      </c>
      <c r="CK73" s="28">
        <f t="shared" si="480"/>
        <v>1</v>
      </c>
      <c r="CL73" s="28">
        <f t="shared" si="480"/>
        <v>1</v>
      </c>
      <c r="CM73" s="28">
        <f t="shared" si="480"/>
        <v>1</v>
      </c>
      <c r="CN73" s="28">
        <f t="shared" ref="CN73:EI73" si="481">+CN74*$G$74</f>
        <v>1</v>
      </c>
      <c r="CO73" s="28">
        <f t="shared" si="481"/>
        <v>1</v>
      </c>
      <c r="CP73" s="28">
        <f t="shared" si="481"/>
        <v>1</v>
      </c>
      <c r="CQ73" s="28">
        <f t="shared" si="481"/>
        <v>1</v>
      </c>
      <c r="CR73" s="28">
        <f t="shared" si="481"/>
        <v>1</v>
      </c>
      <c r="CS73" s="28">
        <f t="shared" si="481"/>
        <v>1</v>
      </c>
      <c r="CT73" s="28">
        <f t="shared" si="481"/>
        <v>1</v>
      </c>
      <c r="CU73" s="28">
        <f t="shared" si="481"/>
        <v>1</v>
      </c>
      <c r="CV73" s="28">
        <f t="shared" si="481"/>
        <v>1</v>
      </c>
      <c r="CW73" s="28">
        <f t="shared" si="481"/>
        <v>1</v>
      </c>
      <c r="CX73" s="28">
        <f t="shared" si="481"/>
        <v>1</v>
      </c>
      <c r="CY73" s="28">
        <f t="shared" si="481"/>
        <v>1</v>
      </c>
      <c r="CZ73" s="28">
        <f t="shared" si="481"/>
        <v>1</v>
      </c>
      <c r="DA73" s="28">
        <f t="shared" si="481"/>
        <v>1</v>
      </c>
      <c r="DB73" s="28">
        <f t="shared" si="481"/>
        <v>1</v>
      </c>
      <c r="DC73" s="28">
        <f t="shared" si="481"/>
        <v>1</v>
      </c>
      <c r="DD73" s="28">
        <f t="shared" si="481"/>
        <v>1</v>
      </c>
      <c r="DE73" s="28">
        <f t="shared" si="481"/>
        <v>1</v>
      </c>
      <c r="DF73" s="28">
        <f t="shared" si="481"/>
        <v>1</v>
      </c>
      <c r="DG73" s="28">
        <f t="shared" si="481"/>
        <v>1</v>
      </c>
      <c r="DH73" s="28">
        <f t="shared" si="481"/>
        <v>1</v>
      </c>
      <c r="DI73" s="28">
        <f t="shared" si="481"/>
        <v>1</v>
      </c>
      <c r="DJ73" s="28">
        <f t="shared" si="481"/>
        <v>1</v>
      </c>
      <c r="DK73" s="28">
        <f t="shared" si="481"/>
        <v>1</v>
      </c>
      <c r="DL73" s="28">
        <f t="shared" si="481"/>
        <v>1</v>
      </c>
      <c r="DM73" s="28">
        <f t="shared" si="481"/>
        <v>1</v>
      </c>
      <c r="DN73" s="28">
        <f t="shared" si="481"/>
        <v>1</v>
      </c>
      <c r="DO73" s="28">
        <f t="shared" si="481"/>
        <v>1</v>
      </c>
      <c r="DP73" s="28">
        <f t="shared" si="481"/>
        <v>1</v>
      </c>
      <c r="DQ73" s="28">
        <f t="shared" si="481"/>
        <v>1</v>
      </c>
      <c r="DR73" s="28">
        <f t="shared" si="481"/>
        <v>1</v>
      </c>
      <c r="DS73" s="28">
        <f t="shared" si="481"/>
        <v>1</v>
      </c>
      <c r="DT73" s="28">
        <f t="shared" si="481"/>
        <v>1</v>
      </c>
      <c r="DU73" s="28">
        <f t="shared" si="481"/>
        <v>1</v>
      </c>
      <c r="DV73" s="28">
        <f t="shared" si="481"/>
        <v>1</v>
      </c>
      <c r="DW73" s="28">
        <f t="shared" si="481"/>
        <v>1</v>
      </c>
      <c r="DX73" s="28">
        <f t="shared" si="481"/>
        <v>1</v>
      </c>
      <c r="DY73" s="28">
        <f t="shared" si="481"/>
        <v>1</v>
      </c>
      <c r="DZ73" s="28">
        <f t="shared" si="481"/>
        <v>1</v>
      </c>
      <c r="EA73" s="28">
        <f t="shared" si="481"/>
        <v>1</v>
      </c>
      <c r="EB73" s="28">
        <f t="shared" si="481"/>
        <v>1</v>
      </c>
      <c r="EC73" s="28">
        <f t="shared" si="481"/>
        <v>1</v>
      </c>
      <c r="ED73" s="28">
        <f t="shared" si="481"/>
        <v>1</v>
      </c>
      <c r="EE73" s="28">
        <f t="shared" si="481"/>
        <v>1</v>
      </c>
      <c r="EF73" s="28">
        <f t="shared" si="481"/>
        <v>1</v>
      </c>
      <c r="EG73" s="28">
        <f t="shared" si="481"/>
        <v>1</v>
      </c>
      <c r="EH73" s="28">
        <f t="shared" si="481"/>
        <v>1</v>
      </c>
      <c r="EI73" s="28">
        <f t="shared" si="481"/>
        <v>1</v>
      </c>
    </row>
    <row r="74" spans="2:139" ht="15" hidden="1" customHeight="1" outlineLevel="3" x14ac:dyDescent="0.3">
      <c r="B74" s="29"/>
      <c r="C74" s="30"/>
      <c r="D74" s="30"/>
      <c r="E74" s="52" t="s">
        <v>78</v>
      </c>
      <c r="F74" s="33">
        <v>40</v>
      </c>
      <c r="G74" s="35">
        <v>1</v>
      </c>
      <c r="H74" s="162"/>
      <c r="I74" s="127">
        <v>0</v>
      </c>
      <c r="J74" s="127">
        <v>0</v>
      </c>
      <c r="K74" s="127">
        <v>0</v>
      </c>
      <c r="L74" s="127">
        <v>0</v>
      </c>
      <c r="M74" s="128">
        <v>0</v>
      </c>
      <c r="N74" s="128">
        <v>0</v>
      </c>
      <c r="O74" s="127">
        <v>0</v>
      </c>
      <c r="P74" s="127">
        <v>0</v>
      </c>
      <c r="Q74" s="127">
        <v>0</v>
      </c>
      <c r="R74" s="127">
        <v>0</v>
      </c>
      <c r="S74" s="127">
        <v>0</v>
      </c>
      <c r="T74" s="127">
        <v>0</v>
      </c>
      <c r="U74" s="127">
        <v>0.12</v>
      </c>
      <c r="V74" s="127">
        <v>0.25</v>
      </c>
      <c r="W74" s="127">
        <v>0.25</v>
      </c>
      <c r="X74" s="127">
        <v>0.25</v>
      </c>
      <c r="Y74" s="127">
        <v>0.25</v>
      </c>
      <c r="Z74" s="127">
        <v>0.25</v>
      </c>
      <c r="AA74" s="127">
        <v>0.31687500000000002</v>
      </c>
      <c r="AB74" s="127">
        <v>0.51218750000000002</v>
      </c>
      <c r="AC74" s="127">
        <v>0.57437500000000008</v>
      </c>
      <c r="AD74" s="127">
        <v>0.57999999999999996</v>
      </c>
      <c r="AE74" s="127">
        <v>0.57999999999999996</v>
      </c>
      <c r="AF74" s="127">
        <v>0.57999999999999996</v>
      </c>
      <c r="AG74" s="127">
        <v>0.62</v>
      </c>
      <c r="AH74" s="127">
        <v>0.62</v>
      </c>
      <c r="AI74" s="127">
        <v>0.62</v>
      </c>
      <c r="AJ74" s="127">
        <v>0.62</v>
      </c>
      <c r="AK74" s="127">
        <v>0.65749999999999997</v>
      </c>
      <c r="AL74" s="127">
        <v>0.76187500000000008</v>
      </c>
      <c r="AM74" s="127">
        <v>0.85125000000000006</v>
      </c>
      <c r="AN74" s="127">
        <v>0.85125000000000006</v>
      </c>
      <c r="AO74" s="127">
        <v>0.85125000000000006</v>
      </c>
      <c r="AP74" s="127">
        <v>0.85125000000000006</v>
      </c>
      <c r="AQ74" s="127">
        <v>0.85125000000000006</v>
      </c>
      <c r="AR74" s="127">
        <v>0.85125000000000006</v>
      </c>
      <c r="AS74" s="127">
        <v>0.85125000000000006</v>
      </c>
      <c r="AT74" s="127">
        <v>0.85125000000000006</v>
      </c>
      <c r="AU74" s="127">
        <v>0.85125000000000006</v>
      </c>
      <c r="AV74" s="127">
        <v>0.89437500000000014</v>
      </c>
      <c r="AW74" s="127">
        <v>0.90062500000000001</v>
      </c>
      <c r="AX74" s="127">
        <v>0.90437500000000015</v>
      </c>
      <c r="AY74" s="127">
        <v>0.90437500000000015</v>
      </c>
      <c r="AZ74" s="127">
        <v>0.90625</v>
      </c>
      <c r="BA74" s="127">
        <v>0.92375000000000007</v>
      </c>
      <c r="BB74" s="127">
        <f>Real[[#This Row],[05/05/25]]+(1-Real[[#This Row],[05/05/25]])*'Avance 39'!I43</f>
        <v>0.95425000000000004</v>
      </c>
      <c r="BC74" s="127">
        <f>Real[[#This Row],[05/05/25]]+(1-Real[[#This Row],[05/05/25]])*'Avance 39'!J43</f>
        <v>0.96187500000000004</v>
      </c>
      <c r="BD74" s="127">
        <f>Real[[#This Row],[05/05/25]]+(1-Real[[#This Row],[05/05/25]])*'Avance 39'!K43</f>
        <v>0.96568750000000003</v>
      </c>
      <c r="BE74" s="127">
        <f>Real[[#This Row],[05/05/25]]+(1-Real[[#This Row],[05/05/25]])*'Avance 39'!L43</f>
        <v>0.98093750000000002</v>
      </c>
      <c r="BF74" s="127">
        <f>Real[[#This Row],[05/05/25]]+(1-Real[[#This Row],[05/05/25]])*'Avance 39'!M43</f>
        <v>0.98856250000000001</v>
      </c>
      <c r="BG74" s="163">
        <f>Real[[#This Row],[05/05/25]]+(1-Real[[#This Row],[05/05/25]])*'Avance 39'!N43</f>
        <v>0.98856250000000001</v>
      </c>
      <c r="BH74" s="163">
        <f>Real[[#This Row],[05/05/25]]+(1-Real[[#This Row],[05/05/25]])*'Avance 39'!O43</f>
        <v>0.98856250000000001</v>
      </c>
      <c r="BI74" s="127">
        <f>Real[[#This Row],[05/05/25]]+(1-Real[[#This Row],[05/05/25]])*'Avance 39'!P43</f>
        <v>0.98856250000000001</v>
      </c>
      <c r="BJ74" s="127">
        <f>Real[[#This Row],[05/05/25]]+(1-Real[[#This Row],[05/05/25]])*'Avance 39'!Q43</f>
        <v>0.98856250000000001</v>
      </c>
      <c r="BK74" s="127">
        <f>Real[[#This Row],[05/05/25]]+(1-Real[[#This Row],[05/05/25]])*'Avance 39'!R43</f>
        <v>0.98856250000000001</v>
      </c>
      <c r="BL74" s="127">
        <f>Real[[#This Row],[05/05/25]]+(1-Real[[#This Row],[05/05/25]])*'Avance 39'!S43</f>
        <v>0.98856250000000001</v>
      </c>
      <c r="BM74" s="127">
        <f>Real[[#This Row],[05/05/25]]+(1-Real[[#This Row],[05/05/25]])*'Avance 39'!T43</f>
        <v>0.9961875</v>
      </c>
      <c r="BN74" s="127">
        <f>Real[[#This Row],[05/05/25]]+(1-Real[[#This Row],[05/05/25]])*'Avance 39'!U43</f>
        <v>1</v>
      </c>
      <c r="BO74" s="127">
        <f>Real[[#This Row],[05/05/25]]+(1-Real[[#This Row],[05/05/25]])*'Avance 39'!V43</f>
        <v>1</v>
      </c>
      <c r="BP74" s="127">
        <f>Real[[#This Row],[05/05/25]]+(1-Real[[#This Row],[05/05/25]])*'Avance 39'!W43</f>
        <v>1</v>
      </c>
      <c r="BQ74" s="127">
        <f>Real[[#This Row],[05/05/25]]+(1-Real[[#This Row],[05/05/25]])*'Avance 39'!X43</f>
        <v>1</v>
      </c>
      <c r="BR74" s="127">
        <f>Real[[#This Row],[05/05/25]]+(1-Real[[#This Row],[05/05/25]])*'Avance 39'!Y43</f>
        <v>1</v>
      </c>
      <c r="BS74" s="127">
        <f>Real[[#This Row],[05/05/25]]+(1-Real[[#This Row],[05/05/25]])*'Avance 39'!Z43</f>
        <v>1</v>
      </c>
      <c r="BT74" s="127">
        <f>Real[[#This Row],[05/05/25]]+(1-Real[[#This Row],[05/05/25]])*'Avance 39'!AA43</f>
        <v>1</v>
      </c>
      <c r="BU74" s="127">
        <f>Real[[#This Row],[05/05/25]]+(1-Real[[#This Row],[05/05/25]])*'Avance 39'!AB43</f>
        <v>1</v>
      </c>
      <c r="BV74" s="127">
        <f>Real[[#This Row],[05/05/25]]+(1-Real[[#This Row],[05/05/25]])*'Avance 39'!AC43</f>
        <v>1</v>
      </c>
      <c r="BW74" s="127">
        <f>Real[[#This Row],[05/05/25]]+(1-Real[[#This Row],[05/05/25]])*'Avance 39'!AD43</f>
        <v>1</v>
      </c>
      <c r="BX74" s="127">
        <f>Real[[#This Row],[05/05/25]]+(1-Real[[#This Row],[05/05/25]])*'Avance 39'!AE43</f>
        <v>1</v>
      </c>
      <c r="BY74" s="127">
        <f>Real[[#This Row],[05/05/25]]+(1-Real[[#This Row],[05/05/25]])*'Avance 39'!AF43</f>
        <v>1</v>
      </c>
      <c r="BZ74" s="127">
        <f>Real[[#This Row],[05/05/25]]+(1-Real[[#This Row],[05/05/25]])*'Avance 39'!AG43</f>
        <v>1</v>
      </c>
      <c r="CA74" s="127">
        <f>Real[[#This Row],[05/05/25]]+(1-Real[[#This Row],[05/05/25]])*'Avance 39'!AH43</f>
        <v>1</v>
      </c>
      <c r="CB74" s="127">
        <f>Real[[#This Row],[05/05/25]]+(1-Real[[#This Row],[05/05/25]])*'Avance 39'!AI43</f>
        <v>1</v>
      </c>
      <c r="CC74" s="127">
        <f>Real[[#This Row],[05/05/25]]+(1-Real[[#This Row],[05/05/25]])*'Avance 39'!AJ43</f>
        <v>1</v>
      </c>
      <c r="CD74" s="127">
        <f>Real[[#This Row],[05/05/25]]+(1-Real[[#This Row],[05/05/25]])*'Avance 39'!AK43</f>
        <v>1</v>
      </c>
      <c r="CE74" s="127">
        <f>Real[[#This Row],[05/05/25]]+(1-Real[[#This Row],[05/05/25]])*'Avance 39'!AL43</f>
        <v>1</v>
      </c>
      <c r="CF74" s="127">
        <f>Real[[#This Row],[05/05/25]]+(1-Real[[#This Row],[05/05/25]])*'Avance 39'!AM43</f>
        <v>1</v>
      </c>
      <c r="CG74" s="127">
        <f>Real[[#This Row],[05/05/25]]+(1-Real[[#This Row],[05/05/25]])*'Avance 39'!AN43</f>
        <v>1</v>
      </c>
      <c r="CH74" s="127">
        <f>Real[[#This Row],[05/05/25]]+(1-Real[[#This Row],[05/05/25]])*'Avance 39'!AO43</f>
        <v>1</v>
      </c>
      <c r="CI74" s="127">
        <f>Real[[#This Row],[05/05/25]]+(1-Real[[#This Row],[05/05/25]])*'Avance 39'!AP43</f>
        <v>1</v>
      </c>
      <c r="CJ74" s="127">
        <f>Real[[#This Row],[05/05/25]]+(1-Real[[#This Row],[05/05/25]])*'Avance 39'!AQ43</f>
        <v>1</v>
      </c>
      <c r="CK74" s="127">
        <f>Real[[#This Row],[05/05/25]]+(1-Real[[#This Row],[05/05/25]])*'Avance 39'!AR43</f>
        <v>1</v>
      </c>
      <c r="CL74" s="127">
        <f>Real[[#This Row],[05/05/25]]+(1-Real[[#This Row],[05/05/25]])*'Avance 39'!AS43</f>
        <v>1</v>
      </c>
      <c r="CM74" s="127">
        <f>Real[[#This Row],[05/05/25]]+(1-Real[[#This Row],[05/05/25]])*'Avance 39'!AT43</f>
        <v>1</v>
      </c>
      <c r="CN74" s="127">
        <f>Real[[#This Row],[05/05/25]]+(1-Real[[#This Row],[05/05/25]])*'Avance 39'!AU43</f>
        <v>1</v>
      </c>
      <c r="CO74" s="127">
        <f>Real[[#This Row],[05/05/25]]+(1-Real[[#This Row],[05/05/25]])*'Avance 39'!AV43</f>
        <v>1</v>
      </c>
      <c r="CP74" s="127">
        <f>Real[[#This Row],[05/05/25]]+(1-Real[[#This Row],[05/05/25]])*'Avance 39'!AW43</f>
        <v>1</v>
      </c>
      <c r="CQ74" s="127">
        <f>Real[[#This Row],[05/05/25]]+(1-Real[[#This Row],[05/05/25]])*'Avance 39'!AX43</f>
        <v>1</v>
      </c>
      <c r="CR74" s="127">
        <f>Real[[#This Row],[05/05/25]]+(1-Real[[#This Row],[05/05/25]])*'Avance 39'!AY43</f>
        <v>1</v>
      </c>
      <c r="CS74" s="127">
        <f>Real[[#This Row],[05/05/25]]+(1-Real[[#This Row],[05/05/25]])*'Avance 39'!AZ43</f>
        <v>1</v>
      </c>
      <c r="CT74" s="127">
        <f>Real[[#This Row],[05/05/25]]+(1-Real[[#This Row],[05/05/25]])*'Avance 39'!BA43</f>
        <v>1</v>
      </c>
      <c r="CU74" s="127">
        <f>Real[[#This Row],[05/05/25]]+(1-Real[[#This Row],[05/05/25]])*'Avance 39'!BB43</f>
        <v>1</v>
      </c>
      <c r="CV74" s="127">
        <f>Real[[#This Row],[05/05/25]]+(1-Real[[#This Row],[05/05/25]])*'Avance 39'!BC43</f>
        <v>1</v>
      </c>
      <c r="CW74" s="127">
        <f>Real[[#This Row],[05/05/25]]+(1-Real[[#This Row],[05/05/25]])*'Avance 39'!BD43</f>
        <v>1</v>
      </c>
      <c r="CX74" s="127">
        <f>Real[[#This Row],[05/05/25]]+(1-Real[[#This Row],[05/05/25]])*'Avance 39'!BE43</f>
        <v>1</v>
      </c>
      <c r="CY74" s="127">
        <f>Real[[#This Row],[05/05/25]]+(1-Real[[#This Row],[05/05/25]])*'Avance 39'!BF43</f>
        <v>1</v>
      </c>
      <c r="CZ74" s="127">
        <f>Real[[#This Row],[05/05/25]]+(1-Real[[#This Row],[05/05/25]])*'Avance 39'!BG43</f>
        <v>1</v>
      </c>
      <c r="DA74" s="127">
        <f>Real[[#This Row],[05/05/25]]+(1-Real[[#This Row],[05/05/25]])*'Avance 39'!BH43</f>
        <v>1</v>
      </c>
      <c r="DB74" s="127">
        <f>Real[[#This Row],[05/05/25]]+(1-Real[[#This Row],[05/05/25]])*'Avance 39'!BI43</f>
        <v>1</v>
      </c>
      <c r="DC74" s="127">
        <f>Real[[#This Row],[05/05/25]]+(1-Real[[#This Row],[05/05/25]])*'Avance 39'!BJ43</f>
        <v>1</v>
      </c>
      <c r="DD74" s="127">
        <f>Real[[#This Row],[05/05/25]]+(1-Real[[#This Row],[05/05/25]])*'Avance 39'!BK43</f>
        <v>1</v>
      </c>
      <c r="DE74" s="127">
        <f>Real[[#This Row],[05/05/25]]+(1-Real[[#This Row],[05/05/25]])*'Avance 39'!BL43</f>
        <v>1</v>
      </c>
      <c r="DF74" s="127">
        <f>Real[[#This Row],[05/05/25]]+(1-Real[[#This Row],[05/05/25]])*'Avance 39'!BM43</f>
        <v>1</v>
      </c>
      <c r="DG74" s="127">
        <f>Real[[#This Row],[05/05/25]]+(1-Real[[#This Row],[05/05/25]])*'Avance 39'!BN43</f>
        <v>1</v>
      </c>
      <c r="DH74" s="127">
        <f>Real[[#This Row],[05/05/25]]+(1-Real[[#This Row],[05/05/25]])*'Avance 39'!BO43</f>
        <v>1</v>
      </c>
      <c r="DI74" s="127">
        <f>Real[[#This Row],[05/05/25]]+(1-Real[[#This Row],[05/05/25]])*'Avance 39'!BP43</f>
        <v>1</v>
      </c>
      <c r="DJ74" s="127">
        <f>Real[[#This Row],[05/05/25]]+(1-Real[[#This Row],[05/05/25]])*'Avance 39'!BQ43</f>
        <v>1</v>
      </c>
      <c r="DK74" s="127">
        <f>Real[[#This Row],[05/05/25]]+(1-Real[[#This Row],[05/05/25]])*'Avance 39'!BR43</f>
        <v>1</v>
      </c>
      <c r="DL74" s="127">
        <f>Real[[#This Row],[05/05/25]]+(1-Real[[#This Row],[05/05/25]])*'Avance 39'!BS43</f>
        <v>1</v>
      </c>
      <c r="DM74" s="127">
        <f>Real[[#This Row],[05/05/25]]+(1-Real[[#This Row],[05/05/25]])*'Avance 39'!BT43</f>
        <v>1</v>
      </c>
      <c r="DN74" s="127">
        <f>Real[[#This Row],[05/05/25]]+(1-Real[[#This Row],[05/05/25]])*'Avance 39'!BU43</f>
        <v>1</v>
      </c>
      <c r="DO74" s="127">
        <f>Real[[#This Row],[05/05/25]]+(1-Real[[#This Row],[05/05/25]])*'Avance 39'!BV43</f>
        <v>1</v>
      </c>
      <c r="DP74" s="127">
        <f>Real[[#This Row],[05/05/25]]+(1-Real[[#This Row],[05/05/25]])*'Avance 39'!BW43</f>
        <v>1</v>
      </c>
      <c r="DQ74" s="127">
        <f>Real[[#This Row],[05/05/25]]+(1-Real[[#This Row],[05/05/25]])*'Avance 39'!BX43</f>
        <v>1</v>
      </c>
      <c r="DR74" s="127">
        <f>Real[[#This Row],[05/05/25]]+(1-Real[[#This Row],[05/05/25]])*'Avance 39'!BY43</f>
        <v>1</v>
      </c>
      <c r="DS74" s="127">
        <f>Real[[#This Row],[05/05/25]]+(1-Real[[#This Row],[05/05/25]])*'Avance 39'!BZ43</f>
        <v>1</v>
      </c>
      <c r="DT74" s="127">
        <f>Real[[#This Row],[05/05/25]]+(1-Real[[#This Row],[05/05/25]])*'Avance 39'!CA43</f>
        <v>1</v>
      </c>
      <c r="DU74" s="127">
        <f>Real[[#This Row],[05/05/25]]+(1-Real[[#This Row],[05/05/25]])*'Avance 39'!CB43</f>
        <v>1</v>
      </c>
      <c r="DV74" s="127">
        <f>Real[[#This Row],[05/05/25]]+(1-Real[[#This Row],[05/05/25]])*'Avance 39'!CC43</f>
        <v>1</v>
      </c>
      <c r="DW74" s="127">
        <f>Real[[#This Row],[05/05/25]]+(1-Real[[#This Row],[05/05/25]])*'Avance 39'!CD43</f>
        <v>1</v>
      </c>
      <c r="DX74" s="127">
        <f>Real[[#This Row],[05/05/25]]+(1-Real[[#This Row],[05/05/25]])*'Avance 39'!CE43</f>
        <v>1</v>
      </c>
      <c r="DY74" s="127">
        <f>Real[[#This Row],[05/05/25]]+(1-Real[[#This Row],[05/05/25]])*'Avance 39'!CF43</f>
        <v>1</v>
      </c>
      <c r="DZ74" s="127">
        <f>Real[[#This Row],[05/05/25]]+(1-Real[[#This Row],[05/05/25]])*'Avance 39'!CG43</f>
        <v>1</v>
      </c>
      <c r="EA74" s="127">
        <f>Real[[#This Row],[05/05/25]]+(1-Real[[#This Row],[05/05/25]])*'Avance 39'!CH43</f>
        <v>1</v>
      </c>
      <c r="EB74" s="127">
        <f>Real[[#This Row],[05/05/25]]+(1-Real[[#This Row],[05/05/25]])*'Avance 39'!CI43</f>
        <v>1</v>
      </c>
      <c r="EC74" s="127">
        <f>Real[[#This Row],[05/05/25]]+(1-Real[[#This Row],[05/05/25]])*'Avance 39'!CJ43</f>
        <v>1</v>
      </c>
      <c r="ED74" s="127">
        <f>Real[[#This Row],[05/05/25]]+(1-Real[[#This Row],[05/05/25]])*'Avance 39'!CK43</f>
        <v>1</v>
      </c>
      <c r="EE74" s="127">
        <f>Real[[#This Row],[05/05/25]]+(1-Real[[#This Row],[05/05/25]])*'Avance 39'!CL43</f>
        <v>1</v>
      </c>
      <c r="EF74" s="127">
        <f>Real[[#This Row],[05/05/25]]+(1-Real[[#This Row],[05/05/25]])*'Avance 39'!CM43</f>
        <v>1</v>
      </c>
      <c r="EG74" s="127">
        <f>Real[[#This Row],[05/05/25]]+(1-Real[[#This Row],[05/05/25]])*'Avance 39'!CN43</f>
        <v>1</v>
      </c>
      <c r="EH74" s="127">
        <f>Real[[#This Row],[05/05/25]]+(1-Real[[#This Row],[05/05/25]])*'Avance 39'!CO43</f>
        <v>1</v>
      </c>
      <c r="EI74" s="127">
        <f>Real[[#This Row],[05/05/25]]+(1-Real[[#This Row],[05/05/25]])*'Avance 39'!CP43</f>
        <v>1</v>
      </c>
    </row>
    <row r="75" spans="2:139" ht="15" outlineLevel="2" collapsed="1" x14ac:dyDescent="0.3">
      <c r="B75" s="22"/>
      <c r="C75" s="23"/>
      <c r="D75" s="23" t="s">
        <v>79</v>
      </c>
      <c r="E75" s="50"/>
      <c r="F75" s="26">
        <f>+SUM(F76:F78)</f>
        <v>60</v>
      </c>
      <c r="G75" s="28">
        <v>0.02</v>
      </c>
      <c r="H75" s="160"/>
      <c r="I75" s="28">
        <f t="shared" ref="I75:BD75" si="482">+SUMPRODUCT($G$76:$G$78,I76:I78)</f>
        <v>0</v>
      </c>
      <c r="J75" s="28">
        <f t="shared" si="482"/>
        <v>0</v>
      </c>
      <c r="K75" s="28">
        <f t="shared" si="482"/>
        <v>0</v>
      </c>
      <c r="L75" s="28">
        <f t="shared" si="482"/>
        <v>0</v>
      </c>
      <c r="M75" s="64">
        <f t="shared" si="482"/>
        <v>0</v>
      </c>
      <c r="N75" s="64">
        <f t="shared" si="482"/>
        <v>0</v>
      </c>
      <c r="O75" s="28">
        <f t="shared" si="482"/>
        <v>0</v>
      </c>
      <c r="P75" s="28">
        <f t="shared" si="482"/>
        <v>0</v>
      </c>
      <c r="Q75" s="28">
        <f t="shared" si="482"/>
        <v>0</v>
      </c>
      <c r="R75" s="28">
        <f t="shared" si="482"/>
        <v>0</v>
      </c>
      <c r="S75" s="28">
        <f t="shared" si="482"/>
        <v>0</v>
      </c>
      <c r="T75" s="28">
        <f t="shared" si="482"/>
        <v>0</v>
      </c>
      <c r="U75" s="28">
        <f t="shared" si="482"/>
        <v>0</v>
      </c>
      <c r="V75" s="28">
        <f t="shared" si="482"/>
        <v>0</v>
      </c>
      <c r="W75" s="28">
        <f t="shared" si="482"/>
        <v>0</v>
      </c>
      <c r="X75" s="28">
        <f t="shared" si="482"/>
        <v>0</v>
      </c>
      <c r="Y75" s="28">
        <f t="shared" si="482"/>
        <v>0</v>
      </c>
      <c r="Z75" s="28">
        <f t="shared" si="482"/>
        <v>0</v>
      </c>
      <c r="AA75" s="28">
        <f t="shared" si="482"/>
        <v>0</v>
      </c>
      <c r="AB75" s="28">
        <f t="shared" si="482"/>
        <v>0</v>
      </c>
      <c r="AC75" s="28">
        <f t="shared" si="482"/>
        <v>0</v>
      </c>
      <c r="AD75" s="28">
        <f t="shared" si="482"/>
        <v>0</v>
      </c>
      <c r="AE75" s="28">
        <f t="shared" si="482"/>
        <v>0</v>
      </c>
      <c r="AF75" s="28">
        <f t="shared" si="482"/>
        <v>0</v>
      </c>
      <c r="AG75" s="28">
        <f t="shared" si="482"/>
        <v>0</v>
      </c>
      <c r="AH75" s="28">
        <f t="shared" si="482"/>
        <v>0</v>
      </c>
      <c r="AI75" s="28">
        <f t="shared" si="482"/>
        <v>0</v>
      </c>
      <c r="AJ75" s="28">
        <f t="shared" si="482"/>
        <v>0</v>
      </c>
      <c r="AK75" s="28">
        <f t="shared" si="482"/>
        <v>0</v>
      </c>
      <c r="AL75" s="28">
        <f t="shared" si="482"/>
        <v>0</v>
      </c>
      <c r="AM75" s="28">
        <f t="shared" si="482"/>
        <v>0</v>
      </c>
      <c r="AN75" s="28">
        <f t="shared" si="482"/>
        <v>0</v>
      </c>
      <c r="AO75" s="28">
        <f t="shared" si="482"/>
        <v>0</v>
      </c>
      <c r="AP75" s="28">
        <f t="shared" si="482"/>
        <v>0</v>
      </c>
      <c r="AQ75" s="28">
        <f t="shared" si="482"/>
        <v>0</v>
      </c>
      <c r="AR75" s="28">
        <f t="shared" si="482"/>
        <v>0</v>
      </c>
      <c r="AS75" s="28">
        <f t="shared" si="482"/>
        <v>0</v>
      </c>
      <c r="AT75" s="28">
        <f t="shared" si="482"/>
        <v>0</v>
      </c>
      <c r="AU75" s="28">
        <f t="shared" si="482"/>
        <v>0</v>
      </c>
      <c r="AV75" s="28">
        <f t="shared" si="482"/>
        <v>0</v>
      </c>
      <c r="AW75" s="28">
        <f t="shared" si="482"/>
        <v>0</v>
      </c>
      <c r="AX75" s="28">
        <f t="shared" si="482"/>
        <v>0</v>
      </c>
      <c r="AY75" s="28">
        <f t="shared" si="482"/>
        <v>0</v>
      </c>
      <c r="AZ75" s="28">
        <f t="shared" si="482"/>
        <v>0</v>
      </c>
      <c r="BA75" s="28">
        <f t="shared" si="482"/>
        <v>0</v>
      </c>
      <c r="BB75" s="28">
        <f t="shared" si="482"/>
        <v>0</v>
      </c>
      <c r="BC75" s="28">
        <f t="shared" si="482"/>
        <v>0</v>
      </c>
      <c r="BD75" s="28">
        <f t="shared" si="482"/>
        <v>0</v>
      </c>
      <c r="BE75" s="28">
        <f t="shared" ref="BE75:BF75" si="483">+SUMPRODUCT($G$76:$G$78,BE76:BE78)</f>
        <v>0</v>
      </c>
      <c r="BF75" s="28">
        <f t="shared" si="483"/>
        <v>0</v>
      </c>
      <c r="BG75" s="161">
        <f t="shared" ref="BG75:BH75" si="484">+SUMPRODUCT($G$76:$G$78,BG76:BG78)</f>
        <v>0</v>
      </c>
      <c r="BH75" s="161">
        <f t="shared" si="484"/>
        <v>0</v>
      </c>
      <c r="BI75" s="28">
        <f t="shared" ref="BI75:BJ75" si="485">+SUMPRODUCT($G$76:$G$78,BI76:BI78)</f>
        <v>0</v>
      </c>
      <c r="BJ75" s="28">
        <f t="shared" si="485"/>
        <v>0</v>
      </c>
      <c r="BK75" s="28">
        <f t="shared" ref="BK75:BL75" si="486">+SUMPRODUCT($G$76:$G$78,BK76:BK78)</f>
        <v>0</v>
      </c>
      <c r="BL75" s="28">
        <f t="shared" si="486"/>
        <v>0</v>
      </c>
      <c r="BM75" s="28">
        <f t="shared" ref="BM75:BN75" si="487">+SUMPRODUCT($G$76:$G$78,BM76:BM78)</f>
        <v>0</v>
      </c>
      <c r="BN75" s="28">
        <f t="shared" si="487"/>
        <v>0</v>
      </c>
      <c r="BO75" s="28">
        <f t="shared" ref="BO75:BP75" si="488">+SUMPRODUCT($G$76:$G$78,BO76:BO78)</f>
        <v>0</v>
      </c>
      <c r="BP75" s="28">
        <f t="shared" si="488"/>
        <v>0</v>
      </c>
      <c r="BQ75" s="28">
        <f t="shared" ref="BQ75:BR75" si="489">+SUMPRODUCT($G$76:$G$78,BQ76:BQ78)</f>
        <v>0</v>
      </c>
      <c r="BR75" s="28">
        <f t="shared" si="489"/>
        <v>0</v>
      </c>
      <c r="BS75" s="28">
        <f t="shared" ref="BS75:BT75" si="490">+SUMPRODUCT($G$76:$G$78,BS76:BS78)</f>
        <v>0</v>
      </c>
      <c r="BT75" s="28">
        <f t="shared" si="490"/>
        <v>0</v>
      </c>
      <c r="BU75" s="28">
        <f t="shared" ref="BU75:BV75" si="491">+SUMPRODUCT($G$76:$G$78,BU76:BU78)</f>
        <v>0</v>
      </c>
      <c r="BV75" s="28">
        <f t="shared" si="491"/>
        <v>0</v>
      </c>
      <c r="BW75" s="28">
        <f t="shared" ref="BW75:BX75" si="492">+SUMPRODUCT($G$76:$G$78,BW76:BW78)</f>
        <v>0</v>
      </c>
      <c r="BX75" s="28">
        <f t="shared" si="492"/>
        <v>0</v>
      </c>
      <c r="BY75" s="28">
        <f t="shared" ref="BY75:BZ75" si="493">+SUMPRODUCT($G$76:$G$78,BY76:BY78)</f>
        <v>0</v>
      </c>
      <c r="BZ75" s="28">
        <f t="shared" si="493"/>
        <v>0</v>
      </c>
      <c r="CA75" s="28">
        <f t="shared" ref="CA75:CB75" si="494">+SUMPRODUCT($G$76:$G$78,CA76:CA78)</f>
        <v>0</v>
      </c>
      <c r="CB75" s="28">
        <f t="shared" si="494"/>
        <v>0</v>
      </c>
      <c r="CC75" s="28">
        <f t="shared" ref="CC75:CD75" si="495">+SUMPRODUCT($G$76:$G$78,CC76:CC78)</f>
        <v>0</v>
      </c>
      <c r="CD75" s="28">
        <f t="shared" si="495"/>
        <v>0</v>
      </c>
      <c r="CE75" s="28">
        <f t="shared" ref="CE75" si="496">+SUMPRODUCT($G$76:$G$78,CE76:CE78)</f>
        <v>0</v>
      </c>
      <c r="CF75" s="28">
        <f t="shared" ref="CF75" si="497">+SUMPRODUCT($G$76:$G$78,CF76:CF78)</f>
        <v>0</v>
      </c>
      <c r="CG75" s="28">
        <f t="shared" ref="CG75" si="498">+SUMPRODUCT($G$76:$G$78,CG76:CG78)</f>
        <v>0</v>
      </c>
      <c r="CH75" s="28">
        <f t="shared" ref="CH75" si="499">+SUMPRODUCT($G$76:$G$78,CH76:CH78)</f>
        <v>0</v>
      </c>
      <c r="CI75" s="28">
        <f t="shared" ref="CI75" si="500">+SUMPRODUCT($G$76:$G$78,CI76:CI78)</f>
        <v>0</v>
      </c>
      <c r="CJ75" s="28">
        <f t="shared" ref="CJ75:CK75" si="501">+SUMPRODUCT($G$76:$G$78,CJ76:CJ78)</f>
        <v>0</v>
      </c>
      <c r="CK75" s="28">
        <f t="shared" si="501"/>
        <v>0</v>
      </c>
      <c r="CL75" s="28">
        <f t="shared" ref="CL75:CV75" si="502">+SUMPRODUCT($G$76:$G$78,CL76:CL78)</f>
        <v>0</v>
      </c>
      <c r="CM75" s="28">
        <f t="shared" si="502"/>
        <v>0</v>
      </c>
      <c r="CN75" s="28">
        <f t="shared" si="502"/>
        <v>0</v>
      </c>
      <c r="CO75" s="28">
        <f t="shared" si="502"/>
        <v>0</v>
      </c>
      <c r="CP75" s="28">
        <f t="shared" si="502"/>
        <v>0</v>
      </c>
      <c r="CQ75" s="28">
        <f t="shared" si="502"/>
        <v>0</v>
      </c>
      <c r="CR75" s="28">
        <f t="shared" si="502"/>
        <v>0</v>
      </c>
      <c r="CS75" s="28">
        <f t="shared" si="502"/>
        <v>0</v>
      </c>
      <c r="CT75" s="28">
        <f t="shared" si="502"/>
        <v>0</v>
      </c>
      <c r="CU75" s="28">
        <f t="shared" si="502"/>
        <v>0</v>
      </c>
      <c r="CV75" s="28">
        <f t="shared" si="502"/>
        <v>0</v>
      </c>
      <c r="CW75" s="28">
        <f t="shared" ref="CW75" si="503">+SUMPRODUCT($G$76:$G$78,CW76:CW78)</f>
        <v>0</v>
      </c>
      <c r="CX75" s="28">
        <f t="shared" ref="CX75:CY75" si="504">+SUMPRODUCT($G$76:$G$78,CX76:CX78)</f>
        <v>0</v>
      </c>
      <c r="CY75" s="28">
        <f t="shared" si="504"/>
        <v>0</v>
      </c>
      <c r="CZ75" s="28">
        <f t="shared" ref="CZ75:DA75" si="505">+SUMPRODUCT($G$76:$G$78,CZ76:CZ78)</f>
        <v>0</v>
      </c>
      <c r="DA75" s="28">
        <f t="shared" si="505"/>
        <v>0</v>
      </c>
      <c r="DB75" s="28">
        <f t="shared" ref="DB75:DC75" si="506">+SUMPRODUCT($G$76:$G$78,DB76:DB78)</f>
        <v>0</v>
      </c>
      <c r="DC75" s="28">
        <f t="shared" si="506"/>
        <v>0</v>
      </c>
      <c r="DD75" s="28">
        <f t="shared" ref="DD75:DE75" si="507">+SUMPRODUCT($G$76:$G$78,DD76:DD78)</f>
        <v>0</v>
      </c>
      <c r="DE75" s="28">
        <f t="shared" si="507"/>
        <v>0</v>
      </c>
      <c r="DF75" s="28">
        <f t="shared" ref="DF75" si="508">+SUMPRODUCT($G$76:$G$78,DF76:DF78)</f>
        <v>0</v>
      </c>
      <c r="DG75" s="28">
        <f t="shared" ref="DG75:EI75" si="509">+SUMPRODUCT($G$76:$G$78,DG76:DG78)</f>
        <v>0</v>
      </c>
      <c r="DH75" s="28">
        <f t="shared" si="509"/>
        <v>0</v>
      </c>
      <c r="DI75" s="28">
        <f t="shared" si="509"/>
        <v>0</v>
      </c>
      <c r="DJ75" s="28">
        <f t="shared" si="509"/>
        <v>0</v>
      </c>
      <c r="DK75" s="28">
        <f t="shared" si="509"/>
        <v>0</v>
      </c>
      <c r="DL75" s="28">
        <f t="shared" si="509"/>
        <v>0</v>
      </c>
      <c r="DM75" s="28">
        <f t="shared" si="509"/>
        <v>0</v>
      </c>
      <c r="DN75" s="28">
        <f t="shared" si="509"/>
        <v>0</v>
      </c>
      <c r="DO75" s="28">
        <f t="shared" si="509"/>
        <v>0</v>
      </c>
      <c r="DP75" s="28">
        <f t="shared" si="509"/>
        <v>0</v>
      </c>
      <c r="DQ75" s="28">
        <f t="shared" si="509"/>
        <v>0</v>
      </c>
      <c r="DR75" s="28">
        <f t="shared" si="509"/>
        <v>0</v>
      </c>
      <c r="DS75" s="28">
        <f t="shared" si="509"/>
        <v>0</v>
      </c>
      <c r="DT75" s="28">
        <f t="shared" si="509"/>
        <v>0</v>
      </c>
      <c r="DU75" s="28">
        <f t="shared" si="509"/>
        <v>0</v>
      </c>
      <c r="DV75" s="28">
        <f t="shared" si="509"/>
        <v>0</v>
      </c>
      <c r="DW75" s="28">
        <f t="shared" si="509"/>
        <v>0</v>
      </c>
      <c r="DX75" s="28">
        <f t="shared" si="509"/>
        <v>0</v>
      </c>
      <c r="DY75" s="28">
        <f t="shared" si="509"/>
        <v>0</v>
      </c>
      <c r="DZ75" s="28">
        <f t="shared" si="509"/>
        <v>0</v>
      </c>
      <c r="EA75" s="28">
        <f t="shared" si="509"/>
        <v>0</v>
      </c>
      <c r="EB75" s="28">
        <f t="shared" si="509"/>
        <v>0</v>
      </c>
      <c r="EC75" s="28">
        <f t="shared" si="509"/>
        <v>0</v>
      </c>
      <c r="ED75" s="28">
        <f t="shared" si="509"/>
        <v>0</v>
      </c>
      <c r="EE75" s="28">
        <f t="shared" si="509"/>
        <v>0</v>
      </c>
      <c r="EF75" s="28">
        <f t="shared" si="509"/>
        <v>0</v>
      </c>
      <c r="EG75" s="28">
        <f t="shared" si="509"/>
        <v>0</v>
      </c>
      <c r="EH75" s="28">
        <f t="shared" si="509"/>
        <v>0</v>
      </c>
      <c r="EI75" s="28">
        <f t="shared" si="509"/>
        <v>0</v>
      </c>
    </row>
    <row r="76" spans="2:139" hidden="1" outlineLevel="3" x14ac:dyDescent="0.3">
      <c r="B76" s="29"/>
      <c r="C76" s="30"/>
      <c r="D76" s="30"/>
      <c r="E76" s="52" t="s">
        <v>80</v>
      </c>
      <c r="F76" s="33">
        <v>45</v>
      </c>
      <c r="G76" s="35">
        <v>0.75</v>
      </c>
      <c r="H76" s="162"/>
      <c r="I76" s="127">
        <v>0</v>
      </c>
      <c r="J76" s="127">
        <v>0</v>
      </c>
      <c r="K76" s="127">
        <v>0</v>
      </c>
      <c r="L76" s="127">
        <v>0</v>
      </c>
      <c r="M76" s="128">
        <v>0</v>
      </c>
      <c r="N76" s="128">
        <v>0</v>
      </c>
      <c r="O76" s="127">
        <v>0</v>
      </c>
      <c r="P76" s="127">
        <v>0</v>
      </c>
      <c r="Q76" s="127">
        <v>0</v>
      </c>
      <c r="R76" s="127">
        <v>0</v>
      </c>
      <c r="S76" s="127">
        <v>0</v>
      </c>
      <c r="T76" s="127">
        <v>0</v>
      </c>
      <c r="U76" s="127">
        <v>0</v>
      </c>
      <c r="V76" s="127">
        <v>0</v>
      </c>
      <c r="W76" s="127">
        <v>0</v>
      </c>
      <c r="X76" s="127">
        <v>0</v>
      </c>
      <c r="Y76" s="127">
        <v>0</v>
      </c>
      <c r="Z76" s="127">
        <v>0</v>
      </c>
      <c r="AA76" s="127">
        <v>0</v>
      </c>
      <c r="AB76" s="127">
        <v>0</v>
      </c>
      <c r="AC76" s="127">
        <v>0</v>
      </c>
      <c r="AD76" s="127">
        <v>0</v>
      </c>
      <c r="AE76" s="127">
        <v>0</v>
      </c>
      <c r="AF76" s="127">
        <v>0</v>
      </c>
      <c r="AG76" s="127">
        <v>0</v>
      </c>
      <c r="AH76" s="127">
        <v>0</v>
      </c>
      <c r="AI76" s="127">
        <v>0</v>
      </c>
      <c r="AJ76" s="127">
        <v>0</v>
      </c>
      <c r="AK76" s="127">
        <v>0</v>
      </c>
      <c r="AL76" s="127">
        <v>0</v>
      </c>
      <c r="AM76" s="127">
        <v>0</v>
      </c>
      <c r="AN76" s="127">
        <v>0</v>
      </c>
      <c r="AO76" s="127">
        <v>0</v>
      </c>
      <c r="AP76" s="127">
        <v>0</v>
      </c>
      <c r="AQ76" s="127">
        <v>0</v>
      </c>
      <c r="AR76" s="127">
        <v>0</v>
      </c>
      <c r="AS76" s="127">
        <v>0</v>
      </c>
      <c r="AT76" s="127">
        <v>0</v>
      </c>
      <c r="AU76" s="127">
        <v>0</v>
      </c>
      <c r="AV76" s="127">
        <v>0</v>
      </c>
      <c r="AW76" s="127">
        <v>0</v>
      </c>
      <c r="AX76" s="127">
        <v>0</v>
      </c>
      <c r="AY76" s="127">
        <v>0</v>
      </c>
      <c r="AZ76" s="127">
        <v>0</v>
      </c>
      <c r="BA76" s="127">
        <v>0</v>
      </c>
      <c r="BB76" s="127">
        <f>Real[[#This Row],[05/05/25]]+(1-Real[[#This Row],[05/05/25]])*'Avance 39'!I45</f>
        <v>0</v>
      </c>
      <c r="BC76" s="127">
        <f>Real[[#This Row],[05/05/25]]+(1-Real[[#This Row],[05/05/25]])*'Avance 39'!J45</f>
        <v>0</v>
      </c>
      <c r="BD76" s="127">
        <f>Real[[#This Row],[05/05/25]]+(1-Real[[#This Row],[05/05/25]])*'Avance 39'!K45</f>
        <v>0</v>
      </c>
      <c r="BE76" s="127">
        <f>Real[[#This Row],[05/05/25]]+(1-Real[[#This Row],[05/05/25]])*'Avance 39'!L45</f>
        <v>0</v>
      </c>
      <c r="BF76" s="127">
        <f>Real[[#This Row],[05/05/25]]+(1-Real[[#This Row],[05/05/25]])*'Avance 39'!M45</f>
        <v>0</v>
      </c>
      <c r="BG76" s="163">
        <f>Real[[#This Row],[05/05/25]]+(1-Real[[#This Row],[05/05/25]])*'Avance 39'!N45</f>
        <v>0</v>
      </c>
      <c r="BH76" s="163">
        <f>Real[[#This Row],[05/05/25]]+(1-Real[[#This Row],[05/05/25]])*'Avance 39'!O45</f>
        <v>0</v>
      </c>
      <c r="BI76" s="127">
        <f>Real[[#This Row],[05/05/25]]+(1-Real[[#This Row],[05/05/25]])*'Avance 39'!P45</f>
        <v>0</v>
      </c>
      <c r="BJ76" s="127">
        <f>Real[[#This Row],[05/05/25]]+(1-Real[[#This Row],[05/05/25]])*'Avance 39'!Q45</f>
        <v>0</v>
      </c>
      <c r="BK76" s="127">
        <f>Real[[#This Row],[05/05/25]]+(1-Real[[#This Row],[05/05/25]])*'Avance 39'!R45</f>
        <v>0</v>
      </c>
      <c r="BL76" s="127">
        <f>Real[[#This Row],[05/05/25]]+(1-Real[[#This Row],[05/05/25]])*'Avance 39'!S45</f>
        <v>0</v>
      </c>
      <c r="BM76" s="127">
        <f>Real[[#This Row],[05/05/25]]+(1-Real[[#This Row],[05/05/25]])*'Avance 39'!T45</f>
        <v>0</v>
      </c>
      <c r="BN76" s="127">
        <f>Real[[#This Row],[05/05/25]]+(1-Real[[#This Row],[05/05/25]])*'Avance 39'!U45</f>
        <v>0</v>
      </c>
      <c r="BO76" s="127">
        <f>Real[[#This Row],[05/05/25]]+(1-Real[[#This Row],[05/05/25]])*'Avance 39'!V45</f>
        <v>0</v>
      </c>
      <c r="BP76" s="127">
        <f>Real[[#This Row],[05/05/25]]+(1-Real[[#This Row],[05/05/25]])*'Avance 39'!W45</f>
        <v>0</v>
      </c>
      <c r="BQ76" s="127">
        <f>Real[[#This Row],[05/05/25]]+(1-Real[[#This Row],[05/05/25]])*'Avance 39'!X45</f>
        <v>0</v>
      </c>
      <c r="BR76" s="127">
        <f>Real[[#This Row],[05/05/25]]+(1-Real[[#This Row],[05/05/25]])*'Avance 39'!Y45</f>
        <v>0</v>
      </c>
      <c r="BS76" s="127">
        <f>Real[[#This Row],[05/05/25]]+(1-Real[[#This Row],[05/05/25]])*'Avance 39'!Z45</f>
        <v>0</v>
      </c>
      <c r="BT76" s="127">
        <f>Real[[#This Row],[05/05/25]]+(1-Real[[#This Row],[05/05/25]])*'Avance 39'!AA45</f>
        <v>0</v>
      </c>
      <c r="BU76" s="127">
        <f>Real[[#This Row],[05/05/25]]+(1-Real[[#This Row],[05/05/25]])*'Avance 39'!AB45</f>
        <v>0</v>
      </c>
      <c r="BV76" s="127">
        <f>Real[[#This Row],[05/05/25]]+(1-Real[[#This Row],[05/05/25]])*'Avance 39'!AC45</f>
        <v>0</v>
      </c>
      <c r="BW76" s="127">
        <f>Real[[#This Row],[05/05/25]]+(1-Real[[#This Row],[05/05/25]])*'Avance 39'!AD45</f>
        <v>0</v>
      </c>
      <c r="BX76" s="127">
        <f>Real[[#This Row],[05/05/25]]+(1-Real[[#This Row],[05/05/25]])*'Avance 39'!AE45</f>
        <v>0</v>
      </c>
      <c r="BY76" s="127">
        <f>Real[[#This Row],[05/05/25]]+(1-Real[[#This Row],[05/05/25]])*'Avance 39'!AF45</f>
        <v>0</v>
      </c>
      <c r="BZ76" s="127">
        <f>Real[[#This Row],[05/05/25]]+(1-Real[[#This Row],[05/05/25]])*'Avance 39'!AG45</f>
        <v>0</v>
      </c>
      <c r="CA76" s="127">
        <f>Real[[#This Row],[05/05/25]]+(1-Real[[#This Row],[05/05/25]])*'Avance 39'!AH45</f>
        <v>0</v>
      </c>
      <c r="CB76" s="127">
        <f>Real[[#This Row],[05/05/25]]+(1-Real[[#This Row],[05/05/25]])*'Avance 39'!AI45</f>
        <v>0</v>
      </c>
      <c r="CC76" s="127">
        <f>Real[[#This Row],[05/05/25]]+(1-Real[[#This Row],[05/05/25]])*'Avance 39'!AJ45</f>
        <v>0</v>
      </c>
      <c r="CD76" s="127">
        <f>Real[[#This Row],[05/05/25]]+(1-Real[[#This Row],[05/05/25]])*'Avance 39'!AK45</f>
        <v>0</v>
      </c>
      <c r="CE76" s="127">
        <f>Real[[#This Row],[05/05/25]]+(1-Real[[#This Row],[05/05/25]])*'Avance 39'!AL45</f>
        <v>0</v>
      </c>
      <c r="CF76" s="127">
        <f>Real[[#This Row],[05/05/25]]+(1-Real[[#This Row],[05/05/25]])*'Avance 39'!AM45</f>
        <v>0</v>
      </c>
      <c r="CG76" s="127">
        <f>Real[[#This Row],[05/05/25]]+(1-Real[[#This Row],[05/05/25]])*'Avance 39'!AN45</f>
        <v>0</v>
      </c>
      <c r="CH76" s="127">
        <f>Real[[#This Row],[05/05/25]]+(1-Real[[#This Row],[05/05/25]])*'Avance 39'!AO45</f>
        <v>0</v>
      </c>
      <c r="CI76" s="127">
        <f>Real[[#This Row],[05/05/25]]+(1-Real[[#This Row],[05/05/25]])*'Avance 39'!AP45</f>
        <v>0</v>
      </c>
      <c r="CJ76" s="127">
        <f>Real[[#This Row],[05/05/25]]+(1-Real[[#This Row],[05/05/25]])*'Avance 39'!AQ45</f>
        <v>0</v>
      </c>
      <c r="CK76" s="127">
        <f>Real[[#This Row],[05/05/25]]+(1-Real[[#This Row],[05/05/25]])*'Avance 39'!AR45</f>
        <v>0</v>
      </c>
      <c r="CL76" s="127">
        <f>Real[[#This Row],[05/05/25]]+(1-Real[[#This Row],[05/05/25]])*'Avance 39'!AS45</f>
        <v>0</v>
      </c>
      <c r="CM76" s="127">
        <f>Real[[#This Row],[05/05/25]]+(1-Real[[#This Row],[05/05/25]])*'Avance 39'!AT45</f>
        <v>0</v>
      </c>
      <c r="CN76" s="127">
        <f>Real[[#This Row],[05/05/25]]+(1-Real[[#This Row],[05/05/25]])*'Avance 39'!AU45</f>
        <v>0</v>
      </c>
      <c r="CO76" s="127">
        <f>Real[[#This Row],[05/05/25]]+(1-Real[[#This Row],[05/05/25]])*'Avance 39'!AV45</f>
        <v>0</v>
      </c>
      <c r="CP76" s="127">
        <f>Real[[#This Row],[05/05/25]]+(1-Real[[#This Row],[05/05/25]])*'Avance 39'!AW45</f>
        <v>0</v>
      </c>
      <c r="CQ76" s="127">
        <f>Real[[#This Row],[05/05/25]]+(1-Real[[#This Row],[05/05/25]])*'Avance 39'!AX45</f>
        <v>0</v>
      </c>
      <c r="CR76" s="127">
        <f>Real[[#This Row],[05/05/25]]+(1-Real[[#This Row],[05/05/25]])*'Avance 39'!AY45</f>
        <v>0</v>
      </c>
      <c r="CS76" s="127">
        <f>Real[[#This Row],[05/05/25]]+(1-Real[[#This Row],[05/05/25]])*'Avance 39'!AZ45</f>
        <v>0</v>
      </c>
      <c r="CT76" s="127">
        <f>Real[[#This Row],[05/05/25]]+(1-Real[[#This Row],[05/05/25]])*'Avance 39'!BA45</f>
        <v>0</v>
      </c>
      <c r="CU76" s="127">
        <f>Real[[#This Row],[05/05/25]]+(1-Real[[#This Row],[05/05/25]])*'Avance 39'!BB45</f>
        <v>0</v>
      </c>
      <c r="CV76" s="127">
        <f>Real[[#This Row],[05/05/25]]+(1-Real[[#This Row],[05/05/25]])*'Avance 39'!BC45</f>
        <v>0</v>
      </c>
      <c r="CW76" s="127">
        <f>Real[[#This Row],[05/05/25]]+(1-Real[[#This Row],[05/05/25]])*'Avance 39'!BD45</f>
        <v>0</v>
      </c>
      <c r="CX76" s="127">
        <f>Real[[#This Row],[05/05/25]]+(1-Real[[#This Row],[05/05/25]])*'Avance 39'!BE45</f>
        <v>0</v>
      </c>
      <c r="CY76" s="127">
        <f>Real[[#This Row],[05/05/25]]+(1-Real[[#This Row],[05/05/25]])*'Avance 39'!BF45</f>
        <v>0</v>
      </c>
      <c r="CZ76" s="127">
        <f>Real[[#This Row],[05/05/25]]+(1-Real[[#This Row],[05/05/25]])*'Avance 39'!BG45</f>
        <v>0</v>
      </c>
      <c r="DA76" s="127">
        <f>Real[[#This Row],[05/05/25]]+(1-Real[[#This Row],[05/05/25]])*'Avance 39'!BH45</f>
        <v>0</v>
      </c>
      <c r="DB76" s="127">
        <f>Real[[#This Row],[05/05/25]]+(1-Real[[#This Row],[05/05/25]])*'Avance 39'!BI45</f>
        <v>0</v>
      </c>
      <c r="DC76" s="127">
        <f>Real[[#This Row],[05/05/25]]+(1-Real[[#This Row],[05/05/25]])*'Avance 39'!BJ45</f>
        <v>0</v>
      </c>
      <c r="DD76" s="127">
        <f>Real[[#This Row],[05/05/25]]+(1-Real[[#This Row],[05/05/25]])*'Avance 39'!BK45</f>
        <v>0</v>
      </c>
      <c r="DE76" s="127">
        <f>Real[[#This Row],[05/05/25]]+(1-Real[[#This Row],[05/05/25]])*'Avance 39'!BL45</f>
        <v>0</v>
      </c>
      <c r="DF76" s="127">
        <f>Real[[#This Row],[05/05/25]]+(1-Real[[#This Row],[05/05/25]])*'Avance 39'!BM45</f>
        <v>0</v>
      </c>
      <c r="DG76" s="127">
        <f>Real[[#This Row],[05/05/25]]+(1-Real[[#This Row],[05/05/25]])*'Avance 39'!BN45</f>
        <v>0</v>
      </c>
      <c r="DH76" s="127">
        <f>Real[[#This Row],[05/05/25]]+(1-Real[[#This Row],[05/05/25]])*'Avance 39'!BO45</f>
        <v>0</v>
      </c>
      <c r="DI76" s="127">
        <f>Real[[#This Row],[05/05/25]]+(1-Real[[#This Row],[05/05/25]])*'Avance 39'!BP45</f>
        <v>0</v>
      </c>
      <c r="DJ76" s="127">
        <f>Real[[#This Row],[05/05/25]]+(1-Real[[#This Row],[05/05/25]])*'Avance 39'!BQ45</f>
        <v>0</v>
      </c>
      <c r="DK76" s="127">
        <f>Real[[#This Row],[05/05/25]]+(1-Real[[#This Row],[05/05/25]])*'Avance 39'!BR45</f>
        <v>0</v>
      </c>
      <c r="DL76" s="127">
        <f>Real[[#This Row],[05/05/25]]+(1-Real[[#This Row],[05/05/25]])*'Avance 39'!BS45</f>
        <v>0</v>
      </c>
      <c r="DM76" s="127">
        <f>Real[[#This Row],[05/05/25]]+(1-Real[[#This Row],[05/05/25]])*'Avance 39'!BT45</f>
        <v>0</v>
      </c>
      <c r="DN76" s="127">
        <f>Real[[#This Row],[05/05/25]]+(1-Real[[#This Row],[05/05/25]])*'Avance 39'!BU45</f>
        <v>0</v>
      </c>
      <c r="DO76" s="127">
        <f>Real[[#This Row],[05/05/25]]+(1-Real[[#This Row],[05/05/25]])*'Avance 39'!BV45</f>
        <v>0</v>
      </c>
      <c r="DP76" s="127">
        <f>Real[[#This Row],[05/05/25]]+(1-Real[[#This Row],[05/05/25]])*'Avance 39'!BW45</f>
        <v>0</v>
      </c>
      <c r="DQ76" s="127">
        <f>Real[[#This Row],[05/05/25]]+(1-Real[[#This Row],[05/05/25]])*'Avance 39'!BX45</f>
        <v>0</v>
      </c>
      <c r="DR76" s="127">
        <f>Real[[#This Row],[05/05/25]]+(1-Real[[#This Row],[05/05/25]])*'Avance 39'!BY45</f>
        <v>0</v>
      </c>
      <c r="DS76" s="127">
        <f>Real[[#This Row],[05/05/25]]+(1-Real[[#This Row],[05/05/25]])*'Avance 39'!BZ45</f>
        <v>0</v>
      </c>
      <c r="DT76" s="127">
        <f>Real[[#This Row],[05/05/25]]+(1-Real[[#This Row],[05/05/25]])*'Avance 39'!CA45</f>
        <v>0</v>
      </c>
      <c r="DU76" s="127">
        <f>Real[[#This Row],[05/05/25]]+(1-Real[[#This Row],[05/05/25]])*'Avance 39'!CB45</f>
        <v>0</v>
      </c>
      <c r="DV76" s="127">
        <f>Real[[#This Row],[05/05/25]]+(1-Real[[#This Row],[05/05/25]])*'Avance 39'!CC45</f>
        <v>0</v>
      </c>
      <c r="DW76" s="127">
        <f>Real[[#This Row],[05/05/25]]+(1-Real[[#This Row],[05/05/25]])*'Avance 39'!CD45</f>
        <v>0</v>
      </c>
      <c r="DX76" s="127">
        <f>Real[[#This Row],[05/05/25]]+(1-Real[[#This Row],[05/05/25]])*'Avance 39'!CE45</f>
        <v>0</v>
      </c>
      <c r="DY76" s="127">
        <f>Real[[#This Row],[05/05/25]]+(1-Real[[#This Row],[05/05/25]])*'Avance 39'!CF45</f>
        <v>0</v>
      </c>
      <c r="DZ76" s="127">
        <f>Real[[#This Row],[05/05/25]]+(1-Real[[#This Row],[05/05/25]])*'Avance 39'!CG45</f>
        <v>0</v>
      </c>
      <c r="EA76" s="127">
        <f>Real[[#This Row],[05/05/25]]+(1-Real[[#This Row],[05/05/25]])*'Avance 39'!CH45</f>
        <v>0</v>
      </c>
      <c r="EB76" s="127">
        <f>Real[[#This Row],[05/05/25]]+(1-Real[[#This Row],[05/05/25]])*'Avance 39'!CI45</f>
        <v>0</v>
      </c>
      <c r="EC76" s="127">
        <f>Real[[#This Row],[05/05/25]]+(1-Real[[#This Row],[05/05/25]])*'Avance 39'!CJ45</f>
        <v>0</v>
      </c>
      <c r="ED76" s="127">
        <f>Real[[#This Row],[05/05/25]]+(1-Real[[#This Row],[05/05/25]])*'Avance 39'!CK45</f>
        <v>0</v>
      </c>
      <c r="EE76" s="127">
        <f>Real[[#This Row],[05/05/25]]+(1-Real[[#This Row],[05/05/25]])*'Avance 39'!CL45</f>
        <v>0</v>
      </c>
      <c r="EF76" s="127">
        <f>Real[[#This Row],[05/05/25]]+(1-Real[[#This Row],[05/05/25]])*'Avance 39'!CM45</f>
        <v>0</v>
      </c>
      <c r="EG76" s="127">
        <f>Real[[#This Row],[05/05/25]]+(1-Real[[#This Row],[05/05/25]])*'Avance 39'!CN45</f>
        <v>0</v>
      </c>
      <c r="EH76" s="127">
        <f>Real[[#This Row],[05/05/25]]+(1-Real[[#This Row],[05/05/25]])*'Avance 39'!CO45</f>
        <v>0</v>
      </c>
      <c r="EI76" s="127">
        <f>Real[[#This Row],[05/05/25]]+(1-Real[[#This Row],[05/05/25]])*'Avance 39'!CP45</f>
        <v>0</v>
      </c>
    </row>
    <row r="77" spans="2:139" hidden="1" outlineLevel="3" x14ac:dyDescent="0.3">
      <c r="B77" s="29"/>
      <c r="C77" s="30"/>
      <c r="D77" s="30"/>
      <c r="E77" s="52" t="s">
        <v>81</v>
      </c>
      <c r="F77" s="33">
        <v>15</v>
      </c>
      <c r="G77" s="35">
        <v>0.25</v>
      </c>
      <c r="H77" s="162"/>
      <c r="I77" s="127">
        <v>0</v>
      </c>
      <c r="J77" s="127">
        <v>0</v>
      </c>
      <c r="K77" s="127">
        <v>0</v>
      </c>
      <c r="L77" s="127">
        <v>0</v>
      </c>
      <c r="M77" s="128">
        <v>0</v>
      </c>
      <c r="N77" s="128">
        <v>0</v>
      </c>
      <c r="O77" s="127">
        <v>0</v>
      </c>
      <c r="P77" s="127">
        <v>0</v>
      </c>
      <c r="Q77" s="127">
        <v>0</v>
      </c>
      <c r="R77" s="127">
        <v>0</v>
      </c>
      <c r="S77" s="127">
        <v>0</v>
      </c>
      <c r="T77" s="127">
        <v>0</v>
      </c>
      <c r="U77" s="127">
        <v>0</v>
      </c>
      <c r="V77" s="127">
        <v>0</v>
      </c>
      <c r="W77" s="127">
        <v>0</v>
      </c>
      <c r="X77" s="127">
        <v>0</v>
      </c>
      <c r="Y77" s="127">
        <v>0</v>
      </c>
      <c r="Z77" s="127">
        <v>0</v>
      </c>
      <c r="AA77" s="127">
        <v>0</v>
      </c>
      <c r="AB77" s="127">
        <v>0</v>
      </c>
      <c r="AC77" s="127">
        <v>0</v>
      </c>
      <c r="AD77" s="127">
        <v>0</v>
      </c>
      <c r="AE77" s="127">
        <v>0</v>
      </c>
      <c r="AF77" s="127">
        <v>0</v>
      </c>
      <c r="AG77" s="127">
        <v>0</v>
      </c>
      <c r="AH77" s="127">
        <v>0</v>
      </c>
      <c r="AI77" s="127">
        <v>0</v>
      </c>
      <c r="AJ77" s="127">
        <v>0</v>
      </c>
      <c r="AK77" s="127">
        <v>0</v>
      </c>
      <c r="AL77" s="127">
        <v>0</v>
      </c>
      <c r="AM77" s="127">
        <v>0</v>
      </c>
      <c r="AN77" s="127">
        <v>0</v>
      </c>
      <c r="AO77" s="127">
        <v>0</v>
      </c>
      <c r="AP77" s="127">
        <v>0</v>
      </c>
      <c r="AQ77" s="127">
        <v>0</v>
      </c>
      <c r="AR77" s="127">
        <v>0</v>
      </c>
      <c r="AS77" s="127">
        <v>0</v>
      </c>
      <c r="AT77" s="127">
        <v>0</v>
      </c>
      <c r="AU77" s="127">
        <v>0</v>
      </c>
      <c r="AV77" s="127">
        <v>0</v>
      </c>
      <c r="AW77" s="127">
        <v>0</v>
      </c>
      <c r="AX77" s="127">
        <v>0</v>
      </c>
      <c r="AY77" s="127">
        <v>0</v>
      </c>
      <c r="AZ77" s="127">
        <v>0</v>
      </c>
      <c r="BA77" s="127">
        <v>0</v>
      </c>
      <c r="BB77" s="127">
        <f>Real[[#This Row],[05/05/25]]+(1-Real[[#This Row],[05/05/25]])*'Avance 39'!I45</f>
        <v>0</v>
      </c>
      <c r="BC77" s="127">
        <f>Real[[#This Row],[05/05/25]]+(1-Real[[#This Row],[05/05/25]])*'Avance 39'!J45</f>
        <v>0</v>
      </c>
      <c r="BD77" s="127">
        <f>Real[[#This Row],[05/05/25]]+(1-Real[[#This Row],[05/05/25]])*'Avance 39'!K45</f>
        <v>0</v>
      </c>
      <c r="BE77" s="127">
        <f>Real[[#This Row],[05/05/25]]+(1-Real[[#This Row],[05/05/25]])*'Avance 39'!L45</f>
        <v>0</v>
      </c>
      <c r="BF77" s="127">
        <f>Real[[#This Row],[05/05/25]]+(1-Real[[#This Row],[05/05/25]])*'Avance 39'!M45</f>
        <v>0</v>
      </c>
      <c r="BG77" s="163">
        <f>Real[[#This Row],[05/05/25]]+(1-Real[[#This Row],[05/05/25]])*'Avance 39'!N45</f>
        <v>0</v>
      </c>
      <c r="BH77" s="163">
        <f>Real[[#This Row],[05/05/25]]+(1-Real[[#This Row],[05/05/25]])*'Avance 39'!O45</f>
        <v>0</v>
      </c>
      <c r="BI77" s="127">
        <f>Real[[#This Row],[05/05/25]]+(1-Real[[#This Row],[05/05/25]])*'Avance 39'!P45</f>
        <v>0</v>
      </c>
      <c r="BJ77" s="127">
        <f>Real[[#This Row],[05/05/25]]+(1-Real[[#This Row],[05/05/25]])*'Avance 39'!Q45</f>
        <v>0</v>
      </c>
      <c r="BK77" s="127">
        <f>Real[[#This Row],[05/05/25]]+(1-Real[[#This Row],[05/05/25]])*'Avance 39'!R45</f>
        <v>0</v>
      </c>
      <c r="BL77" s="127">
        <f>Real[[#This Row],[05/05/25]]+(1-Real[[#This Row],[05/05/25]])*'Avance 39'!S45</f>
        <v>0</v>
      </c>
      <c r="BM77" s="127">
        <f>Real[[#This Row],[05/05/25]]+(1-Real[[#This Row],[05/05/25]])*'Avance 39'!T45</f>
        <v>0</v>
      </c>
      <c r="BN77" s="127">
        <f>Real[[#This Row],[05/05/25]]+(1-Real[[#This Row],[05/05/25]])*'Avance 39'!U45</f>
        <v>0</v>
      </c>
      <c r="BO77" s="127">
        <f>Real[[#This Row],[05/05/25]]+(1-Real[[#This Row],[05/05/25]])*'Avance 39'!V45</f>
        <v>0</v>
      </c>
      <c r="BP77" s="127">
        <f>Real[[#This Row],[05/05/25]]+(1-Real[[#This Row],[05/05/25]])*'Avance 39'!W45</f>
        <v>0</v>
      </c>
      <c r="BQ77" s="127">
        <f>Real[[#This Row],[05/05/25]]+(1-Real[[#This Row],[05/05/25]])*'Avance 39'!X45</f>
        <v>0</v>
      </c>
      <c r="BR77" s="127">
        <f>Real[[#This Row],[05/05/25]]+(1-Real[[#This Row],[05/05/25]])*'Avance 39'!Y45</f>
        <v>0</v>
      </c>
      <c r="BS77" s="127">
        <f>Real[[#This Row],[05/05/25]]+(1-Real[[#This Row],[05/05/25]])*'Avance 39'!Z45</f>
        <v>0</v>
      </c>
      <c r="BT77" s="127">
        <f>Real[[#This Row],[05/05/25]]+(1-Real[[#This Row],[05/05/25]])*'Avance 39'!AA45</f>
        <v>0</v>
      </c>
      <c r="BU77" s="127">
        <f>Real[[#This Row],[05/05/25]]+(1-Real[[#This Row],[05/05/25]])*'Avance 39'!AB45</f>
        <v>0</v>
      </c>
      <c r="BV77" s="127">
        <f>Real[[#This Row],[05/05/25]]+(1-Real[[#This Row],[05/05/25]])*'Avance 39'!AC45</f>
        <v>0</v>
      </c>
      <c r="BW77" s="127">
        <f>Real[[#This Row],[05/05/25]]+(1-Real[[#This Row],[05/05/25]])*'Avance 39'!AD45</f>
        <v>0</v>
      </c>
      <c r="BX77" s="127">
        <f>Real[[#This Row],[05/05/25]]+(1-Real[[#This Row],[05/05/25]])*'Avance 39'!AE45</f>
        <v>0</v>
      </c>
      <c r="BY77" s="127">
        <f>Real[[#This Row],[05/05/25]]+(1-Real[[#This Row],[05/05/25]])*'Avance 39'!AF45</f>
        <v>0</v>
      </c>
      <c r="BZ77" s="127">
        <f>Real[[#This Row],[05/05/25]]+(1-Real[[#This Row],[05/05/25]])*'Avance 39'!AG45</f>
        <v>0</v>
      </c>
      <c r="CA77" s="127">
        <f>Real[[#This Row],[05/05/25]]+(1-Real[[#This Row],[05/05/25]])*'Avance 39'!AH45</f>
        <v>0</v>
      </c>
      <c r="CB77" s="127">
        <f>Real[[#This Row],[05/05/25]]+(1-Real[[#This Row],[05/05/25]])*'Avance 39'!AI45</f>
        <v>0</v>
      </c>
      <c r="CC77" s="127">
        <f>Real[[#This Row],[05/05/25]]+(1-Real[[#This Row],[05/05/25]])*'Avance 39'!AJ45</f>
        <v>0</v>
      </c>
      <c r="CD77" s="127">
        <f>Real[[#This Row],[05/05/25]]+(1-Real[[#This Row],[05/05/25]])*'Avance 39'!AK45</f>
        <v>0</v>
      </c>
      <c r="CE77" s="127">
        <f>Real[[#This Row],[05/05/25]]+(1-Real[[#This Row],[05/05/25]])*'Avance 39'!AL45</f>
        <v>0</v>
      </c>
      <c r="CF77" s="127">
        <f>Real[[#This Row],[05/05/25]]+(1-Real[[#This Row],[05/05/25]])*'Avance 39'!AM45</f>
        <v>0</v>
      </c>
      <c r="CG77" s="127">
        <f>Real[[#This Row],[05/05/25]]+(1-Real[[#This Row],[05/05/25]])*'Avance 39'!AN45</f>
        <v>0</v>
      </c>
      <c r="CH77" s="127">
        <f>Real[[#This Row],[05/05/25]]+(1-Real[[#This Row],[05/05/25]])*'Avance 39'!AO45</f>
        <v>0</v>
      </c>
      <c r="CI77" s="127">
        <f>Real[[#This Row],[05/05/25]]+(1-Real[[#This Row],[05/05/25]])*'Avance 39'!AP45</f>
        <v>0</v>
      </c>
      <c r="CJ77" s="127">
        <f>Real[[#This Row],[05/05/25]]+(1-Real[[#This Row],[05/05/25]])*'Avance 39'!AQ45</f>
        <v>0</v>
      </c>
      <c r="CK77" s="127">
        <f>Real[[#This Row],[05/05/25]]+(1-Real[[#This Row],[05/05/25]])*'Avance 39'!AR45</f>
        <v>0</v>
      </c>
      <c r="CL77" s="127">
        <f>Real[[#This Row],[05/05/25]]+(1-Real[[#This Row],[05/05/25]])*'Avance 39'!AS45</f>
        <v>0</v>
      </c>
      <c r="CM77" s="127">
        <f>Real[[#This Row],[05/05/25]]+(1-Real[[#This Row],[05/05/25]])*'Avance 39'!AT45</f>
        <v>0</v>
      </c>
      <c r="CN77" s="127">
        <f>Real[[#This Row],[05/05/25]]+(1-Real[[#This Row],[05/05/25]])*'Avance 39'!AU45</f>
        <v>0</v>
      </c>
      <c r="CO77" s="127">
        <f>Real[[#This Row],[05/05/25]]+(1-Real[[#This Row],[05/05/25]])*'Avance 39'!AV45</f>
        <v>0</v>
      </c>
      <c r="CP77" s="127">
        <f>Real[[#This Row],[05/05/25]]+(1-Real[[#This Row],[05/05/25]])*'Avance 39'!AW45</f>
        <v>0</v>
      </c>
      <c r="CQ77" s="127">
        <f>Real[[#This Row],[05/05/25]]+(1-Real[[#This Row],[05/05/25]])*'Avance 39'!AX45</f>
        <v>0</v>
      </c>
      <c r="CR77" s="127">
        <f>Real[[#This Row],[05/05/25]]+(1-Real[[#This Row],[05/05/25]])*'Avance 39'!AY45</f>
        <v>0</v>
      </c>
      <c r="CS77" s="127">
        <f>Real[[#This Row],[05/05/25]]+(1-Real[[#This Row],[05/05/25]])*'Avance 39'!AZ45</f>
        <v>0</v>
      </c>
      <c r="CT77" s="127">
        <f>Real[[#This Row],[05/05/25]]+(1-Real[[#This Row],[05/05/25]])*'Avance 39'!BA45</f>
        <v>0</v>
      </c>
      <c r="CU77" s="127">
        <f>Real[[#This Row],[05/05/25]]+(1-Real[[#This Row],[05/05/25]])*'Avance 39'!BB45</f>
        <v>0</v>
      </c>
      <c r="CV77" s="127">
        <f>Real[[#This Row],[05/05/25]]+(1-Real[[#This Row],[05/05/25]])*'Avance 39'!BC45</f>
        <v>0</v>
      </c>
      <c r="CW77" s="127">
        <f>Real[[#This Row],[05/05/25]]+(1-Real[[#This Row],[05/05/25]])*'Avance 39'!BD45</f>
        <v>0</v>
      </c>
      <c r="CX77" s="127">
        <f>Real[[#This Row],[05/05/25]]+(1-Real[[#This Row],[05/05/25]])*'Avance 39'!BE45</f>
        <v>0</v>
      </c>
      <c r="CY77" s="127">
        <f>Real[[#This Row],[05/05/25]]+(1-Real[[#This Row],[05/05/25]])*'Avance 39'!BF45</f>
        <v>0</v>
      </c>
      <c r="CZ77" s="127">
        <f>Real[[#This Row],[05/05/25]]+(1-Real[[#This Row],[05/05/25]])*'Avance 39'!BG45</f>
        <v>0</v>
      </c>
      <c r="DA77" s="127">
        <f>Real[[#This Row],[05/05/25]]+(1-Real[[#This Row],[05/05/25]])*'Avance 39'!BH45</f>
        <v>0</v>
      </c>
      <c r="DB77" s="127">
        <f>Real[[#This Row],[05/05/25]]+(1-Real[[#This Row],[05/05/25]])*'Avance 39'!BI45</f>
        <v>0</v>
      </c>
      <c r="DC77" s="127">
        <f>Real[[#This Row],[05/05/25]]+(1-Real[[#This Row],[05/05/25]])*'Avance 39'!BJ45</f>
        <v>0</v>
      </c>
      <c r="DD77" s="127">
        <f>Real[[#This Row],[05/05/25]]+(1-Real[[#This Row],[05/05/25]])*'Avance 39'!BK45</f>
        <v>0</v>
      </c>
      <c r="DE77" s="127">
        <f>Real[[#This Row],[05/05/25]]+(1-Real[[#This Row],[05/05/25]])*'Avance 39'!BL45</f>
        <v>0</v>
      </c>
      <c r="DF77" s="127">
        <f>Real[[#This Row],[05/05/25]]+(1-Real[[#This Row],[05/05/25]])*'Avance 39'!BM45</f>
        <v>0</v>
      </c>
      <c r="DG77" s="127">
        <f>Real[[#This Row],[05/05/25]]+(1-Real[[#This Row],[05/05/25]])*'Avance 39'!BN45</f>
        <v>0</v>
      </c>
      <c r="DH77" s="127">
        <f>Real[[#This Row],[05/05/25]]+(1-Real[[#This Row],[05/05/25]])*'Avance 39'!BO45</f>
        <v>0</v>
      </c>
      <c r="DI77" s="127">
        <f>Real[[#This Row],[05/05/25]]+(1-Real[[#This Row],[05/05/25]])*'Avance 39'!BP45</f>
        <v>0</v>
      </c>
      <c r="DJ77" s="127">
        <f>Real[[#This Row],[05/05/25]]+(1-Real[[#This Row],[05/05/25]])*'Avance 39'!BQ45</f>
        <v>0</v>
      </c>
      <c r="DK77" s="127">
        <f>Real[[#This Row],[05/05/25]]+(1-Real[[#This Row],[05/05/25]])*'Avance 39'!BR45</f>
        <v>0</v>
      </c>
      <c r="DL77" s="127">
        <f>Real[[#This Row],[05/05/25]]+(1-Real[[#This Row],[05/05/25]])*'Avance 39'!BS45</f>
        <v>0</v>
      </c>
      <c r="DM77" s="127">
        <f>Real[[#This Row],[05/05/25]]+(1-Real[[#This Row],[05/05/25]])*'Avance 39'!BT45</f>
        <v>0</v>
      </c>
      <c r="DN77" s="127">
        <f>Real[[#This Row],[05/05/25]]+(1-Real[[#This Row],[05/05/25]])*'Avance 39'!BU45</f>
        <v>0</v>
      </c>
      <c r="DO77" s="127">
        <f>Real[[#This Row],[05/05/25]]+(1-Real[[#This Row],[05/05/25]])*'Avance 39'!BV45</f>
        <v>0</v>
      </c>
      <c r="DP77" s="127">
        <f>Real[[#This Row],[05/05/25]]+(1-Real[[#This Row],[05/05/25]])*'Avance 39'!BW45</f>
        <v>0</v>
      </c>
      <c r="DQ77" s="127">
        <f>Real[[#This Row],[05/05/25]]+(1-Real[[#This Row],[05/05/25]])*'Avance 39'!BX45</f>
        <v>0</v>
      </c>
      <c r="DR77" s="127">
        <f>Real[[#This Row],[05/05/25]]+(1-Real[[#This Row],[05/05/25]])*'Avance 39'!BY45</f>
        <v>0</v>
      </c>
      <c r="DS77" s="127">
        <f>Real[[#This Row],[05/05/25]]+(1-Real[[#This Row],[05/05/25]])*'Avance 39'!BZ45</f>
        <v>0</v>
      </c>
      <c r="DT77" s="127">
        <f>Real[[#This Row],[05/05/25]]+(1-Real[[#This Row],[05/05/25]])*'Avance 39'!CA45</f>
        <v>0</v>
      </c>
      <c r="DU77" s="127">
        <f>Real[[#This Row],[05/05/25]]+(1-Real[[#This Row],[05/05/25]])*'Avance 39'!CB45</f>
        <v>0</v>
      </c>
      <c r="DV77" s="127">
        <f>Real[[#This Row],[05/05/25]]+(1-Real[[#This Row],[05/05/25]])*'Avance 39'!CC45</f>
        <v>0</v>
      </c>
      <c r="DW77" s="127">
        <f>Real[[#This Row],[05/05/25]]+(1-Real[[#This Row],[05/05/25]])*'Avance 39'!CD45</f>
        <v>0</v>
      </c>
      <c r="DX77" s="127">
        <f>Real[[#This Row],[05/05/25]]+(1-Real[[#This Row],[05/05/25]])*'Avance 39'!CE45</f>
        <v>0</v>
      </c>
      <c r="DY77" s="127">
        <f>Real[[#This Row],[05/05/25]]+(1-Real[[#This Row],[05/05/25]])*'Avance 39'!CF45</f>
        <v>0</v>
      </c>
      <c r="DZ77" s="127">
        <f>Real[[#This Row],[05/05/25]]+(1-Real[[#This Row],[05/05/25]])*'Avance 39'!CG45</f>
        <v>0</v>
      </c>
      <c r="EA77" s="127">
        <f>Real[[#This Row],[05/05/25]]+(1-Real[[#This Row],[05/05/25]])*'Avance 39'!CH45</f>
        <v>0</v>
      </c>
      <c r="EB77" s="127">
        <f>Real[[#This Row],[05/05/25]]+(1-Real[[#This Row],[05/05/25]])*'Avance 39'!CI45</f>
        <v>0</v>
      </c>
      <c r="EC77" s="127">
        <f>Real[[#This Row],[05/05/25]]+(1-Real[[#This Row],[05/05/25]])*'Avance 39'!CJ45</f>
        <v>0</v>
      </c>
      <c r="ED77" s="127">
        <f>Real[[#This Row],[05/05/25]]+(1-Real[[#This Row],[05/05/25]])*'Avance 39'!CK45</f>
        <v>0</v>
      </c>
      <c r="EE77" s="127">
        <f>Real[[#This Row],[05/05/25]]+(1-Real[[#This Row],[05/05/25]])*'Avance 39'!CL45</f>
        <v>0</v>
      </c>
      <c r="EF77" s="127">
        <f>Real[[#This Row],[05/05/25]]+(1-Real[[#This Row],[05/05/25]])*'Avance 39'!CM45</f>
        <v>0</v>
      </c>
      <c r="EG77" s="127">
        <f>Real[[#This Row],[05/05/25]]+(1-Real[[#This Row],[05/05/25]])*'Avance 39'!CN45</f>
        <v>0</v>
      </c>
      <c r="EH77" s="127">
        <f>Real[[#This Row],[05/05/25]]+(1-Real[[#This Row],[05/05/25]])*'Avance 39'!CO45</f>
        <v>0</v>
      </c>
      <c r="EI77" s="127">
        <f>Real[[#This Row],[05/05/25]]+(1-Real[[#This Row],[05/05/25]])*'Avance 39'!CP45</f>
        <v>0</v>
      </c>
    </row>
    <row r="78" spans="2:139" hidden="1" outlineLevel="3" x14ac:dyDescent="0.3">
      <c r="B78" s="29"/>
      <c r="C78" s="30"/>
      <c r="D78" s="30"/>
      <c r="E78" s="52" t="s">
        <v>82</v>
      </c>
      <c r="F78" s="33">
        <v>0</v>
      </c>
      <c r="G78" s="35">
        <v>1E-119</v>
      </c>
      <c r="H78" s="162"/>
      <c r="I78" s="127">
        <v>0</v>
      </c>
      <c r="J78" s="127">
        <v>0</v>
      </c>
      <c r="K78" s="127">
        <v>0</v>
      </c>
      <c r="L78" s="127">
        <v>0</v>
      </c>
      <c r="M78" s="128">
        <v>0</v>
      </c>
      <c r="N78" s="128">
        <v>0</v>
      </c>
      <c r="O78" s="127">
        <v>0</v>
      </c>
      <c r="P78" s="127">
        <v>0</v>
      </c>
      <c r="Q78" s="127">
        <v>0</v>
      </c>
      <c r="R78" s="127">
        <v>0</v>
      </c>
      <c r="S78" s="127">
        <v>0</v>
      </c>
      <c r="T78" s="127">
        <v>0</v>
      </c>
      <c r="U78" s="127">
        <v>0</v>
      </c>
      <c r="V78" s="127">
        <v>0</v>
      </c>
      <c r="W78" s="127">
        <v>0</v>
      </c>
      <c r="X78" s="127">
        <v>0</v>
      </c>
      <c r="Y78" s="127">
        <v>0</v>
      </c>
      <c r="Z78" s="127">
        <v>0</v>
      </c>
      <c r="AA78" s="127">
        <v>0</v>
      </c>
      <c r="AB78" s="127">
        <v>0</v>
      </c>
      <c r="AC78" s="127">
        <v>0</v>
      </c>
      <c r="AD78" s="127">
        <v>0</v>
      </c>
      <c r="AE78" s="127">
        <v>0</v>
      </c>
      <c r="AF78" s="127">
        <v>0</v>
      </c>
      <c r="AG78" s="127">
        <v>0</v>
      </c>
      <c r="AH78" s="127">
        <v>0</v>
      </c>
      <c r="AI78" s="127">
        <v>0</v>
      </c>
      <c r="AJ78" s="127">
        <v>0</v>
      </c>
      <c r="AK78" s="127">
        <v>0</v>
      </c>
      <c r="AL78" s="127">
        <v>0</v>
      </c>
      <c r="AM78" s="127">
        <v>0</v>
      </c>
      <c r="AN78" s="127">
        <v>0</v>
      </c>
      <c r="AO78" s="127">
        <v>0</v>
      </c>
      <c r="AP78" s="127">
        <v>0</v>
      </c>
      <c r="AQ78" s="127">
        <v>0</v>
      </c>
      <c r="AR78" s="127">
        <v>0</v>
      </c>
      <c r="AS78" s="127">
        <v>0</v>
      </c>
      <c r="AT78" s="127">
        <v>0</v>
      </c>
      <c r="AU78" s="127">
        <v>0</v>
      </c>
      <c r="AV78" s="127">
        <v>0</v>
      </c>
      <c r="AW78" s="127">
        <v>0</v>
      </c>
      <c r="AX78" s="127">
        <v>0</v>
      </c>
      <c r="AY78" s="127">
        <v>0</v>
      </c>
      <c r="AZ78" s="127">
        <v>0</v>
      </c>
      <c r="BA78" s="127">
        <v>0</v>
      </c>
      <c r="BB78" s="127">
        <f>Real[[#This Row],[05/05/25]]+(1-Real[[#This Row],[05/05/25]])*'Avance 39'!I45</f>
        <v>0</v>
      </c>
      <c r="BC78" s="127">
        <f>Real[[#This Row],[05/05/25]]+(1-Real[[#This Row],[05/05/25]])*'Avance 39'!J45</f>
        <v>0</v>
      </c>
      <c r="BD78" s="127">
        <f>Real[[#This Row],[05/05/25]]+(1-Real[[#This Row],[05/05/25]])*'Avance 39'!K45</f>
        <v>0</v>
      </c>
      <c r="BE78" s="127">
        <f>Real[[#This Row],[05/05/25]]+(1-Real[[#This Row],[05/05/25]])*'Avance 39'!L45</f>
        <v>0</v>
      </c>
      <c r="BF78" s="127">
        <f>Real[[#This Row],[05/05/25]]+(1-Real[[#This Row],[05/05/25]])*'Avance 39'!M45</f>
        <v>0</v>
      </c>
      <c r="BG78" s="163">
        <f>Real[[#This Row],[05/05/25]]+(1-Real[[#This Row],[05/05/25]])*'Avance 39'!N45</f>
        <v>0</v>
      </c>
      <c r="BH78" s="163">
        <f>Real[[#This Row],[05/05/25]]+(1-Real[[#This Row],[05/05/25]])*'Avance 39'!O45</f>
        <v>0</v>
      </c>
      <c r="BI78" s="127">
        <f>Real[[#This Row],[05/05/25]]+(1-Real[[#This Row],[05/05/25]])*'Avance 39'!P45</f>
        <v>0</v>
      </c>
      <c r="BJ78" s="127">
        <f>Real[[#This Row],[05/05/25]]+(1-Real[[#This Row],[05/05/25]])*'Avance 39'!Q45</f>
        <v>0</v>
      </c>
      <c r="BK78" s="127">
        <f>Real[[#This Row],[05/05/25]]+(1-Real[[#This Row],[05/05/25]])*'Avance 39'!R45</f>
        <v>0</v>
      </c>
      <c r="BL78" s="127">
        <f>Real[[#This Row],[05/05/25]]+(1-Real[[#This Row],[05/05/25]])*'Avance 39'!S45</f>
        <v>0</v>
      </c>
      <c r="BM78" s="127">
        <f>Real[[#This Row],[05/05/25]]+(1-Real[[#This Row],[05/05/25]])*'Avance 39'!T45</f>
        <v>0</v>
      </c>
      <c r="BN78" s="127">
        <f>Real[[#This Row],[05/05/25]]+(1-Real[[#This Row],[05/05/25]])*'Avance 39'!U45</f>
        <v>0</v>
      </c>
      <c r="BO78" s="127">
        <f>Real[[#This Row],[05/05/25]]+(1-Real[[#This Row],[05/05/25]])*'Avance 39'!V45</f>
        <v>0</v>
      </c>
      <c r="BP78" s="127">
        <f>Real[[#This Row],[05/05/25]]+(1-Real[[#This Row],[05/05/25]])*'Avance 39'!W45</f>
        <v>0</v>
      </c>
      <c r="BQ78" s="127">
        <f>Real[[#This Row],[05/05/25]]+(1-Real[[#This Row],[05/05/25]])*'Avance 39'!X45</f>
        <v>0</v>
      </c>
      <c r="BR78" s="127">
        <f>Real[[#This Row],[05/05/25]]+(1-Real[[#This Row],[05/05/25]])*'Avance 39'!Y45</f>
        <v>0</v>
      </c>
      <c r="BS78" s="127">
        <f>Real[[#This Row],[05/05/25]]+(1-Real[[#This Row],[05/05/25]])*'Avance 39'!Z45</f>
        <v>0</v>
      </c>
      <c r="BT78" s="127">
        <f>Real[[#This Row],[05/05/25]]+(1-Real[[#This Row],[05/05/25]])*'Avance 39'!AA45</f>
        <v>0</v>
      </c>
      <c r="BU78" s="127">
        <f>Real[[#This Row],[05/05/25]]+(1-Real[[#This Row],[05/05/25]])*'Avance 39'!AB45</f>
        <v>0</v>
      </c>
      <c r="BV78" s="127">
        <f>Real[[#This Row],[05/05/25]]+(1-Real[[#This Row],[05/05/25]])*'Avance 39'!AC45</f>
        <v>0</v>
      </c>
      <c r="BW78" s="127">
        <f>Real[[#This Row],[05/05/25]]+(1-Real[[#This Row],[05/05/25]])*'Avance 39'!AD45</f>
        <v>0</v>
      </c>
      <c r="BX78" s="127">
        <f>Real[[#This Row],[05/05/25]]+(1-Real[[#This Row],[05/05/25]])*'Avance 39'!AE45</f>
        <v>0</v>
      </c>
      <c r="BY78" s="127">
        <f>Real[[#This Row],[05/05/25]]+(1-Real[[#This Row],[05/05/25]])*'Avance 39'!AF45</f>
        <v>0</v>
      </c>
      <c r="BZ78" s="127">
        <f>Real[[#This Row],[05/05/25]]+(1-Real[[#This Row],[05/05/25]])*'Avance 39'!AG45</f>
        <v>0</v>
      </c>
      <c r="CA78" s="127">
        <f>Real[[#This Row],[05/05/25]]+(1-Real[[#This Row],[05/05/25]])*'Avance 39'!AH45</f>
        <v>0</v>
      </c>
      <c r="CB78" s="127">
        <f>Real[[#This Row],[05/05/25]]+(1-Real[[#This Row],[05/05/25]])*'Avance 39'!AI45</f>
        <v>0</v>
      </c>
      <c r="CC78" s="127">
        <f>Real[[#This Row],[05/05/25]]+(1-Real[[#This Row],[05/05/25]])*'Avance 39'!AJ45</f>
        <v>0</v>
      </c>
      <c r="CD78" s="127">
        <f>Real[[#This Row],[05/05/25]]+(1-Real[[#This Row],[05/05/25]])*'Avance 39'!AK45</f>
        <v>0</v>
      </c>
      <c r="CE78" s="127">
        <f>Real[[#This Row],[05/05/25]]+(1-Real[[#This Row],[05/05/25]])*'Avance 39'!AL45</f>
        <v>0</v>
      </c>
      <c r="CF78" s="127">
        <f>Real[[#This Row],[05/05/25]]+(1-Real[[#This Row],[05/05/25]])*'Avance 39'!AM45</f>
        <v>0</v>
      </c>
      <c r="CG78" s="127">
        <f>Real[[#This Row],[05/05/25]]+(1-Real[[#This Row],[05/05/25]])*'Avance 39'!AN45</f>
        <v>0</v>
      </c>
      <c r="CH78" s="127">
        <f>Real[[#This Row],[05/05/25]]+(1-Real[[#This Row],[05/05/25]])*'Avance 39'!AO45</f>
        <v>0</v>
      </c>
      <c r="CI78" s="127">
        <f>Real[[#This Row],[05/05/25]]+(1-Real[[#This Row],[05/05/25]])*'Avance 39'!AP45</f>
        <v>0</v>
      </c>
      <c r="CJ78" s="127">
        <f>Real[[#This Row],[05/05/25]]+(1-Real[[#This Row],[05/05/25]])*'Avance 39'!AQ45</f>
        <v>0</v>
      </c>
      <c r="CK78" s="127">
        <f>Real[[#This Row],[05/05/25]]+(1-Real[[#This Row],[05/05/25]])*'Avance 39'!AR45</f>
        <v>0</v>
      </c>
      <c r="CL78" s="127">
        <f>Real[[#This Row],[05/05/25]]+(1-Real[[#This Row],[05/05/25]])*'Avance 39'!AS45</f>
        <v>0</v>
      </c>
      <c r="CM78" s="127">
        <f>Real[[#This Row],[05/05/25]]+(1-Real[[#This Row],[05/05/25]])*'Avance 39'!AT45</f>
        <v>0</v>
      </c>
      <c r="CN78" s="127">
        <f>Real[[#This Row],[05/05/25]]+(1-Real[[#This Row],[05/05/25]])*'Avance 39'!AU45</f>
        <v>0</v>
      </c>
      <c r="CO78" s="127">
        <f>Real[[#This Row],[05/05/25]]+(1-Real[[#This Row],[05/05/25]])*'Avance 39'!AV45</f>
        <v>0</v>
      </c>
      <c r="CP78" s="127">
        <f>Real[[#This Row],[05/05/25]]+(1-Real[[#This Row],[05/05/25]])*'Avance 39'!AW45</f>
        <v>0</v>
      </c>
      <c r="CQ78" s="127">
        <f>Real[[#This Row],[05/05/25]]+(1-Real[[#This Row],[05/05/25]])*'Avance 39'!AX45</f>
        <v>0</v>
      </c>
      <c r="CR78" s="127">
        <f>Real[[#This Row],[05/05/25]]+(1-Real[[#This Row],[05/05/25]])*'Avance 39'!AY45</f>
        <v>0</v>
      </c>
      <c r="CS78" s="127">
        <f>Real[[#This Row],[05/05/25]]+(1-Real[[#This Row],[05/05/25]])*'Avance 39'!AZ45</f>
        <v>0</v>
      </c>
      <c r="CT78" s="127">
        <f>Real[[#This Row],[05/05/25]]+(1-Real[[#This Row],[05/05/25]])*'Avance 39'!BA45</f>
        <v>0</v>
      </c>
      <c r="CU78" s="127">
        <f>Real[[#This Row],[05/05/25]]+(1-Real[[#This Row],[05/05/25]])*'Avance 39'!BB45</f>
        <v>0</v>
      </c>
      <c r="CV78" s="127">
        <f>Real[[#This Row],[05/05/25]]+(1-Real[[#This Row],[05/05/25]])*'Avance 39'!BC45</f>
        <v>0</v>
      </c>
      <c r="CW78" s="127">
        <f>Real[[#This Row],[05/05/25]]+(1-Real[[#This Row],[05/05/25]])*'Avance 39'!BD45</f>
        <v>0</v>
      </c>
      <c r="CX78" s="127">
        <f>Real[[#This Row],[05/05/25]]+(1-Real[[#This Row],[05/05/25]])*'Avance 39'!BE45</f>
        <v>0</v>
      </c>
      <c r="CY78" s="127">
        <f>Real[[#This Row],[05/05/25]]+(1-Real[[#This Row],[05/05/25]])*'Avance 39'!BF45</f>
        <v>0</v>
      </c>
      <c r="CZ78" s="127">
        <f>Real[[#This Row],[05/05/25]]+(1-Real[[#This Row],[05/05/25]])*'Avance 39'!BG45</f>
        <v>0</v>
      </c>
      <c r="DA78" s="127">
        <f>Real[[#This Row],[05/05/25]]+(1-Real[[#This Row],[05/05/25]])*'Avance 39'!BH45</f>
        <v>0</v>
      </c>
      <c r="DB78" s="127">
        <f>Real[[#This Row],[05/05/25]]+(1-Real[[#This Row],[05/05/25]])*'Avance 39'!BI45</f>
        <v>0</v>
      </c>
      <c r="DC78" s="127">
        <f>Real[[#This Row],[05/05/25]]+(1-Real[[#This Row],[05/05/25]])*'Avance 39'!BJ45</f>
        <v>0</v>
      </c>
      <c r="DD78" s="127">
        <f>Real[[#This Row],[05/05/25]]+(1-Real[[#This Row],[05/05/25]])*'Avance 39'!BK45</f>
        <v>0</v>
      </c>
      <c r="DE78" s="127">
        <f>Real[[#This Row],[05/05/25]]+(1-Real[[#This Row],[05/05/25]])*'Avance 39'!BL45</f>
        <v>0</v>
      </c>
      <c r="DF78" s="127">
        <f>Real[[#This Row],[05/05/25]]+(1-Real[[#This Row],[05/05/25]])*'Avance 39'!BM45</f>
        <v>0</v>
      </c>
      <c r="DG78" s="127">
        <f>Real[[#This Row],[05/05/25]]+(1-Real[[#This Row],[05/05/25]])*'Avance 39'!BN45</f>
        <v>0</v>
      </c>
      <c r="DH78" s="127">
        <f>Real[[#This Row],[05/05/25]]+(1-Real[[#This Row],[05/05/25]])*'Avance 39'!BO45</f>
        <v>0</v>
      </c>
      <c r="DI78" s="127">
        <f>Real[[#This Row],[05/05/25]]+(1-Real[[#This Row],[05/05/25]])*'Avance 39'!BP45</f>
        <v>0</v>
      </c>
      <c r="DJ78" s="127">
        <f>Real[[#This Row],[05/05/25]]+(1-Real[[#This Row],[05/05/25]])*'Avance 39'!BQ45</f>
        <v>0</v>
      </c>
      <c r="DK78" s="127">
        <f>Real[[#This Row],[05/05/25]]+(1-Real[[#This Row],[05/05/25]])*'Avance 39'!BR45</f>
        <v>0</v>
      </c>
      <c r="DL78" s="127">
        <f>Real[[#This Row],[05/05/25]]+(1-Real[[#This Row],[05/05/25]])*'Avance 39'!BS45</f>
        <v>0</v>
      </c>
      <c r="DM78" s="127">
        <f>Real[[#This Row],[05/05/25]]+(1-Real[[#This Row],[05/05/25]])*'Avance 39'!BT45</f>
        <v>0</v>
      </c>
      <c r="DN78" s="127">
        <f>Real[[#This Row],[05/05/25]]+(1-Real[[#This Row],[05/05/25]])*'Avance 39'!BU45</f>
        <v>0</v>
      </c>
      <c r="DO78" s="127">
        <f>Real[[#This Row],[05/05/25]]+(1-Real[[#This Row],[05/05/25]])*'Avance 39'!BV45</f>
        <v>0</v>
      </c>
      <c r="DP78" s="127">
        <f>Real[[#This Row],[05/05/25]]+(1-Real[[#This Row],[05/05/25]])*'Avance 39'!BW45</f>
        <v>0</v>
      </c>
      <c r="DQ78" s="127">
        <f>Real[[#This Row],[05/05/25]]+(1-Real[[#This Row],[05/05/25]])*'Avance 39'!BX45</f>
        <v>0</v>
      </c>
      <c r="DR78" s="127">
        <f>Real[[#This Row],[05/05/25]]+(1-Real[[#This Row],[05/05/25]])*'Avance 39'!BY45</f>
        <v>0</v>
      </c>
      <c r="DS78" s="127">
        <f>Real[[#This Row],[05/05/25]]+(1-Real[[#This Row],[05/05/25]])*'Avance 39'!BZ45</f>
        <v>0</v>
      </c>
      <c r="DT78" s="127">
        <f>Real[[#This Row],[05/05/25]]+(1-Real[[#This Row],[05/05/25]])*'Avance 39'!CA45</f>
        <v>0</v>
      </c>
      <c r="DU78" s="127">
        <f>Real[[#This Row],[05/05/25]]+(1-Real[[#This Row],[05/05/25]])*'Avance 39'!CB45</f>
        <v>0</v>
      </c>
      <c r="DV78" s="127">
        <f>Real[[#This Row],[05/05/25]]+(1-Real[[#This Row],[05/05/25]])*'Avance 39'!CC45</f>
        <v>0</v>
      </c>
      <c r="DW78" s="127">
        <f>Real[[#This Row],[05/05/25]]+(1-Real[[#This Row],[05/05/25]])*'Avance 39'!CD45</f>
        <v>0</v>
      </c>
      <c r="DX78" s="127">
        <f>Real[[#This Row],[05/05/25]]+(1-Real[[#This Row],[05/05/25]])*'Avance 39'!CE45</f>
        <v>0</v>
      </c>
      <c r="DY78" s="127">
        <f>Real[[#This Row],[05/05/25]]+(1-Real[[#This Row],[05/05/25]])*'Avance 39'!CF45</f>
        <v>0</v>
      </c>
      <c r="DZ78" s="127">
        <f>Real[[#This Row],[05/05/25]]+(1-Real[[#This Row],[05/05/25]])*'Avance 39'!CG45</f>
        <v>0</v>
      </c>
      <c r="EA78" s="127">
        <f>Real[[#This Row],[05/05/25]]+(1-Real[[#This Row],[05/05/25]])*'Avance 39'!CH45</f>
        <v>0</v>
      </c>
      <c r="EB78" s="127">
        <f>Real[[#This Row],[05/05/25]]+(1-Real[[#This Row],[05/05/25]])*'Avance 39'!CI45</f>
        <v>0</v>
      </c>
      <c r="EC78" s="127">
        <f>Real[[#This Row],[05/05/25]]+(1-Real[[#This Row],[05/05/25]])*'Avance 39'!CJ45</f>
        <v>0</v>
      </c>
      <c r="ED78" s="127">
        <f>Real[[#This Row],[05/05/25]]+(1-Real[[#This Row],[05/05/25]])*'Avance 39'!CK45</f>
        <v>0</v>
      </c>
      <c r="EE78" s="127">
        <f>Real[[#This Row],[05/05/25]]+(1-Real[[#This Row],[05/05/25]])*'Avance 39'!CL45</f>
        <v>0</v>
      </c>
      <c r="EF78" s="127">
        <f>Real[[#This Row],[05/05/25]]+(1-Real[[#This Row],[05/05/25]])*'Avance 39'!CM45</f>
        <v>0</v>
      </c>
      <c r="EG78" s="127">
        <f>Real[[#This Row],[05/05/25]]+(1-Real[[#This Row],[05/05/25]])*'Avance 39'!CN45</f>
        <v>0</v>
      </c>
      <c r="EH78" s="127">
        <f>Real[[#This Row],[05/05/25]]+(1-Real[[#This Row],[05/05/25]])*'Avance 39'!CO45</f>
        <v>0</v>
      </c>
      <c r="EI78" s="127">
        <f>Real[[#This Row],[05/05/25]]+(1-Real[[#This Row],[05/05/25]])*'Avance 39'!CP45</f>
        <v>0</v>
      </c>
    </row>
    <row r="79" spans="2:139" ht="16.8" outlineLevel="1" x14ac:dyDescent="0.3">
      <c r="B79" s="15"/>
      <c r="C79" s="16" t="s">
        <v>83</v>
      </c>
      <c r="D79" s="16"/>
      <c r="E79" s="48"/>
      <c r="F79" s="19">
        <f>+F80+F87+F89+F99+F104+F106+F109+F112+F115+F119+F123+F130+F134+F138</f>
        <v>788</v>
      </c>
      <c r="G79" s="21">
        <v>0.22717450583622398</v>
      </c>
      <c r="H79" s="158"/>
      <c r="I79" s="21">
        <f t="shared" ref="I79:BD79" si="510">+I80*$G$80+I87*$G$87+I89*$G$89+I99*$G$99+I104*$G$104+I106*$G$106+I109*$G$109+I112*$G$112+I115*$G$115+I119*$G$119+I123*$G$123+I130*$G$130+I134*$G$134+I138*$G$138</f>
        <v>3.8654704075202371E-4</v>
      </c>
      <c r="J79" s="21">
        <f t="shared" si="510"/>
        <v>1.1044201164343546E-3</v>
      </c>
      <c r="K79" s="21">
        <f t="shared" si="510"/>
        <v>2.2088402328687084E-3</v>
      </c>
      <c r="L79" s="21">
        <f t="shared" si="510"/>
        <v>3.3132603493030619E-3</v>
      </c>
      <c r="M79" s="63">
        <f t="shared" si="510"/>
        <v>4.4176804657374159E-3</v>
      </c>
      <c r="N79" s="63">
        <f t="shared" si="510"/>
        <v>5.5221005821717694E-3</v>
      </c>
      <c r="O79" s="21">
        <f t="shared" si="510"/>
        <v>6.6265206986061229E-3</v>
      </c>
      <c r="P79" s="21">
        <f t="shared" si="510"/>
        <v>7.7309408150404739E-3</v>
      </c>
      <c r="Q79" s="21">
        <f t="shared" si="510"/>
        <v>7.7309408150404739E-3</v>
      </c>
      <c r="R79" s="21">
        <f t="shared" si="510"/>
        <v>7.7309408150404739E-3</v>
      </c>
      <c r="S79" s="21">
        <f t="shared" si="510"/>
        <v>8.0260057501054093E-3</v>
      </c>
      <c r="T79" s="21">
        <f t="shared" si="510"/>
        <v>8.1815901656898237E-3</v>
      </c>
      <c r="U79" s="21">
        <f t="shared" si="510"/>
        <v>8.9309408150404744E-3</v>
      </c>
      <c r="V79" s="21">
        <f t="shared" si="510"/>
        <v>9.1724992565989146E-3</v>
      </c>
      <c r="W79" s="21">
        <f t="shared" si="510"/>
        <v>1.8928632012731671E-2</v>
      </c>
      <c r="X79" s="21">
        <f t="shared" si="510"/>
        <v>3.8400954149000667E-2</v>
      </c>
      <c r="Y79" s="21">
        <f t="shared" si="510"/>
        <v>4.4702668979919952E-2</v>
      </c>
      <c r="Z79" s="21">
        <f t="shared" si="510"/>
        <v>5.5313087732436629E-2</v>
      </c>
      <c r="AA79" s="21">
        <f t="shared" si="510"/>
        <v>6.8803102157292434E-2</v>
      </c>
      <c r="AB79" s="21">
        <f t="shared" si="510"/>
        <v>6.8952348118972759E-2</v>
      </c>
      <c r="AC79" s="21">
        <f t="shared" si="510"/>
        <v>9.5041160318944828E-2</v>
      </c>
      <c r="AD79" s="21">
        <f t="shared" si="510"/>
        <v>0.11245788117977362</v>
      </c>
      <c r="AE79" s="21">
        <f t="shared" si="510"/>
        <v>0.12214423775431114</v>
      </c>
      <c r="AF79" s="21">
        <f t="shared" si="510"/>
        <v>0.13185370072593064</v>
      </c>
      <c r="AG79" s="21">
        <f t="shared" si="510"/>
        <v>0.13937179730138774</v>
      </c>
      <c r="AH79" s="21">
        <f t="shared" si="510"/>
        <v>0.15658811120818394</v>
      </c>
      <c r="AI79" s="21">
        <f t="shared" si="510"/>
        <v>0.15658811120818394</v>
      </c>
      <c r="AJ79" s="21">
        <f t="shared" si="510"/>
        <v>0.15658811120818394</v>
      </c>
      <c r="AK79" s="21">
        <f t="shared" si="510"/>
        <v>0.15923541629530386</v>
      </c>
      <c r="AL79" s="21">
        <f t="shared" si="510"/>
        <v>0.16268374680960657</v>
      </c>
      <c r="AM79" s="21">
        <f t="shared" si="510"/>
        <v>0.16514837770275062</v>
      </c>
      <c r="AN79" s="21">
        <f t="shared" si="510"/>
        <v>0.18178886465589655</v>
      </c>
      <c r="AO79" s="21">
        <f t="shared" si="510"/>
        <v>0.18724258980216196</v>
      </c>
      <c r="AP79" s="21">
        <f t="shared" si="510"/>
        <v>0.22612302081141444</v>
      </c>
      <c r="AQ79" s="21">
        <f t="shared" si="510"/>
        <v>0.22925978438176242</v>
      </c>
      <c r="AR79" s="21">
        <f t="shared" si="510"/>
        <v>0.22975404764900378</v>
      </c>
      <c r="AS79" s="21">
        <f t="shared" si="510"/>
        <v>0.23752764278760138</v>
      </c>
      <c r="AT79" s="21">
        <f t="shared" si="510"/>
        <v>0.3468750104909209</v>
      </c>
      <c r="AU79" s="21">
        <f t="shared" si="510"/>
        <v>0.3471320239969688</v>
      </c>
      <c r="AV79" s="21">
        <f t="shared" si="510"/>
        <v>0.35257780587464677</v>
      </c>
      <c r="AW79" s="21">
        <f t="shared" si="510"/>
        <v>0.35301778975927656</v>
      </c>
      <c r="AX79" s="21">
        <f t="shared" si="510"/>
        <v>0.37052007010367694</v>
      </c>
      <c r="AY79" s="21">
        <f t="shared" si="510"/>
        <v>0.37084322005548909</v>
      </c>
      <c r="AZ79" s="21">
        <f t="shared" si="510"/>
        <v>0.38343689711996759</v>
      </c>
      <c r="BA79" s="21">
        <f t="shared" si="510"/>
        <v>0.38376156116124605</v>
      </c>
      <c r="BB79" s="21">
        <f t="shared" si="510"/>
        <v>0.38394003197883858</v>
      </c>
      <c r="BC79" s="21">
        <f t="shared" si="510"/>
        <v>0.38433721004594118</v>
      </c>
      <c r="BD79" s="21">
        <f t="shared" si="510"/>
        <v>0.39332488247852793</v>
      </c>
      <c r="BE79" s="21">
        <f t="shared" ref="BE79:BF79" si="511">+BE80*$G$80+BE87*$G$87+BE89*$G$89+BE99*$G$99+BE104*$G$104+BE106*$G$106+BE109*$G$109+BE112*$G$112+BE115*$G$115+BE119*$G$119+BE123*$G$123+BE130*$G$130+BE134*$G$134+BE138*$G$138</f>
        <v>0.40325332072442277</v>
      </c>
      <c r="BF79" s="21">
        <f t="shared" si="511"/>
        <v>0.4045524168189954</v>
      </c>
      <c r="BG79" s="159">
        <f t="shared" ref="BG79:BH79" si="512">+BG80*$G$80+BG87*$G$87+BG89*$G$89+BG99*$G$99+BG104*$G$104+BG106*$G$106+BG109*$G$109+BG112*$G$112+BG115*$G$115+BG119*$G$119+BG123*$G$123+BG130*$G$130+BG134*$G$134+BG138*$G$138</f>
        <v>0.41422287283197301</v>
      </c>
      <c r="BH79" s="159">
        <f t="shared" si="512"/>
        <v>0.4163066182941183</v>
      </c>
      <c r="BI79" s="21">
        <f t="shared" ref="BI79:BJ79" si="513">+BI80*$G$80+BI87*$G$87+BI89*$G$89+BI99*$G$99+BI104*$G$104+BI106*$G$106+BI109*$G$109+BI112*$G$112+BI115*$G$115+BI119*$G$119+BI123*$G$123+BI130*$G$130+BI134*$G$134+BI138*$G$138</f>
        <v>0.41929151843810814</v>
      </c>
      <c r="BJ79" s="21">
        <f t="shared" si="513"/>
        <v>0.42036950255246047</v>
      </c>
      <c r="BK79" s="21">
        <f t="shared" ref="BK79:BL79" si="514">+BK80*$G$80+BK87*$G$87+BK89*$G$89+BK99*$G$99+BK104*$G$104+BK106*$G$106+BK109*$G$109+BK112*$G$112+BK115*$G$115+BK119*$G$119+BK123*$G$123+BK130*$G$130+BK134*$G$134+BK138*$G$138</f>
        <v>0.42135664129883355</v>
      </c>
      <c r="BL79" s="21">
        <f t="shared" si="514"/>
        <v>0.42168816321908853</v>
      </c>
      <c r="BM79" s="21">
        <f t="shared" ref="BM79:BN79" si="515">+BM80*$G$80+BM87*$G$87+BM89*$G$89+BM99*$G$99+BM104*$G$104+BM106*$G$106+BM109*$G$109+BM112*$G$112+BM115*$G$115+BM119*$G$119+BM123*$G$123+BM130*$G$130+BM134*$G$134+BM138*$G$138</f>
        <v>0.42341518152041757</v>
      </c>
      <c r="BN79" s="21">
        <f t="shared" si="515"/>
        <v>0.42345102829525932</v>
      </c>
      <c r="BO79" s="21">
        <f t="shared" ref="BO79:BP79" si="516">+BO80*$G$80+BO87*$G$87+BO89*$G$89+BO99*$G$99+BO104*$G$104+BO106*$G$106+BO109*$G$109+BO112*$G$112+BO115*$G$115+BO119*$G$119+BO123*$G$123+BO130*$G$130+BO134*$G$134+BO138*$G$138</f>
        <v>0.42454417268683925</v>
      </c>
      <c r="BP79" s="21">
        <f t="shared" si="516"/>
        <v>0.42825965578085634</v>
      </c>
      <c r="BQ79" s="21">
        <f t="shared" ref="BQ79:BR79" si="517">+BQ80*$G$80+BQ87*$G$87+BQ89*$G$89+BQ99*$G$99+BQ104*$G$104+BQ106*$G$106+BQ109*$G$109+BQ112*$G$112+BQ115*$G$115+BQ119*$G$119+BQ123*$G$123+BQ130*$G$130+BQ134*$G$134+BQ138*$G$138</f>
        <v>0.42973362426812595</v>
      </c>
      <c r="BR79" s="21">
        <f t="shared" si="517"/>
        <v>0.43063345304542355</v>
      </c>
      <c r="BS79" s="21">
        <f t="shared" ref="BS79:BT79" si="518">+BS80*$G$80+BS87*$G$87+BS89*$G$89+BS99*$G$99+BS104*$G$104+BS106*$G$106+BS109*$G$109+BS112*$G$112+BS115*$G$115+BS119*$G$119+BS123*$G$123+BS130*$G$130+BS134*$G$134+BS138*$G$138</f>
        <v>0.43800591789269455</v>
      </c>
      <c r="BT79" s="21">
        <f t="shared" si="518"/>
        <v>0.44584377159137911</v>
      </c>
      <c r="BU79" s="21">
        <f t="shared" ref="BU79:BV79" si="519">+BU80*$G$80+BU87*$G$87+BU89*$G$89+BU99*$G$99+BU104*$G$104+BU106*$G$106+BU109*$G$109+BU112*$G$112+BU115*$G$115+BU119*$G$119+BU123*$G$123+BU130*$G$130+BU134*$G$134+BU138*$G$138</f>
        <v>0.48571771459390251</v>
      </c>
      <c r="BV79" s="21">
        <f t="shared" si="519"/>
        <v>0.50540294445891321</v>
      </c>
      <c r="BW79" s="21">
        <f t="shared" ref="BW79:BX79" si="520">+BW80*$G$80+BW87*$G$87+BW89*$G$89+BW99*$G$99+BW104*$G$104+BW106*$G$106+BW109*$G$109+BW112*$G$112+BW115*$G$115+BW119*$G$119+BW123*$G$123+BW130*$G$130+BW134*$G$134+BW138*$G$138</f>
        <v>0.54058368623291897</v>
      </c>
      <c r="BX79" s="21">
        <f t="shared" si="520"/>
        <v>0.54611149906519851</v>
      </c>
      <c r="BY79" s="21">
        <f t="shared" ref="BY79:BZ79" si="521">+BY80*$G$80+BY87*$G$87+BY89*$G$89+BY99*$G$99+BY104*$G$104+BY106*$G$106+BY109*$G$109+BY112*$G$112+BY115*$G$115+BY119*$G$119+BY123*$G$123+BY130*$G$130+BY134*$G$134+BY138*$G$138</f>
        <v>0.54818446564847212</v>
      </c>
      <c r="BZ79" s="21">
        <f t="shared" si="521"/>
        <v>0.54997424205414724</v>
      </c>
      <c r="CA79" s="21">
        <f t="shared" ref="CA79:CB79" si="522">+CA80*$G$80+CA87*$G$87+CA89*$G$89+CA99*$G$99+CA104*$G$104+CA106*$G$106+CA109*$G$109+CA112*$G$112+CA115*$G$115+CA119*$G$119+CA123*$G$123+CA130*$G$130+CA134*$G$134+CA138*$G$138</f>
        <v>0.55302242192171691</v>
      </c>
      <c r="CB79" s="21">
        <f t="shared" si="522"/>
        <v>0.55476362480798724</v>
      </c>
      <c r="CC79" s="21">
        <f t="shared" ref="CC79:CD79" si="523">+CC80*$G$80+CC87*$G$87+CC89*$G$89+CC99*$G$99+CC104*$G$104+CC106*$G$106+CC109*$G$109+CC112*$G$112+CC115*$G$115+CC119*$G$119+CC123*$G$123+CC130*$G$130+CC134*$G$134+CC138*$G$138</f>
        <v>0.59919043112427439</v>
      </c>
      <c r="CD79" s="21">
        <f t="shared" si="523"/>
        <v>0.60397531778019031</v>
      </c>
      <c r="CE79" s="21">
        <f t="shared" ref="CE79" si="524">+CE80*$G$80+CE87*$G$87+CE89*$G$89+CE99*$G$99+CE104*$G$104+CE106*$G$106+CE109*$G$109+CE112*$G$112+CE115*$G$115+CE119*$G$119+CE123*$G$123+CE130*$G$130+CE134*$G$134+CE138*$G$138</f>
        <v>0.62252104025056121</v>
      </c>
      <c r="CF79" s="21">
        <f t="shared" ref="CF79" si="525">+CF80*$G$80+CF87*$G$87+CF89*$G$89+CF99*$G$99+CF104*$G$104+CF106*$G$106+CF109*$G$109+CF112*$G$112+CF115*$G$115+CF119*$G$119+CF123*$G$123+CF130*$G$130+CF134*$G$134+CF138*$G$138</f>
        <v>0.62943623203242216</v>
      </c>
      <c r="CG79" s="21">
        <f t="shared" ref="CG79" si="526">+CG80*$G$80+CG87*$G$87+CG89*$G$89+CG99*$G$99+CG104*$G$104+CG106*$G$106+CG109*$G$109+CG112*$G$112+CG115*$G$115+CG119*$G$119+CG123*$G$123+CG130*$G$130+CG134*$G$134+CG138*$G$138</f>
        <v>0.62991188486497007</v>
      </c>
      <c r="CH79" s="21">
        <f t="shared" ref="CH79" si="527">+CH80*$G$80+CH87*$G$87+CH89*$G$89+CH99*$G$99+CH104*$G$104+CH106*$G$106+CH109*$G$109+CH112*$G$112+CH115*$G$115+CH119*$G$119+CH123*$G$123+CH130*$G$130+CH134*$G$134+CH138*$G$138</f>
        <v>0.62991188486497007</v>
      </c>
      <c r="CI79" s="21">
        <f t="shared" ref="CI79" si="528">+CI80*$G$80+CI87*$G$87+CI89*$G$89+CI99*$G$99+CI104*$G$104+CI106*$G$106+CI109*$G$109+CI112*$G$112+CI115*$G$115+CI119*$G$119+CI123*$G$123+CI130*$G$130+CI134*$G$134+CI138*$G$138</f>
        <v>0.62991188486497007</v>
      </c>
      <c r="CJ79" s="21">
        <f t="shared" ref="CJ79:CK79" si="529">+CJ80*$G$80+CJ87*$G$87+CJ89*$G$89+CJ99*$G$99+CJ104*$G$104+CJ106*$G$106+CJ109*$G$109+CJ112*$G$112+CJ115*$G$115+CJ119*$G$119+CJ123*$G$123+CJ130*$G$130+CJ134*$G$134+CJ138*$G$138</f>
        <v>0.62991188486497007</v>
      </c>
      <c r="CK79" s="21">
        <f t="shared" si="529"/>
        <v>0.62991188486497007</v>
      </c>
      <c r="CL79" s="21">
        <f t="shared" ref="CL79:CV79" si="530">+CL80*$G$80+CL87*$G$87+CL89*$G$89+CL99*$G$99+CL104*$G$104+CL106*$G$106+CL109*$G$109+CL112*$G$112+CL115*$G$115+CL119*$G$119+CL123*$G$123+CL130*$G$130+CL134*$G$134+CL138*$G$138</f>
        <v>0.62991188486497007</v>
      </c>
      <c r="CM79" s="21">
        <f t="shared" si="530"/>
        <v>0.63241197863812737</v>
      </c>
      <c r="CN79" s="21">
        <f t="shared" si="530"/>
        <v>0.63379789573917622</v>
      </c>
      <c r="CO79" s="21">
        <f t="shared" si="530"/>
        <v>0.63379789573917622</v>
      </c>
      <c r="CP79" s="21">
        <f t="shared" si="530"/>
        <v>0.63379789573917622</v>
      </c>
      <c r="CQ79" s="21">
        <f t="shared" si="530"/>
        <v>0.63379789573917622</v>
      </c>
      <c r="CR79" s="21">
        <f t="shared" si="530"/>
        <v>0.64582022385971372</v>
      </c>
      <c r="CS79" s="21">
        <f t="shared" si="530"/>
        <v>0.64631820788518712</v>
      </c>
      <c r="CT79" s="21">
        <f t="shared" si="530"/>
        <v>0.64763161710524808</v>
      </c>
      <c r="CU79" s="21">
        <f t="shared" si="530"/>
        <v>0.64880903175224214</v>
      </c>
      <c r="CV79" s="21">
        <f t="shared" si="530"/>
        <v>0.64894502632530893</v>
      </c>
      <c r="CW79" s="21">
        <f t="shared" ref="CW79" si="531">+CW80*$G$80+CW87*$G$87+CW89*$G$89+CW99*$G$99+CW104*$G$104+CW106*$G$106+CW109*$G$109+CW112*$G$112+CW115*$G$115+CW119*$G$119+CW123*$G$123+CW130*$G$130+CW134*$G$134+CW138*$G$138</f>
        <v>0.64894502632530893</v>
      </c>
      <c r="CX79" s="21">
        <f t="shared" ref="CX79:CY79" si="532">+CX80*$G$80+CX87*$G$87+CX89*$G$89+CX99*$G$99+CX104*$G$104+CX106*$G$106+CX109*$G$109+CX112*$G$112+CX115*$G$115+CX119*$G$119+CX123*$G$123+CX130*$G$130+CX134*$G$134+CX138*$G$138</f>
        <v>0.65025843554536977</v>
      </c>
      <c r="CY79" s="21">
        <f t="shared" si="532"/>
        <v>0.65143585019236394</v>
      </c>
      <c r="CZ79" s="21">
        <f t="shared" ref="CZ79:DA79" si="533">+CZ80*$G$80+CZ87*$G$87+CZ89*$G$89+CZ99*$G$99+CZ104*$G$104+CZ106*$G$106+CZ109*$G$109+CZ112*$G$112+CZ115*$G$115+CZ119*$G$119+CZ123*$G$123+CZ130*$G$130+CZ134*$G$134+CZ138*$G$138</f>
        <v>0.65235852603896205</v>
      </c>
      <c r="DA79" s="21">
        <f t="shared" si="533"/>
        <v>0.65328120188556016</v>
      </c>
      <c r="DB79" s="21">
        <f t="shared" ref="DB79:DC79" si="534">+DB80*$G$80+DB87*$G$87+DB89*$G$89+DB99*$G$99+DB104*$G$104+DB106*$G$106+DB109*$G$109+DB112*$G$112+DB115*$G$115+DB119*$G$119+DB123*$G$123+DB130*$G$130+DB134*$G$134+DB138*$G$138</f>
        <v>0.65509205288728134</v>
      </c>
      <c r="DC79" s="21">
        <f t="shared" si="534"/>
        <v>0.65645019113857228</v>
      </c>
      <c r="DD79" s="21">
        <f t="shared" ref="DD79:DE79" si="535">+DD80*$G$80+DD87*$G$87+DD89*$G$89+DD99*$G$99+DD104*$G$104+DD106*$G$106+DD109*$G$109+DD112*$G$112+DD115*$G$115+DD119*$G$119+DD123*$G$123+DD130*$G$130+DD134*$G$134+DD138*$G$138</f>
        <v>0.65735561663943287</v>
      </c>
      <c r="DE79" s="21">
        <f t="shared" si="535"/>
        <v>0.69922054585144144</v>
      </c>
      <c r="DF79" s="21">
        <f t="shared" ref="DF79:EI79" si="536">+DF80*$G$80+DF87*$G$87+DF89*$G$89+DF99*$G$99+DF104*$G$104+DF106*$G$106+DF109*$G$109+DF112*$G$112+DF115*$G$115+DF119*$G$119+DF123*$G$123+DF130*$G$130+DF134*$G$134+DF138*$G$138</f>
        <v>0.70012597135230203</v>
      </c>
      <c r="DG79" s="271">
        <f t="shared" si="536"/>
        <v>0.70057868410273227</v>
      </c>
      <c r="DH79" s="21">
        <f t="shared" si="536"/>
        <v>0.70174698595243246</v>
      </c>
      <c r="DI79" s="21">
        <f t="shared" si="536"/>
        <v>0.70265241145329305</v>
      </c>
      <c r="DJ79" s="21">
        <f t="shared" si="536"/>
        <v>0.62991188486497007</v>
      </c>
      <c r="DK79" s="21">
        <f t="shared" si="536"/>
        <v>0.62991188486497007</v>
      </c>
      <c r="DL79" s="21">
        <f t="shared" si="536"/>
        <v>0.62991188486497007</v>
      </c>
      <c r="DM79" s="21">
        <f t="shared" si="536"/>
        <v>0.62991188486497007</v>
      </c>
      <c r="DN79" s="21">
        <f t="shared" si="536"/>
        <v>0.62991188486497007</v>
      </c>
      <c r="DO79" s="21">
        <f t="shared" si="536"/>
        <v>0.62991188486497007</v>
      </c>
      <c r="DP79" s="21">
        <f t="shared" si="536"/>
        <v>0.62991188486497007</v>
      </c>
      <c r="DQ79" s="21">
        <f t="shared" si="536"/>
        <v>0.62991188486497007</v>
      </c>
      <c r="DR79" s="21">
        <f t="shared" si="536"/>
        <v>0.62991188486497007</v>
      </c>
      <c r="DS79" s="21">
        <f t="shared" si="536"/>
        <v>0.62991188486497007</v>
      </c>
      <c r="DT79" s="21">
        <f t="shared" si="536"/>
        <v>0.62991188486497007</v>
      </c>
      <c r="DU79" s="21">
        <f t="shared" si="536"/>
        <v>0.62991188486497007</v>
      </c>
      <c r="DV79" s="21">
        <f t="shared" si="536"/>
        <v>0.62991188486497007</v>
      </c>
      <c r="DW79" s="21">
        <f t="shared" si="536"/>
        <v>0.62991188486497007</v>
      </c>
      <c r="DX79" s="21">
        <f t="shared" si="536"/>
        <v>0.62991188486497007</v>
      </c>
      <c r="DY79" s="21">
        <f t="shared" si="536"/>
        <v>0.62991188486497007</v>
      </c>
      <c r="DZ79" s="21">
        <f t="shared" si="536"/>
        <v>0.62991188486497007</v>
      </c>
      <c r="EA79" s="21">
        <f t="shared" si="536"/>
        <v>0.62991188486497007</v>
      </c>
      <c r="EB79" s="21">
        <f t="shared" si="536"/>
        <v>0.62991188486497007</v>
      </c>
      <c r="EC79" s="21">
        <f t="shared" si="536"/>
        <v>0.62991188486497007</v>
      </c>
      <c r="ED79" s="21">
        <f t="shared" si="536"/>
        <v>0.62991188486497007</v>
      </c>
      <c r="EE79" s="21">
        <f t="shared" si="536"/>
        <v>0.62991188486497007</v>
      </c>
      <c r="EF79" s="21">
        <f t="shared" si="536"/>
        <v>0.62991188486497007</v>
      </c>
      <c r="EG79" s="21">
        <f t="shared" si="536"/>
        <v>0.62991188486497007</v>
      </c>
      <c r="EH79" s="21">
        <f t="shared" si="536"/>
        <v>0.62991188486497007</v>
      </c>
      <c r="EI79" s="21">
        <f t="shared" si="536"/>
        <v>0.65645019113857228</v>
      </c>
    </row>
    <row r="80" spans="2:139" ht="15" outlineLevel="2" collapsed="1" x14ac:dyDescent="0.3">
      <c r="B80" s="22"/>
      <c r="C80" s="23"/>
      <c r="D80" s="23" t="s">
        <v>13</v>
      </c>
      <c r="E80" s="50"/>
      <c r="F80" s="26">
        <f>+SUM(F81:F86)</f>
        <v>77</v>
      </c>
      <c r="G80" s="28">
        <v>0.02</v>
      </c>
      <c r="H80" s="160"/>
      <c r="I80" s="28">
        <f t="shared" ref="I80:BD80" si="537">+SUMPRODUCT($G$81:$G$86,I81:I86)</f>
        <v>0</v>
      </c>
      <c r="J80" s="28">
        <f t="shared" si="537"/>
        <v>0</v>
      </c>
      <c r="K80" s="28">
        <f t="shared" si="537"/>
        <v>0</v>
      </c>
      <c r="L80" s="28">
        <f t="shared" si="537"/>
        <v>0</v>
      </c>
      <c r="M80" s="64">
        <f t="shared" si="537"/>
        <v>0</v>
      </c>
      <c r="N80" s="64">
        <f t="shared" si="537"/>
        <v>0</v>
      </c>
      <c r="O80" s="28">
        <f t="shared" si="537"/>
        <v>0</v>
      </c>
      <c r="P80" s="28">
        <f t="shared" si="537"/>
        <v>0</v>
      </c>
      <c r="Q80" s="28">
        <f t="shared" si="537"/>
        <v>0</v>
      </c>
      <c r="R80" s="28">
        <f t="shared" si="537"/>
        <v>0</v>
      </c>
      <c r="S80" s="28">
        <f t="shared" si="537"/>
        <v>1.4753246753246754E-2</v>
      </c>
      <c r="T80" s="28">
        <f t="shared" si="537"/>
        <v>2.2532467532467529E-2</v>
      </c>
      <c r="U80" s="28">
        <f t="shared" si="537"/>
        <v>6.0000000000000005E-2</v>
      </c>
      <c r="V80" s="28">
        <f t="shared" si="537"/>
        <v>7.2077922077922074E-2</v>
      </c>
      <c r="W80" s="28">
        <f t="shared" si="537"/>
        <v>0.55988455988455987</v>
      </c>
      <c r="X80" s="28">
        <f t="shared" si="537"/>
        <v>0.55988455988455987</v>
      </c>
      <c r="Y80" s="28">
        <f t="shared" si="537"/>
        <v>0.59018759018759015</v>
      </c>
      <c r="Z80" s="28">
        <f t="shared" si="537"/>
        <v>0.61038961038961037</v>
      </c>
      <c r="AA80" s="28">
        <f t="shared" si="537"/>
        <v>0.87012987012987009</v>
      </c>
      <c r="AB80" s="28">
        <f t="shared" si="537"/>
        <v>0.87012987012987009</v>
      </c>
      <c r="AC80" s="28">
        <f t="shared" si="537"/>
        <v>0.87012987012987009</v>
      </c>
      <c r="AD80" s="28">
        <f t="shared" si="537"/>
        <v>0.87012987012987009</v>
      </c>
      <c r="AE80" s="28">
        <f t="shared" si="537"/>
        <v>0.87012987012987009</v>
      </c>
      <c r="AF80" s="28">
        <f t="shared" si="537"/>
        <v>0.87012987012987009</v>
      </c>
      <c r="AG80" s="28">
        <f t="shared" si="537"/>
        <v>0.93506493506493504</v>
      </c>
      <c r="AH80" s="28">
        <f t="shared" si="537"/>
        <v>0.93506493506493504</v>
      </c>
      <c r="AI80" s="28">
        <f t="shared" si="537"/>
        <v>0.93506493506493504</v>
      </c>
      <c r="AJ80" s="28">
        <f t="shared" si="537"/>
        <v>0.93506493506493504</v>
      </c>
      <c r="AK80" s="28">
        <f t="shared" si="537"/>
        <v>0.93506493506493504</v>
      </c>
      <c r="AL80" s="28">
        <f t="shared" si="537"/>
        <v>0.93506493506493504</v>
      </c>
      <c r="AM80" s="28">
        <f t="shared" si="537"/>
        <v>0.93506493506493504</v>
      </c>
      <c r="AN80" s="28">
        <f t="shared" si="537"/>
        <v>0.93506493506493504</v>
      </c>
      <c r="AO80" s="28">
        <f t="shared" si="537"/>
        <v>0.93506493506493504</v>
      </c>
      <c r="AP80" s="28">
        <f t="shared" si="537"/>
        <v>0.93506493506493504</v>
      </c>
      <c r="AQ80" s="28">
        <f t="shared" si="537"/>
        <v>0.93506493506493504</v>
      </c>
      <c r="AR80" s="28">
        <f t="shared" si="537"/>
        <v>0.93506493506493504</v>
      </c>
      <c r="AS80" s="28">
        <f t="shared" si="537"/>
        <v>0.93506493506493504</v>
      </c>
      <c r="AT80" s="28">
        <f t="shared" si="537"/>
        <v>0.93506493506493504</v>
      </c>
      <c r="AU80" s="28">
        <f t="shared" si="537"/>
        <v>0.93506493506493504</v>
      </c>
      <c r="AV80" s="28">
        <f t="shared" si="537"/>
        <v>0.93506493506493504</v>
      </c>
      <c r="AW80" s="28">
        <f t="shared" si="537"/>
        <v>0.93506493506493504</v>
      </c>
      <c r="AX80" s="28">
        <f t="shared" si="537"/>
        <v>0.93506493506493504</v>
      </c>
      <c r="AY80" s="28">
        <f t="shared" si="537"/>
        <v>0.93506493506493504</v>
      </c>
      <c r="AZ80" s="28">
        <f t="shared" si="537"/>
        <v>0.93506493506493504</v>
      </c>
      <c r="BA80" s="28">
        <f t="shared" si="537"/>
        <v>0.93506493506493504</v>
      </c>
      <c r="BB80" s="28">
        <f t="shared" si="537"/>
        <v>0.93506493506493504</v>
      </c>
      <c r="BC80" s="28">
        <f t="shared" si="537"/>
        <v>0.93506493506493504</v>
      </c>
      <c r="BD80" s="28">
        <f t="shared" si="537"/>
        <v>0.93506493506493504</v>
      </c>
      <c r="BE80" s="28">
        <f t="shared" ref="BE80:BF80" si="538">+SUMPRODUCT($G$81:$G$86,BE81:BE86)</f>
        <v>0.93506493506493504</v>
      </c>
      <c r="BF80" s="28">
        <f t="shared" si="538"/>
        <v>0.93506493506493504</v>
      </c>
      <c r="BG80" s="161">
        <f t="shared" ref="BG80:BH80" si="539">+SUMPRODUCT($G$81:$G$86,BG81:BG86)</f>
        <v>0.93506493506493504</v>
      </c>
      <c r="BH80" s="161">
        <f t="shared" si="539"/>
        <v>0.93506493506493504</v>
      </c>
      <c r="BI80" s="28">
        <f t="shared" ref="BI80:BJ80" si="540">+SUMPRODUCT($G$81:$G$86,BI81:BI86)</f>
        <v>0.93506493506493504</v>
      </c>
      <c r="BJ80" s="28">
        <f t="shared" si="540"/>
        <v>0.93506493506493504</v>
      </c>
      <c r="BK80" s="28">
        <f t="shared" ref="BK80:BL80" si="541">+SUMPRODUCT($G$81:$G$86,BK81:BK86)</f>
        <v>0.93506493506493504</v>
      </c>
      <c r="BL80" s="28">
        <f t="shared" si="541"/>
        <v>0.93506493506493504</v>
      </c>
      <c r="BM80" s="28">
        <f t="shared" ref="BM80:BN80" si="542">+SUMPRODUCT($G$81:$G$86,BM81:BM86)</f>
        <v>0.93506493506493504</v>
      </c>
      <c r="BN80" s="28">
        <f t="shared" si="542"/>
        <v>0.93506493506493504</v>
      </c>
      <c r="BO80" s="28">
        <f t="shared" ref="BO80:BP80" si="543">+SUMPRODUCT($G$81:$G$86,BO81:BO86)</f>
        <v>0.93506493506493504</v>
      </c>
      <c r="BP80" s="28">
        <f t="shared" si="543"/>
        <v>0.93506493506493504</v>
      </c>
      <c r="BQ80" s="28">
        <f t="shared" ref="BQ80:BR80" si="544">+SUMPRODUCT($G$81:$G$86,BQ81:BQ86)</f>
        <v>0.93506493506493504</v>
      </c>
      <c r="BR80" s="28">
        <f t="shared" si="544"/>
        <v>0.93506493506493504</v>
      </c>
      <c r="BS80" s="28">
        <f t="shared" ref="BS80:BT80" si="545">+SUMPRODUCT($G$81:$G$86,BS81:BS86)</f>
        <v>0.95698051948051943</v>
      </c>
      <c r="BT80" s="28">
        <f t="shared" si="545"/>
        <v>0.97816558441558432</v>
      </c>
      <c r="BU80" s="28">
        <f t="shared" ref="BU80:BV80" si="546">+SUMPRODUCT($G$81:$G$86,BU81:BU86)</f>
        <v>0.98444805194805185</v>
      </c>
      <c r="BV80" s="28">
        <f t="shared" si="546"/>
        <v>0.99999999999999989</v>
      </c>
      <c r="BW80" s="28">
        <f t="shared" ref="BW80:BX80" si="547">+SUMPRODUCT($G$81:$G$86,BW81:BW86)</f>
        <v>0.99999999999999989</v>
      </c>
      <c r="BX80" s="28">
        <f t="shared" si="547"/>
        <v>0.99999999999999989</v>
      </c>
      <c r="BY80" s="28">
        <f t="shared" ref="BY80:BZ80" si="548">+SUMPRODUCT($G$81:$G$86,BY81:BY86)</f>
        <v>0.99999999999999989</v>
      </c>
      <c r="BZ80" s="28">
        <f t="shared" si="548"/>
        <v>0.99999999999999989</v>
      </c>
      <c r="CA80" s="28">
        <f t="shared" ref="CA80:CB80" si="549">+SUMPRODUCT($G$81:$G$86,CA81:CA86)</f>
        <v>0.99999999999999989</v>
      </c>
      <c r="CB80" s="28">
        <f t="shared" si="549"/>
        <v>0.99999999999999989</v>
      </c>
      <c r="CC80" s="28">
        <f t="shared" ref="CC80:CD80" si="550">+SUMPRODUCT($G$81:$G$86,CC81:CC86)</f>
        <v>0.99999999999999989</v>
      </c>
      <c r="CD80" s="28">
        <f t="shared" si="550"/>
        <v>0.99999999999999989</v>
      </c>
      <c r="CE80" s="28">
        <f t="shared" ref="CE80" si="551">+SUMPRODUCT($G$81:$G$86,CE81:CE86)</f>
        <v>0.99999999999999989</v>
      </c>
      <c r="CF80" s="28">
        <f t="shared" ref="CF80" si="552">+SUMPRODUCT($G$81:$G$86,CF81:CF86)</f>
        <v>0.99999999999999989</v>
      </c>
      <c r="CG80" s="28">
        <f t="shared" ref="CG80" si="553">+SUMPRODUCT($G$81:$G$86,CG81:CG86)</f>
        <v>0.99999999999999989</v>
      </c>
      <c r="CH80" s="28">
        <f t="shared" ref="CH80" si="554">+SUMPRODUCT($G$81:$G$86,CH81:CH86)</f>
        <v>0.99999999999999989</v>
      </c>
      <c r="CI80" s="28">
        <f t="shared" ref="CI80" si="555">+SUMPRODUCT($G$81:$G$86,CI81:CI86)</f>
        <v>0.99999999999999989</v>
      </c>
      <c r="CJ80" s="28">
        <f t="shared" ref="CJ80:CK80" si="556">+SUMPRODUCT($G$81:$G$86,CJ81:CJ86)</f>
        <v>0.99999999999999989</v>
      </c>
      <c r="CK80" s="28">
        <f t="shared" si="556"/>
        <v>0.99999999999999989</v>
      </c>
      <c r="CL80" s="28">
        <f t="shared" ref="CL80:CV80" si="557">+SUMPRODUCT($G$81:$G$86,CL81:CL86)</f>
        <v>0.99999999999999989</v>
      </c>
      <c r="CM80" s="28">
        <f t="shared" si="557"/>
        <v>0.99999999999999989</v>
      </c>
      <c r="CN80" s="28">
        <f t="shared" si="557"/>
        <v>0.99999999999999989</v>
      </c>
      <c r="CO80" s="28">
        <f t="shared" si="557"/>
        <v>0.99999999999999989</v>
      </c>
      <c r="CP80" s="28">
        <f t="shared" si="557"/>
        <v>0.99999999999999989</v>
      </c>
      <c r="CQ80" s="28">
        <f t="shared" si="557"/>
        <v>0.99999999999999989</v>
      </c>
      <c r="CR80" s="28">
        <f t="shared" si="557"/>
        <v>0.99999999999999989</v>
      </c>
      <c r="CS80" s="28">
        <f t="shared" si="557"/>
        <v>0.99999999999999989</v>
      </c>
      <c r="CT80" s="28">
        <f t="shared" si="557"/>
        <v>0.99999999999999989</v>
      </c>
      <c r="CU80" s="28">
        <f t="shared" si="557"/>
        <v>0.99999999999999989</v>
      </c>
      <c r="CV80" s="28">
        <f t="shared" si="557"/>
        <v>0.99999999999999989</v>
      </c>
      <c r="CW80" s="28">
        <f t="shared" ref="CW80" si="558">+SUMPRODUCT($G$81:$G$86,CW81:CW86)</f>
        <v>0.99999999999999989</v>
      </c>
      <c r="CX80" s="28">
        <f t="shared" ref="CX80:CY80" si="559">+SUMPRODUCT($G$81:$G$86,CX81:CX86)</f>
        <v>0.99999999999999989</v>
      </c>
      <c r="CY80" s="28">
        <f t="shared" si="559"/>
        <v>0.99999999999999989</v>
      </c>
      <c r="CZ80" s="28">
        <f t="shared" ref="CZ80:DA80" si="560">+SUMPRODUCT($G$81:$G$86,CZ81:CZ86)</f>
        <v>0.99999999999999989</v>
      </c>
      <c r="DA80" s="28">
        <f t="shared" si="560"/>
        <v>0.99999999999999989</v>
      </c>
      <c r="DB80" s="28">
        <f t="shared" ref="DB80:DC80" si="561">+SUMPRODUCT($G$81:$G$86,DB81:DB86)</f>
        <v>0.99999999999999989</v>
      </c>
      <c r="DC80" s="28">
        <f t="shared" si="561"/>
        <v>0.99999999999999989</v>
      </c>
      <c r="DD80" s="28">
        <f t="shared" ref="DD80:DE80" si="562">+SUMPRODUCT($G$81:$G$86,DD81:DD86)</f>
        <v>0.99999999999999989</v>
      </c>
      <c r="DE80" s="28">
        <f t="shared" si="562"/>
        <v>0.99999999999999989</v>
      </c>
      <c r="DF80" s="28">
        <f t="shared" ref="DF80:EI80" si="563">+SUMPRODUCT($G$81:$G$86,DF81:DF86)</f>
        <v>0.99999999999999989</v>
      </c>
      <c r="DG80" s="28">
        <f t="shared" si="563"/>
        <v>0.99999999999999989</v>
      </c>
      <c r="DH80" s="28">
        <f t="shared" si="563"/>
        <v>0.99999999999999989</v>
      </c>
      <c r="DI80" s="28">
        <f t="shared" si="563"/>
        <v>0.99999999999999989</v>
      </c>
      <c r="DJ80" s="28">
        <f t="shared" si="563"/>
        <v>0.99999999999999989</v>
      </c>
      <c r="DK80" s="28">
        <f t="shared" si="563"/>
        <v>0.99999999999999989</v>
      </c>
      <c r="DL80" s="28">
        <f t="shared" si="563"/>
        <v>0.99999999999999989</v>
      </c>
      <c r="DM80" s="28">
        <f t="shared" si="563"/>
        <v>0.99999999999999989</v>
      </c>
      <c r="DN80" s="28">
        <f t="shared" si="563"/>
        <v>0.99999999999999989</v>
      </c>
      <c r="DO80" s="28">
        <f t="shared" si="563"/>
        <v>0.99999999999999989</v>
      </c>
      <c r="DP80" s="28">
        <f t="shared" si="563"/>
        <v>0.99999999999999989</v>
      </c>
      <c r="DQ80" s="28">
        <f t="shared" si="563"/>
        <v>0.99999999999999989</v>
      </c>
      <c r="DR80" s="28">
        <f t="shared" si="563"/>
        <v>0.99999999999999989</v>
      </c>
      <c r="DS80" s="28">
        <f t="shared" si="563"/>
        <v>0.99999999999999989</v>
      </c>
      <c r="DT80" s="28">
        <f t="shared" si="563"/>
        <v>0.99999999999999989</v>
      </c>
      <c r="DU80" s="28">
        <f t="shared" si="563"/>
        <v>0.99999999999999989</v>
      </c>
      <c r="DV80" s="28">
        <f t="shared" si="563"/>
        <v>0.99999999999999989</v>
      </c>
      <c r="DW80" s="28">
        <f t="shared" si="563"/>
        <v>0.99999999999999989</v>
      </c>
      <c r="DX80" s="28">
        <f t="shared" si="563"/>
        <v>0.99999999999999989</v>
      </c>
      <c r="DY80" s="28">
        <f t="shared" si="563"/>
        <v>0.99999999999999989</v>
      </c>
      <c r="DZ80" s="28">
        <f t="shared" si="563"/>
        <v>0.99999999999999989</v>
      </c>
      <c r="EA80" s="28">
        <f t="shared" si="563"/>
        <v>0.99999999999999989</v>
      </c>
      <c r="EB80" s="28">
        <f t="shared" si="563"/>
        <v>0.99999999999999989</v>
      </c>
      <c r="EC80" s="28">
        <f t="shared" si="563"/>
        <v>0.99999999999999989</v>
      </c>
      <c r="ED80" s="28">
        <f t="shared" si="563"/>
        <v>0.99999999999999989</v>
      </c>
      <c r="EE80" s="28">
        <f t="shared" si="563"/>
        <v>0.99999999999999989</v>
      </c>
      <c r="EF80" s="28">
        <f t="shared" si="563"/>
        <v>0.99999999999999989</v>
      </c>
      <c r="EG80" s="28">
        <f t="shared" si="563"/>
        <v>0.99999999999999989</v>
      </c>
      <c r="EH80" s="28">
        <f t="shared" si="563"/>
        <v>0.99999999999999989</v>
      </c>
      <c r="EI80" s="28">
        <f t="shared" si="563"/>
        <v>0.99999999999999989</v>
      </c>
    </row>
    <row r="81" spans="2:139" hidden="1" outlineLevel="3" x14ac:dyDescent="0.3">
      <c r="B81" s="29"/>
      <c r="C81" s="30"/>
      <c r="D81" s="30"/>
      <c r="E81" s="52" t="s">
        <v>84</v>
      </c>
      <c r="F81" s="33">
        <v>7</v>
      </c>
      <c r="G81" s="35">
        <v>9.0909090909090912E-2</v>
      </c>
      <c r="H81" s="162"/>
      <c r="I81" s="127">
        <v>0</v>
      </c>
      <c r="J81" s="127">
        <v>0</v>
      </c>
      <c r="K81" s="127">
        <v>0</v>
      </c>
      <c r="L81" s="127">
        <v>0</v>
      </c>
      <c r="M81" s="128">
        <v>0</v>
      </c>
      <c r="N81" s="128">
        <v>0</v>
      </c>
      <c r="O81" s="128">
        <v>0</v>
      </c>
      <c r="P81" s="127">
        <v>0</v>
      </c>
      <c r="Q81" s="127">
        <v>0</v>
      </c>
      <c r="R81" s="127">
        <v>0</v>
      </c>
      <c r="S81" s="127">
        <v>0</v>
      </c>
      <c r="T81" s="127">
        <v>0</v>
      </c>
      <c r="U81" s="127">
        <v>0</v>
      </c>
      <c r="V81" s="127">
        <v>0</v>
      </c>
      <c r="W81" s="127">
        <f>4/9</f>
        <v>0.44444444444444442</v>
      </c>
      <c r="X81" s="127">
        <f>4/9</f>
        <v>0.44444444444444442</v>
      </c>
      <c r="Y81" s="127">
        <f>7/9</f>
        <v>0.77777777777777779</v>
      </c>
      <c r="Z81" s="127">
        <v>1</v>
      </c>
      <c r="AA81" s="127">
        <v>1</v>
      </c>
      <c r="AB81" s="127">
        <v>1</v>
      </c>
      <c r="AC81" s="127">
        <v>1</v>
      </c>
      <c r="AD81" s="127">
        <v>1</v>
      </c>
      <c r="AE81" s="127">
        <v>1</v>
      </c>
      <c r="AF81" s="127">
        <v>1</v>
      </c>
      <c r="AG81" s="127">
        <v>1</v>
      </c>
      <c r="AH81" s="127">
        <v>1</v>
      </c>
      <c r="AI81" s="127">
        <v>1</v>
      </c>
      <c r="AJ81" s="127">
        <v>1</v>
      </c>
      <c r="AK81" s="127">
        <v>1</v>
      </c>
      <c r="AL81" s="127">
        <v>1</v>
      </c>
      <c r="AM81" s="127">
        <v>1</v>
      </c>
      <c r="AN81" s="127">
        <v>1</v>
      </c>
      <c r="AO81" s="127">
        <v>1</v>
      </c>
      <c r="AP81" s="127">
        <v>1</v>
      </c>
      <c r="AQ81" s="127">
        <v>1</v>
      </c>
      <c r="AR81" s="127">
        <v>1</v>
      </c>
      <c r="AS81" s="127">
        <v>1</v>
      </c>
      <c r="AT81" s="127">
        <v>1</v>
      </c>
      <c r="AU81" s="127">
        <v>1</v>
      </c>
      <c r="AV81" s="127">
        <v>1</v>
      </c>
      <c r="AW81" s="127">
        <v>1</v>
      </c>
      <c r="AX81" s="127">
        <v>1</v>
      </c>
      <c r="AY81" s="127">
        <v>1</v>
      </c>
      <c r="AZ81" s="127">
        <v>1</v>
      </c>
      <c r="BA81" s="127">
        <v>1</v>
      </c>
      <c r="BB81" s="127">
        <v>1</v>
      </c>
      <c r="BC81" s="127">
        <v>1</v>
      </c>
      <c r="BD81" s="127">
        <v>1</v>
      </c>
      <c r="BE81" s="127">
        <v>1</v>
      </c>
      <c r="BF81" s="127">
        <v>1</v>
      </c>
      <c r="BG81" s="163">
        <v>1</v>
      </c>
      <c r="BH81" s="163">
        <v>1</v>
      </c>
      <c r="BI81" s="127">
        <v>1</v>
      </c>
      <c r="BJ81" s="127">
        <v>1</v>
      </c>
      <c r="BK81" s="127">
        <v>1</v>
      </c>
      <c r="BL81" s="127">
        <v>1</v>
      </c>
      <c r="BM81" s="127">
        <v>1</v>
      </c>
      <c r="BN81" s="127">
        <v>1</v>
      </c>
      <c r="BO81" s="127">
        <v>1</v>
      </c>
      <c r="BP81" s="127">
        <v>1</v>
      </c>
      <c r="BQ81" s="127">
        <v>1</v>
      </c>
      <c r="BR81" s="127">
        <v>1</v>
      </c>
      <c r="BS81" s="127">
        <v>1</v>
      </c>
      <c r="BT81" s="127">
        <v>1</v>
      </c>
      <c r="BU81" s="127">
        <v>1</v>
      </c>
      <c r="BV81" s="127">
        <v>1</v>
      </c>
      <c r="BW81" s="127">
        <v>1</v>
      </c>
      <c r="BX81" s="127">
        <v>1</v>
      </c>
      <c r="BY81" s="127">
        <v>1</v>
      </c>
      <c r="BZ81" s="127">
        <v>1</v>
      </c>
      <c r="CA81" s="127">
        <v>1</v>
      </c>
      <c r="CB81" s="127">
        <v>1</v>
      </c>
      <c r="CC81" s="127">
        <v>1</v>
      </c>
      <c r="CD81" s="127">
        <v>1</v>
      </c>
      <c r="CE81" s="127">
        <v>1</v>
      </c>
      <c r="CF81" s="127">
        <v>1</v>
      </c>
      <c r="CG81" s="127">
        <v>1</v>
      </c>
      <c r="CH81" s="127">
        <v>1</v>
      </c>
      <c r="CI81" s="127">
        <v>1</v>
      </c>
      <c r="CJ81" s="127">
        <v>1</v>
      </c>
      <c r="CK81" s="127">
        <v>1</v>
      </c>
      <c r="CL81" s="127">
        <v>1</v>
      </c>
      <c r="CM81" s="127">
        <v>1</v>
      </c>
      <c r="CN81" s="127">
        <v>1</v>
      </c>
      <c r="CO81" s="127">
        <v>1</v>
      </c>
      <c r="CP81" s="127">
        <v>1</v>
      </c>
      <c r="CQ81" s="127">
        <v>1</v>
      </c>
      <c r="CR81" s="127">
        <v>1</v>
      </c>
      <c r="CS81" s="127">
        <v>1</v>
      </c>
      <c r="CT81" s="127">
        <v>1</v>
      </c>
      <c r="CU81" s="127">
        <v>1</v>
      </c>
      <c r="CV81" s="127">
        <v>1</v>
      </c>
      <c r="CW81" s="127">
        <v>1</v>
      </c>
      <c r="CX81" s="127">
        <v>1</v>
      </c>
      <c r="CY81" s="127">
        <v>1</v>
      </c>
      <c r="CZ81" s="127">
        <v>1</v>
      </c>
      <c r="DA81" s="127">
        <v>1</v>
      </c>
      <c r="DB81" s="127">
        <v>1</v>
      </c>
      <c r="DC81" s="127">
        <v>1</v>
      </c>
      <c r="DD81" s="127">
        <v>1</v>
      </c>
      <c r="DE81" s="127">
        <v>1</v>
      </c>
      <c r="DF81" s="127">
        <v>1</v>
      </c>
      <c r="DG81" s="127">
        <v>1</v>
      </c>
      <c r="DH81" s="127">
        <v>1</v>
      </c>
      <c r="DI81" s="127">
        <v>1</v>
      </c>
      <c r="DJ81" s="127">
        <v>1</v>
      </c>
      <c r="DK81" s="127">
        <v>1</v>
      </c>
      <c r="DL81" s="127">
        <v>1</v>
      </c>
      <c r="DM81" s="127">
        <v>1</v>
      </c>
      <c r="DN81" s="127">
        <v>1</v>
      </c>
      <c r="DO81" s="127">
        <v>1</v>
      </c>
      <c r="DP81" s="127">
        <v>1</v>
      </c>
      <c r="DQ81" s="127">
        <v>1</v>
      </c>
      <c r="DR81" s="127">
        <v>1</v>
      </c>
      <c r="DS81" s="127">
        <v>1</v>
      </c>
      <c r="DT81" s="127">
        <v>1</v>
      </c>
      <c r="DU81" s="127">
        <v>1</v>
      </c>
      <c r="DV81" s="127">
        <v>1</v>
      </c>
      <c r="DW81" s="127">
        <v>1</v>
      </c>
      <c r="DX81" s="127">
        <v>1</v>
      </c>
      <c r="DY81" s="127">
        <v>1</v>
      </c>
      <c r="DZ81" s="127">
        <v>1</v>
      </c>
      <c r="EA81" s="127">
        <v>1</v>
      </c>
      <c r="EB81" s="127">
        <v>1</v>
      </c>
      <c r="EC81" s="127">
        <v>1</v>
      </c>
      <c r="ED81" s="127">
        <v>1</v>
      </c>
      <c r="EE81" s="127">
        <v>1</v>
      </c>
      <c r="EF81" s="127">
        <v>1</v>
      </c>
      <c r="EG81" s="127">
        <v>1</v>
      </c>
      <c r="EH81" s="127">
        <v>1</v>
      </c>
      <c r="EI81" s="127">
        <v>1</v>
      </c>
    </row>
    <row r="82" spans="2:139" hidden="1" outlineLevel="3" x14ac:dyDescent="0.3">
      <c r="B82" s="29"/>
      <c r="C82" s="30"/>
      <c r="D82" s="30"/>
      <c r="E82" s="52" t="s">
        <v>85</v>
      </c>
      <c r="F82" s="33">
        <v>5</v>
      </c>
      <c r="G82" s="35">
        <v>6.4935064935064929E-2</v>
      </c>
      <c r="H82" s="162"/>
      <c r="I82" s="127">
        <v>0</v>
      </c>
      <c r="J82" s="127">
        <v>0</v>
      </c>
      <c r="K82" s="127">
        <v>0</v>
      </c>
      <c r="L82" s="127">
        <v>0</v>
      </c>
      <c r="M82" s="127">
        <v>0</v>
      </c>
      <c r="N82" s="127">
        <v>0</v>
      </c>
      <c r="O82" s="127">
        <v>0</v>
      </c>
      <c r="P82" s="127">
        <v>0</v>
      </c>
      <c r="Q82" s="127">
        <v>0</v>
      </c>
      <c r="R82" s="127">
        <v>0</v>
      </c>
      <c r="S82" s="127">
        <v>0</v>
      </c>
      <c r="T82" s="127">
        <v>0</v>
      </c>
      <c r="U82" s="127">
        <v>0</v>
      </c>
      <c r="V82" s="127">
        <v>0</v>
      </c>
      <c r="W82" s="127">
        <v>0</v>
      </c>
      <c r="X82" s="127">
        <v>0</v>
      </c>
      <c r="Y82" s="127">
        <v>0</v>
      </c>
      <c r="Z82" s="127">
        <v>0</v>
      </c>
      <c r="AA82" s="127">
        <v>0</v>
      </c>
      <c r="AB82" s="127">
        <v>0</v>
      </c>
      <c r="AC82" s="127">
        <v>0</v>
      </c>
      <c r="AD82" s="127">
        <v>0</v>
      </c>
      <c r="AE82" s="127">
        <v>0</v>
      </c>
      <c r="AF82" s="127">
        <v>0</v>
      </c>
      <c r="AG82" s="127">
        <v>1</v>
      </c>
      <c r="AH82" s="127">
        <v>1</v>
      </c>
      <c r="AI82" s="127">
        <v>1</v>
      </c>
      <c r="AJ82" s="127">
        <v>1</v>
      </c>
      <c r="AK82" s="127">
        <v>1</v>
      </c>
      <c r="AL82" s="127">
        <v>1</v>
      </c>
      <c r="AM82" s="127">
        <v>1</v>
      </c>
      <c r="AN82" s="127">
        <v>1</v>
      </c>
      <c r="AO82" s="127">
        <v>1</v>
      </c>
      <c r="AP82" s="127">
        <v>1</v>
      </c>
      <c r="AQ82" s="127">
        <v>1</v>
      </c>
      <c r="AR82" s="127">
        <v>1</v>
      </c>
      <c r="AS82" s="127">
        <v>1</v>
      </c>
      <c r="AT82" s="127">
        <v>1</v>
      </c>
      <c r="AU82" s="127">
        <v>1</v>
      </c>
      <c r="AV82" s="127">
        <v>1</v>
      </c>
      <c r="AW82" s="127">
        <v>1</v>
      </c>
      <c r="AX82" s="127">
        <v>1</v>
      </c>
      <c r="AY82" s="127">
        <v>1</v>
      </c>
      <c r="AZ82" s="127">
        <v>1</v>
      </c>
      <c r="BA82" s="127">
        <v>1</v>
      </c>
      <c r="BB82" s="127">
        <v>1</v>
      </c>
      <c r="BC82" s="127">
        <v>1</v>
      </c>
      <c r="BD82" s="127">
        <v>1</v>
      </c>
      <c r="BE82" s="127">
        <v>1</v>
      </c>
      <c r="BF82" s="127">
        <v>1</v>
      </c>
      <c r="BG82" s="163">
        <v>1</v>
      </c>
      <c r="BH82" s="163">
        <v>1</v>
      </c>
      <c r="BI82" s="127">
        <v>1</v>
      </c>
      <c r="BJ82" s="127">
        <v>1</v>
      </c>
      <c r="BK82" s="127">
        <v>1</v>
      </c>
      <c r="BL82" s="127">
        <v>1</v>
      </c>
      <c r="BM82" s="127">
        <v>1</v>
      </c>
      <c r="BN82" s="127">
        <v>1</v>
      </c>
      <c r="BO82" s="127">
        <v>1</v>
      </c>
      <c r="BP82" s="127">
        <v>1</v>
      </c>
      <c r="BQ82" s="127">
        <v>1</v>
      </c>
      <c r="BR82" s="127">
        <v>1</v>
      </c>
      <c r="BS82" s="127">
        <v>1</v>
      </c>
      <c r="BT82" s="127">
        <v>1</v>
      </c>
      <c r="BU82" s="127">
        <v>1</v>
      </c>
      <c r="BV82" s="127">
        <v>1</v>
      </c>
      <c r="BW82" s="127">
        <v>1</v>
      </c>
      <c r="BX82" s="127">
        <v>1</v>
      </c>
      <c r="BY82" s="127">
        <v>1</v>
      </c>
      <c r="BZ82" s="127">
        <v>1</v>
      </c>
      <c r="CA82" s="127">
        <v>1</v>
      </c>
      <c r="CB82" s="127">
        <v>1</v>
      </c>
      <c r="CC82" s="127">
        <v>1</v>
      </c>
      <c r="CD82" s="127">
        <v>1</v>
      </c>
      <c r="CE82" s="127">
        <v>1</v>
      </c>
      <c r="CF82" s="127">
        <v>1</v>
      </c>
      <c r="CG82" s="127">
        <v>1</v>
      </c>
      <c r="CH82" s="127">
        <v>1</v>
      </c>
      <c r="CI82" s="127">
        <v>1</v>
      </c>
      <c r="CJ82" s="127">
        <v>1</v>
      </c>
      <c r="CK82" s="127">
        <v>1</v>
      </c>
      <c r="CL82" s="127">
        <v>1</v>
      </c>
      <c r="CM82" s="127">
        <v>1</v>
      </c>
      <c r="CN82" s="127">
        <v>1</v>
      </c>
      <c r="CO82" s="127">
        <v>1</v>
      </c>
      <c r="CP82" s="127">
        <v>1</v>
      </c>
      <c r="CQ82" s="127">
        <v>1</v>
      </c>
      <c r="CR82" s="127">
        <v>1</v>
      </c>
      <c r="CS82" s="127">
        <v>1</v>
      </c>
      <c r="CT82" s="127">
        <v>1</v>
      </c>
      <c r="CU82" s="127">
        <v>1</v>
      </c>
      <c r="CV82" s="127">
        <v>1</v>
      </c>
      <c r="CW82" s="127">
        <v>1</v>
      </c>
      <c r="CX82" s="127">
        <v>1</v>
      </c>
      <c r="CY82" s="127">
        <v>1</v>
      </c>
      <c r="CZ82" s="127">
        <v>1</v>
      </c>
      <c r="DA82" s="127">
        <v>1</v>
      </c>
      <c r="DB82" s="127">
        <v>1</v>
      </c>
      <c r="DC82" s="127">
        <v>1</v>
      </c>
      <c r="DD82" s="127">
        <v>1</v>
      </c>
      <c r="DE82" s="127">
        <v>1</v>
      </c>
      <c r="DF82" s="127">
        <v>1</v>
      </c>
      <c r="DG82" s="127">
        <v>1</v>
      </c>
      <c r="DH82" s="127">
        <v>1</v>
      </c>
      <c r="DI82" s="127">
        <v>1</v>
      </c>
      <c r="DJ82" s="127">
        <v>1</v>
      </c>
      <c r="DK82" s="127">
        <v>1</v>
      </c>
      <c r="DL82" s="127">
        <v>1</v>
      </c>
      <c r="DM82" s="127">
        <v>1</v>
      </c>
      <c r="DN82" s="127">
        <v>1</v>
      </c>
      <c r="DO82" s="127">
        <v>1</v>
      </c>
      <c r="DP82" s="127">
        <v>1</v>
      </c>
      <c r="DQ82" s="127">
        <v>1</v>
      </c>
      <c r="DR82" s="127">
        <v>1</v>
      </c>
      <c r="DS82" s="127">
        <v>1</v>
      </c>
      <c r="DT82" s="127">
        <v>1</v>
      </c>
      <c r="DU82" s="127">
        <v>1</v>
      </c>
      <c r="DV82" s="127">
        <v>1</v>
      </c>
      <c r="DW82" s="127">
        <v>1</v>
      </c>
      <c r="DX82" s="127">
        <v>1</v>
      </c>
      <c r="DY82" s="127">
        <v>1</v>
      </c>
      <c r="DZ82" s="127">
        <v>1</v>
      </c>
      <c r="EA82" s="127">
        <v>1</v>
      </c>
      <c r="EB82" s="127">
        <v>1</v>
      </c>
      <c r="EC82" s="127">
        <v>1</v>
      </c>
      <c r="ED82" s="127">
        <v>1</v>
      </c>
      <c r="EE82" s="127">
        <v>1</v>
      </c>
      <c r="EF82" s="127">
        <v>1</v>
      </c>
      <c r="EG82" s="127">
        <v>1</v>
      </c>
      <c r="EH82" s="127">
        <v>1</v>
      </c>
      <c r="EI82" s="127">
        <v>1</v>
      </c>
    </row>
    <row r="83" spans="2:139" hidden="1" outlineLevel="3" x14ac:dyDescent="0.3">
      <c r="B83" s="29"/>
      <c r="C83" s="30"/>
      <c r="D83" s="30"/>
      <c r="E83" s="52" t="s">
        <v>86</v>
      </c>
      <c r="F83" s="33">
        <v>5</v>
      </c>
      <c r="G83" s="35">
        <v>6.4935064935064929E-2</v>
      </c>
      <c r="H83" s="162"/>
      <c r="I83" s="127">
        <v>0</v>
      </c>
      <c r="J83" s="127">
        <v>0</v>
      </c>
      <c r="K83" s="127">
        <v>0</v>
      </c>
      <c r="L83" s="127">
        <v>0</v>
      </c>
      <c r="M83" s="128">
        <v>0</v>
      </c>
      <c r="N83" s="128">
        <v>0</v>
      </c>
      <c r="O83" s="128">
        <v>0</v>
      </c>
      <c r="P83" s="127">
        <v>0</v>
      </c>
      <c r="Q83" s="127">
        <v>0</v>
      </c>
      <c r="R83" s="127">
        <v>0</v>
      </c>
      <c r="S83" s="127">
        <v>0</v>
      </c>
      <c r="T83" s="127">
        <v>0</v>
      </c>
      <c r="U83" s="127">
        <v>0</v>
      </c>
      <c r="V83" s="127">
        <v>0</v>
      </c>
      <c r="W83" s="127">
        <v>0</v>
      </c>
      <c r="X83" s="127">
        <v>0</v>
      </c>
      <c r="Y83" s="127">
        <v>0</v>
      </c>
      <c r="Z83" s="127">
        <v>0</v>
      </c>
      <c r="AA83" s="127">
        <v>0</v>
      </c>
      <c r="AB83" s="127">
        <v>0</v>
      </c>
      <c r="AC83" s="127">
        <v>0</v>
      </c>
      <c r="AD83" s="127">
        <v>0</v>
      </c>
      <c r="AE83" s="127">
        <v>0</v>
      </c>
      <c r="AF83" s="127">
        <v>0</v>
      </c>
      <c r="AG83" s="127">
        <v>0</v>
      </c>
      <c r="AH83" s="127">
        <v>0</v>
      </c>
      <c r="AI83" s="127">
        <v>0</v>
      </c>
      <c r="AJ83" s="127">
        <v>0</v>
      </c>
      <c r="AK83" s="127">
        <v>0</v>
      </c>
      <c r="AL83" s="127">
        <v>0</v>
      </c>
      <c r="AM83" s="127">
        <v>0</v>
      </c>
      <c r="AN83" s="127">
        <v>0</v>
      </c>
      <c r="AO83" s="127">
        <v>0</v>
      </c>
      <c r="AP83" s="127">
        <v>0</v>
      </c>
      <c r="AQ83" s="127">
        <v>0</v>
      </c>
      <c r="AR83" s="127">
        <v>0</v>
      </c>
      <c r="AS83" s="127">
        <v>0</v>
      </c>
      <c r="AT83" s="127">
        <v>0</v>
      </c>
      <c r="AU83" s="127">
        <v>0</v>
      </c>
      <c r="AV83" s="127">
        <v>0</v>
      </c>
      <c r="AW83" s="127">
        <v>0</v>
      </c>
      <c r="AX83" s="127">
        <v>0</v>
      </c>
      <c r="AY83" s="127">
        <v>0</v>
      </c>
      <c r="AZ83" s="127">
        <v>0</v>
      </c>
      <c r="BA83" s="127">
        <v>0</v>
      </c>
      <c r="BB83" s="127">
        <f>Real[[#This Row],[05/05/25]]+(1-Real[[#This Row],[05/05/25]])*'Avance 39'!I48</f>
        <v>0</v>
      </c>
      <c r="BC83" s="127">
        <f>Real[[#This Row],[05/05/25]]+(1-Real[[#This Row],[05/05/25]])*'Avance 39'!J48</f>
        <v>0</v>
      </c>
      <c r="BD83" s="127">
        <f>Real[[#This Row],[05/05/25]]+(1-Real[[#This Row],[05/05/25]])*'Avance 39'!K48</f>
        <v>0</v>
      </c>
      <c r="BE83" s="127">
        <f>Real[[#This Row],[05/05/25]]+(1-Real[[#This Row],[05/05/25]])*'Avance 39'!L48</f>
        <v>0</v>
      </c>
      <c r="BF83" s="127">
        <f>Real[[#This Row],[05/05/25]]+(1-Real[[#This Row],[05/05/25]])*'Avance 39'!M48</f>
        <v>0</v>
      </c>
      <c r="BG83" s="163">
        <f>Real[[#This Row],[05/05/25]]+(1-Real[[#This Row],[05/05/25]])*'Avance 39'!N48</f>
        <v>0</v>
      </c>
      <c r="BH83" s="163">
        <f>Real[[#This Row],[05/05/25]]+(1-Real[[#This Row],[05/05/25]])*'Avance 39'!O48</f>
        <v>0</v>
      </c>
      <c r="BI83" s="127">
        <f>Real[[#This Row],[05/05/25]]+(1-Real[[#This Row],[05/05/25]])*'Avance 39'!P48</f>
        <v>0</v>
      </c>
      <c r="BJ83" s="127">
        <f>Real[[#This Row],[05/05/25]]+(1-Real[[#This Row],[05/05/25]])*'Avance 39'!Q48</f>
        <v>0</v>
      </c>
      <c r="BK83" s="127">
        <f>Real[[#This Row],[05/05/25]]+(1-Real[[#This Row],[05/05/25]])*'Avance 39'!R48</f>
        <v>0</v>
      </c>
      <c r="BL83" s="127">
        <f>Real[[#This Row],[05/05/25]]+(1-Real[[#This Row],[05/05/25]])*'Avance 39'!S48</f>
        <v>0</v>
      </c>
      <c r="BM83" s="127">
        <f>Real[[#This Row],[05/05/25]]+(1-Real[[#This Row],[05/05/25]])*'Avance 39'!T48</f>
        <v>0</v>
      </c>
      <c r="BN83" s="127">
        <f>Real[[#This Row],[05/05/25]]+(1-Real[[#This Row],[05/05/25]])*'Avance 39'!U48</f>
        <v>0</v>
      </c>
      <c r="BO83" s="127">
        <f>Real[[#This Row],[05/05/25]]+(1-Real[[#This Row],[05/05/25]])*'Avance 39'!V48</f>
        <v>0</v>
      </c>
      <c r="BP83" s="127">
        <f>Real[[#This Row],[05/05/25]]+(1-Real[[#This Row],[05/05/25]])*'Avance 39'!W48</f>
        <v>0</v>
      </c>
      <c r="BQ83" s="127">
        <f>Real[[#This Row],[05/05/25]]+(1-Real[[#This Row],[05/05/25]])*'Avance 39'!X48</f>
        <v>0</v>
      </c>
      <c r="BR83" s="127">
        <f>Real[[#This Row],[05/05/25]]+(1-Real[[#This Row],[05/05/25]])*'Avance 39'!Y48</f>
        <v>0</v>
      </c>
      <c r="BS83" s="127">
        <f>Real[[#This Row],[05/05/25]]+(1-Real[[#This Row],[05/05/25]])*'Avance 39'!Z48</f>
        <v>0.33749999999999997</v>
      </c>
      <c r="BT83" s="127">
        <f>Real[[#This Row],[05/05/25]]+(1-Real[[#This Row],[05/05/25]])*'Avance 39'!AA48</f>
        <v>0.66375000000000006</v>
      </c>
      <c r="BU83" s="127">
        <f>Real[[#This Row],[05/05/25]]+(1-Real[[#This Row],[05/05/25]])*'Avance 39'!AB48</f>
        <v>0.76050000000000006</v>
      </c>
      <c r="BV83" s="127">
        <f>Real[[#This Row],[05/05/25]]+(1-Real[[#This Row],[05/05/25]])*'Avance 39'!AC48</f>
        <v>1</v>
      </c>
      <c r="BW83" s="127">
        <f>Real[[#This Row],[05/05/25]]+(1-Real[[#This Row],[05/05/25]])*'Avance 39'!AD48</f>
        <v>1</v>
      </c>
      <c r="BX83" s="127">
        <f>Real[[#This Row],[05/05/25]]+(1-Real[[#This Row],[05/05/25]])*'Avance 39'!AE48</f>
        <v>1</v>
      </c>
      <c r="BY83" s="127">
        <f>Real[[#This Row],[05/05/25]]+(1-Real[[#This Row],[05/05/25]])*'Avance 39'!AF48</f>
        <v>1</v>
      </c>
      <c r="BZ83" s="127">
        <f>Real[[#This Row],[05/05/25]]+(1-Real[[#This Row],[05/05/25]])*'Avance 39'!AG48</f>
        <v>1</v>
      </c>
      <c r="CA83" s="127">
        <f>Real[[#This Row],[05/05/25]]+(1-Real[[#This Row],[05/05/25]])*'Avance 39'!AH48</f>
        <v>1</v>
      </c>
      <c r="CB83" s="127">
        <f>Real[[#This Row],[05/05/25]]+(1-Real[[#This Row],[05/05/25]])*'Avance 39'!AI48</f>
        <v>1</v>
      </c>
      <c r="CC83" s="127">
        <f>Real[[#This Row],[05/05/25]]+(1-Real[[#This Row],[05/05/25]])*'Avance 39'!AJ48</f>
        <v>1</v>
      </c>
      <c r="CD83" s="127">
        <f>Real[[#This Row],[05/05/25]]+(1-Real[[#This Row],[05/05/25]])*'Avance 39'!AK48</f>
        <v>1</v>
      </c>
      <c r="CE83" s="127">
        <f>Real[[#This Row],[05/05/25]]+(1-Real[[#This Row],[05/05/25]])*'Avance 39'!AL48</f>
        <v>1</v>
      </c>
      <c r="CF83" s="127">
        <f>Real[[#This Row],[05/05/25]]+(1-Real[[#This Row],[05/05/25]])*'Avance 39'!AM48</f>
        <v>1</v>
      </c>
      <c r="CG83" s="127">
        <f>Real[[#This Row],[05/05/25]]+(1-Real[[#This Row],[05/05/25]])*'Avance 39'!AN48</f>
        <v>1</v>
      </c>
      <c r="CH83" s="127">
        <f>Real[[#This Row],[05/05/25]]+(1-Real[[#This Row],[05/05/25]])*'Avance 39'!AO48</f>
        <v>1</v>
      </c>
      <c r="CI83" s="127">
        <f>Real[[#This Row],[05/05/25]]+(1-Real[[#This Row],[05/05/25]])*'Avance 39'!AP48</f>
        <v>1</v>
      </c>
      <c r="CJ83" s="127">
        <f>Real[[#This Row],[05/05/25]]+(1-Real[[#This Row],[05/05/25]])*'Avance 39'!AQ48</f>
        <v>1</v>
      </c>
      <c r="CK83" s="127">
        <f>Real[[#This Row],[05/05/25]]+(1-Real[[#This Row],[05/05/25]])*'Avance 39'!AR48</f>
        <v>1</v>
      </c>
      <c r="CL83" s="127">
        <f>Real[[#This Row],[05/05/25]]+(1-Real[[#This Row],[05/05/25]])*'Avance 39'!AS48</f>
        <v>1</v>
      </c>
      <c r="CM83" s="127">
        <f>Real[[#This Row],[05/05/25]]+(1-Real[[#This Row],[05/05/25]])*'Avance 39'!AT48</f>
        <v>1</v>
      </c>
      <c r="CN83" s="127">
        <f>Real[[#This Row],[05/05/25]]+(1-Real[[#This Row],[05/05/25]])*'Avance 39'!AU48</f>
        <v>1</v>
      </c>
      <c r="CO83" s="127">
        <f>Real[[#This Row],[05/05/25]]+(1-Real[[#This Row],[05/05/25]])*'Avance 39'!AV48</f>
        <v>1</v>
      </c>
      <c r="CP83" s="127">
        <f>Real[[#This Row],[05/05/25]]+(1-Real[[#This Row],[05/05/25]])*'Avance 39'!AW48</f>
        <v>1</v>
      </c>
      <c r="CQ83" s="127">
        <f>Real[[#This Row],[05/05/25]]+(1-Real[[#This Row],[05/05/25]])*'Avance 39'!AX48</f>
        <v>1</v>
      </c>
      <c r="CR83" s="127">
        <f>Real[[#This Row],[05/05/25]]+(1-Real[[#This Row],[05/05/25]])*'Avance 39'!AY48</f>
        <v>1</v>
      </c>
      <c r="CS83" s="127">
        <f>Real[[#This Row],[05/05/25]]+(1-Real[[#This Row],[05/05/25]])*'Avance 39'!AZ48</f>
        <v>1</v>
      </c>
      <c r="CT83" s="127">
        <f>Real[[#This Row],[05/05/25]]+(1-Real[[#This Row],[05/05/25]])*'Avance 39'!BA48</f>
        <v>1</v>
      </c>
      <c r="CU83" s="127">
        <f>Real[[#This Row],[05/05/25]]+(1-Real[[#This Row],[05/05/25]])*'Avance 39'!BB48</f>
        <v>1</v>
      </c>
      <c r="CV83" s="127">
        <f>Real[[#This Row],[05/05/25]]+(1-Real[[#This Row],[05/05/25]])*'Avance 39'!BC48</f>
        <v>1</v>
      </c>
      <c r="CW83" s="127">
        <f>Real[[#This Row],[05/05/25]]+(1-Real[[#This Row],[05/05/25]])*'Avance 39'!BD48</f>
        <v>1</v>
      </c>
      <c r="CX83" s="127">
        <f>Real[[#This Row],[05/05/25]]+(1-Real[[#This Row],[05/05/25]])*'Avance 39'!BE48</f>
        <v>1</v>
      </c>
      <c r="CY83" s="127">
        <f>Real[[#This Row],[05/05/25]]+(1-Real[[#This Row],[05/05/25]])*'Avance 39'!BF48</f>
        <v>1</v>
      </c>
      <c r="CZ83" s="127">
        <f>Real[[#This Row],[05/05/25]]+(1-Real[[#This Row],[05/05/25]])*'Avance 39'!BG48</f>
        <v>1</v>
      </c>
      <c r="DA83" s="127">
        <f>Real[[#This Row],[05/05/25]]+(1-Real[[#This Row],[05/05/25]])*'Avance 39'!BH48</f>
        <v>1</v>
      </c>
      <c r="DB83" s="127">
        <f>Real[[#This Row],[05/05/25]]+(1-Real[[#This Row],[05/05/25]])*'Avance 39'!BI48</f>
        <v>1</v>
      </c>
      <c r="DC83" s="127">
        <f>Real[[#This Row],[05/05/25]]+(1-Real[[#This Row],[05/05/25]])*'Avance 39'!BJ48</f>
        <v>1</v>
      </c>
      <c r="DD83" s="127">
        <f>Real[[#This Row],[05/05/25]]+(1-Real[[#This Row],[05/05/25]])*'Avance 39'!BK48</f>
        <v>1</v>
      </c>
      <c r="DE83" s="127">
        <f>Real[[#This Row],[05/05/25]]+(1-Real[[#This Row],[05/05/25]])*'Avance 39'!BL48</f>
        <v>1</v>
      </c>
      <c r="DF83" s="127">
        <f>Real[[#This Row],[05/05/25]]+(1-Real[[#This Row],[05/05/25]])*'Avance 39'!BM48</f>
        <v>1</v>
      </c>
      <c r="DG83" s="127">
        <f>Real[[#This Row],[05/05/25]]+(1-Real[[#This Row],[05/05/25]])*'Avance 39'!BN48</f>
        <v>1</v>
      </c>
      <c r="DH83" s="127">
        <f>Real[[#This Row],[05/05/25]]+(1-Real[[#This Row],[05/05/25]])*'Avance 39'!BO48</f>
        <v>1</v>
      </c>
      <c r="DI83" s="127">
        <f>Real[[#This Row],[05/05/25]]+(1-Real[[#This Row],[05/05/25]])*'Avance 39'!BP48</f>
        <v>1</v>
      </c>
      <c r="DJ83" s="127">
        <f>Real[[#This Row],[05/05/25]]+(1-Real[[#This Row],[05/05/25]])*'Avance 39'!BQ48</f>
        <v>1</v>
      </c>
      <c r="DK83" s="127">
        <f>Real[[#This Row],[05/05/25]]+(1-Real[[#This Row],[05/05/25]])*'Avance 39'!BR48</f>
        <v>1</v>
      </c>
      <c r="DL83" s="127">
        <f>Real[[#This Row],[05/05/25]]+(1-Real[[#This Row],[05/05/25]])*'Avance 39'!BS48</f>
        <v>1</v>
      </c>
      <c r="DM83" s="127">
        <f>Real[[#This Row],[05/05/25]]+(1-Real[[#This Row],[05/05/25]])*'Avance 39'!BT48</f>
        <v>1</v>
      </c>
      <c r="DN83" s="127">
        <f>Real[[#This Row],[05/05/25]]+(1-Real[[#This Row],[05/05/25]])*'Avance 39'!BU48</f>
        <v>1</v>
      </c>
      <c r="DO83" s="127">
        <f>Real[[#This Row],[05/05/25]]+(1-Real[[#This Row],[05/05/25]])*'Avance 39'!BV48</f>
        <v>1</v>
      </c>
      <c r="DP83" s="127">
        <f>Real[[#This Row],[05/05/25]]+(1-Real[[#This Row],[05/05/25]])*'Avance 39'!BW48</f>
        <v>1</v>
      </c>
      <c r="DQ83" s="127">
        <f>Real[[#This Row],[05/05/25]]+(1-Real[[#This Row],[05/05/25]])*'Avance 39'!BX48</f>
        <v>1</v>
      </c>
      <c r="DR83" s="127">
        <f>Real[[#This Row],[05/05/25]]+(1-Real[[#This Row],[05/05/25]])*'Avance 39'!BY48</f>
        <v>1</v>
      </c>
      <c r="DS83" s="127">
        <f>Real[[#This Row],[05/05/25]]+(1-Real[[#This Row],[05/05/25]])*'Avance 39'!BZ48</f>
        <v>1</v>
      </c>
      <c r="DT83" s="127">
        <f>Real[[#This Row],[05/05/25]]+(1-Real[[#This Row],[05/05/25]])*'Avance 39'!CA48</f>
        <v>1</v>
      </c>
      <c r="DU83" s="127">
        <f>Real[[#This Row],[05/05/25]]+(1-Real[[#This Row],[05/05/25]])*'Avance 39'!CB48</f>
        <v>1</v>
      </c>
      <c r="DV83" s="127">
        <f>Real[[#This Row],[05/05/25]]+(1-Real[[#This Row],[05/05/25]])*'Avance 39'!CC48</f>
        <v>1</v>
      </c>
      <c r="DW83" s="127">
        <f>Real[[#This Row],[05/05/25]]+(1-Real[[#This Row],[05/05/25]])*'Avance 39'!CD48</f>
        <v>1</v>
      </c>
      <c r="DX83" s="127">
        <f>Real[[#This Row],[05/05/25]]+(1-Real[[#This Row],[05/05/25]])*'Avance 39'!CE48</f>
        <v>1</v>
      </c>
      <c r="DY83" s="127">
        <f>Real[[#This Row],[05/05/25]]+(1-Real[[#This Row],[05/05/25]])*'Avance 39'!CF48</f>
        <v>1</v>
      </c>
      <c r="DZ83" s="127">
        <f>Real[[#This Row],[05/05/25]]+(1-Real[[#This Row],[05/05/25]])*'Avance 39'!CG48</f>
        <v>1</v>
      </c>
      <c r="EA83" s="127">
        <f>Real[[#This Row],[05/05/25]]+(1-Real[[#This Row],[05/05/25]])*'Avance 39'!CH48</f>
        <v>1</v>
      </c>
      <c r="EB83" s="127">
        <f>Real[[#This Row],[05/05/25]]+(1-Real[[#This Row],[05/05/25]])*'Avance 39'!CI48</f>
        <v>1</v>
      </c>
      <c r="EC83" s="127">
        <f>Real[[#This Row],[05/05/25]]+(1-Real[[#This Row],[05/05/25]])*'Avance 39'!CJ48</f>
        <v>1</v>
      </c>
      <c r="ED83" s="127">
        <f>Real[[#This Row],[05/05/25]]+(1-Real[[#This Row],[05/05/25]])*'Avance 39'!CK48</f>
        <v>1</v>
      </c>
      <c r="EE83" s="127">
        <f>Real[[#This Row],[05/05/25]]+(1-Real[[#This Row],[05/05/25]])*'Avance 39'!CL48</f>
        <v>1</v>
      </c>
      <c r="EF83" s="127">
        <f>Real[[#This Row],[05/05/25]]+(1-Real[[#This Row],[05/05/25]])*'Avance 39'!CM48</f>
        <v>1</v>
      </c>
      <c r="EG83" s="127">
        <f>Real[[#This Row],[05/05/25]]+(1-Real[[#This Row],[05/05/25]])*'Avance 39'!CN48</f>
        <v>1</v>
      </c>
      <c r="EH83" s="127">
        <f>Real[[#This Row],[05/05/25]]+(1-Real[[#This Row],[05/05/25]])*'Avance 39'!CO48</f>
        <v>1</v>
      </c>
      <c r="EI83" s="127">
        <f>Real[[#This Row],[05/05/25]]+(1-Real[[#This Row],[05/05/25]])*'Avance 39'!CP48</f>
        <v>1</v>
      </c>
    </row>
    <row r="84" spans="2:139" hidden="1" outlineLevel="3" x14ac:dyDescent="0.3">
      <c r="B84" s="29"/>
      <c r="C84" s="30"/>
      <c r="D84" s="30"/>
      <c r="E84" s="52" t="s">
        <v>87</v>
      </c>
      <c r="F84" s="33">
        <v>20</v>
      </c>
      <c r="G84" s="35">
        <v>0.25974025974025972</v>
      </c>
      <c r="H84" s="162"/>
      <c r="I84" s="127">
        <v>0</v>
      </c>
      <c r="J84" s="127">
        <v>0</v>
      </c>
      <c r="K84" s="127">
        <v>0</v>
      </c>
      <c r="L84" s="127">
        <v>0</v>
      </c>
      <c r="M84" s="128">
        <v>0</v>
      </c>
      <c r="N84" s="128">
        <v>0</v>
      </c>
      <c r="O84" s="128">
        <v>0</v>
      </c>
      <c r="P84" s="127">
        <v>0</v>
      </c>
      <c r="Q84" s="127">
        <v>0</v>
      </c>
      <c r="R84" s="127">
        <v>0</v>
      </c>
      <c r="S84" s="127">
        <v>5.680000000000001E-2</v>
      </c>
      <c r="T84" s="127">
        <v>8.6749999999999994E-2</v>
      </c>
      <c r="U84" s="127">
        <v>0.23100000000000004</v>
      </c>
      <c r="V84" s="127">
        <v>0.23749999999999999</v>
      </c>
      <c r="W84" s="127">
        <v>1</v>
      </c>
      <c r="X84" s="127">
        <v>1</v>
      </c>
      <c r="Y84" s="127">
        <v>1</v>
      </c>
      <c r="Z84" s="127">
        <v>1</v>
      </c>
      <c r="AA84" s="127">
        <v>1</v>
      </c>
      <c r="AB84" s="127">
        <v>1</v>
      </c>
      <c r="AC84" s="127">
        <v>1</v>
      </c>
      <c r="AD84" s="127">
        <v>1</v>
      </c>
      <c r="AE84" s="127">
        <v>1</v>
      </c>
      <c r="AF84" s="127">
        <v>1</v>
      </c>
      <c r="AG84" s="127">
        <v>1</v>
      </c>
      <c r="AH84" s="127">
        <v>1</v>
      </c>
      <c r="AI84" s="127">
        <v>1</v>
      </c>
      <c r="AJ84" s="127">
        <v>1</v>
      </c>
      <c r="AK84" s="127">
        <v>1</v>
      </c>
      <c r="AL84" s="127">
        <v>1</v>
      </c>
      <c r="AM84" s="127">
        <v>1</v>
      </c>
      <c r="AN84" s="127">
        <v>1</v>
      </c>
      <c r="AO84" s="127">
        <v>1</v>
      </c>
      <c r="AP84" s="127">
        <v>1</v>
      </c>
      <c r="AQ84" s="127">
        <v>1</v>
      </c>
      <c r="AR84" s="127">
        <v>1</v>
      </c>
      <c r="AS84" s="127">
        <v>1</v>
      </c>
      <c r="AT84" s="127">
        <v>1</v>
      </c>
      <c r="AU84" s="127">
        <v>1</v>
      </c>
      <c r="AV84" s="127">
        <v>1</v>
      </c>
      <c r="AW84" s="127">
        <v>1</v>
      </c>
      <c r="AX84" s="127">
        <v>1</v>
      </c>
      <c r="AY84" s="127">
        <v>1</v>
      </c>
      <c r="AZ84" s="127">
        <v>1</v>
      </c>
      <c r="BA84" s="127">
        <v>1</v>
      </c>
      <c r="BB84" s="127">
        <v>1</v>
      </c>
      <c r="BC84" s="127">
        <v>1</v>
      </c>
      <c r="BD84" s="127">
        <v>1</v>
      </c>
      <c r="BE84" s="127">
        <v>1</v>
      </c>
      <c r="BF84" s="127">
        <v>1</v>
      </c>
      <c r="BG84" s="163">
        <v>1</v>
      </c>
      <c r="BH84" s="163">
        <v>1</v>
      </c>
      <c r="BI84" s="127">
        <v>1</v>
      </c>
      <c r="BJ84" s="127">
        <v>1</v>
      </c>
      <c r="BK84" s="127">
        <v>1</v>
      </c>
      <c r="BL84" s="127">
        <v>1</v>
      </c>
      <c r="BM84" s="127">
        <v>1</v>
      </c>
      <c r="BN84" s="127">
        <v>1</v>
      </c>
      <c r="BO84" s="127">
        <v>1</v>
      </c>
      <c r="BP84" s="127">
        <v>1</v>
      </c>
      <c r="BQ84" s="127">
        <v>1</v>
      </c>
      <c r="BR84" s="127">
        <v>1</v>
      </c>
      <c r="BS84" s="127">
        <v>1</v>
      </c>
      <c r="BT84" s="127">
        <v>1</v>
      </c>
      <c r="BU84" s="127">
        <v>1</v>
      </c>
      <c r="BV84" s="127">
        <v>1</v>
      </c>
      <c r="BW84" s="127">
        <v>1</v>
      </c>
      <c r="BX84" s="127">
        <v>1</v>
      </c>
      <c r="BY84" s="127">
        <v>1</v>
      </c>
      <c r="BZ84" s="127">
        <v>1</v>
      </c>
      <c r="CA84" s="127">
        <v>1</v>
      </c>
      <c r="CB84" s="127">
        <v>1</v>
      </c>
      <c r="CC84" s="127">
        <v>1</v>
      </c>
      <c r="CD84" s="127">
        <v>1</v>
      </c>
      <c r="CE84" s="127">
        <v>1</v>
      </c>
      <c r="CF84" s="127">
        <v>1</v>
      </c>
      <c r="CG84" s="127">
        <v>1</v>
      </c>
      <c r="CH84" s="127">
        <v>1</v>
      </c>
      <c r="CI84" s="127">
        <v>1</v>
      </c>
      <c r="CJ84" s="127">
        <v>1</v>
      </c>
      <c r="CK84" s="127">
        <v>1</v>
      </c>
      <c r="CL84" s="127">
        <v>1</v>
      </c>
      <c r="CM84" s="127">
        <v>1</v>
      </c>
      <c r="CN84" s="127">
        <v>1</v>
      </c>
      <c r="CO84" s="127">
        <v>1</v>
      </c>
      <c r="CP84" s="127">
        <v>1</v>
      </c>
      <c r="CQ84" s="127">
        <v>1</v>
      </c>
      <c r="CR84" s="127">
        <v>1</v>
      </c>
      <c r="CS84" s="127">
        <v>1</v>
      </c>
      <c r="CT84" s="127">
        <v>1</v>
      </c>
      <c r="CU84" s="127">
        <v>1</v>
      </c>
      <c r="CV84" s="127">
        <v>1</v>
      </c>
      <c r="CW84" s="127">
        <v>1</v>
      </c>
      <c r="CX84" s="127">
        <v>1</v>
      </c>
      <c r="CY84" s="127">
        <v>1</v>
      </c>
      <c r="CZ84" s="127">
        <v>1</v>
      </c>
      <c r="DA84" s="127">
        <v>1</v>
      </c>
      <c r="DB84" s="127">
        <v>1</v>
      </c>
      <c r="DC84" s="127">
        <v>1</v>
      </c>
      <c r="DD84" s="127">
        <v>1</v>
      </c>
      <c r="DE84" s="127">
        <v>1</v>
      </c>
      <c r="DF84" s="127">
        <v>1</v>
      </c>
      <c r="DG84" s="127">
        <v>1</v>
      </c>
      <c r="DH84" s="127">
        <v>1</v>
      </c>
      <c r="DI84" s="127">
        <v>1</v>
      </c>
      <c r="DJ84" s="127">
        <v>1</v>
      </c>
      <c r="DK84" s="127">
        <v>1</v>
      </c>
      <c r="DL84" s="127">
        <v>1</v>
      </c>
      <c r="DM84" s="127">
        <v>1</v>
      </c>
      <c r="DN84" s="127">
        <v>1</v>
      </c>
      <c r="DO84" s="127">
        <v>1</v>
      </c>
      <c r="DP84" s="127">
        <v>1</v>
      </c>
      <c r="DQ84" s="127">
        <v>1</v>
      </c>
      <c r="DR84" s="127">
        <v>1</v>
      </c>
      <c r="DS84" s="127">
        <v>1</v>
      </c>
      <c r="DT84" s="127">
        <v>1</v>
      </c>
      <c r="DU84" s="127">
        <v>1</v>
      </c>
      <c r="DV84" s="127">
        <v>1</v>
      </c>
      <c r="DW84" s="127">
        <v>1</v>
      </c>
      <c r="DX84" s="127">
        <v>1</v>
      </c>
      <c r="DY84" s="127">
        <v>1</v>
      </c>
      <c r="DZ84" s="127">
        <v>1</v>
      </c>
      <c r="EA84" s="127">
        <v>1</v>
      </c>
      <c r="EB84" s="127">
        <v>1</v>
      </c>
      <c r="EC84" s="127">
        <v>1</v>
      </c>
      <c r="ED84" s="127">
        <v>1</v>
      </c>
      <c r="EE84" s="127">
        <v>1</v>
      </c>
      <c r="EF84" s="127">
        <v>1</v>
      </c>
      <c r="EG84" s="127">
        <v>1</v>
      </c>
      <c r="EH84" s="127">
        <v>1</v>
      </c>
      <c r="EI84" s="127">
        <v>1</v>
      </c>
    </row>
    <row r="85" spans="2:139" hidden="1" outlineLevel="3" x14ac:dyDescent="0.3">
      <c r="B85" s="29"/>
      <c r="C85" s="30"/>
      <c r="D85" s="30"/>
      <c r="E85" s="52" t="s">
        <v>88</v>
      </c>
      <c r="F85" s="33">
        <v>20</v>
      </c>
      <c r="G85" s="35">
        <v>0.25974025974025972</v>
      </c>
      <c r="H85" s="162"/>
      <c r="I85" s="127">
        <v>0</v>
      </c>
      <c r="J85" s="127">
        <v>0</v>
      </c>
      <c r="K85" s="127">
        <v>0</v>
      </c>
      <c r="L85" s="127">
        <v>0</v>
      </c>
      <c r="M85" s="128">
        <v>0</v>
      </c>
      <c r="N85" s="128">
        <v>0</v>
      </c>
      <c r="O85" s="128">
        <v>0</v>
      </c>
      <c r="P85" s="127">
        <v>0</v>
      </c>
      <c r="Q85" s="127">
        <v>0</v>
      </c>
      <c r="R85" s="127">
        <v>0</v>
      </c>
      <c r="S85" s="127">
        <v>0</v>
      </c>
      <c r="T85" s="127">
        <v>0</v>
      </c>
      <c r="U85" s="127">
        <v>0</v>
      </c>
      <c r="V85" s="127">
        <v>0</v>
      </c>
      <c r="W85" s="127">
        <v>0</v>
      </c>
      <c r="X85" s="127">
        <v>0</v>
      </c>
      <c r="Y85" s="127">
        <v>0</v>
      </c>
      <c r="Z85" s="127">
        <v>0</v>
      </c>
      <c r="AA85" s="127">
        <v>1</v>
      </c>
      <c r="AB85" s="127">
        <v>1</v>
      </c>
      <c r="AC85" s="127">
        <v>1</v>
      </c>
      <c r="AD85" s="127">
        <v>1</v>
      </c>
      <c r="AE85" s="127">
        <v>1</v>
      </c>
      <c r="AF85" s="127">
        <v>1</v>
      </c>
      <c r="AG85" s="127">
        <v>1</v>
      </c>
      <c r="AH85" s="127">
        <v>1</v>
      </c>
      <c r="AI85" s="127">
        <v>1</v>
      </c>
      <c r="AJ85" s="127">
        <v>1</v>
      </c>
      <c r="AK85" s="127">
        <v>1</v>
      </c>
      <c r="AL85" s="127">
        <v>1</v>
      </c>
      <c r="AM85" s="127">
        <v>1</v>
      </c>
      <c r="AN85" s="127">
        <v>1</v>
      </c>
      <c r="AO85" s="127">
        <v>1</v>
      </c>
      <c r="AP85" s="127">
        <v>1</v>
      </c>
      <c r="AQ85" s="127">
        <v>1</v>
      </c>
      <c r="AR85" s="127">
        <v>1</v>
      </c>
      <c r="AS85" s="127">
        <v>1</v>
      </c>
      <c r="AT85" s="127">
        <v>1</v>
      </c>
      <c r="AU85" s="127">
        <v>1</v>
      </c>
      <c r="AV85" s="127">
        <v>1</v>
      </c>
      <c r="AW85" s="127">
        <v>1</v>
      </c>
      <c r="AX85" s="127">
        <v>1</v>
      </c>
      <c r="AY85" s="127">
        <v>1</v>
      </c>
      <c r="AZ85" s="127">
        <v>1</v>
      </c>
      <c r="BA85" s="127">
        <v>1</v>
      </c>
      <c r="BB85" s="127">
        <v>1</v>
      </c>
      <c r="BC85" s="127">
        <v>1</v>
      </c>
      <c r="BD85" s="127">
        <v>1</v>
      </c>
      <c r="BE85" s="127">
        <v>1</v>
      </c>
      <c r="BF85" s="127">
        <v>1</v>
      </c>
      <c r="BG85" s="163">
        <v>1</v>
      </c>
      <c r="BH85" s="163">
        <v>1</v>
      </c>
      <c r="BI85" s="127">
        <v>1</v>
      </c>
      <c r="BJ85" s="127">
        <v>1</v>
      </c>
      <c r="BK85" s="127">
        <v>1</v>
      </c>
      <c r="BL85" s="127">
        <v>1</v>
      </c>
      <c r="BM85" s="127">
        <v>1</v>
      </c>
      <c r="BN85" s="127">
        <v>1</v>
      </c>
      <c r="BO85" s="127">
        <v>1</v>
      </c>
      <c r="BP85" s="127">
        <v>1</v>
      </c>
      <c r="BQ85" s="127">
        <v>1</v>
      </c>
      <c r="BR85" s="127">
        <v>1</v>
      </c>
      <c r="BS85" s="127">
        <v>1</v>
      </c>
      <c r="BT85" s="127">
        <v>1</v>
      </c>
      <c r="BU85" s="127">
        <v>1</v>
      </c>
      <c r="BV85" s="127">
        <v>1</v>
      </c>
      <c r="BW85" s="127">
        <v>1</v>
      </c>
      <c r="BX85" s="127">
        <v>1</v>
      </c>
      <c r="BY85" s="127">
        <v>1</v>
      </c>
      <c r="BZ85" s="127">
        <v>1</v>
      </c>
      <c r="CA85" s="127">
        <v>1</v>
      </c>
      <c r="CB85" s="127">
        <v>1</v>
      </c>
      <c r="CC85" s="127">
        <v>1</v>
      </c>
      <c r="CD85" s="127">
        <v>1</v>
      </c>
      <c r="CE85" s="127">
        <v>1</v>
      </c>
      <c r="CF85" s="127">
        <v>1</v>
      </c>
      <c r="CG85" s="127">
        <v>1</v>
      </c>
      <c r="CH85" s="127">
        <v>1</v>
      </c>
      <c r="CI85" s="127">
        <v>1</v>
      </c>
      <c r="CJ85" s="127">
        <v>1</v>
      </c>
      <c r="CK85" s="127">
        <v>1</v>
      </c>
      <c r="CL85" s="127">
        <v>1</v>
      </c>
      <c r="CM85" s="127">
        <v>1</v>
      </c>
      <c r="CN85" s="127">
        <v>1</v>
      </c>
      <c r="CO85" s="127">
        <v>1</v>
      </c>
      <c r="CP85" s="127">
        <v>1</v>
      </c>
      <c r="CQ85" s="127">
        <v>1</v>
      </c>
      <c r="CR85" s="127">
        <v>1</v>
      </c>
      <c r="CS85" s="127">
        <v>1</v>
      </c>
      <c r="CT85" s="127">
        <v>1</v>
      </c>
      <c r="CU85" s="127">
        <v>1</v>
      </c>
      <c r="CV85" s="127">
        <v>1</v>
      </c>
      <c r="CW85" s="127">
        <v>1</v>
      </c>
      <c r="CX85" s="127">
        <v>1</v>
      </c>
      <c r="CY85" s="127">
        <v>1</v>
      </c>
      <c r="CZ85" s="127">
        <v>1</v>
      </c>
      <c r="DA85" s="127">
        <v>1</v>
      </c>
      <c r="DB85" s="127">
        <v>1</v>
      </c>
      <c r="DC85" s="127">
        <v>1</v>
      </c>
      <c r="DD85" s="127">
        <v>1</v>
      </c>
      <c r="DE85" s="127">
        <v>1</v>
      </c>
      <c r="DF85" s="127">
        <v>1</v>
      </c>
      <c r="DG85" s="127">
        <v>1</v>
      </c>
      <c r="DH85" s="127">
        <v>1</v>
      </c>
      <c r="DI85" s="127">
        <v>1</v>
      </c>
      <c r="DJ85" s="127">
        <v>1</v>
      </c>
      <c r="DK85" s="127">
        <v>1</v>
      </c>
      <c r="DL85" s="127">
        <v>1</v>
      </c>
      <c r="DM85" s="127">
        <v>1</v>
      </c>
      <c r="DN85" s="127">
        <v>1</v>
      </c>
      <c r="DO85" s="127">
        <v>1</v>
      </c>
      <c r="DP85" s="127">
        <v>1</v>
      </c>
      <c r="DQ85" s="127">
        <v>1</v>
      </c>
      <c r="DR85" s="127">
        <v>1</v>
      </c>
      <c r="DS85" s="127">
        <v>1</v>
      </c>
      <c r="DT85" s="127">
        <v>1</v>
      </c>
      <c r="DU85" s="127">
        <v>1</v>
      </c>
      <c r="DV85" s="127">
        <v>1</v>
      </c>
      <c r="DW85" s="127">
        <v>1</v>
      </c>
      <c r="DX85" s="127">
        <v>1</v>
      </c>
      <c r="DY85" s="127">
        <v>1</v>
      </c>
      <c r="DZ85" s="127">
        <v>1</v>
      </c>
      <c r="EA85" s="127">
        <v>1</v>
      </c>
      <c r="EB85" s="127">
        <v>1</v>
      </c>
      <c r="EC85" s="127">
        <v>1</v>
      </c>
      <c r="ED85" s="127">
        <v>1</v>
      </c>
      <c r="EE85" s="127">
        <v>1</v>
      </c>
      <c r="EF85" s="127">
        <v>1</v>
      </c>
      <c r="EG85" s="127">
        <v>1</v>
      </c>
      <c r="EH85" s="127">
        <v>1</v>
      </c>
      <c r="EI85" s="127">
        <v>1</v>
      </c>
    </row>
    <row r="86" spans="2:139" hidden="1" outlineLevel="3" x14ac:dyDescent="0.3">
      <c r="B86" s="29"/>
      <c r="C86" s="30"/>
      <c r="D86" s="30"/>
      <c r="E86" s="52" t="s">
        <v>89</v>
      </c>
      <c r="F86" s="33">
        <v>20</v>
      </c>
      <c r="G86" s="35">
        <v>0.25974025974025972</v>
      </c>
      <c r="H86" s="162"/>
      <c r="I86" s="127">
        <v>0</v>
      </c>
      <c r="J86" s="127">
        <v>0</v>
      </c>
      <c r="K86" s="127">
        <v>0</v>
      </c>
      <c r="L86" s="127">
        <v>0</v>
      </c>
      <c r="M86" s="128">
        <v>0</v>
      </c>
      <c r="N86" s="128">
        <v>0</v>
      </c>
      <c r="O86" s="128">
        <v>0</v>
      </c>
      <c r="P86" s="127">
        <v>0</v>
      </c>
      <c r="Q86" s="127">
        <v>0</v>
      </c>
      <c r="R86" s="127">
        <v>0</v>
      </c>
      <c r="S86" s="127">
        <v>0</v>
      </c>
      <c r="T86" s="127">
        <v>0</v>
      </c>
      <c r="U86" s="127">
        <v>0</v>
      </c>
      <c r="V86" s="127">
        <v>0.04</v>
      </c>
      <c r="W86" s="127">
        <v>1</v>
      </c>
      <c r="X86" s="127">
        <v>1</v>
      </c>
      <c r="Y86" s="127">
        <v>1</v>
      </c>
      <c r="Z86" s="127">
        <v>1</v>
      </c>
      <c r="AA86" s="127">
        <v>1</v>
      </c>
      <c r="AB86" s="127">
        <v>1</v>
      </c>
      <c r="AC86" s="127">
        <v>1</v>
      </c>
      <c r="AD86" s="127">
        <v>1</v>
      </c>
      <c r="AE86" s="127">
        <v>1</v>
      </c>
      <c r="AF86" s="127">
        <v>1</v>
      </c>
      <c r="AG86" s="127">
        <v>1</v>
      </c>
      <c r="AH86" s="127">
        <v>1</v>
      </c>
      <c r="AI86" s="127">
        <v>1</v>
      </c>
      <c r="AJ86" s="127">
        <v>1</v>
      </c>
      <c r="AK86" s="127">
        <v>1</v>
      </c>
      <c r="AL86" s="127">
        <v>1</v>
      </c>
      <c r="AM86" s="127">
        <v>1</v>
      </c>
      <c r="AN86" s="127">
        <v>1</v>
      </c>
      <c r="AO86" s="127">
        <v>1</v>
      </c>
      <c r="AP86" s="127">
        <v>1</v>
      </c>
      <c r="AQ86" s="127">
        <v>1</v>
      </c>
      <c r="AR86" s="127">
        <v>1</v>
      </c>
      <c r="AS86" s="127">
        <v>1</v>
      </c>
      <c r="AT86" s="127">
        <v>1</v>
      </c>
      <c r="AU86" s="127">
        <v>1</v>
      </c>
      <c r="AV86" s="127">
        <v>1</v>
      </c>
      <c r="AW86" s="127">
        <v>1</v>
      </c>
      <c r="AX86" s="127">
        <v>1</v>
      </c>
      <c r="AY86" s="127">
        <v>1</v>
      </c>
      <c r="AZ86" s="127">
        <v>1</v>
      </c>
      <c r="BA86" s="127">
        <v>1</v>
      </c>
      <c r="BB86" s="127">
        <v>1</v>
      </c>
      <c r="BC86" s="127">
        <v>1</v>
      </c>
      <c r="BD86" s="127">
        <v>1</v>
      </c>
      <c r="BE86" s="127">
        <v>1</v>
      </c>
      <c r="BF86" s="127">
        <v>1</v>
      </c>
      <c r="BG86" s="163">
        <v>1</v>
      </c>
      <c r="BH86" s="163">
        <v>1</v>
      </c>
      <c r="BI86" s="127">
        <v>1</v>
      </c>
      <c r="BJ86" s="127">
        <v>1</v>
      </c>
      <c r="BK86" s="127">
        <v>1</v>
      </c>
      <c r="BL86" s="127">
        <v>1</v>
      </c>
      <c r="BM86" s="127">
        <v>1</v>
      </c>
      <c r="BN86" s="127">
        <v>1</v>
      </c>
      <c r="BO86" s="127">
        <v>1</v>
      </c>
      <c r="BP86" s="127">
        <v>1</v>
      </c>
      <c r="BQ86" s="127">
        <v>1</v>
      </c>
      <c r="BR86" s="127">
        <v>1</v>
      </c>
      <c r="BS86" s="127">
        <v>1</v>
      </c>
      <c r="BT86" s="127">
        <v>1</v>
      </c>
      <c r="BU86" s="127">
        <v>1</v>
      </c>
      <c r="BV86" s="127">
        <v>1</v>
      </c>
      <c r="BW86" s="127">
        <v>1</v>
      </c>
      <c r="BX86" s="127">
        <v>1</v>
      </c>
      <c r="BY86" s="127">
        <v>1</v>
      </c>
      <c r="BZ86" s="127">
        <v>1</v>
      </c>
      <c r="CA86" s="127">
        <v>1</v>
      </c>
      <c r="CB86" s="127">
        <v>1</v>
      </c>
      <c r="CC86" s="127">
        <v>1</v>
      </c>
      <c r="CD86" s="127">
        <v>1</v>
      </c>
      <c r="CE86" s="127">
        <v>1</v>
      </c>
      <c r="CF86" s="127">
        <v>1</v>
      </c>
      <c r="CG86" s="127">
        <v>1</v>
      </c>
      <c r="CH86" s="127">
        <v>1</v>
      </c>
      <c r="CI86" s="127">
        <v>1</v>
      </c>
      <c r="CJ86" s="127">
        <v>1</v>
      </c>
      <c r="CK86" s="127">
        <v>1</v>
      </c>
      <c r="CL86" s="127">
        <v>1</v>
      </c>
      <c r="CM86" s="127">
        <v>1</v>
      </c>
      <c r="CN86" s="127">
        <v>1</v>
      </c>
      <c r="CO86" s="127">
        <v>1</v>
      </c>
      <c r="CP86" s="127">
        <v>1</v>
      </c>
      <c r="CQ86" s="127">
        <v>1</v>
      </c>
      <c r="CR86" s="127">
        <v>1</v>
      </c>
      <c r="CS86" s="127">
        <v>1</v>
      </c>
      <c r="CT86" s="127">
        <v>1</v>
      </c>
      <c r="CU86" s="127">
        <v>1</v>
      </c>
      <c r="CV86" s="127">
        <v>1</v>
      </c>
      <c r="CW86" s="127">
        <v>1</v>
      </c>
      <c r="CX86" s="127">
        <v>1</v>
      </c>
      <c r="CY86" s="127">
        <v>1</v>
      </c>
      <c r="CZ86" s="127">
        <v>1</v>
      </c>
      <c r="DA86" s="127">
        <v>1</v>
      </c>
      <c r="DB86" s="127">
        <v>1</v>
      </c>
      <c r="DC86" s="127">
        <v>1</v>
      </c>
      <c r="DD86" s="127">
        <v>1</v>
      </c>
      <c r="DE86" s="127">
        <v>1</v>
      </c>
      <c r="DF86" s="127">
        <v>1</v>
      </c>
      <c r="DG86" s="127">
        <v>1</v>
      </c>
      <c r="DH86" s="127">
        <v>1</v>
      </c>
      <c r="DI86" s="127">
        <v>1</v>
      </c>
      <c r="DJ86" s="127">
        <v>1</v>
      </c>
      <c r="DK86" s="127">
        <v>1</v>
      </c>
      <c r="DL86" s="127">
        <v>1</v>
      </c>
      <c r="DM86" s="127">
        <v>1</v>
      </c>
      <c r="DN86" s="127">
        <v>1</v>
      </c>
      <c r="DO86" s="127">
        <v>1</v>
      </c>
      <c r="DP86" s="127">
        <v>1</v>
      </c>
      <c r="DQ86" s="127">
        <v>1</v>
      </c>
      <c r="DR86" s="127">
        <v>1</v>
      </c>
      <c r="DS86" s="127">
        <v>1</v>
      </c>
      <c r="DT86" s="127">
        <v>1</v>
      </c>
      <c r="DU86" s="127">
        <v>1</v>
      </c>
      <c r="DV86" s="127">
        <v>1</v>
      </c>
      <c r="DW86" s="127">
        <v>1</v>
      </c>
      <c r="DX86" s="127">
        <v>1</v>
      </c>
      <c r="DY86" s="127">
        <v>1</v>
      </c>
      <c r="DZ86" s="127">
        <v>1</v>
      </c>
      <c r="EA86" s="127">
        <v>1</v>
      </c>
      <c r="EB86" s="127">
        <v>1</v>
      </c>
      <c r="EC86" s="127">
        <v>1</v>
      </c>
      <c r="ED86" s="127">
        <v>1</v>
      </c>
      <c r="EE86" s="127">
        <v>1</v>
      </c>
      <c r="EF86" s="127">
        <v>1</v>
      </c>
      <c r="EG86" s="127">
        <v>1</v>
      </c>
      <c r="EH86" s="127">
        <v>1</v>
      </c>
      <c r="EI86" s="127">
        <v>1</v>
      </c>
    </row>
    <row r="87" spans="2:139" ht="15" outlineLevel="2" collapsed="1" x14ac:dyDescent="0.3">
      <c r="B87" s="22"/>
      <c r="C87" s="23"/>
      <c r="D87" s="23" t="s">
        <v>90</v>
      </c>
      <c r="E87" s="50"/>
      <c r="F87" s="26">
        <f>+F88</f>
        <v>40</v>
      </c>
      <c r="G87" s="28">
        <v>0.12778934594263763</v>
      </c>
      <c r="H87" s="160"/>
      <c r="I87" s="28">
        <f t="shared" ref="I87:CM87" si="564">+I88*$G$88</f>
        <v>0</v>
      </c>
      <c r="J87" s="28">
        <f t="shared" si="564"/>
        <v>0</v>
      </c>
      <c r="K87" s="28">
        <f t="shared" si="564"/>
        <v>0</v>
      </c>
      <c r="L87" s="28">
        <f t="shared" si="564"/>
        <v>0</v>
      </c>
      <c r="M87" s="64">
        <f t="shared" si="564"/>
        <v>0</v>
      </c>
      <c r="N87" s="64">
        <f t="shared" si="564"/>
        <v>0</v>
      </c>
      <c r="O87" s="28">
        <f t="shared" si="564"/>
        <v>0</v>
      </c>
      <c r="P87" s="28">
        <f t="shared" si="564"/>
        <v>0</v>
      </c>
      <c r="Q87" s="28">
        <f t="shared" si="564"/>
        <v>0</v>
      </c>
      <c r="R87" s="28">
        <f t="shared" si="564"/>
        <v>0</v>
      </c>
      <c r="S87" s="28">
        <f t="shared" si="564"/>
        <v>0</v>
      </c>
      <c r="T87" s="28">
        <f t="shared" si="564"/>
        <v>0</v>
      </c>
      <c r="U87" s="28">
        <f t="shared" si="564"/>
        <v>0</v>
      </c>
      <c r="V87" s="28">
        <f t="shared" si="564"/>
        <v>0</v>
      </c>
      <c r="W87" s="28">
        <f t="shared" si="564"/>
        <v>0</v>
      </c>
      <c r="X87" s="28">
        <f t="shared" si="564"/>
        <v>0</v>
      </c>
      <c r="Y87" s="28">
        <f t="shared" si="564"/>
        <v>0</v>
      </c>
      <c r="Z87" s="28">
        <f t="shared" si="564"/>
        <v>0</v>
      </c>
      <c r="AA87" s="28">
        <f t="shared" si="564"/>
        <v>0</v>
      </c>
      <c r="AB87" s="28">
        <f t="shared" si="564"/>
        <v>0</v>
      </c>
      <c r="AC87" s="28">
        <f t="shared" si="564"/>
        <v>0</v>
      </c>
      <c r="AD87" s="28">
        <f t="shared" si="564"/>
        <v>0</v>
      </c>
      <c r="AE87" s="28">
        <f t="shared" si="564"/>
        <v>0</v>
      </c>
      <c r="AF87" s="28">
        <f t="shared" si="564"/>
        <v>0</v>
      </c>
      <c r="AG87" s="28">
        <f t="shared" si="564"/>
        <v>0</v>
      </c>
      <c r="AH87" s="28">
        <f t="shared" si="564"/>
        <v>0</v>
      </c>
      <c r="AI87" s="28">
        <f t="shared" si="564"/>
        <v>0</v>
      </c>
      <c r="AJ87" s="28">
        <f t="shared" si="564"/>
        <v>0</v>
      </c>
      <c r="AK87" s="28">
        <f t="shared" si="564"/>
        <v>0</v>
      </c>
      <c r="AL87" s="28">
        <f t="shared" si="564"/>
        <v>0</v>
      </c>
      <c r="AM87" s="28">
        <f t="shared" si="564"/>
        <v>0</v>
      </c>
      <c r="AN87" s="28">
        <f t="shared" si="564"/>
        <v>0</v>
      </c>
      <c r="AO87" s="28">
        <f t="shared" si="564"/>
        <v>0</v>
      </c>
      <c r="AP87" s="28">
        <f t="shared" si="564"/>
        <v>0.15</v>
      </c>
      <c r="AQ87" s="28">
        <f t="shared" si="564"/>
        <v>0.15</v>
      </c>
      <c r="AR87" s="28">
        <f t="shared" si="564"/>
        <v>0.15</v>
      </c>
      <c r="AS87" s="28">
        <f t="shared" si="564"/>
        <v>0.15</v>
      </c>
      <c r="AT87" s="28">
        <f t="shared" si="564"/>
        <v>1</v>
      </c>
      <c r="AU87" s="28">
        <f t="shared" si="564"/>
        <v>1</v>
      </c>
      <c r="AV87" s="28">
        <f t="shared" si="564"/>
        <v>1</v>
      </c>
      <c r="AW87" s="28">
        <f t="shared" si="564"/>
        <v>1</v>
      </c>
      <c r="AX87" s="28">
        <f t="shared" si="564"/>
        <v>1</v>
      </c>
      <c r="AY87" s="28">
        <f t="shared" si="564"/>
        <v>1</v>
      </c>
      <c r="AZ87" s="28">
        <f t="shared" si="564"/>
        <v>1</v>
      </c>
      <c r="BA87" s="28">
        <f t="shared" si="564"/>
        <v>1</v>
      </c>
      <c r="BB87" s="28">
        <f t="shared" si="564"/>
        <v>1</v>
      </c>
      <c r="BC87" s="28">
        <f t="shared" si="564"/>
        <v>1</v>
      </c>
      <c r="BD87" s="28">
        <f t="shared" si="564"/>
        <v>1</v>
      </c>
      <c r="BE87" s="28">
        <f t="shared" si="564"/>
        <v>1</v>
      </c>
      <c r="BF87" s="28">
        <f t="shared" si="564"/>
        <v>1</v>
      </c>
      <c r="BG87" s="161">
        <f t="shared" si="564"/>
        <v>1</v>
      </c>
      <c r="BH87" s="161">
        <f t="shared" si="564"/>
        <v>1</v>
      </c>
      <c r="BI87" s="28">
        <f t="shared" si="564"/>
        <v>1</v>
      </c>
      <c r="BJ87" s="28">
        <f t="shared" si="564"/>
        <v>1</v>
      </c>
      <c r="BK87" s="28">
        <f t="shared" si="564"/>
        <v>1</v>
      </c>
      <c r="BL87" s="28">
        <f t="shared" si="564"/>
        <v>1</v>
      </c>
      <c r="BM87" s="28">
        <f t="shared" si="564"/>
        <v>1</v>
      </c>
      <c r="BN87" s="28">
        <f t="shared" si="564"/>
        <v>1</v>
      </c>
      <c r="BO87" s="28">
        <f t="shared" si="564"/>
        <v>1</v>
      </c>
      <c r="BP87" s="28">
        <f t="shared" si="564"/>
        <v>1</v>
      </c>
      <c r="BQ87" s="28">
        <f t="shared" si="564"/>
        <v>1</v>
      </c>
      <c r="BR87" s="28">
        <f t="shared" si="564"/>
        <v>1</v>
      </c>
      <c r="BS87" s="28">
        <f t="shared" si="564"/>
        <v>1</v>
      </c>
      <c r="BT87" s="28">
        <f t="shared" si="564"/>
        <v>1</v>
      </c>
      <c r="BU87" s="28">
        <f t="shared" si="564"/>
        <v>1</v>
      </c>
      <c r="BV87" s="28">
        <f t="shared" si="564"/>
        <v>1</v>
      </c>
      <c r="BW87" s="28">
        <f t="shared" si="564"/>
        <v>1</v>
      </c>
      <c r="BX87" s="28">
        <f t="shared" si="564"/>
        <v>1</v>
      </c>
      <c r="BY87" s="28">
        <f t="shared" si="564"/>
        <v>1</v>
      </c>
      <c r="BZ87" s="28">
        <f t="shared" si="564"/>
        <v>1</v>
      </c>
      <c r="CA87" s="28">
        <f t="shared" si="564"/>
        <v>1</v>
      </c>
      <c r="CB87" s="28">
        <f t="shared" si="564"/>
        <v>1</v>
      </c>
      <c r="CC87" s="28">
        <f t="shared" si="564"/>
        <v>1</v>
      </c>
      <c r="CD87" s="28">
        <f t="shared" si="564"/>
        <v>1</v>
      </c>
      <c r="CE87" s="28">
        <f t="shared" si="564"/>
        <v>1</v>
      </c>
      <c r="CF87" s="28">
        <f t="shared" si="564"/>
        <v>1</v>
      </c>
      <c r="CG87" s="28">
        <f t="shared" si="564"/>
        <v>1</v>
      </c>
      <c r="CH87" s="28">
        <f t="shared" si="564"/>
        <v>1</v>
      </c>
      <c r="CI87" s="28">
        <f t="shared" si="564"/>
        <v>1</v>
      </c>
      <c r="CJ87" s="28">
        <f t="shared" si="564"/>
        <v>1</v>
      </c>
      <c r="CK87" s="28">
        <f t="shared" si="564"/>
        <v>1</v>
      </c>
      <c r="CL87" s="28">
        <f t="shared" si="564"/>
        <v>1</v>
      </c>
      <c r="CM87" s="28">
        <f t="shared" si="564"/>
        <v>1</v>
      </c>
      <c r="CN87" s="28">
        <f t="shared" ref="CN87:EI87" si="565">+CN88*$G$88</f>
        <v>1</v>
      </c>
      <c r="CO87" s="28">
        <f t="shared" si="565"/>
        <v>1</v>
      </c>
      <c r="CP87" s="28">
        <f t="shared" si="565"/>
        <v>1</v>
      </c>
      <c r="CQ87" s="28">
        <f t="shared" si="565"/>
        <v>1</v>
      </c>
      <c r="CR87" s="28">
        <f t="shared" si="565"/>
        <v>1</v>
      </c>
      <c r="CS87" s="28">
        <f t="shared" si="565"/>
        <v>1</v>
      </c>
      <c r="CT87" s="28">
        <f t="shared" si="565"/>
        <v>1</v>
      </c>
      <c r="CU87" s="28">
        <f t="shared" si="565"/>
        <v>1</v>
      </c>
      <c r="CV87" s="28">
        <f t="shared" si="565"/>
        <v>1</v>
      </c>
      <c r="CW87" s="28">
        <f t="shared" si="565"/>
        <v>1</v>
      </c>
      <c r="CX87" s="28">
        <f t="shared" si="565"/>
        <v>1</v>
      </c>
      <c r="CY87" s="28">
        <f t="shared" si="565"/>
        <v>1</v>
      </c>
      <c r="CZ87" s="28">
        <f t="shared" si="565"/>
        <v>1</v>
      </c>
      <c r="DA87" s="28">
        <f t="shared" si="565"/>
        <v>1</v>
      </c>
      <c r="DB87" s="28">
        <f t="shared" si="565"/>
        <v>1</v>
      </c>
      <c r="DC87" s="28">
        <f t="shared" si="565"/>
        <v>1</v>
      </c>
      <c r="DD87" s="28">
        <f t="shared" si="565"/>
        <v>1</v>
      </c>
      <c r="DE87" s="28">
        <f t="shared" si="565"/>
        <v>1</v>
      </c>
      <c r="DF87" s="28">
        <f t="shared" si="565"/>
        <v>1</v>
      </c>
      <c r="DG87" s="28">
        <f t="shared" si="565"/>
        <v>1</v>
      </c>
      <c r="DH87" s="28">
        <f t="shared" si="565"/>
        <v>1</v>
      </c>
      <c r="DI87" s="28">
        <f t="shared" si="565"/>
        <v>1</v>
      </c>
      <c r="DJ87" s="28">
        <f t="shared" si="565"/>
        <v>1</v>
      </c>
      <c r="DK87" s="28">
        <f t="shared" si="565"/>
        <v>1</v>
      </c>
      <c r="DL87" s="28">
        <f t="shared" si="565"/>
        <v>1</v>
      </c>
      <c r="DM87" s="28">
        <f t="shared" si="565"/>
        <v>1</v>
      </c>
      <c r="DN87" s="28">
        <f t="shared" si="565"/>
        <v>1</v>
      </c>
      <c r="DO87" s="28">
        <f t="shared" si="565"/>
        <v>1</v>
      </c>
      <c r="DP87" s="28">
        <f t="shared" si="565"/>
        <v>1</v>
      </c>
      <c r="DQ87" s="28">
        <f t="shared" si="565"/>
        <v>1</v>
      </c>
      <c r="DR87" s="28">
        <f t="shared" si="565"/>
        <v>1</v>
      </c>
      <c r="DS87" s="28">
        <f t="shared" si="565"/>
        <v>1</v>
      </c>
      <c r="DT87" s="28">
        <f t="shared" si="565"/>
        <v>1</v>
      </c>
      <c r="DU87" s="28">
        <f t="shared" si="565"/>
        <v>1</v>
      </c>
      <c r="DV87" s="28">
        <f t="shared" si="565"/>
        <v>1</v>
      </c>
      <c r="DW87" s="28">
        <f t="shared" si="565"/>
        <v>1</v>
      </c>
      <c r="DX87" s="28">
        <f t="shared" si="565"/>
        <v>1</v>
      </c>
      <c r="DY87" s="28">
        <f t="shared" si="565"/>
        <v>1</v>
      </c>
      <c r="DZ87" s="28">
        <f t="shared" si="565"/>
        <v>1</v>
      </c>
      <c r="EA87" s="28">
        <f t="shared" si="565"/>
        <v>1</v>
      </c>
      <c r="EB87" s="28">
        <f t="shared" si="565"/>
        <v>1</v>
      </c>
      <c r="EC87" s="28">
        <f t="shared" si="565"/>
        <v>1</v>
      </c>
      <c r="ED87" s="28">
        <f t="shared" si="565"/>
        <v>1</v>
      </c>
      <c r="EE87" s="28">
        <f t="shared" si="565"/>
        <v>1</v>
      </c>
      <c r="EF87" s="28">
        <f t="shared" si="565"/>
        <v>1</v>
      </c>
      <c r="EG87" s="28">
        <f t="shared" si="565"/>
        <v>1</v>
      </c>
      <c r="EH87" s="28">
        <f t="shared" si="565"/>
        <v>1</v>
      </c>
      <c r="EI87" s="28">
        <f t="shared" si="565"/>
        <v>1</v>
      </c>
    </row>
    <row r="88" spans="2:139" hidden="1" outlineLevel="3" x14ac:dyDescent="0.3">
      <c r="B88" s="29"/>
      <c r="C88" s="30"/>
      <c r="D88" s="30"/>
      <c r="E88" s="52" t="s">
        <v>91</v>
      </c>
      <c r="F88" s="33">
        <v>40</v>
      </c>
      <c r="G88" s="35">
        <v>1</v>
      </c>
      <c r="H88" s="162"/>
      <c r="I88" s="127">
        <v>0</v>
      </c>
      <c r="J88" s="127">
        <v>0</v>
      </c>
      <c r="K88" s="127">
        <v>0</v>
      </c>
      <c r="L88" s="127">
        <v>0</v>
      </c>
      <c r="M88" s="128">
        <v>0</v>
      </c>
      <c r="N88" s="128">
        <v>0</v>
      </c>
      <c r="O88" s="127">
        <v>0</v>
      </c>
      <c r="P88" s="127">
        <v>0</v>
      </c>
      <c r="Q88" s="127">
        <v>0</v>
      </c>
      <c r="R88" s="127">
        <v>0</v>
      </c>
      <c r="S88" s="127">
        <v>0</v>
      </c>
      <c r="T88" s="127">
        <v>0</v>
      </c>
      <c r="U88" s="127">
        <v>0</v>
      </c>
      <c r="V88" s="127">
        <v>0</v>
      </c>
      <c r="W88" s="127">
        <v>0</v>
      </c>
      <c r="X88" s="127">
        <v>0</v>
      </c>
      <c r="Y88" s="127">
        <v>0</v>
      </c>
      <c r="Z88" s="127">
        <v>0</v>
      </c>
      <c r="AA88" s="127">
        <v>0</v>
      </c>
      <c r="AB88" s="127">
        <v>0</v>
      </c>
      <c r="AC88" s="127">
        <v>0</v>
      </c>
      <c r="AD88" s="127">
        <v>0</v>
      </c>
      <c r="AE88" s="127">
        <v>0</v>
      </c>
      <c r="AF88" s="127">
        <v>0</v>
      </c>
      <c r="AG88" s="127">
        <v>0</v>
      </c>
      <c r="AH88" s="127">
        <v>0</v>
      </c>
      <c r="AI88" s="127">
        <v>0</v>
      </c>
      <c r="AJ88" s="127">
        <v>0</v>
      </c>
      <c r="AK88" s="127">
        <v>0</v>
      </c>
      <c r="AL88" s="127">
        <v>0</v>
      </c>
      <c r="AM88" s="127">
        <v>0</v>
      </c>
      <c r="AN88" s="127">
        <v>0</v>
      </c>
      <c r="AO88" s="127">
        <v>0</v>
      </c>
      <c r="AP88" s="127">
        <v>0.15</v>
      </c>
      <c r="AQ88" s="127">
        <v>0.15</v>
      </c>
      <c r="AR88" s="127">
        <v>0.15</v>
      </c>
      <c r="AS88" s="127">
        <v>0.15</v>
      </c>
      <c r="AT88" s="127">
        <v>1</v>
      </c>
      <c r="AU88" s="127">
        <v>1</v>
      </c>
      <c r="AV88" s="127">
        <v>1</v>
      </c>
      <c r="AW88" s="127">
        <v>1</v>
      </c>
      <c r="AX88" s="127">
        <v>1</v>
      </c>
      <c r="AY88" s="127">
        <v>1</v>
      </c>
      <c r="AZ88" s="127">
        <v>1</v>
      </c>
      <c r="BA88" s="127">
        <v>1</v>
      </c>
      <c r="BB88" s="127">
        <v>1</v>
      </c>
      <c r="BC88" s="127">
        <v>1</v>
      </c>
      <c r="BD88" s="127">
        <v>1</v>
      </c>
      <c r="BE88" s="127">
        <v>1</v>
      </c>
      <c r="BF88" s="127">
        <v>1</v>
      </c>
      <c r="BG88" s="163">
        <v>1</v>
      </c>
      <c r="BH88" s="163">
        <v>1</v>
      </c>
      <c r="BI88" s="127">
        <v>1</v>
      </c>
      <c r="BJ88" s="127">
        <v>1</v>
      </c>
      <c r="BK88" s="127">
        <v>1</v>
      </c>
      <c r="BL88" s="127">
        <v>1</v>
      </c>
      <c r="BM88" s="127">
        <v>1</v>
      </c>
      <c r="BN88" s="127">
        <v>1</v>
      </c>
      <c r="BO88" s="127">
        <v>1</v>
      </c>
      <c r="BP88" s="127">
        <v>1</v>
      </c>
      <c r="BQ88" s="127">
        <v>1</v>
      </c>
      <c r="BR88" s="127">
        <v>1</v>
      </c>
      <c r="BS88" s="127">
        <v>1</v>
      </c>
      <c r="BT88" s="127">
        <v>1</v>
      </c>
      <c r="BU88" s="127">
        <v>1</v>
      </c>
      <c r="BV88" s="127">
        <v>1</v>
      </c>
      <c r="BW88" s="127">
        <v>1</v>
      </c>
      <c r="BX88" s="127">
        <v>1</v>
      </c>
      <c r="BY88" s="127">
        <v>1</v>
      </c>
      <c r="BZ88" s="127">
        <v>1</v>
      </c>
      <c r="CA88" s="127">
        <v>1</v>
      </c>
      <c r="CB88" s="127">
        <v>1</v>
      </c>
      <c r="CC88" s="127">
        <v>1</v>
      </c>
      <c r="CD88" s="127">
        <v>1</v>
      </c>
      <c r="CE88" s="127">
        <v>1</v>
      </c>
      <c r="CF88" s="127">
        <v>1</v>
      </c>
      <c r="CG88" s="127">
        <v>1</v>
      </c>
      <c r="CH88" s="127">
        <v>1</v>
      </c>
      <c r="CI88" s="127">
        <v>1</v>
      </c>
      <c r="CJ88" s="127">
        <v>1</v>
      </c>
      <c r="CK88" s="127">
        <v>1</v>
      </c>
      <c r="CL88" s="127">
        <v>1</v>
      </c>
      <c r="CM88" s="127">
        <v>1</v>
      </c>
      <c r="CN88" s="127">
        <v>1</v>
      </c>
      <c r="CO88" s="127">
        <v>1</v>
      </c>
      <c r="CP88" s="127">
        <v>1</v>
      </c>
      <c r="CQ88" s="127">
        <v>1</v>
      </c>
      <c r="CR88" s="127">
        <v>1</v>
      </c>
      <c r="CS88" s="127">
        <v>1</v>
      </c>
      <c r="CT88" s="127">
        <v>1</v>
      </c>
      <c r="CU88" s="127">
        <v>1</v>
      </c>
      <c r="CV88" s="127">
        <v>1</v>
      </c>
      <c r="CW88" s="127">
        <v>1</v>
      </c>
      <c r="CX88" s="127">
        <v>1</v>
      </c>
      <c r="CY88" s="127">
        <v>1</v>
      </c>
      <c r="CZ88" s="127">
        <v>1</v>
      </c>
      <c r="DA88" s="127">
        <v>1</v>
      </c>
      <c r="DB88" s="127">
        <v>1</v>
      </c>
      <c r="DC88" s="127">
        <v>1</v>
      </c>
      <c r="DD88" s="127">
        <v>1</v>
      </c>
      <c r="DE88" s="127">
        <v>1</v>
      </c>
      <c r="DF88" s="127">
        <v>1</v>
      </c>
      <c r="DG88" s="127">
        <v>1</v>
      </c>
      <c r="DH88" s="127">
        <v>1</v>
      </c>
      <c r="DI88" s="127">
        <v>1</v>
      </c>
      <c r="DJ88" s="127">
        <v>1</v>
      </c>
      <c r="DK88" s="127">
        <v>1</v>
      </c>
      <c r="DL88" s="127">
        <v>1</v>
      </c>
      <c r="DM88" s="127">
        <v>1</v>
      </c>
      <c r="DN88" s="127">
        <v>1</v>
      </c>
      <c r="DO88" s="127">
        <v>1</v>
      </c>
      <c r="DP88" s="127">
        <v>1</v>
      </c>
      <c r="DQ88" s="127">
        <v>1</v>
      </c>
      <c r="DR88" s="127">
        <v>1</v>
      </c>
      <c r="DS88" s="127">
        <v>1</v>
      </c>
      <c r="DT88" s="127">
        <v>1</v>
      </c>
      <c r="DU88" s="127">
        <v>1</v>
      </c>
      <c r="DV88" s="127">
        <v>1</v>
      </c>
      <c r="DW88" s="127">
        <v>1</v>
      </c>
      <c r="DX88" s="127">
        <v>1</v>
      </c>
      <c r="DY88" s="127">
        <v>1</v>
      </c>
      <c r="DZ88" s="127">
        <v>1</v>
      </c>
      <c r="EA88" s="127">
        <v>1</v>
      </c>
      <c r="EB88" s="127">
        <v>1</v>
      </c>
      <c r="EC88" s="127">
        <v>1</v>
      </c>
      <c r="ED88" s="127">
        <v>1</v>
      </c>
      <c r="EE88" s="127">
        <v>1</v>
      </c>
      <c r="EF88" s="127">
        <v>1</v>
      </c>
      <c r="EG88" s="127">
        <v>1</v>
      </c>
      <c r="EH88" s="127">
        <v>1</v>
      </c>
      <c r="EI88" s="127">
        <v>1</v>
      </c>
    </row>
    <row r="89" spans="2:139" ht="15" outlineLevel="2" collapsed="1" x14ac:dyDescent="0.3">
      <c r="B89" s="22"/>
      <c r="C89" s="23"/>
      <c r="D89" s="23" t="s">
        <v>92</v>
      </c>
      <c r="E89" s="50"/>
      <c r="F89" s="26">
        <f>+SUM(F90:F98)</f>
        <v>160</v>
      </c>
      <c r="G89" s="28">
        <v>0.155778577090152</v>
      </c>
      <c r="H89" s="160"/>
      <c r="I89" s="28">
        <f t="shared" ref="I89:BD89" si="566">+SUMPRODUCT($G$90:$G$98,I90:I98)</f>
        <v>0</v>
      </c>
      <c r="J89" s="28">
        <f t="shared" si="566"/>
        <v>0</v>
      </c>
      <c r="K89" s="28">
        <f t="shared" si="566"/>
        <v>0</v>
      </c>
      <c r="L89" s="28">
        <f t="shared" si="566"/>
        <v>0</v>
      </c>
      <c r="M89" s="64">
        <f t="shared" si="566"/>
        <v>0</v>
      </c>
      <c r="N89" s="64">
        <f t="shared" si="566"/>
        <v>0</v>
      </c>
      <c r="O89" s="28">
        <f t="shared" si="566"/>
        <v>0</v>
      </c>
      <c r="P89" s="28">
        <f t="shared" si="566"/>
        <v>0</v>
      </c>
      <c r="Q89" s="28">
        <f t="shared" si="566"/>
        <v>0</v>
      </c>
      <c r="R89" s="28">
        <f t="shared" si="566"/>
        <v>0</v>
      </c>
      <c r="S89" s="28">
        <f t="shared" si="566"/>
        <v>0</v>
      </c>
      <c r="T89" s="28">
        <f t="shared" si="566"/>
        <v>0</v>
      </c>
      <c r="U89" s="28">
        <f t="shared" si="566"/>
        <v>0</v>
      </c>
      <c r="V89" s="28">
        <f t="shared" si="566"/>
        <v>0</v>
      </c>
      <c r="W89" s="28">
        <f t="shared" si="566"/>
        <v>1E-119</v>
      </c>
      <c r="X89" s="28">
        <f t="shared" si="566"/>
        <v>0.125</v>
      </c>
      <c r="Y89" s="28">
        <f t="shared" si="566"/>
        <v>0.1615625</v>
      </c>
      <c r="Z89" s="28">
        <f t="shared" si="566"/>
        <v>0.21875</v>
      </c>
      <c r="AA89" s="28">
        <f t="shared" si="566"/>
        <v>0.27200000000000002</v>
      </c>
      <c r="AB89" s="28">
        <f t="shared" si="566"/>
        <v>0.27200000000000002</v>
      </c>
      <c r="AC89" s="28">
        <f t="shared" si="566"/>
        <v>0.37078125000000001</v>
      </c>
      <c r="AD89" s="28">
        <f t="shared" si="566"/>
        <v>0.37421875000000004</v>
      </c>
      <c r="AE89" s="28">
        <f t="shared" si="566"/>
        <v>0.39484375000000005</v>
      </c>
      <c r="AF89" s="28">
        <f t="shared" si="566"/>
        <v>0.40687499999999999</v>
      </c>
      <c r="AG89" s="28">
        <f t="shared" si="566"/>
        <v>0.42303125000000003</v>
      </c>
      <c r="AH89" s="28">
        <f t="shared" si="566"/>
        <v>0.45831250000000001</v>
      </c>
      <c r="AI89" s="28">
        <f t="shared" si="566"/>
        <v>0.45831250000000001</v>
      </c>
      <c r="AJ89" s="28">
        <f t="shared" si="566"/>
        <v>0.45831250000000001</v>
      </c>
      <c r="AK89" s="28">
        <f t="shared" si="566"/>
        <v>0.47034375000000006</v>
      </c>
      <c r="AL89" s="28">
        <f t="shared" si="566"/>
        <v>0.482375</v>
      </c>
      <c r="AM89" s="28">
        <f t="shared" si="566"/>
        <v>0.49165625000000002</v>
      </c>
      <c r="AN89" s="28">
        <f t="shared" si="566"/>
        <v>0.50796875000000008</v>
      </c>
      <c r="AO89" s="28">
        <f t="shared" si="566"/>
        <v>0.52693750000000006</v>
      </c>
      <c r="AP89" s="28">
        <f t="shared" si="566"/>
        <v>0.54034375000000001</v>
      </c>
      <c r="AQ89" s="28">
        <f t="shared" si="566"/>
        <v>0.54618750000000005</v>
      </c>
      <c r="AR89" s="28">
        <f t="shared" si="566"/>
        <v>0.54618750000000005</v>
      </c>
      <c r="AS89" s="28">
        <f t="shared" si="566"/>
        <v>0.58400000000000007</v>
      </c>
      <c r="AT89" s="28">
        <f t="shared" si="566"/>
        <v>0.58400000000000007</v>
      </c>
      <c r="AU89" s="28">
        <f t="shared" si="566"/>
        <v>0.58400000000000007</v>
      </c>
      <c r="AV89" s="28">
        <f t="shared" si="566"/>
        <v>0.58400000000000007</v>
      </c>
      <c r="AW89" s="28">
        <f t="shared" si="566"/>
        <v>0.5847500000000001</v>
      </c>
      <c r="AX89" s="28">
        <f t="shared" si="566"/>
        <v>0.69499999999999995</v>
      </c>
      <c r="AY89" s="28">
        <f t="shared" si="566"/>
        <v>0.69499999999999995</v>
      </c>
      <c r="AZ89" s="28">
        <f t="shared" si="566"/>
        <v>0.69499999999999995</v>
      </c>
      <c r="BA89" s="28">
        <f t="shared" si="566"/>
        <v>0.69499999999999995</v>
      </c>
      <c r="BB89" s="28">
        <f t="shared" si="566"/>
        <v>0.69556249999999997</v>
      </c>
      <c r="BC89" s="28">
        <f t="shared" si="566"/>
        <v>0.69680000000000009</v>
      </c>
      <c r="BD89" s="28">
        <f t="shared" si="566"/>
        <v>0.75259987408424911</v>
      </c>
      <c r="BE89" s="28">
        <f t="shared" ref="BE89:BF89" si="567">+SUMPRODUCT($G$90:$G$98,BE90:BE98)</f>
        <v>0.76595924908424917</v>
      </c>
      <c r="BF89" s="28">
        <f t="shared" si="567"/>
        <v>0.77196594551282061</v>
      </c>
      <c r="BG89" s="161">
        <f t="shared" ref="BG89:BH89" si="568">+SUMPRODUCT($G$90:$G$98,BG90:BG98)</f>
        <v>0.83171148122710625</v>
      </c>
      <c r="BH89" s="161">
        <f t="shared" si="568"/>
        <v>0.84319250801282042</v>
      </c>
      <c r="BI89" s="28">
        <f t="shared" ref="BI89:BJ89" si="569">+SUMPRODUCT($G$90:$G$98,BI90:BI98)</f>
        <v>0.86133313301282055</v>
      </c>
      <c r="BJ89" s="28">
        <f t="shared" si="569"/>
        <v>0.86133313301282055</v>
      </c>
      <c r="BK89" s="28">
        <f t="shared" ref="BK89:BL89" si="570">+SUMPRODUCT($G$90:$G$98,BK90:BK98)</f>
        <v>0.86133313301282055</v>
      </c>
      <c r="BL89" s="28">
        <f t="shared" si="570"/>
        <v>0.86133313301282055</v>
      </c>
      <c r="BM89" s="28">
        <f t="shared" ref="BM89:BN89" si="571">+SUMPRODUCT($G$90:$G$98,BM90:BM98)</f>
        <v>0.86133313301282055</v>
      </c>
      <c r="BN89" s="28">
        <f t="shared" si="571"/>
        <v>0.86156324664918416</v>
      </c>
      <c r="BO89" s="28">
        <f t="shared" ref="BO89:BP89" si="572">+SUMPRODUCT($G$90:$G$98,BO90:BO98)</f>
        <v>0.86219605914918418</v>
      </c>
      <c r="BP89" s="28">
        <f t="shared" si="572"/>
        <v>0.86288640005827499</v>
      </c>
      <c r="BQ89" s="28">
        <f t="shared" ref="BQ89:BR89" si="573">+SUMPRODUCT($G$90:$G$98,BQ90:BQ98)</f>
        <v>0.86365344551282042</v>
      </c>
      <c r="BR89" s="28">
        <f t="shared" si="573"/>
        <v>0.86365344551282042</v>
      </c>
      <c r="BS89" s="28">
        <f t="shared" ref="BS89:BT89" si="574">+SUMPRODUCT($G$90:$G$98,BS90:BS98)</f>
        <v>0.89370152243589729</v>
      </c>
      <c r="BT89" s="28">
        <f t="shared" si="574"/>
        <v>0.93376562499999993</v>
      </c>
      <c r="BU89" s="28">
        <f t="shared" ref="BU89:BV89" si="575">+SUMPRODUCT($G$90:$G$98,BU90:BU98)</f>
        <v>0.93376562499999993</v>
      </c>
      <c r="BV89" s="28">
        <f t="shared" si="575"/>
        <v>0.93561132812500003</v>
      </c>
      <c r="BW89" s="28">
        <f t="shared" ref="BW89:BX89" si="576">+SUMPRODUCT($G$90:$G$98,BW90:BW98)</f>
        <v>0.93569921874999995</v>
      </c>
      <c r="BX89" s="28">
        <f t="shared" si="576"/>
        <v>0.93574316406250002</v>
      </c>
      <c r="BY89" s="28">
        <f t="shared" ref="BY89:BZ89" si="577">+SUMPRODUCT($G$90:$G$98,BY90:BY98)</f>
        <v>0.93578710937499998</v>
      </c>
      <c r="BZ89" s="28">
        <f t="shared" si="577"/>
        <v>0.93587500000000001</v>
      </c>
      <c r="CA89" s="28">
        <f t="shared" ref="CA89:CB89" si="578">+SUMPRODUCT($G$90:$G$98,CA90:CA98)</f>
        <v>0.93587500000000001</v>
      </c>
      <c r="CB89" s="28">
        <f t="shared" si="578"/>
        <v>0.93587500000000001</v>
      </c>
      <c r="CC89" s="28">
        <f t="shared" ref="CC89:CD89" si="579">+SUMPRODUCT($G$90:$G$98,CC90:CC98)</f>
        <v>0.93587500000000001</v>
      </c>
      <c r="CD89" s="28">
        <f t="shared" si="579"/>
        <v>0.93587500000000001</v>
      </c>
      <c r="CE89" s="28">
        <f t="shared" ref="CE89" si="580">+SUMPRODUCT($G$90:$G$98,CE90:CE98)</f>
        <v>0.93587500000000001</v>
      </c>
      <c r="CF89" s="28">
        <f t="shared" ref="CF89" si="581">+SUMPRODUCT($G$90:$G$98,CF90:CF98)</f>
        <v>0.93587500000000001</v>
      </c>
      <c r="CG89" s="28">
        <f t="shared" ref="CG89" si="582">+SUMPRODUCT($G$90:$G$98,CG90:CG98)</f>
        <v>0.93587500000000001</v>
      </c>
      <c r="CH89" s="28">
        <f t="shared" ref="CH89" si="583">+SUMPRODUCT($G$90:$G$98,CH90:CH98)</f>
        <v>0.93587500000000001</v>
      </c>
      <c r="CI89" s="28">
        <f t="shared" ref="CI89" si="584">+SUMPRODUCT($G$90:$G$98,CI90:CI98)</f>
        <v>0.93587500000000001</v>
      </c>
      <c r="CJ89" s="28">
        <f t="shared" ref="CJ89:CK89" si="585">+SUMPRODUCT($G$90:$G$98,CJ90:CJ98)</f>
        <v>0.93587500000000001</v>
      </c>
      <c r="CK89" s="28">
        <f t="shared" si="585"/>
        <v>0.93587500000000001</v>
      </c>
      <c r="CL89" s="28">
        <f t="shared" ref="CL89:CV89" si="586">+SUMPRODUCT($G$90:$G$98,CL90:CL98)</f>
        <v>0.93587500000000001</v>
      </c>
      <c r="CM89" s="28">
        <f t="shared" si="586"/>
        <v>0.93587500000000001</v>
      </c>
      <c r="CN89" s="28">
        <f t="shared" si="586"/>
        <v>0.93587500000000001</v>
      </c>
      <c r="CO89" s="28">
        <f t="shared" si="586"/>
        <v>0.93587500000000001</v>
      </c>
      <c r="CP89" s="28">
        <f t="shared" si="586"/>
        <v>0.93587500000000001</v>
      </c>
      <c r="CQ89" s="28">
        <f t="shared" si="586"/>
        <v>0.93587500000000001</v>
      </c>
      <c r="CR89" s="28">
        <f t="shared" si="586"/>
        <v>0.93587500000000001</v>
      </c>
      <c r="CS89" s="28">
        <f t="shared" si="586"/>
        <v>0.93587500000000001</v>
      </c>
      <c r="CT89" s="28">
        <f t="shared" si="586"/>
        <v>0.93587500000000001</v>
      </c>
      <c r="CU89" s="28">
        <f t="shared" si="586"/>
        <v>0.93587500000000001</v>
      </c>
      <c r="CV89" s="28">
        <f t="shared" si="586"/>
        <v>0.93587500000000001</v>
      </c>
      <c r="CW89" s="28">
        <f t="shared" ref="CW89" si="587">+SUMPRODUCT($G$90:$G$98,CW90:CW98)</f>
        <v>0.93587500000000001</v>
      </c>
      <c r="CX89" s="28">
        <f t="shared" ref="CX89:CY89" si="588">+SUMPRODUCT($G$90:$G$98,CX90:CX98)</f>
        <v>0.93587500000000001</v>
      </c>
      <c r="CY89" s="28">
        <f t="shared" si="588"/>
        <v>0.93587500000000001</v>
      </c>
      <c r="CZ89" s="28">
        <f t="shared" ref="CZ89:DA89" si="589">+SUMPRODUCT($G$90:$G$98,CZ90:CZ98)</f>
        <v>0.93587500000000001</v>
      </c>
      <c r="DA89" s="28">
        <f t="shared" si="589"/>
        <v>0.93587500000000001</v>
      </c>
      <c r="DB89" s="28">
        <f t="shared" ref="DB89:DC89" si="590">+SUMPRODUCT($G$90:$G$98,DB90:DB98)</f>
        <v>0.93587500000000001</v>
      </c>
      <c r="DC89" s="28">
        <f t="shared" si="590"/>
        <v>0.93587500000000001</v>
      </c>
      <c r="DD89" s="28">
        <f t="shared" ref="DD89:DE89" si="591">+SUMPRODUCT($G$90:$G$98,DD90:DD98)</f>
        <v>0.93587500000000001</v>
      </c>
      <c r="DE89" s="28">
        <f t="shared" si="591"/>
        <v>0.93587500000000001</v>
      </c>
      <c r="DF89" s="28">
        <f t="shared" ref="DF89:EI89" si="592">+SUMPRODUCT($G$90:$G$98,DF90:DF98)</f>
        <v>0.93587500000000001</v>
      </c>
      <c r="DG89" s="28">
        <f t="shared" si="592"/>
        <v>0.93587500000000001</v>
      </c>
      <c r="DH89" s="28">
        <f t="shared" si="592"/>
        <v>0.93756250000000008</v>
      </c>
      <c r="DI89" s="28">
        <f t="shared" si="592"/>
        <v>0.93756250000000008</v>
      </c>
      <c r="DJ89" s="28">
        <f t="shared" si="592"/>
        <v>0.93587500000000001</v>
      </c>
      <c r="DK89" s="28">
        <f t="shared" si="592"/>
        <v>0.93587500000000001</v>
      </c>
      <c r="DL89" s="28">
        <f t="shared" si="592"/>
        <v>0.93587500000000001</v>
      </c>
      <c r="DM89" s="28">
        <f t="shared" si="592"/>
        <v>0.93587500000000001</v>
      </c>
      <c r="DN89" s="28">
        <f t="shared" si="592"/>
        <v>0.93587500000000001</v>
      </c>
      <c r="DO89" s="28">
        <f t="shared" si="592"/>
        <v>0.93587500000000001</v>
      </c>
      <c r="DP89" s="28">
        <f t="shared" si="592"/>
        <v>0.93587500000000001</v>
      </c>
      <c r="DQ89" s="28">
        <f t="shared" si="592"/>
        <v>0.93587500000000001</v>
      </c>
      <c r="DR89" s="28">
        <f t="shared" si="592"/>
        <v>0.93587500000000001</v>
      </c>
      <c r="DS89" s="28">
        <f t="shared" si="592"/>
        <v>0.93587500000000001</v>
      </c>
      <c r="DT89" s="28">
        <f t="shared" si="592"/>
        <v>0.93587500000000001</v>
      </c>
      <c r="DU89" s="28">
        <f t="shared" si="592"/>
        <v>0.93587500000000001</v>
      </c>
      <c r="DV89" s="28">
        <f t="shared" si="592"/>
        <v>0.93587500000000001</v>
      </c>
      <c r="DW89" s="28">
        <f t="shared" si="592"/>
        <v>0.93587500000000001</v>
      </c>
      <c r="DX89" s="28">
        <f t="shared" si="592"/>
        <v>0.93587500000000001</v>
      </c>
      <c r="DY89" s="28">
        <f t="shared" si="592"/>
        <v>0.93587500000000001</v>
      </c>
      <c r="DZ89" s="28">
        <f t="shared" si="592"/>
        <v>0.93587500000000001</v>
      </c>
      <c r="EA89" s="28">
        <f t="shared" si="592"/>
        <v>0.93587500000000001</v>
      </c>
      <c r="EB89" s="28">
        <f t="shared" si="592"/>
        <v>0.93587500000000001</v>
      </c>
      <c r="EC89" s="28">
        <f t="shared" si="592"/>
        <v>0.93587500000000001</v>
      </c>
      <c r="ED89" s="28">
        <f t="shared" si="592"/>
        <v>0.93587500000000001</v>
      </c>
      <c r="EE89" s="28">
        <f t="shared" si="592"/>
        <v>0.93587500000000001</v>
      </c>
      <c r="EF89" s="28">
        <f t="shared" si="592"/>
        <v>0.93587500000000001</v>
      </c>
      <c r="EG89" s="28">
        <f t="shared" si="592"/>
        <v>0.93587500000000001</v>
      </c>
      <c r="EH89" s="28">
        <f t="shared" si="592"/>
        <v>0.93587500000000001</v>
      </c>
      <c r="EI89" s="28">
        <f t="shared" si="592"/>
        <v>0.93587500000000001</v>
      </c>
    </row>
    <row r="90" spans="2:139" hidden="1" outlineLevel="3" x14ac:dyDescent="0.3">
      <c r="B90" s="280"/>
      <c r="C90" s="281"/>
      <c r="D90" s="281"/>
      <c r="E90" s="282" t="s">
        <v>93</v>
      </c>
      <c r="F90" s="283">
        <v>30</v>
      </c>
      <c r="G90" s="284">
        <v>0.1875</v>
      </c>
      <c r="H90" s="162"/>
      <c r="I90" s="127">
        <v>0</v>
      </c>
      <c r="J90" s="127">
        <v>0</v>
      </c>
      <c r="K90" s="127">
        <v>0</v>
      </c>
      <c r="L90" s="127">
        <v>0</v>
      </c>
      <c r="M90" s="128">
        <v>0</v>
      </c>
      <c r="N90" s="128">
        <v>0</v>
      </c>
      <c r="O90" s="127">
        <v>0</v>
      </c>
      <c r="P90" s="127">
        <v>0</v>
      </c>
      <c r="Q90" s="127">
        <v>0</v>
      </c>
      <c r="R90" s="127">
        <v>0</v>
      </c>
      <c r="S90" s="127">
        <v>0</v>
      </c>
      <c r="T90" s="127">
        <v>0</v>
      </c>
      <c r="U90" s="127">
        <v>0</v>
      </c>
      <c r="V90" s="127">
        <v>0</v>
      </c>
      <c r="W90" s="127">
        <v>0</v>
      </c>
      <c r="X90" s="127">
        <v>0</v>
      </c>
      <c r="Y90" s="127">
        <v>0</v>
      </c>
      <c r="Z90" s="127">
        <v>0</v>
      </c>
      <c r="AA90" s="127">
        <v>0</v>
      </c>
      <c r="AB90" s="127">
        <v>0</v>
      </c>
      <c r="AC90" s="127">
        <v>0</v>
      </c>
      <c r="AD90" s="127">
        <v>0</v>
      </c>
      <c r="AE90" s="127">
        <v>0</v>
      </c>
      <c r="AF90" s="127">
        <v>0</v>
      </c>
      <c r="AG90" s="127">
        <v>0</v>
      </c>
      <c r="AH90" s="127">
        <v>0.10000000000000002</v>
      </c>
      <c r="AI90" s="127">
        <v>0.10000000000000002</v>
      </c>
      <c r="AJ90" s="127">
        <v>0.10000000000000002</v>
      </c>
      <c r="AK90" s="127">
        <v>0.10000000000000002</v>
      </c>
      <c r="AL90" s="127">
        <v>0.10000000000000002</v>
      </c>
      <c r="AM90" s="127">
        <v>0.10000000000000002</v>
      </c>
      <c r="AN90" s="127">
        <v>0.10000000000000002</v>
      </c>
      <c r="AO90" s="127">
        <v>0.10000000000000002</v>
      </c>
      <c r="AP90" s="127">
        <v>0.10000000000000002</v>
      </c>
      <c r="AQ90" s="127">
        <v>0.10000000000000002</v>
      </c>
      <c r="AR90" s="127">
        <v>0.10000000000000002</v>
      </c>
      <c r="AS90" s="127">
        <v>0.10000000000000002</v>
      </c>
      <c r="AT90" s="127">
        <v>0.10000000000000002</v>
      </c>
      <c r="AU90" s="127">
        <v>0.10000000000000002</v>
      </c>
      <c r="AV90" s="127">
        <v>0.10000000000000002</v>
      </c>
      <c r="AW90" s="127">
        <v>0.10000000000000002</v>
      </c>
      <c r="AX90" s="127">
        <v>0.10000000000000002</v>
      </c>
      <c r="AY90" s="127">
        <v>0.10000000000000002</v>
      </c>
      <c r="AZ90" s="127">
        <v>0.10000000000000002</v>
      </c>
      <c r="BA90" s="127">
        <v>0.10000000000000002</v>
      </c>
      <c r="BB90" s="127">
        <f>Real[[#This Row],[05/05/25]]+(1-Real[[#This Row],[05/05/25]])*'Avance 39'!I50</f>
        <v>0.10000000000000002</v>
      </c>
      <c r="BC90" s="127">
        <f>Real[[#This Row],[05/05/25]]+(1-Real[[#This Row],[05/05/25]])*'Avance 39'!J50</f>
        <v>0.10000000000000002</v>
      </c>
      <c r="BD90" s="127">
        <f>Real[[#This Row],[05/05/25]]+(1-Real[[#This Row],[05/05/25]])*'Avance 39'!K50</f>
        <v>0.10000000000000002</v>
      </c>
      <c r="BE90" s="127">
        <f>Real[[#This Row],[05/05/25]]+(1-Real[[#This Row],[05/05/25]])*'Avance 39'!L50</f>
        <v>0.16000000000000003</v>
      </c>
      <c r="BF90" s="127">
        <f>Real[[#This Row],[05/05/25]]+(1-Real[[#This Row],[05/05/25]])*'Avance 39'!M50</f>
        <v>0.18400000000000002</v>
      </c>
      <c r="BG90" s="163">
        <f>Real[[#This Row],[05/05/25]]+(1-Real[[#This Row],[05/05/25]])*'Avance 39'!N50</f>
        <v>0.502</v>
      </c>
      <c r="BH90" s="163">
        <f>Real[[#This Row],[05/05/25]]+(1-Real[[#This Row],[05/05/25]])*'Avance 39'!O50</f>
        <v>0.56199999999999994</v>
      </c>
      <c r="BI90" s="127">
        <f>Real[[#This Row],[05/05/25]]+(1-Real[[#This Row],[05/05/25]])*'Avance 39'!P50</f>
        <v>0.65800000000000003</v>
      </c>
      <c r="BJ90" s="127">
        <f>Real[[#This Row],[05/05/25]]+(1-Real[[#This Row],[05/05/25]])*'Avance 39'!Q50</f>
        <v>0.65800000000000003</v>
      </c>
      <c r="BK90" s="127">
        <f>Real[[#This Row],[05/05/25]]+(1-Real[[#This Row],[05/05/25]])*'Avance 39'!R50</f>
        <v>0.65800000000000003</v>
      </c>
      <c r="BL90" s="127">
        <f>Real[[#This Row],[05/05/25]]+(1-Real[[#This Row],[05/05/25]])*'Avance 39'!S50</f>
        <v>0.65800000000000003</v>
      </c>
      <c r="BM90" s="127">
        <f>Real[[#This Row],[05/05/25]]+(1-Real[[#This Row],[05/05/25]])*'Avance 39'!T50</f>
        <v>0.65800000000000003</v>
      </c>
      <c r="BN90" s="127">
        <f>Real[[#This Row],[05/05/25]]+(1-Real[[#This Row],[05/05/25]])*'Avance 39'!U50</f>
        <v>0.65800000000000003</v>
      </c>
      <c r="BO90" s="127">
        <f>Real[[#This Row],[05/05/25]]+(1-Real[[#This Row],[05/05/25]])*'Avance 39'!V50</f>
        <v>0.65800000000000003</v>
      </c>
      <c r="BP90" s="127">
        <f>Real[[#This Row],[05/05/25]]+(1-Real[[#This Row],[05/05/25]])*'Avance 39'!W50</f>
        <v>0.65800000000000003</v>
      </c>
      <c r="BQ90" s="127">
        <f>Real[[#This Row],[05/05/25]]+(1-Real[[#This Row],[05/05/25]])*'Avance 39'!X50</f>
        <v>0.65800000000000003</v>
      </c>
      <c r="BR90" s="127">
        <f>Real[[#This Row],[05/05/25]]+(1-Real[[#This Row],[05/05/25]])*'Avance 39'!Y50</f>
        <v>0.65800000000000003</v>
      </c>
      <c r="BS90" s="127">
        <f>Real[[#This Row],[05/05/25]]+(1-Real[[#This Row],[05/05/25]])*'Avance 39'!Z50</f>
        <v>0.65800000000000003</v>
      </c>
      <c r="BT90" s="127">
        <f>Real[[#This Row],[05/05/25]]+(1-Real[[#This Row],[05/05/25]])*'Avance 39'!AA50</f>
        <v>0.65800000000000003</v>
      </c>
      <c r="BU90" s="127">
        <f>Real[[#This Row],[05/05/25]]+(1-Real[[#This Row],[05/05/25]])*'Avance 39'!AB50</f>
        <v>0.65800000000000003</v>
      </c>
      <c r="BV90" s="127">
        <f>Real[[#This Row],[05/05/25]]+(1-Real[[#This Row],[05/05/25]])*'Avance 39'!AC50</f>
        <v>0.65800000000000003</v>
      </c>
      <c r="BW90" s="127">
        <f>Real[[#This Row],[05/05/25]]+(1-Real[[#This Row],[05/05/25]])*'Avance 39'!AD50</f>
        <v>0.65800000000000003</v>
      </c>
      <c r="BX90" s="127">
        <f>Real[[#This Row],[05/05/25]]+(1-Real[[#This Row],[05/05/25]])*'Avance 39'!AE50</f>
        <v>0.65800000000000003</v>
      </c>
      <c r="BY90" s="127">
        <f>Real[[#This Row],[05/05/25]]+(1-Real[[#This Row],[05/05/25]])*'Avance 39'!AF50</f>
        <v>0.65800000000000003</v>
      </c>
      <c r="BZ90" s="127">
        <f>Real[[#This Row],[05/05/25]]+(1-Real[[#This Row],[05/05/25]])*'Avance 39'!AG50</f>
        <v>0.65800000000000003</v>
      </c>
      <c r="CA90" s="127">
        <f>Real[[#This Row],[05/05/25]]+(1-Real[[#This Row],[05/05/25]])*'Avance 39'!AH50</f>
        <v>0.65800000000000003</v>
      </c>
      <c r="CB90" s="127">
        <f>Real[[#This Row],[05/05/25]]+(1-Real[[#This Row],[05/05/25]])*'Avance 39'!AI50</f>
        <v>0.65800000000000003</v>
      </c>
      <c r="CC90" s="127">
        <f>Real[[#This Row],[05/05/25]]+(1-Real[[#This Row],[05/05/25]])*'Avance 39'!AJ50</f>
        <v>0.65800000000000003</v>
      </c>
      <c r="CD90" s="127">
        <f>Real[[#This Row],[05/05/25]]+(1-Real[[#This Row],[05/05/25]])*'Avance 39'!AK50</f>
        <v>0.65800000000000003</v>
      </c>
      <c r="CE90" s="127">
        <f>Real[[#This Row],[05/05/25]]+(1-Real[[#This Row],[05/05/25]])*'Avance 39'!AL50</f>
        <v>0.65800000000000003</v>
      </c>
      <c r="CF90" s="127">
        <f>Real[[#This Row],[05/05/25]]+(1-Real[[#This Row],[05/05/25]])*'Avance 39'!AM50</f>
        <v>0.65800000000000003</v>
      </c>
      <c r="CG90" s="127">
        <f>Real[[#This Row],[05/05/25]]+(1-Real[[#This Row],[05/05/25]])*'Avance 39'!AN50</f>
        <v>0.65800000000000003</v>
      </c>
      <c r="CH90" s="127">
        <f>Real[[#This Row],[05/05/25]]+(1-Real[[#This Row],[05/05/25]])*'Avance 39'!AO50</f>
        <v>0.65800000000000003</v>
      </c>
      <c r="CI90" s="127">
        <f>Real[[#This Row],[05/05/25]]+(1-Real[[#This Row],[05/05/25]])*'Avance 39'!AP50</f>
        <v>0.65800000000000003</v>
      </c>
      <c r="CJ90" s="127">
        <f>Real[[#This Row],[05/05/25]]+(1-Real[[#This Row],[05/05/25]])*'Avance 39'!AQ50</f>
        <v>0.65800000000000003</v>
      </c>
      <c r="CK90" s="127">
        <f>Real[[#This Row],[05/05/25]]+(1-Real[[#This Row],[05/05/25]])*'Avance 39'!AR50</f>
        <v>0.65800000000000003</v>
      </c>
      <c r="CL90" s="127">
        <f>Real[[#This Row],[05/05/25]]+(1-Real[[#This Row],[05/05/25]])*'Avance 39'!AS50</f>
        <v>0.65800000000000003</v>
      </c>
      <c r="CM90" s="127">
        <f>Real[[#This Row],[05/05/25]]+(1-Real[[#This Row],[05/05/25]])*'Avance 39'!AT50</f>
        <v>0.65800000000000003</v>
      </c>
      <c r="CN90" s="127">
        <f>Real[[#This Row],[05/05/25]]+(1-Real[[#This Row],[05/05/25]])*'Avance 39'!AU50</f>
        <v>0.65800000000000003</v>
      </c>
      <c r="CO90" s="127">
        <f>Real[[#This Row],[05/05/25]]+(1-Real[[#This Row],[05/05/25]])*'Avance 39'!AV50</f>
        <v>0.65800000000000003</v>
      </c>
      <c r="CP90" s="127">
        <f>Real[[#This Row],[05/05/25]]+(1-Real[[#This Row],[05/05/25]])*'Avance 39'!AW50</f>
        <v>0.65800000000000003</v>
      </c>
      <c r="CQ90" s="127">
        <f>Real[[#This Row],[05/05/25]]+(1-Real[[#This Row],[05/05/25]])*'Avance 39'!AX50</f>
        <v>0.65800000000000003</v>
      </c>
      <c r="CR90" s="127">
        <f>Real[[#This Row],[05/05/25]]+(1-Real[[#This Row],[05/05/25]])*'Avance 39'!AY50</f>
        <v>0.65800000000000003</v>
      </c>
      <c r="CS90" s="127">
        <f>Real[[#This Row],[05/05/25]]+(1-Real[[#This Row],[05/05/25]])*'Avance 39'!AZ50</f>
        <v>0.65800000000000003</v>
      </c>
      <c r="CT90" s="127">
        <f>Real[[#This Row],[05/05/25]]+(1-Real[[#This Row],[05/05/25]])*'Avance 39'!BA50</f>
        <v>0.65800000000000003</v>
      </c>
      <c r="CU90" s="127">
        <f>Real[[#This Row],[05/05/25]]+(1-Real[[#This Row],[05/05/25]])*'Avance 39'!BB50</f>
        <v>0.65800000000000003</v>
      </c>
      <c r="CV90" s="127">
        <f>Real[[#This Row],[05/05/25]]+(1-Real[[#This Row],[05/05/25]])*'Avance 39'!BC50</f>
        <v>0.65800000000000003</v>
      </c>
      <c r="CW90" s="127">
        <f>Real[[#This Row],[05/05/25]]+(1-Real[[#This Row],[05/05/25]])*'Avance 39'!BD50</f>
        <v>0.65800000000000003</v>
      </c>
      <c r="CX90" s="127">
        <f>Real[[#This Row],[05/05/25]]+(1-Real[[#This Row],[05/05/25]])*'Avance 39'!BE50</f>
        <v>0.65800000000000003</v>
      </c>
      <c r="CY90" s="127">
        <f>Real[[#This Row],[05/05/25]]+(1-Real[[#This Row],[05/05/25]])*'Avance 39'!BF50</f>
        <v>0.65800000000000003</v>
      </c>
      <c r="CZ90" s="127">
        <f>Real[[#This Row],[05/05/25]]+(1-Real[[#This Row],[05/05/25]])*'Avance 39'!BG50</f>
        <v>0.65800000000000003</v>
      </c>
      <c r="DA90" s="127">
        <f>Real[[#This Row],[05/05/25]]+(1-Real[[#This Row],[05/05/25]])*'Avance 39'!BH50</f>
        <v>0.65800000000000003</v>
      </c>
      <c r="DB90" s="127">
        <f>Real[[#This Row],[05/05/25]]+(1-Real[[#This Row],[05/05/25]])*'Avance 39'!BI50</f>
        <v>0.65800000000000003</v>
      </c>
      <c r="DC90" s="127">
        <f>Real[[#This Row],[05/05/25]]+(1-Real[[#This Row],[05/05/25]])*'Avance 39'!BJ50</f>
        <v>0.65800000000000003</v>
      </c>
      <c r="DD90" s="127">
        <f>Real[[#This Row],[05/05/25]]+(1-Real[[#This Row],[05/05/25]])*'Avance 39'!BK50</f>
        <v>0.65800000000000003</v>
      </c>
      <c r="DE90" s="127">
        <f>Real[[#This Row],[05/05/25]]+(1-Real[[#This Row],[05/05/25]])*'Avance 39'!BL50</f>
        <v>0.65800000000000003</v>
      </c>
      <c r="DF90" s="127">
        <f>Real[[#This Row],[05/05/25]]+(1-Real[[#This Row],[05/05/25]])*'Avance 39'!BM50</f>
        <v>0.65800000000000003</v>
      </c>
      <c r="DG90" s="127">
        <f>Real[[#This Row],[05/05/25]]+(1-Real[[#This Row],[05/05/25]])*'Avance 39'!BN50</f>
        <v>0.65800000000000003</v>
      </c>
      <c r="DH90" s="127">
        <f>Real[[#This Row],[05/05/25]]+(1-Real[[#This Row],[05/05/25]])*'Avance 39'!BO50</f>
        <v>0.66700000000000004</v>
      </c>
      <c r="DI90" s="127">
        <f>Real[[#This Row],[05/05/25]]+(1-Real[[#This Row],[05/05/25]])*'Avance 39'!BP50</f>
        <v>0.66700000000000004</v>
      </c>
      <c r="DJ90" s="127">
        <f>Real[[#This Row],[05/05/25]]+(1-Real[[#This Row],[05/05/25]])*'Avance 39'!BQ50</f>
        <v>0.65800000000000003</v>
      </c>
      <c r="DK90" s="127">
        <f>Real[[#This Row],[05/05/25]]+(1-Real[[#This Row],[05/05/25]])*'Avance 39'!BR50</f>
        <v>0.65800000000000003</v>
      </c>
      <c r="DL90" s="127">
        <f>Real[[#This Row],[05/05/25]]+(1-Real[[#This Row],[05/05/25]])*'Avance 39'!BS50</f>
        <v>0.65800000000000003</v>
      </c>
      <c r="DM90" s="127">
        <f>Real[[#This Row],[05/05/25]]+(1-Real[[#This Row],[05/05/25]])*'Avance 39'!BT50</f>
        <v>0.65800000000000003</v>
      </c>
      <c r="DN90" s="127">
        <f>Real[[#This Row],[05/05/25]]+(1-Real[[#This Row],[05/05/25]])*'Avance 39'!BU50</f>
        <v>0.65800000000000003</v>
      </c>
      <c r="DO90" s="127">
        <f>Real[[#This Row],[05/05/25]]+(1-Real[[#This Row],[05/05/25]])*'Avance 39'!BV50</f>
        <v>0.65800000000000003</v>
      </c>
      <c r="DP90" s="127">
        <f>Real[[#This Row],[05/05/25]]+(1-Real[[#This Row],[05/05/25]])*'Avance 39'!BW50</f>
        <v>0.65800000000000003</v>
      </c>
      <c r="DQ90" s="127">
        <f>Real[[#This Row],[05/05/25]]+(1-Real[[#This Row],[05/05/25]])*'Avance 39'!BX50</f>
        <v>0.65800000000000003</v>
      </c>
      <c r="DR90" s="127">
        <f>Real[[#This Row],[05/05/25]]+(1-Real[[#This Row],[05/05/25]])*'Avance 39'!BY50</f>
        <v>0.65800000000000003</v>
      </c>
      <c r="DS90" s="127">
        <f>Real[[#This Row],[05/05/25]]+(1-Real[[#This Row],[05/05/25]])*'Avance 39'!BZ50</f>
        <v>0.65800000000000003</v>
      </c>
      <c r="DT90" s="127">
        <f>Real[[#This Row],[05/05/25]]+(1-Real[[#This Row],[05/05/25]])*'Avance 39'!CA50</f>
        <v>0.65800000000000003</v>
      </c>
      <c r="DU90" s="127">
        <f>Real[[#This Row],[05/05/25]]+(1-Real[[#This Row],[05/05/25]])*'Avance 39'!CB50</f>
        <v>0.65800000000000003</v>
      </c>
      <c r="DV90" s="127">
        <f>Real[[#This Row],[05/05/25]]+(1-Real[[#This Row],[05/05/25]])*'Avance 39'!CC50</f>
        <v>0.65800000000000003</v>
      </c>
      <c r="DW90" s="127">
        <f>Real[[#This Row],[05/05/25]]+(1-Real[[#This Row],[05/05/25]])*'Avance 39'!CD50</f>
        <v>0.65800000000000003</v>
      </c>
      <c r="DX90" s="127">
        <f>Real[[#This Row],[05/05/25]]+(1-Real[[#This Row],[05/05/25]])*'Avance 39'!CE50</f>
        <v>0.65800000000000003</v>
      </c>
      <c r="DY90" s="127">
        <f>Real[[#This Row],[05/05/25]]+(1-Real[[#This Row],[05/05/25]])*'Avance 39'!CF50</f>
        <v>0.65800000000000003</v>
      </c>
      <c r="DZ90" s="127">
        <f>Real[[#This Row],[05/05/25]]+(1-Real[[#This Row],[05/05/25]])*'Avance 39'!CG50</f>
        <v>0.65800000000000003</v>
      </c>
      <c r="EA90" s="127">
        <f>Real[[#This Row],[05/05/25]]+(1-Real[[#This Row],[05/05/25]])*'Avance 39'!CH50</f>
        <v>0.65800000000000003</v>
      </c>
      <c r="EB90" s="127">
        <f>Real[[#This Row],[05/05/25]]+(1-Real[[#This Row],[05/05/25]])*'Avance 39'!CI50</f>
        <v>0.65800000000000003</v>
      </c>
      <c r="EC90" s="127">
        <f>Real[[#This Row],[05/05/25]]+(1-Real[[#This Row],[05/05/25]])*'Avance 39'!CJ50</f>
        <v>0.65800000000000003</v>
      </c>
      <c r="ED90" s="127">
        <f>Real[[#This Row],[05/05/25]]+(1-Real[[#This Row],[05/05/25]])*'Avance 39'!CK50</f>
        <v>0.65800000000000003</v>
      </c>
      <c r="EE90" s="127">
        <f>Real[[#This Row],[05/05/25]]+(1-Real[[#This Row],[05/05/25]])*'Avance 39'!CL50</f>
        <v>0.65800000000000003</v>
      </c>
      <c r="EF90" s="127">
        <f>Real[[#This Row],[05/05/25]]+(1-Real[[#This Row],[05/05/25]])*'Avance 39'!CM50</f>
        <v>0.65800000000000003</v>
      </c>
      <c r="EG90" s="127">
        <f>Real[[#This Row],[05/05/25]]+(1-Real[[#This Row],[05/05/25]])*'Avance 39'!CN50</f>
        <v>0.65800000000000003</v>
      </c>
      <c r="EH90" s="127">
        <f>Real[[#This Row],[05/05/25]]+(1-Real[[#This Row],[05/05/25]])*'Avance 39'!CO50</f>
        <v>0.65800000000000003</v>
      </c>
      <c r="EI90" s="127">
        <f>Real[[#This Row],[05/05/25]]+(1-Real[[#This Row],[05/05/25]])*'Avance 39'!CP50</f>
        <v>0.65800000000000003</v>
      </c>
    </row>
    <row r="91" spans="2:139" hidden="1" outlineLevel="3" x14ac:dyDescent="0.3">
      <c r="B91" s="29"/>
      <c r="C91" s="30"/>
      <c r="D91" s="30"/>
      <c r="E91" s="52" t="s">
        <v>94</v>
      </c>
      <c r="F91" s="33">
        <v>10</v>
      </c>
      <c r="G91" s="35">
        <v>6.25E-2</v>
      </c>
      <c r="H91" s="162"/>
      <c r="I91" s="127">
        <v>0</v>
      </c>
      <c r="J91" s="127">
        <v>0</v>
      </c>
      <c r="K91" s="127">
        <v>0</v>
      </c>
      <c r="L91" s="127">
        <v>0</v>
      </c>
      <c r="M91" s="128">
        <v>0</v>
      </c>
      <c r="N91" s="128">
        <v>0</v>
      </c>
      <c r="O91" s="127">
        <v>0</v>
      </c>
      <c r="P91" s="127">
        <v>0</v>
      </c>
      <c r="Q91" s="127">
        <v>0</v>
      </c>
      <c r="R91" s="127">
        <v>0</v>
      </c>
      <c r="S91" s="127">
        <v>0</v>
      </c>
      <c r="T91" s="127">
        <v>0</v>
      </c>
      <c r="U91" s="127">
        <v>0</v>
      </c>
      <c r="V91" s="127">
        <v>0</v>
      </c>
      <c r="W91" s="127">
        <v>0</v>
      </c>
      <c r="X91" s="127">
        <v>0</v>
      </c>
      <c r="Y91" s="127">
        <v>0</v>
      </c>
      <c r="Z91" s="127">
        <v>0</v>
      </c>
      <c r="AA91" s="127">
        <v>0</v>
      </c>
      <c r="AB91" s="127">
        <v>0</v>
      </c>
      <c r="AC91" s="127">
        <v>1</v>
      </c>
      <c r="AD91" s="127">
        <v>1</v>
      </c>
      <c r="AE91" s="127">
        <v>1</v>
      </c>
      <c r="AF91" s="127">
        <v>1</v>
      </c>
      <c r="AG91" s="127">
        <v>1</v>
      </c>
      <c r="AH91" s="127">
        <v>1</v>
      </c>
      <c r="AI91" s="127">
        <v>1</v>
      </c>
      <c r="AJ91" s="127">
        <v>1</v>
      </c>
      <c r="AK91" s="127">
        <v>1</v>
      </c>
      <c r="AL91" s="127">
        <v>1</v>
      </c>
      <c r="AM91" s="127">
        <v>1</v>
      </c>
      <c r="AN91" s="127">
        <v>1</v>
      </c>
      <c r="AO91" s="127">
        <v>1</v>
      </c>
      <c r="AP91" s="127">
        <v>1</v>
      </c>
      <c r="AQ91" s="127">
        <v>1</v>
      </c>
      <c r="AR91" s="127">
        <v>1</v>
      </c>
      <c r="AS91" s="127">
        <v>1</v>
      </c>
      <c r="AT91" s="127">
        <v>1</v>
      </c>
      <c r="AU91" s="127">
        <v>1</v>
      </c>
      <c r="AV91" s="127">
        <v>1</v>
      </c>
      <c r="AW91" s="127">
        <v>1</v>
      </c>
      <c r="AX91" s="127">
        <v>1</v>
      </c>
      <c r="AY91" s="127">
        <v>1</v>
      </c>
      <c r="AZ91" s="127">
        <v>1</v>
      </c>
      <c r="BA91" s="127">
        <v>1</v>
      </c>
      <c r="BB91" s="127">
        <v>1</v>
      </c>
      <c r="BC91" s="127">
        <v>1</v>
      </c>
      <c r="BD91" s="127">
        <v>1</v>
      </c>
      <c r="BE91" s="127">
        <v>1</v>
      </c>
      <c r="BF91" s="127">
        <v>1</v>
      </c>
      <c r="BG91" s="163">
        <v>1</v>
      </c>
      <c r="BH91" s="163">
        <v>1</v>
      </c>
      <c r="BI91" s="127">
        <v>1</v>
      </c>
      <c r="BJ91" s="127">
        <v>1</v>
      </c>
      <c r="BK91" s="127">
        <v>1</v>
      </c>
      <c r="BL91" s="127">
        <v>1</v>
      </c>
      <c r="BM91" s="127">
        <v>1</v>
      </c>
      <c r="BN91" s="127">
        <v>1</v>
      </c>
      <c r="BO91" s="127">
        <v>1</v>
      </c>
      <c r="BP91" s="127">
        <v>1</v>
      </c>
      <c r="BQ91" s="127">
        <v>1</v>
      </c>
      <c r="BR91" s="127">
        <v>1</v>
      </c>
      <c r="BS91" s="127">
        <v>1</v>
      </c>
      <c r="BT91" s="127">
        <v>1</v>
      </c>
      <c r="BU91" s="127">
        <v>1</v>
      </c>
      <c r="BV91" s="127">
        <v>1</v>
      </c>
      <c r="BW91" s="127">
        <v>1</v>
      </c>
      <c r="BX91" s="127">
        <v>1</v>
      </c>
      <c r="BY91" s="127">
        <v>1</v>
      </c>
      <c r="BZ91" s="127">
        <v>1</v>
      </c>
      <c r="CA91" s="127">
        <v>1</v>
      </c>
      <c r="CB91" s="127">
        <v>1</v>
      </c>
      <c r="CC91" s="127">
        <v>1</v>
      </c>
      <c r="CD91" s="127">
        <v>1</v>
      </c>
      <c r="CE91" s="127">
        <v>1</v>
      </c>
      <c r="CF91" s="127">
        <v>1</v>
      </c>
      <c r="CG91" s="127">
        <v>1</v>
      </c>
      <c r="CH91" s="127">
        <v>1</v>
      </c>
      <c r="CI91" s="127">
        <v>1</v>
      </c>
      <c r="CJ91" s="127">
        <v>1</v>
      </c>
      <c r="CK91" s="127">
        <v>1</v>
      </c>
      <c r="CL91" s="127">
        <v>1</v>
      </c>
      <c r="CM91" s="127">
        <v>1</v>
      </c>
      <c r="CN91" s="127">
        <v>1</v>
      </c>
      <c r="CO91" s="127">
        <v>1</v>
      </c>
      <c r="CP91" s="127">
        <v>1</v>
      </c>
      <c r="CQ91" s="127">
        <v>1</v>
      </c>
      <c r="CR91" s="127">
        <v>1</v>
      </c>
      <c r="CS91" s="127">
        <v>1</v>
      </c>
      <c r="CT91" s="127">
        <v>1</v>
      </c>
      <c r="CU91" s="127">
        <v>1</v>
      </c>
      <c r="CV91" s="127">
        <v>1</v>
      </c>
      <c r="CW91" s="127">
        <v>1</v>
      </c>
      <c r="CX91" s="127">
        <v>1</v>
      </c>
      <c r="CY91" s="127">
        <v>1</v>
      </c>
      <c r="CZ91" s="127">
        <v>1</v>
      </c>
      <c r="DA91" s="127">
        <v>1</v>
      </c>
      <c r="DB91" s="127">
        <v>1</v>
      </c>
      <c r="DC91" s="127">
        <v>1</v>
      </c>
      <c r="DD91" s="127">
        <v>1</v>
      </c>
      <c r="DE91" s="127">
        <v>1</v>
      </c>
      <c r="DF91" s="127">
        <v>1</v>
      </c>
      <c r="DG91" s="127">
        <v>1</v>
      </c>
      <c r="DH91" s="127">
        <v>1</v>
      </c>
      <c r="DI91" s="127">
        <v>1</v>
      </c>
      <c r="DJ91" s="127">
        <v>1</v>
      </c>
      <c r="DK91" s="127">
        <v>1</v>
      </c>
      <c r="DL91" s="127">
        <v>1</v>
      </c>
      <c r="DM91" s="127">
        <v>1</v>
      </c>
      <c r="DN91" s="127">
        <v>1</v>
      </c>
      <c r="DO91" s="127">
        <v>1</v>
      </c>
      <c r="DP91" s="127">
        <v>1</v>
      </c>
      <c r="DQ91" s="127">
        <v>1</v>
      </c>
      <c r="DR91" s="127">
        <v>1</v>
      </c>
      <c r="DS91" s="127">
        <v>1</v>
      </c>
      <c r="DT91" s="127">
        <v>1</v>
      </c>
      <c r="DU91" s="127">
        <v>1</v>
      </c>
      <c r="DV91" s="127">
        <v>1</v>
      </c>
      <c r="DW91" s="127">
        <v>1</v>
      </c>
      <c r="DX91" s="127">
        <v>1</v>
      </c>
      <c r="DY91" s="127">
        <v>1</v>
      </c>
      <c r="DZ91" s="127">
        <v>1</v>
      </c>
      <c r="EA91" s="127">
        <v>1</v>
      </c>
      <c r="EB91" s="127">
        <v>1</v>
      </c>
      <c r="EC91" s="127">
        <v>1</v>
      </c>
      <c r="ED91" s="127">
        <v>1</v>
      </c>
      <c r="EE91" s="127">
        <v>1</v>
      </c>
      <c r="EF91" s="127">
        <v>1</v>
      </c>
      <c r="EG91" s="127">
        <v>1</v>
      </c>
      <c r="EH91" s="127">
        <v>1</v>
      </c>
      <c r="EI91" s="127">
        <v>1</v>
      </c>
    </row>
    <row r="92" spans="2:139" hidden="1" outlineLevel="3" x14ac:dyDescent="0.3">
      <c r="B92" s="29"/>
      <c r="C92" s="30"/>
      <c r="D92" s="30"/>
      <c r="E92" s="52" t="s">
        <v>95</v>
      </c>
      <c r="F92" s="33">
        <v>10</v>
      </c>
      <c r="G92" s="35">
        <v>6.25E-2</v>
      </c>
      <c r="H92" s="162"/>
      <c r="I92" s="127">
        <v>0</v>
      </c>
      <c r="J92" s="127">
        <v>0</v>
      </c>
      <c r="K92" s="127">
        <v>0</v>
      </c>
      <c r="L92" s="127">
        <v>0</v>
      </c>
      <c r="M92" s="128">
        <v>0</v>
      </c>
      <c r="N92" s="128">
        <v>0</v>
      </c>
      <c r="O92" s="127">
        <v>0</v>
      </c>
      <c r="P92" s="127">
        <v>0</v>
      </c>
      <c r="Q92" s="127">
        <v>0</v>
      </c>
      <c r="R92" s="127">
        <v>0</v>
      </c>
      <c r="S92" s="127">
        <v>0</v>
      </c>
      <c r="T92" s="127">
        <v>0</v>
      </c>
      <c r="U92" s="127">
        <v>0</v>
      </c>
      <c r="V92" s="127">
        <v>0</v>
      </c>
      <c r="W92" s="127">
        <v>0</v>
      </c>
      <c r="X92" s="127">
        <v>1</v>
      </c>
      <c r="Y92" s="127">
        <v>1</v>
      </c>
      <c r="Z92" s="127">
        <v>1</v>
      </c>
      <c r="AA92" s="127">
        <v>1</v>
      </c>
      <c r="AB92" s="127">
        <v>1</v>
      </c>
      <c r="AC92" s="127">
        <v>1</v>
      </c>
      <c r="AD92" s="127">
        <v>1</v>
      </c>
      <c r="AE92" s="127">
        <v>1</v>
      </c>
      <c r="AF92" s="127">
        <v>1</v>
      </c>
      <c r="AG92" s="127">
        <v>1</v>
      </c>
      <c r="AH92" s="127">
        <v>1</v>
      </c>
      <c r="AI92" s="127">
        <v>1</v>
      </c>
      <c r="AJ92" s="127">
        <v>1</v>
      </c>
      <c r="AK92" s="127">
        <v>1</v>
      </c>
      <c r="AL92" s="127">
        <v>1</v>
      </c>
      <c r="AM92" s="127">
        <v>1</v>
      </c>
      <c r="AN92" s="127">
        <v>1</v>
      </c>
      <c r="AO92" s="127">
        <v>1</v>
      </c>
      <c r="AP92" s="127">
        <v>1</v>
      </c>
      <c r="AQ92" s="127">
        <v>1</v>
      </c>
      <c r="AR92" s="127">
        <v>1</v>
      </c>
      <c r="AS92" s="127">
        <v>1</v>
      </c>
      <c r="AT92" s="127">
        <v>1</v>
      </c>
      <c r="AU92" s="127">
        <v>1</v>
      </c>
      <c r="AV92" s="127">
        <v>1</v>
      </c>
      <c r="AW92" s="127">
        <v>1</v>
      </c>
      <c r="AX92" s="127">
        <v>1</v>
      </c>
      <c r="AY92" s="127">
        <v>1</v>
      </c>
      <c r="AZ92" s="127">
        <v>1</v>
      </c>
      <c r="BA92" s="127">
        <v>1</v>
      </c>
      <c r="BB92" s="127">
        <v>1</v>
      </c>
      <c r="BC92" s="127">
        <v>1</v>
      </c>
      <c r="BD92" s="127">
        <v>1</v>
      </c>
      <c r="BE92" s="127">
        <v>1</v>
      </c>
      <c r="BF92" s="127">
        <v>1</v>
      </c>
      <c r="BG92" s="163">
        <v>1</v>
      </c>
      <c r="BH92" s="163">
        <v>1</v>
      </c>
      <c r="BI92" s="127">
        <v>1</v>
      </c>
      <c r="BJ92" s="127">
        <v>1</v>
      </c>
      <c r="BK92" s="127">
        <v>1</v>
      </c>
      <c r="BL92" s="127">
        <v>1</v>
      </c>
      <c r="BM92" s="127">
        <v>1</v>
      </c>
      <c r="BN92" s="127">
        <v>1</v>
      </c>
      <c r="BO92" s="127">
        <v>1</v>
      </c>
      <c r="BP92" s="127">
        <v>1</v>
      </c>
      <c r="BQ92" s="127">
        <v>1</v>
      </c>
      <c r="BR92" s="127">
        <v>1</v>
      </c>
      <c r="BS92" s="127">
        <v>1</v>
      </c>
      <c r="BT92" s="127">
        <v>1</v>
      </c>
      <c r="BU92" s="127">
        <v>1</v>
      </c>
      <c r="BV92" s="127">
        <v>1</v>
      </c>
      <c r="BW92" s="127">
        <v>1</v>
      </c>
      <c r="BX92" s="127">
        <v>1</v>
      </c>
      <c r="BY92" s="127">
        <v>1</v>
      </c>
      <c r="BZ92" s="127">
        <v>1</v>
      </c>
      <c r="CA92" s="127">
        <v>1</v>
      </c>
      <c r="CB92" s="127">
        <v>1</v>
      </c>
      <c r="CC92" s="127">
        <v>1</v>
      </c>
      <c r="CD92" s="127">
        <v>1</v>
      </c>
      <c r="CE92" s="127">
        <v>1</v>
      </c>
      <c r="CF92" s="127">
        <v>1</v>
      </c>
      <c r="CG92" s="127">
        <v>1</v>
      </c>
      <c r="CH92" s="127">
        <v>1</v>
      </c>
      <c r="CI92" s="127">
        <v>1</v>
      </c>
      <c r="CJ92" s="127">
        <v>1</v>
      </c>
      <c r="CK92" s="127">
        <v>1</v>
      </c>
      <c r="CL92" s="127">
        <v>1</v>
      </c>
      <c r="CM92" s="127">
        <v>1</v>
      </c>
      <c r="CN92" s="127">
        <v>1</v>
      </c>
      <c r="CO92" s="127">
        <v>1</v>
      </c>
      <c r="CP92" s="127">
        <v>1</v>
      </c>
      <c r="CQ92" s="127">
        <v>1</v>
      </c>
      <c r="CR92" s="127">
        <v>1</v>
      </c>
      <c r="CS92" s="127">
        <v>1</v>
      </c>
      <c r="CT92" s="127">
        <v>1</v>
      </c>
      <c r="CU92" s="127">
        <v>1</v>
      </c>
      <c r="CV92" s="127">
        <v>1</v>
      </c>
      <c r="CW92" s="127">
        <v>1</v>
      </c>
      <c r="CX92" s="127">
        <v>1</v>
      </c>
      <c r="CY92" s="127">
        <v>1</v>
      </c>
      <c r="CZ92" s="127">
        <v>1</v>
      </c>
      <c r="DA92" s="127">
        <v>1</v>
      </c>
      <c r="DB92" s="127">
        <v>1</v>
      </c>
      <c r="DC92" s="127">
        <v>1</v>
      </c>
      <c r="DD92" s="127">
        <v>1</v>
      </c>
      <c r="DE92" s="127">
        <v>1</v>
      </c>
      <c r="DF92" s="127">
        <v>1</v>
      </c>
      <c r="DG92" s="127">
        <v>1</v>
      </c>
      <c r="DH92" s="127">
        <v>1</v>
      </c>
      <c r="DI92" s="127">
        <v>1</v>
      </c>
      <c r="DJ92" s="127">
        <v>1</v>
      </c>
      <c r="DK92" s="127">
        <v>1</v>
      </c>
      <c r="DL92" s="127">
        <v>1</v>
      </c>
      <c r="DM92" s="127">
        <v>1</v>
      </c>
      <c r="DN92" s="127">
        <v>1</v>
      </c>
      <c r="DO92" s="127">
        <v>1</v>
      </c>
      <c r="DP92" s="127">
        <v>1</v>
      </c>
      <c r="DQ92" s="127">
        <v>1</v>
      </c>
      <c r="DR92" s="127">
        <v>1</v>
      </c>
      <c r="DS92" s="127">
        <v>1</v>
      </c>
      <c r="DT92" s="127">
        <v>1</v>
      </c>
      <c r="DU92" s="127">
        <v>1</v>
      </c>
      <c r="DV92" s="127">
        <v>1</v>
      </c>
      <c r="DW92" s="127">
        <v>1</v>
      </c>
      <c r="DX92" s="127">
        <v>1</v>
      </c>
      <c r="DY92" s="127">
        <v>1</v>
      </c>
      <c r="DZ92" s="127">
        <v>1</v>
      </c>
      <c r="EA92" s="127">
        <v>1</v>
      </c>
      <c r="EB92" s="127">
        <v>1</v>
      </c>
      <c r="EC92" s="127">
        <v>1</v>
      </c>
      <c r="ED92" s="127">
        <v>1</v>
      </c>
      <c r="EE92" s="127">
        <v>1</v>
      </c>
      <c r="EF92" s="127">
        <v>1</v>
      </c>
      <c r="EG92" s="127">
        <v>1</v>
      </c>
      <c r="EH92" s="127">
        <v>1</v>
      </c>
      <c r="EI92" s="127">
        <v>1</v>
      </c>
    </row>
    <row r="93" spans="2:139" hidden="1" outlineLevel="3" x14ac:dyDescent="0.3">
      <c r="B93" s="29"/>
      <c r="C93" s="30"/>
      <c r="D93" s="30"/>
      <c r="E93" s="52" t="s">
        <v>96</v>
      </c>
      <c r="F93" s="33">
        <v>50</v>
      </c>
      <c r="G93" s="35">
        <v>0.3125</v>
      </c>
      <c r="H93" s="162"/>
      <c r="I93" s="127">
        <v>0</v>
      </c>
      <c r="J93" s="127">
        <v>0</v>
      </c>
      <c r="K93" s="127">
        <v>0</v>
      </c>
      <c r="L93" s="127">
        <v>0</v>
      </c>
      <c r="M93" s="128">
        <v>0</v>
      </c>
      <c r="N93" s="128">
        <v>0</v>
      </c>
      <c r="O93" s="127">
        <v>0</v>
      </c>
      <c r="P93" s="127">
        <v>0</v>
      </c>
      <c r="Q93" s="127">
        <v>0</v>
      </c>
      <c r="R93" s="127">
        <v>0</v>
      </c>
      <c r="S93" s="127">
        <v>0</v>
      </c>
      <c r="T93" s="127">
        <v>0</v>
      </c>
      <c r="U93" s="127">
        <v>0</v>
      </c>
      <c r="V93" s="127">
        <v>0</v>
      </c>
      <c r="W93" s="127">
        <v>0</v>
      </c>
      <c r="X93" s="127">
        <v>0</v>
      </c>
      <c r="Y93" s="127">
        <v>2.7000000000000003E-2</v>
      </c>
      <c r="Z93" s="127">
        <v>0.12</v>
      </c>
      <c r="AA93" s="127">
        <v>0.23039999999999999</v>
      </c>
      <c r="AB93" s="127">
        <v>0.23039999999999999</v>
      </c>
      <c r="AC93" s="127">
        <v>0.31900000000000001</v>
      </c>
      <c r="AD93" s="127">
        <v>0.33</v>
      </c>
      <c r="AE93" s="127">
        <v>0.34099999999999997</v>
      </c>
      <c r="AF93" s="127">
        <v>0.35199999999999998</v>
      </c>
      <c r="AG93" s="127">
        <v>0.37619999999999998</v>
      </c>
      <c r="AH93" s="127">
        <v>0.39560000000000001</v>
      </c>
      <c r="AI93" s="127">
        <v>0.39560000000000001</v>
      </c>
      <c r="AJ93" s="127">
        <v>0.39560000000000001</v>
      </c>
      <c r="AK93" s="127">
        <v>0.40660000000000002</v>
      </c>
      <c r="AL93" s="127">
        <v>0.41759999999999997</v>
      </c>
      <c r="AM93" s="127">
        <v>0.41980000000000001</v>
      </c>
      <c r="AN93" s="127">
        <v>0.4355</v>
      </c>
      <c r="AO93" s="127">
        <v>0.43969999999999998</v>
      </c>
      <c r="AP93" s="127">
        <v>0.48260000000000003</v>
      </c>
      <c r="AQ93" s="127">
        <v>0.50130000000000008</v>
      </c>
      <c r="AR93" s="127">
        <v>0.50130000000000008</v>
      </c>
      <c r="AS93" s="127">
        <v>0.62230000000000008</v>
      </c>
      <c r="AT93" s="127">
        <v>0.62230000000000008</v>
      </c>
      <c r="AU93" s="127">
        <v>0.62230000000000008</v>
      </c>
      <c r="AV93" s="127">
        <v>0.62230000000000008</v>
      </c>
      <c r="AW93" s="127">
        <v>0.62320000000000009</v>
      </c>
      <c r="AX93" s="127">
        <v>0.97300000000000009</v>
      </c>
      <c r="AY93" s="127">
        <v>0.97300000000000009</v>
      </c>
      <c r="AZ93" s="127">
        <v>0.97300000000000009</v>
      </c>
      <c r="BA93" s="127">
        <v>0.97300000000000009</v>
      </c>
      <c r="BB93" s="127">
        <f>Real[[#This Row],[05/05/25]]+(1-Real[[#This Row],[05/05/25]])*'Avance 39'!I51</f>
        <v>0.97435000000000005</v>
      </c>
      <c r="BC93" s="127">
        <f>Real[[#This Row],[05/05/25]]+(1-Real[[#This Row],[05/05/25]])*'Avance 39'!J51</f>
        <v>0.97732000000000008</v>
      </c>
      <c r="BD93" s="127">
        <f>Real[[#This Row],[05/05/25]]+(1-Real[[#This Row],[05/05/25]])*'Avance 39'!K51</f>
        <v>0.97782142857142862</v>
      </c>
      <c r="BE93" s="127">
        <f>Real[[#This Row],[05/05/25]]+(1-Real[[#This Row],[05/05/25]])*'Avance 39'!L51</f>
        <v>0.98457142857142865</v>
      </c>
      <c r="BF93" s="127">
        <f>Real[[#This Row],[05/05/25]]+(1-Real[[#This Row],[05/05/25]])*'Avance 39'!M51</f>
        <v>0.98553571428571429</v>
      </c>
      <c r="BG93" s="163">
        <f>Real[[#This Row],[05/05/25]]+(1-Real[[#This Row],[05/05/25]])*'Avance 39'!N51</f>
        <v>0.98553571428571429</v>
      </c>
      <c r="BH93" s="163">
        <f>Real[[#This Row],[05/05/25]]+(1-Real[[#This Row],[05/05/25]])*'Avance 39'!O51</f>
        <v>0.98601785714285717</v>
      </c>
      <c r="BI93" s="127">
        <f>Real[[#This Row],[05/05/25]]+(1-Real[[#This Row],[05/05/25]])*'Avance 39'!P51</f>
        <v>0.98621071428571438</v>
      </c>
      <c r="BJ93" s="127">
        <f>Real[[#This Row],[05/05/25]]+(1-Real[[#This Row],[05/05/25]])*'Avance 39'!Q51</f>
        <v>0.98621071428571438</v>
      </c>
      <c r="BK93" s="127">
        <f>Real[[#This Row],[05/05/25]]+(1-Real[[#This Row],[05/05/25]])*'Avance 39'!R51</f>
        <v>0.98621071428571438</v>
      </c>
      <c r="BL93" s="127">
        <f>Real[[#This Row],[05/05/25]]+(1-Real[[#This Row],[05/05/25]])*'Avance 39'!S51</f>
        <v>0.98621071428571438</v>
      </c>
      <c r="BM93" s="127">
        <f>Real[[#This Row],[05/05/25]]+(1-Real[[#This Row],[05/05/25]])*'Avance 39'!T51</f>
        <v>0.98621071428571438</v>
      </c>
      <c r="BN93" s="127">
        <f>Real[[#This Row],[05/05/25]]+(1-Real[[#This Row],[05/05/25]])*'Avance 39'!U51</f>
        <v>0.98694707792207792</v>
      </c>
      <c r="BO93" s="127">
        <f>Real[[#This Row],[05/05/25]]+(1-Real[[#This Row],[05/05/25]])*'Avance 39'!V51</f>
        <v>0.98897207792207797</v>
      </c>
      <c r="BP93" s="127">
        <f>Real[[#This Row],[05/05/25]]+(1-Real[[#This Row],[05/05/25]])*'Avance 39'!W51</f>
        <v>0.99079545454545459</v>
      </c>
      <c r="BQ93" s="127">
        <f>Real[[#This Row],[05/05/25]]+(1-Real[[#This Row],[05/05/25]])*'Avance 39'!X51</f>
        <v>0.99324999999999997</v>
      </c>
      <c r="BR93" s="127">
        <f>Real[[#This Row],[05/05/25]]+(1-Real[[#This Row],[05/05/25]])*'Avance 39'!Y51</f>
        <v>0.99324999999999997</v>
      </c>
      <c r="BS93" s="127">
        <f>Real[[#This Row],[05/05/25]]+(1-Real[[#This Row],[05/05/25]])*'Avance 39'!Z51</f>
        <v>0.99324999999999997</v>
      </c>
      <c r="BT93" s="127">
        <f>Real[[#This Row],[05/05/25]]+(1-Real[[#This Row],[05/05/25]])*'Avance 39'!AA51</f>
        <v>0.99324999999999997</v>
      </c>
      <c r="BU93" s="127">
        <f>Real[[#This Row],[05/05/25]]+(1-Real[[#This Row],[05/05/25]])*'Avance 39'!AB51</f>
        <v>0.99324999999999997</v>
      </c>
      <c r="BV93" s="127">
        <f>Real[[#This Row],[05/05/25]]+(1-Real[[#This Row],[05/05/25]])*'Avance 39'!AC51</f>
        <v>0.99915624999999997</v>
      </c>
      <c r="BW93" s="127">
        <f>Real[[#This Row],[05/05/25]]+(1-Real[[#This Row],[05/05/25]])*'Avance 39'!AD51</f>
        <v>0.99943749999999998</v>
      </c>
      <c r="BX93" s="127">
        <f>Real[[#This Row],[05/05/25]]+(1-Real[[#This Row],[05/05/25]])*'Avance 39'!AE51</f>
        <v>0.99957812499999998</v>
      </c>
      <c r="BY93" s="127">
        <f>Real[[#This Row],[05/05/25]]+(1-Real[[#This Row],[05/05/25]])*'Avance 39'!AF51</f>
        <v>0.99971874999999999</v>
      </c>
      <c r="BZ93" s="127">
        <f>Real[[#This Row],[05/05/25]]+(1-Real[[#This Row],[05/05/25]])*'Avance 39'!AG51</f>
        <v>1</v>
      </c>
      <c r="CA93" s="127">
        <f>Real[[#This Row],[05/05/25]]+(1-Real[[#This Row],[05/05/25]])*'Avance 39'!AH51</f>
        <v>1</v>
      </c>
      <c r="CB93" s="127">
        <f>Real[[#This Row],[05/05/25]]+(1-Real[[#This Row],[05/05/25]])*'Avance 39'!AI51</f>
        <v>1</v>
      </c>
      <c r="CC93" s="127">
        <f>Real[[#This Row],[05/05/25]]+(1-Real[[#This Row],[05/05/25]])*'Avance 39'!AJ51</f>
        <v>1</v>
      </c>
      <c r="CD93" s="127">
        <f>Real[[#This Row],[05/05/25]]+(1-Real[[#This Row],[05/05/25]])*'Avance 39'!AK51</f>
        <v>1</v>
      </c>
      <c r="CE93" s="127">
        <f>Real[[#This Row],[05/05/25]]+(1-Real[[#This Row],[05/05/25]])*'Avance 39'!AL51</f>
        <v>1</v>
      </c>
      <c r="CF93" s="127">
        <f>Real[[#This Row],[05/05/25]]+(1-Real[[#This Row],[05/05/25]])*'Avance 39'!AM51</f>
        <v>1</v>
      </c>
      <c r="CG93" s="127">
        <f>Real[[#This Row],[05/05/25]]+(1-Real[[#This Row],[05/05/25]])*'Avance 39'!AN51</f>
        <v>1</v>
      </c>
      <c r="CH93" s="127">
        <f>Real[[#This Row],[05/05/25]]+(1-Real[[#This Row],[05/05/25]])*'Avance 39'!AO51</f>
        <v>1</v>
      </c>
      <c r="CI93" s="127">
        <f>Real[[#This Row],[05/05/25]]+(1-Real[[#This Row],[05/05/25]])*'Avance 39'!AP51</f>
        <v>1</v>
      </c>
      <c r="CJ93" s="127">
        <f>Real[[#This Row],[05/05/25]]+(1-Real[[#This Row],[05/05/25]])*'Avance 39'!AQ51</f>
        <v>1</v>
      </c>
      <c r="CK93" s="127">
        <f>Real[[#This Row],[05/05/25]]+(1-Real[[#This Row],[05/05/25]])*'Avance 39'!AR51</f>
        <v>1</v>
      </c>
      <c r="CL93" s="127">
        <f>Real[[#This Row],[05/05/25]]+(1-Real[[#This Row],[05/05/25]])*'Avance 39'!AS51</f>
        <v>1</v>
      </c>
      <c r="CM93" s="127">
        <f>Real[[#This Row],[05/05/25]]+(1-Real[[#This Row],[05/05/25]])*'Avance 39'!AT51</f>
        <v>1</v>
      </c>
      <c r="CN93" s="127">
        <f>Real[[#This Row],[05/05/25]]+(1-Real[[#This Row],[05/05/25]])*'Avance 39'!AU51</f>
        <v>1</v>
      </c>
      <c r="CO93" s="127">
        <f>Real[[#This Row],[05/05/25]]+(1-Real[[#This Row],[05/05/25]])*'Avance 39'!AV51</f>
        <v>1</v>
      </c>
      <c r="CP93" s="127">
        <f>Real[[#This Row],[05/05/25]]+(1-Real[[#This Row],[05/05/25]])*'Avance 39'!AW51</f>
        <v>1</v>
      </c>
      <c r="CQ93" s="127">
        <f>Real[[#This Row],[05/05/25]]+(1-Real[[#This Row],[05/05/25]])*'Avance 39'!AX51</f>
        <v>1</v>
      </c>
      <c r="CR93" s="127">
        <f>Real[[#This Row],[05/05/25]]+(1-Real[[#This Row],[05/05/25]])*'Avance 39'!AY51</f>
        <v>1</v>
      </c>
      <c r="CS93" s="127">
        <f>Real[[#This Row],[05/05/25]]+(1-Real[[#This Row],[05/05/25]])*'Avance 39'!AZ51</f>
        <v>1</v>
      </c>
      <c r="CT93" s="127">
        <f>Real[[#This Row],[05/05/25]]+(1-Real[[#This Row],[05/05/25]])*'Avance 39'!BA51</f>
        <v>1</v>
      </c>
      <c r="CU93" s="127">
        <f>Real[[#This Row],[05/05/25]]+(1-Real[[#This Row],[05/05/25]])*'Avance 39'!BB51</f>
        <v>1</v>
      </c>
      <c r="CV93" s="127">
        <f>Real[[#This Row],[05/05/25]]+(1-Real[[#This Row],[05/05/25]])*'Avance 39'!BC51</f>
        <v>1</v>
      </c>
      <c r="CW93" s="127">
        <f>Real[[#This Row],[05/05/25]]+(1-Real[[#This Row],[05/05/25]])*'Avance 39'!BD51</f>
        <v>1</v>
      </c>
      <c r="CX93" s="127">
        <f>Real[[#This Row],[05/05/25]]+(1-Real[[#This Row],[05/05/25]])*'Avance 39'!BE51</f>
        <v>1</v>
      </c>
      <c r="CY93" s="127">
        <f>Real[[#This Row],[05/05/25]]+(1-Real[[#This Row],[05/05/25]])*'Avance 39'!BF51</f>
        <v>1</v>
      </c>
      <c r="CZ93" s="127">
        <f>Real[[#This Row],[05/05/25]]+(1-Real[[#This Row],[05/05/25]])*'Avance 39'!BG51</f>
        <v>1</v>
      </c>
      <c r="DA93" s="127">
        <f>Real[[#This Row],[05/05/25]]+(1-Real[[#This Row],[05/05/25]])*'Avance 39'!BH51</f>
        <v>1</v>
      </c>
      <c r="DB93" s="127">
        <f>Real[[#This Row],[05/05/25]]+(1-Real[[#This Row],[05/05/25]])*'Avance 39'!BI51</f>
        <v>1</v>
      </c>
      <c r="DC93" s="127">
        <f>Real[[#This Row],[05/05/25]]+(1-Real[[#This Row],[05/05/25]])*'Avance 39'!BJ51</f>
        <v>1</v>
      </c>
      <c r="DD93" s="127">
        <f>Real[[#This Row],[05/05/25]]+(1-Real[[#This Row],[05/05/25]])*'Avance 39'!BK51</f>
        <v>1</v>
      </c>
      <c r="DE93" s="127">
        <f>Real[[#This Row],[05/05/25]]+(1-Real[[#This Row],[05/05/25]])*'Avance 39'!BL51</f>
        <v>1</v>
      </c>
      <c r="DF93" s="127">
        <f>Real[[#This Row],[05/05/25]]+(1-Real[[#This Row],[05/05/25]])*'Avance 39'!BM51</f>
        <v>1</v>
      </c>
      <c r="DG93" s="127">
        <f>Real[[#This Row],[05/05/25]]+(1-Real[[#This Row],[05/05/25]])*'Avance 39'!BN51</f>
        <v>1</v>
      </c>
      <c r="DH93" s="127">
        <f>Real[[#This Row],[05/05/25]]+(1-Real[[#This Row],[05/05/25]])*'Avance 39'!BO51</f>
        <v>1</v>
      </c>
      <c r="DI93" s="127">
        <f>Real[[#This Row],[05/05/25]]+(1-Real[[#This Row],[05/05/25]])*'Avance 39'!BP51</f>
        <v>1</v>
      </c>
      <c r="DJ93" s="127">
        <f>Real[[#This Row],[05/05/25]]+(1-Real[[#This Row],[05/05/25]])*'Avance 39'!BQ51</f>
        <v>1</v>
      </c>
      <c r="DK93" s="127">
        <f>Real[[#This Row],[05/05/25]]+(1-Real[[#This Row],[05/05/25]])*'Avance 39'!BR51</f>
        <v>1</v>
      </c>
      <c r="DL93" s="127">
        <f>Real[[#This Row],[05/05/25]]+(1-Real[[#This Row],[05/05/25]])*'Avance 39'!BS51</f>
        <v>1</v>
      </c>
      <c r="DM93" s="127">
        <f>Real[[#This Row],[05/05/25]]+(1-Real[[#This Row],[05/05/25]])*'Avance 39'!BT51</f>
        <v>1</v>
      </c>
      <c r="DN93" s="127">
        <f>Real[[#This Row],[05/05/25]]+(1-Real[[#This Row],[05/05/25]])*'Avance 39'!BU51</f>
        <v>1</v>
      </c>
      <c r="DO93" s="127">
        <f>Real[[#This Row],[05/05/25]]+(1-Real[[#This Row],[05/05/25]])*'Avance 39'!BV51</f>
        <v>1</v>
      </c>
      <c r="DP93" s="127">
        <f>Real[[#This Row],[05/05/25]]+(1-Real[[#This Row],[05/05/25]])*'Avance 39'!BW51</f>
        <v>1</v>
      </c>
      <c r="DQ93" s="127">
        <f>Real[[#This Row],[05/05/25]]+(1-Real[[#This Row],[05/05/25]])*'Avance 39'!BX51</f>
        <v>1</v>
      </c>
      <c r="DR93" s="127">
        <f>Real[[#This Row],[05/05/25]]+(1-Real[[#This Row],[05/05/25]])*'Avance 39'!BY51</f>
        <v>1</v>
      </c>
      <c r="DS93" s="127">
        <f>Real[[#This Row],[05/05/25]]+(1-Real[[#This Row],[05/05/25]])*'Avance 39'!BZ51</f>
        <v>1</v>
      </c>
      <c r="DT93" s="127">
        <f>Real[[#This Row],[05/05/25]]+(1-Real[[#This Row],[05/05/25]])*'Avance 39'!CA51</f>
        <v>1</v>
      </c>
      <c r="DU93" s="127">
        <f>Real[[#This Row],[05/05/25]]+(1-Real[[#This Row],[05/05/25]])*'Avance 39'!CB51</f>
        <v>1</v>
      </c>
      <c r="DV93" s="127">
        <f>Real[[#This Row],[05/05/25]]+(1-Real[[#This Row],[05/05/25]])*'Avance 39'!CC51</f>
        <v>1</v>
      </c>
      <c r="DW93" s="127">
        <f>Real[[#This Row],[05/05/25]]+(1-Real[[#This Row],[05/05/25]])*'Avance 39'!CD51</f>
        <v>1</v>
      </c>
      <c r="DX93" s="127">
        <f>Real[[#This Row],[05/05/25]]+(1-Real[[#This Row],[05/05/25]])*'Avance 39'!CE51</f>
        <v>1</v>
      </c>
      <c r="DY93" s="127">
        <f>Real[[#This Row],[05/05/25]]+(1-Real[[#This Row],[05/05/25]])*'Avance 39'!CF51</f>
        <v>1</v>
      </c>
      <c r="DZ93" s="127">
        <f>Real[[#This Row],[05/05/25]]+(1-Real[[#This Row],[05/05/25]])*'Avance 39'!CG51</f>
        <v>1</v>
      </c>
      <c r="EA93" s="127">
        <f>Real[[#This Row],[05/05/25]]+(1-Real[[#This Row],[05/05/25]])*'Avance 39'!CH51</f>
        <v>1</v>
      </c>
      <c r="EB93" s="127">
        <f>Real[[#This Row],[05/05/25]]+(1-Real[[#This Row],[05/05/25]])*'Avance 39'!CI51</f>
        <v>1</v>
      </c>
      <c r="EC93" s="127">
        <f>Real[[#This Row],[05/05/25]]+(1-Real[[#This Row],[05/05/25]])*'Avance 39'!CJ51</f>
        <v>1</v>
      </c>
      <c r="ED93" s="127">
        <f>Real[[#This Row],[05/05/25]]+(1-Real[[#This Row],[05/05/25]])*'Avance 39'!CK51</f>
        <v>1</v>
      </c>
      <c r="EE93" s="127">
        <f>Real[[#This Row],[05/05/25]]+(1-Real[[#This Row],[05/05/25]])*'Avance 39'!CL51</f>
        <v>1</v>
      </c>
      <c r="EF93" s="127">
        <f>Real[[#This Row],[05/05/25]]+(1-Real[[#This Row],[05/05/25]])*'Avance 39'!CM51</f>
        <v>1</v>
      </c>
      <c r="EG93" s="127">
        <f>Real[[#This Row],[05/05/25]]+(1-Real[[#This Row],[05/05/25]])*'Avance 39'!CN51</f>
        <v>1</v>
      </c>
      <c r="EH93" s="127">
        <f>Real[[#This Row],[05/05/25]]+(1-Real[[#This Row],[05/05/25]])*'Avance 39'!CO51</f>
        <v>1</v>
      </c>
      <c r="EI93" s="127">
        <f>Real[[#This Row],[05/05/25]]+(1-Real[[#This Row],[05/05/25]])*'Avance 39'!CP51</f>
        <v>1</v>
      </c>
    </row>
    <row r="94" spans="2:139" hidden="1" outlineLevel="3" x14ac:dyDescent="0.3">
      <c r="B94" s="29"/>
      <c r="C94" s="30"/>
      <c r="D94" s="30"/>
      <c r="E94" s="52" t="s">
        <v>97</v>
      </c>
      <c r="F94" s="33">
        <v>10</v>
      </c>
      <c r="G94" s="35">
        <v>6.25E-2</v>
      </c>
      <c r="H94" s="162"/>
      <c r="I94" s="127">
        <v>0</v>
      </c>
      <c r="J94" s="127">
        <v>0</v>
      </c>
      <c r="K94" s="127">
        <v>0</v>
      </c>
      <c r="L94" s="127">
        <v>0</v>
      </c>
      <c r="M94" s="128">
        <v>0</v>
      </c>
      <c r="N94" s="128">
        <v>0</v>
      </c>
      <c r="O94" s="127">
        <v>0</v>
      </c>
      <c r="P94" s="127">
        <v>0</v>
      </c>
      <c r="Q94" s="127">
        <v>0</v>
      </c>
      <c r="R94" s="127">
        <v>0</v>
      </c>
      <c r="S94" s="127">
        <v>0</v>
      </c>
      <c r="T94" s="127">
        <v>0</v>
      </c>
      <c r="U94" s="127">
        <v>0</v>
      </c>
      <c r="V94" s="127">
        <v>0</v>
      </c>
      <c r="W94" s="127">
        <v>0</v>
      </c>
      <c r="X94" s="127">
        <v>0</v>
      </c>
      <c r="Y94" s="127">
        <v>0</v>
      </c>
      <c r="Z94" s="127">
        <v>0</v>
      </c>
      <c r="AA94" s="127">
        <v>0</v>
      </c>
      <c r="AB94" s="127">
        <v>0</v>
      </c>
      <c r="AC94" s="127">
        <v>0</v>
      </c>
      <c r="AD94" s="127">
        <v>0</v>
      </c>
      <c r="AE94" s="127">
        <v>0</v>
      </c>
      <c r="AF94" s="127">
        <v>0</v>
      </c>
      <c r="AG94" s="127">
        <v>0</v>
      </c>
      <c r="AH94" s="127">
        <v>0</v>
      </c>
      <c r="AI94" s="127">
        <v>0</v>
      </c>
      <c r="AJ94" s="127">
        <v>0</v>
      </c>
      <c r="AK94" s="127">
        <v>0</v>
      </c>
      <c r="AL94" s="127">
        <v>0</v>
      </c>
      <c r="AM94" s="127">
        <v>0</v>
      </c>
      <c r="AN94" s="127">
        <v>0</v>
      </c>
      <c r="AO94" s="127">
        <v>0</v>
      </c>
      <c r="AP94" s="127">
        <v>0</v>
      </c>
      <c r="AQ94" s="127">
        <v>0</v>
      </c>
      <c r="AR94" s="127">
        <v>0</v>
      </c>
      <c r="AS94" s="127">
        <v>0</v>
      </c>
      <c r="AT94" s="127">
        <v>0</v>
      </c>
      <c r="AU94" s="127">
        <v>0</v>
      </c>
      <c r="AV94" s="127">
        <v>0</v>
      </c>
      <c r="AW94" s="127">
        <v>0</v>
      </c>
      <c r="AX94" s="127">
        <v>0</v>
      </c>
      <c r="AY94" s="127">
        <v>0</v>
      </c>
      <c r="AZ94" s="127">
        <v>0</v>
      </c>
      <c r="BA94" s="127">
        <v>0</v>
      </c>
      <c r="BB94" s="127">
        <f>Real[[#This Row],[05/05/25]]+(1-Real[[#This Row],[05/05/25]])*'Avance 39'!I52</f>
        <v>0</v>
      </c>
      <c r="BC94" s="127">
        <f>Real[[#This Row],[05/05/25]]+(1-Real[[#This Row],[05/05/25]])*'Avance 39'!J52</f>
        <v>0</v>
      </c>
      <c r="BD94" s="127">
        <f>Real[[#This Row],[05/05/25]]+(1-Real[[#This Row],[05/05/25]])*'Avance 39'!K52</f>
        <v>0.41666666666666669</v>
      </c>
      <c r="BE94" s="127">
        <f>Real[[#This Row],[05/05/25]]+(1-Real[[#This Row],[05/05/25]])*'Avance 39'!L52</f>
        <v>0.41666666666666669</v>
      </c>
      <c r="BF94" s="127">
        <f>Real[[#This Row],[05/05/25]]+(1-Real[[#This Row],[05/05/25]])*'Avance 39'!M52</f>
        <v>0.41666666666666669</v>
      </c>
      <c r="BG94" s="163">
        <f>Real[[#This Row],[05/05/25]]+(1-Real[[#This Row],[05/05/25]])*'Avance 39'!N52</f>
        <v>0.41666666666666669</v>
      </c>
      <c r="BH94" s="163">
        <f>Real[[#This Row],[05/05/25]]+(1-Real[[#This Row],[05/05/25]])*'Avance 39'!O52</f>
        <v>0.41666666666666669</v>
      </c>
      <c r="BI94" s="127">
        <f>Real[[#This Row],[05/05/25]]+(1-Real[[#This Row],[05/05/25]])*'Avance 39'!P52</f>
        <v>0.41666666666666669</v>
      </c>
      <c r="BJ94" s="127">
        <f>Real[[#This Row],[05/05/25]]+(1-Real[[#This Row],[05/05/25]])*'Avance 39'!Q52</f>
        <v>0.41666666666666669</v>
      </c>
      <c r="BK94" s="127">
        <f>Real[[#This Row],[05/05/25]]+(1-Real[[#This Row],[05/05/25]])*'Avance 39'!R52</f>
        <v>0.41666666666666669</v>
      </c>
      <c r="BL94" s="127">
        <f>Real[[#This Row],[05/05/25]]+(1-Real[[#This Row],[05/05/25]])*'Avance 39'!S52</f>
        <v>0.41666666666666669</v>
      </c>
      <c r="BM94" s="127">
        <f>Real[[#This Row],[05/05/25]]+(1-Real[[#This Row],[05/05/25]])*'Avance 39'!T52</f>
        <v>0.41666666666666669</v>
      </c>
      <c r="BN94" s="127">
        <f>Real[[#This Row],[05/05/25]]+(1-Real[[#This Row],[05/05/25]])*'Avance 39'!U52</f>
        <v>0.41666666666666669</v>
      </c>
      <c r="BO94" s="127">
        <f>Real[[#This Row],[05/05/25]]+(1-Real[[#This Row],[05/05/25]])*'Avance 39'!V52</f>
        <v>0.41666666666666669</v>
      </c>
      <c r="BP94" s="127">
        <f>Real[[#This Row],[05/05/25]]+(1-Real[[#This Row],[05/05/25]])*'Avance 39'!W52</f>
        <v>0.41666666666666669</v>
      </c>
      <c r="BQ94" s="127">
        <f>Real[[#This Row],[05/05/25]]+(1-Real[[#This Row],[05/05/25]])*'Avance 39'!X52</f>
        <v>0.41666666666666669</v>
      </c>
      <c r="BR94" s="127">
        <f>Real[[#This Row],[05/05/25]]+(1-Real[[#This Row],[05/05/25]])*'Avance 39'!Y52</f>
        <v>0.41666666666666669</v>
      </c>
      <c r="BS94" s="127">
        <f>Real[[#This Row],[05/05/25]]+(1-Real[[#This Row],[05/05/25]])*'Avance 39'!Z52</f>
        <v>0.66666666666666663</v>
      </c>
      <c r="BT94" s="127">
        <f>Real[[#This Row],[05/05/25]]+(1-Real[[#This Row],[05/05/25]])*'Avance 39'!AA52</f>
        <v>1</v>
      </c>
      <c r="BU94" s="127">
        <f>Real[[#This Row],[05/05/25]]+(1-Real[[#This Row],[05/05/25]])*'Avance 39'!AB52</f>
        <v>1</v>
      </c>
      <c r="BV94" s="127">
        <f>Real[[#This Row],[05/05/25]]+(1-Real[[#This Row],[05/05/25]])*'Avance 39'!AC52</f>
        <v>1</v>
      </c>
      <c r="BW94" s="127">
        <f>Real[[#This Row],[05/05/25]]+(1-Real[[#This Row],[05/05/25]])*'Avance 39'!AD52</f>
        <v>1</v>
      </c>
      <c r="BX94" s="127">
        <f>Real[[#This Row],[05/05/25]]+(1-Real[[#This Row],[05/05/25]])*'Avance 39'!AE52</f>
        <v>1</v>
      </c>
      <c r="BY94" s="127">
        <f>Real[[#This Row],[05/05/25]]+(1-Real[[#This Row],[05/05/25]])*'Avance 39'!AF52</f>
        <v>1</v>
      </c>
      <c r="BZ94" s="127">
        <f>Real[[#This Row],[05/05/25]]+(1-Real[[#This Row],[05/05/25]])*'Avance 39'!AG52</f>
        <v>1</v>
      </c>
      <c r="CA94" s="127">
        <f>Real[[#This Row],[05/05/25]]+(1-Real[[#This Row],[05/05/25]])*'Avance 39'!AH52</f>
        <v>1</v>
      </c>
      <c r="CB94" s="127">
        <f>Real[[#This Row],[05/05/25]]+(1-Real[[#This Row],[05/05/25]])*'Avance 39'!AI52</f>
        <v>1</v>
      </c>
      <c r="CC94" s="127">
        <f>Real[[#This Row],[05/05/25]]+(1-Real[[#This Row],[05/05/25]])*'Avance 39'!AJ52</f>
        <v>1</v>
      </c>
      <c r="CD94" s="127">
        <f>Real[[#This Row],[05/05/25]]+(1-Real[[#This Row],[05/05/25]])*'Avance 39'!AK52</f>
        <v>1</v>
      </c>
      <c r="CE94" s="127">
        <f>Real[[#This Row],[05/05/25]]+(1-Real[[#This Row],[05/05/25]])*'Avance 39'!AL52</f>
        <v>1</v>
      </c>
      <c r="CF94" s="127">
        <f>Real[[#This Row],[05/05/25]]+(1-Real[[#This Row],[05/05/25]])*'Avance 39'!AM52</f>
        <v>1</v>
      </c>
      <c r="CG94" s="127">
        <f>Real[[#This Row],[05/05/25]]+(1-Real[[#This Row],[05/05/25]])*'Avance 39'!AN52</f>
        <v>1</v>
      </c>
      <c r="CH94" s="127">
        <f>Real[[#This Row],[05/05/25]]+(1-Real[[#This Row],[05/05/25]])*'Avance 39'!AO52</f>
        <v>1</v>
      </c>
      <c r="CI94" s="127">
        <f>Real[[#This Row],[05/05/25]]+(1-Real[[#This Row],[05/05/25]])*'Avance 39'!AP52</f>
        <v>1</v>
      </c>
      <c r="CJ94" s="127">
        <f>Real[[#This Row],[05/05/25]]+(1-Real[[#This Row],[05/05/25]])*'Avance 39'!AQ52</f>
        <v>1</v>
      </c>
      <c r="CK94" s="127">
        <f>Real[[#This Row],[05/05/25]]+(1-Real[[#This Row],[05/05/25]])*'Avance 39'!AR52</f>
        <v>1</v>
      </c>
      <c r="CL94" s="127">
        <f>Real[[#This Row],[05/05/25]]+(1-Real[[#This Row],[05/05/25]])*'Avance 39'!AS52</f>
        <v>1</v>
      </c>
      <c r="CM94" s="127">
        <f>Real[[#This Row],[05/05/25]]+(1-Real[[#This Row],[05/05/25]])*'Avance 39'!AT52</f>
        <v>1</v>
      </c>
      <c r="CN94" s="127">
        <f>Real[[#This Row],[05/05/25]]+(1-Real[[#This Row],[05/05/25]])*'Avance 39'!AU52</f>
        <v>1</v>
      </c>
      <c r="CO94" s="127">
        <f>Real[[#This Row],[05/05/25]]+(1-Real[[#This Row],[05/05/25]])*'Avance 39'!AV52</f>
        <v>1</v>
      </c>
      <c r="CP94" s="127">
        <f>Real[[#This Row],[05/05/25]]+(1-Real[[#This Row],[05/05/25]])*'Avance 39'!AW52</f>
        <v>1</v>
      </c>
      <c r="CQ94" s="127">
        <f>Real[[#This Row],[05/05/25]]+(1-Real[[#This Row],[05/05/25]])*'Avance 39'!AX52</f>
        <v>1</v>
      </c>
      <c r="CR94" s="127">
        <f>Real[[#This Row],[05/05/25]]+(1-Real[[#This Row],[05/05/25]])*'Avance 39'!AY52</f>
        <v>1</v>
      </c>
      <c r="CS94" s="127">
        <f>Real[[#This Row],[05/05/25]]+(1-Real[[#This Row],[05/05/25]])*'Avance 39'!AZ52</f>
        <v>1</v>
      </c>
      <c r="CT94" s="127">
        <f>Real[[#This Row],[05/05/25]]+(1-Real[[#This Row],[05/05/25]])*'Avance 39'!BA52</f>
        <v>1</v>
      </c>
      <c r="CU94" s="127">
        <f>Real[[#This Row],[05/05/25]]+(1-Real[[#This Row],[05/05/25]])*'Avance 39'!BB52</f>
        <v>1</v>
      </c>
      <c r="CV94" s="127">
        <f>Real[[#This Row],[05/05/25]]+(1-Real[[#This Row],[05/05/25]])*'Avance 39'!BC52</f>
        <v>1</v>
      </c>
      <c r="CW94" s="127">
        <f>Real[[#This Row],[05/05/25]]+(1-Real[[#This Row],[05/05/25]])*'Avance 39'!BD52</f>
        <v>1</v>
      </c>
      <c r="CX94" s="127">
        <f>Real[[#This Row],[05/05/25]]+(1-Real[[#This Row],[05/05/25]])*'Avance 39'!BE52</f>
        <v>1</v>
      </c>
      <c r="CY94" s="127">
        <f>Real[[#This Row],[05/05/25]]+(1-Real[[#This Row],[05/05/25]])*'Avance 39'!BF52</f>
        <v>1</v>
      </c>
      <c r="CZ94" s="127">
        <f>Real[[#This Row],[05/05/25]]+(1-Real[[#This Row],[05/05/25]])*'Avance 39'!BG52</f>
        <v>1</v>
      </c>
      <c r="DA94" s="127">
        <f>Real[[#This Row],[05/05/25]]+(1-Real[[#This Row],[05/05/25]])*'Avance 39'!BH52</f>
        <v>1</v>
      </c>
      <c r="DB94" s="127">
        <f>Real[[#This Row],[05/05/25]]+(1-Real[[#This Row],[05/05/25]])*'Avance 39'!BI52</f>
        <v>1</v>
      </c>
      <c r="DC94" s="127">
        <f>Real[[#This Row],[05/05/25]]+(1-Real[[#This Row],[05/05/25]])*'Avance 39'!BJ52</f>
        <v>1</v>
      </c>
      <c r="DD94" s="127">
        <f>Real[[#This Row],[05/05/25]]+(1-Real[[#This Row],[05/05/25]])*'Avance 39'!BK52</f>
        <v>1</v>
      </c>
      <c r="DE94" s="127">
        <f>Real[[#This Row],[05/05/25]]+(1-Real[[#This Row],[05/05/25]])*'Avance 39'!BL52</f>
        <v>1</v>
      </c>
      <c r="DF94" s="127">
        <f>Real[[#This Row],[05/05/25]]+(1-Real[[#This Row],[05/05/25]])*'Avance 39'!BM52</f>
        <v>1</v>
      </c>
      <c r="DG94" s="127">
        <f>Real[[#This Row],[05/05/25]]+(1-Real[[#This Row],[05/05/25]])*'Avance 39'!BN52</f>
        <v>1</v>
      </c>
      <c r="DH94" s="127">
        <f>Real[[#This Row],[05/05/25]]+(1-Real[[#This Row],[05/05/25]])*'Avance 39'!BO52</f>
        <v>1</v>
      </c>
      <c r="DI94" s="127">
        <f>Real[[#This Row],[05/05/25]]+(1-Real[[#This Row],[05/05/25]])*'Avance 39'!BP52</f>
        <v>1</v>
      </c>
      <c r="DJ94" s="127">
        <f>Real[[#This Row],[05/05/25]]+(1-Real[[#This Row],[05/05/25]])*'Avance 39'!BQ52</f>
        <v>1</v>
      </c>
      <c r="DK94" s="127">
        <f>Real[[#This Row],[05/05/25]]+(1-Real[[#This Row],[05/05/25]])*'Avance 39'!BR52</f>
        <v>1</v>
      </c>
      <c r="DL94" s="127">
        <f>Real[[#This Row],[05/05/25]]+(1-Real[[#This Row],[05/05/25]])*'Avance 39'!BS52</f>
        <v>1</v>
      </c>
      <c r="DM94" s="127">
        <f>Real[[#This Row],[05/05/25]]+(1-Real[[#This Row],[05/05/25]])*'Avance 39'!BT52</f>
        <v>1</v>
      </c>
      <c r="DN94" s="127">
        <f>Real[[#This Row],[05/05/25]]+(1-Real[[#This Row],[05/05/25]])*'Avance 39'!BU52</f>
        <v>1</v>
      </c>
      <c r="DO94" s="127">
        <f>Real[[#This Row],[05/05/25]]+(1-Real[[#This Row],[05/05/25]])*'Avance 39'!BV52</f>
        <v>1</v>
      </c>
      <c r="DP94" s="127">
        <f>Real[[#This Row],[05/05/25]]+(1-Real[[#This Row],[05/05/25]])*'Avance 39'!BW52</f>
        <v>1</v>
      </c>
      <c r="DQ94" s="127">
        <f>Real[[#This Row],[05/05/25]]+(1-Real[[#This Row],[05/05/25]])*'Avance 39'!BX52</f>
        <v>1</v>
      </c>
      <c r="DR94" s="127">
        <f>Real[[#This Row],[05/05/25]]+(1-Real[[#This Row],[05/05/25]])*'Avance 39'!BY52</f>
        <v>1</v>
      </c>
      <c r="DS94" s="127">
        <f>Real[[#This Row],[05/05/25]]+(1-Real[[#This Row],[05/05/25]])*'Avance 39'!BZ52</f>
        <v>1</v>
      </c>
      <c r="DT94" s="127">
        <f>Real[[#This Row],[05/05/25]]+(1-Real[[#This Row],[05/05/25]])*'Avance 39'!CA52</f>
        <v>1</v>
      </c>
      <c r="DU94" s="127">
        <f>Real[[#This Row],[05/05/25]]+(1-Real[[#This Row],[05/05/25]])*'Avance 39'!CB52</f>
        <v>1</v>
      </c>
      <c r="DV94" s="127">
        <f>Real[[#This Row],[05/05/25]]+(1-Real[[#This Row],[05/05/25]])*'Avance 39'!CC52</f>
        <v>1</v>
      </c>
      <c r="DW94" s="127">
        <f>Real[[#This Row],[05/05/25]]+(1-Real[[#This Row],[05/05/25]])*'Avance 39'!CD52</f>
        <v>1</v>
      </c>
      <c r="DX94" s="127">
        <f>Real[[#This Row],[05/05/25]]+(1-Real[[#This Row],[05/05/25]])*'Avance 39'!CE52</f>
        <v>1</v>
      </c>
      <c r="DY94" s="127">
        <f>Real[[#This Row],[05/05/25]]+(1-Real[[#This Row],[05/05/25]])*'Avance 39'!CF52</f>
        <v>1</v>
      </c>
      <c r="DZ94" s="127">
        <f>Real[[#This Row],[05/05/25]]+(1-Real[[#This Row],[05/05/25]])*'Avance 39'!CG52</f>
        <v>1</v>
      </c>
      <c r="EA94" s="127">
        <f>Real[[#This Row],[05/05/25]]+(1-Real[[#This Row],[05/05/25]])*'Avance 39'!CH52</f>
        <v>1</v>
      </c>
      <c r="EB94" s="127">
        <f>Real[[#This Row],[05/05/25]]+(1-Real[[#This Row],[05/05/25]])*'Avance 39'!CI52</f>
        <v>1</v>
      </c>
      <c r="EC94" s="127">
        <f>Real[[#This Row],[05/05/25]]+(1-Real[[#This Row],[05/05/25]])*'Avance 39'!CJ52</f>
        <v>1</v>
      </c>
      <c r="ED94" s="127">
        <f>Real[[#This Row],[05/05/25]]+(1-Real[[#This Row],[05/05/25]])*'Avance 39'!CK52</f>
        <v>1</v>
      </c>
      <c r="EE94" s="127">
        <f>Real[[#This Row],[05/05/25]]+(1-Real[[#This Row],[05/05/25]])*'Avance 39'!CL52</f>
        <v>1</v>
      </c>
      <c r="EF94" s="127">
        <f>Real[[#This Row],[05/05/25]]+(1-Real[[#This Row],[05/05/25]])*'Avance 39'!CM52</f>
        <v>1</v>
      </c>
      <c r="EG94" s="127">
        <f>Real[[#This Row],[05/05/25]]+(1-Real[[#This Row],[05/05/25]])*'Avance 39'!CN52</f>
        <v>1</v>
      </c>
      <c r="EH94" s="127">
        <f>Real[[#This Row],[05/05/25]]+(1-Real[[#This Row],[05/05/25]])*'Avance 39'!CO52</f>
        <v>1</v>
      </c>
      <c r="EI94" s="127">
        <f>Real[[#This Row],[05/05/25]]+(1-Real[[#This Row],[05/05/25]])*'Avance 39'!CP52</f>
        <v>1</v>
      </c>
    </row>
    <row r="95" spans="2:139" hidden="1" outlineLevel="3" x14ac:dyDescent="0.3">
      <c r="B95" s="29"/>
      <c r="C95" s="30"/>
      <c r="D95" s="30"/>
      <c r="E95" s="52" t="s">
        <v>98</v>
      </c>
      <c r="F95" s="33">
        <v>10</v>
      </c>
      <c r="G95" s="35">
        <v>6.25E-2</v>
      </c>
      <c r="H95" s="162"/>
      <c r="I95" s="127">
        <v>0</v>
      </c>
      <c r="J95" s="127">
        <v>0</v>
      </c>
      <c r="K95" s="127">
        <v>0</v>
      </c>
      <c r="L95" s="127">
        <v>0</v>
      </c>
      <c r="M95" s="128">
        <v>0</v>
      </c>
      <c r="N95" s="128">
        <v>0</v>
      </c>
      <c r="O95" s="127">
        <v>0</v>
      </c>
      <c r="P95" s="127">
        <v>0</v>
      </c>
      <c r="Q95" s="127">
        <v>0</v>
      </c>
      <c r="R95" s="127">
        <v>0</v>
      </c>
      <c r="S95" s="127">
        <v>0</v>
      </c>
      <c r="T95" s="127">
        <v>0</v>
      </c>
      <c r="U95" s="127">
        <v>0</v>
      </c>
      <c r="V95" s="127">
        <v>0</v>
      </c>
      <c r="W95" s="127">
        <v>0</v>
      </c>
      <c r="X95" s="127">
        <v>1</v>
      </c>
      <c r="Y95" s="127">
        <v>1</v>
      </c>
      <c r="Z95" s="127">
        <v>1</v>
      </c>
      <c r="AA95" s="127">
        <v>1</v>
      </c>
      <c r="AB95" s="127">
        <v>1</v>
      </c>
      <c r="AC95" s="127">
        <v>1</v>
      </c>
      <c r="AD95" s="127">
        <v>1</v>
      </c>
      <c r="AE95" s="127">
        <v>1</v>
      </c>
      <c r="AF95" s="127">
        <v>1</v>
      </c>
      <c r="AG95" s="127">
        <v>1</v>
      </c>
      <c r="AH95" s="127">
        <v>1</v>
      </c>
      <c r="AI95" s="127">
        <v>1</v>
      </c>
      <c r="AJ95" s="127">
        <v>1</v>
      </c>
      <c r="AK95" s="127">
        <v>1</v>
      </c>
      <c r="AL95" s="127">
        <v>1</v>
      </c>
      <c r="AM95" s="127">
        <v>1</v>
      </c>
      <c r="AN95" s="127">
        <v>1</v>
      </c>
      <c r="AO95" s="127">
        <v>1</v>
      </c>
      <c r="AP95" s="127">
        <v>1</v>
      </c>
      <c r="AQ95" s="127">
        <v>1</v>
      </c>
      <c r="AR95" s="127">
        <v>1</v>
      </c>
      <c r="AS95" s="127">
        <v>1</v>
      </c>
      <c r="AT95" s="127">
        <v>1</v>
      </c>
      <c r="AU95" s="127">
        <v>1</v>
      </c>
      <c r="AV95" s="127">
        <v>1</v>
      </c>
      <c r="AW95" s="127">
        <v>1</v>
      </c>
      <c r="AX95" s="127">
        <v>1</v>
      </c>
      <c r="AY95" s="127">
        <v>1</v>
      </c>
      <c r="AZ95" s="127">
        <v>1</v>
      </c>
      <c r="BA95" s="127">
        <v>1</v>
      </c>
      <c r="BB95" s="127">
        <v>1</v>
      </c>
      <c r="BC95" s="127">
        <v>1</v>
      </c>
      <c r="BD95" s="127">
        <v>1</v>
      </c>
      <c r="BE95" s="127">
        <v>1</v>
      </c>
      <c r="BF95" s="127">
        <v>1</v>
      </c>
      <c r="BG95" s="163">
        <v>1</v>
      </c>
      <c r="BH95" s="163">
        <v>1</v>
      </c>
      <c r="BI95" s="127">
        <v>1</v>
      </c>
      <c r="BJ95" s="127">
        <v>1</v>
      </c>
      <c r="BK95" s="127">
        <v>1</v>
      </c>
      <c r="BL95" s="127">
        <v>1</v>
      </c>
      <c r="BM95" s="127">
        <v>1</v>
      </c>
      <c r="BN95" s="127">
        <v>1</v>
      </c>
      <c r="BO95" s="127">
        <v>1</v>
      </c>
      <c r="BP95" s="127">
        <v>1</v>
      </c>
      <c r="BQ95" s="127">
        <v>1</v>
      </c>
      <c r="BR95" s="127">
        <v>1</v>
      </c>
      <c r="BS95" s="127">
        <v>1</v>
      </c>
      <c r="BT95" s="127">
        <v>1</v>
      </c>
      <c r="BU95" s="127">
        <v>1</v>
      </c>
      <c r="BV95" s="127">
        <v>1</v>
      </c>
      <c r="BW95" s="127">
        <v>1</v>
      </c>
      <c r="BX95" s="127">
        <v>1</v>
      </c>
      <c r="BY95" s="127">
        <v>1</v>
      </c>
      <c r="BZ95" s="127">
        <v>1</v>
      </c>
      <c r="CA95" s="127">
        <v>1</v>
      </c>
      <c r="CB95" s="127">
        <v>1</v>
      </c>
      <c r="CC95" s="127">
        <v>1</v>
      </c>
      <c r="CD95" s="127">
        <v>1</v>
      </c>
      <c r="CE95" s="127">
        <v>1</v>
      </c>
      <c r="CF95" s="127">
        <v>1</v>
      </c>
      <c r="CG95" s="127">
        <v>1</v>
      </c>
      <c r="CH95" s="127">
        <v>1</v>
      </c>
      <c r="CI95" s="127">
        <v>1</v>
      </c>
      <c r="CJ95" s="127">
        <v>1</v>
      </c>
      <c r="CK95" s="127">
        <v>1</v>
      </c>
      <c r="CL95" s="127">
        <v>1</v>
      </c>
      <c r="CM95" s="127">
        <v>1</v>
      </c>
      <c r="CN95" s="127">
        <v>1</v>
      </c>
      <c r="CO95" s="127">
        <v>1</v>
      </c>
      <c r="CP95" s="127">
        <v>1</v>
      </c>
      <c r="CQ95" s="127">
        <v>1</v>
      </c>
      <c r="CR95" s="127">
        <v>1</v>
      </c>
      <c r="CS95" s="127">
        <v>1</v>
      </c>
      <c r="CT95" s="127">
        <v>1</v>
      </c>
      <c r="CU95" s="127">
        <v>1</v>
      </c>
      <c r="CV95" s="127">
        <v>1</v>
      </c>
      <c r="CW95" s="127">
        <v>1</v>
      </c>
      <c r="CX95" s="127">
        <v>1</v>
      </c>
      <c r="CY95" s="127">
        <v>1</v>
      </c>
      <c r="CZ95" s="127">
        <v>1</v>
      </c>
      <c r="DA95" s="127">
        <v>1</v>
      </c>
      <c r="DB95" s="127">
        <v>1</v>
      </c>
      <c r="DC95" s="127">
        <v>1</v>
      </c>
      <c r="DD95" s="127">
        <v>1</v>
      </c>
      <c r="DE95" s="127">
        <v>1</v>
      </c>
      <c r="DF95" s="127">
        <v>1</v>
      </c>
      <c r="DG95" s="127">
        <v>1</v>
      </c>
      <c r="DH95" s="127">
        <v>1</v>
      </c>
      <c r="DI95" s="127">
        <v>1</v>
      </c>
      <c r="DJ95" s="127">
        <v>1</v>
      </c>
      <c r="DK95" s="127">
        <v>1</v>
      </c>
      <c r="DL95" s="127">
        <v>1</v>
      </c>
      <c r="DM95" s="127">
        <v>1</v>
      </c>
      <c r="DN95" s="127">
        <v>1</v>
      </c>
      <c r="DO95" s="127">
        <v>1</v>
      </c>
      <c r="DP95" s="127">
        <v>1</v>
      </c>
      <c r="DQ95" s="127">
        <v>1</v>
      </c>
      <c r="DR95" s="127">
        <v>1</v>
      </c>
      <c r="DS95" s="127">
        <v>1</v>
      </c>
      <c r="DT95" s="127">
        <v>1</v>
      </c>
      <c r="DU95" s="127">
        <v>1</v>
      </c>
      <c r="DV95" s="127">
        <v>1</v>
      </c>
      <c r="DW95" s="127">
        <v>1</v>
      </c>
      <c r="DX95" s="127">
        <v>1</v>
      </c>
      <c r="DY95" s="127">
        <v>1</v>
      </c>
      <c r="DZ95" s="127">
        <v>1</v>
      </c>
      <c r="EA95" s="127">
        <v>1</v>
      </c>
      <c r="EB95" s="127">
        <v>1</v>
      </c>
      <c r="EC95" s="127">
        <v>1</v>
      </c>
      <c r="ED95" s="127">
        <v>1</v>
      </c>
      <c r="EE95" s="127">
        <v>1</v>
      </c>
      <c r="EF95" s="127">
        <v>1</v>
      </c>
      <c r="EG95" s="127">
        <v>1</v>
      </c>
      <c r="EH95" s="127">
        <v>1</v>
      </c>
      <c r="EI95" s="127">
        <v>1</v>
      </c>
    </row>
    <row r="96" spans="2:139" hidden="1" outlineLevel="3" x14ac:dyDescent="0.3">
      <c r="B96" s="29"/>
      <c r="C96" s="30"/>
      <c r="D96" s="30"/>
      <c r="E96" s="52" t="s">
        <v>99</v>
      </c>
      <c r="F96" s="33">
        <v>30</v>
      </c>
      <c r="G96" s="35">
        <v>0.1875</v>
      </c>
      <c r="H96" s="162"/>
      <c r="I96" s="127">
        <v>0</v>
      </c>
      <c r="J96" s="127">
        <v>0</v>
      </c>
      <c r="K96" s="127">
        <v>0</v>
      </c>
      <c r="L96" s="127">
        <v>0</v>
      </c>
      <c r="M96" s="128">
        <v>0</v>
      </c>
      <c r="N96" s="128">
        <v>0</v>
      </c>
      <c r="O96" s="127">
        <v>0</v>
      </c>
      <c r="P96" s="127">
        <v>0</v>
      </c>
      <c r="Q96" s="127">
        <v>0</v>
      </c>
      <c r="R96" s="127">
        <v>0</v>
      </c>
      <c r="S96" s="127">
        <v>0</v>
      </c>
      <c r="T96" s="127">
        <v>0</v>
      </c>
      <c r="U96" s="127">
        <v>0</v>
      </c>
      <c r="V96" s="127">
        <v>0</v>
      </c>
      <c r="W96" s="127">
        <v>0</v>
      </c>
      <c r="X96" s="127">
        <v>0</v>
      </c>
      <c r="Y96" s="127">
        <v>0.15</v>
      </c>
      <c r="Z96" s="127">
        <v>0.3</v>
      </c>
      <c r="AA96" s="127">
        <v>0.4</v>
      </c>
      <c r="AB96" s="127">
        <v>0.4</v>
      </c>
      <c r="AC96" s="127">
        <v>0.44583333333333336</v>
      </c>
      <c r="AD96" s="127">
        <v>0.44583333333333336</v>
      </c>
      <c r="AE96" s="127">
        <v>0.53750000000000009</v>
      </c>
      <c r="AF96" s="127">
        <v>0.58333333333333337</v>
      </c>
      <c r="AG96" s="127">
        <v>0.62916666666666665</v>
      </c>
      <c r="AH96" s="127">
        <v>0.68500000000000005</v>
      </c>
      <c r="AI96" s="127">
        <v>0.68500000000000005</v>
      </c>
      <c r="AJ96" s="127">
        <v>0.68500000000000005</v>
      </c>
      <c r="AK96" s="127">
        <v>0.73083333333333345</v>
      </c>
      <c r="AL96" s="127">
        <v>0.77666666666666673</v>
      </c>
      <c r="AM96" s="127">
        <v>0.82250000000000001</v>
      </c>
      <c r="AN96" s="127">
        <v>0.88333333333333341</v>
      </c>
      <c r="AO96" s="127">
        <v>0.97750000000000004</v>
      </c>
      <c r="AP96" s="127">
        <v>0.97750000000000004</v>
      </c>
      <c r="AQ96" s="127">
        <v>0.97750000000000004</v>
      </c>
      <c r="AR96" s="127">
        <v>0.97750000000000004</v>
      </c>
      <c r="AS96" s="127">
        <v>0.97750000000000004</v>
      </c>
      <c r="AT96" s="127">
        <v>0.97750000000000004</v>
      </c>
      <c r="AU96" s="127">
        <v>0.97750000000000004</v>
      </c>
      <c r="AV96" s="127">
        <v>0.97750000000000004</v>
      </c>
      <c r="AW96" s="127">
        <v>0.98000000000000009</v>
      </c>
      <c r="AX96" s="127">
        <v>0.9850000000000001</v>
      </c>
      <c r="AY96" s="127">
        <v>0.9850000000000001</v>
      </c>
      <c r="AZ96" s="127">
        <v>0.9850000000000001</v>
      </c>
      <c r="BA96" s="127">
        <v>0.9850000000000001</v>
      </c>
      <c r="BB96" s="127">
        <f>Real[[#This Row],[05/05/25]]+(1-Real[[#This Row],[05/05/25]])*'Avance 39'!I53</f>
        <v>0.98575000000000013</v>
      </c>
      <c r="BC96" s="127">
        <f>Real[[#This Row],[05/05/25]]+(1-Real[[#This Row],[05/05/25]])*'Avance 39'!J53</f>
        <v>0.98740000000000006</v>
      </c>
      <c r="BD96" s="127">
        <f>Real[[#This Row],[05/05/25]]+(1-Real[[#This Row],[05/05/25]])*'Avance 39'!K53</f>
        <v>0.99142857142857144</v>
      </c>
      <c r="BE96" s="127">
        <f>Real[[#This Row],[05/05/25]]+(1-Real[[#This Row],[05/05/25]])*'Avance 39'!L53</f>
        <v>0.99142857142857144</v>
      </c>
      <c r="BF96" s="127">
        <f>Real[[#This Row],[05/05/25]]+(1-Real[[#This Row],[05/05/25]])*'Avance 39'!M53</f>
        <v>0.99785714285714289</v>
      </c>
      <c r="BG96" s="163">
        <f>Real[[#This Row],[05/05/25]]+(1-Real[[#This Row],[05/05/25]])*'Avance 39'!N53</f>
        <v>0.99850000000000005</v>
      </c>
      <c r="BH96" s="163">
        <f>Real[[#This Row],[05/05/25]]+(1-Real[[#This Row],[05/05/25]])*'Avance 39'!O53</f>
        <v>0.99892857142857139</v>
      </c>
      <c r="BI96" s="127">
        <f>Real[[#This Row],[05/05/25]]+(1-Real[[#This Row],[05/05/25]])*'Avance 39'!P53</f>
        <v>0.99935714285714283</v>
      </c>
      <c r="BJ96" s="127">
        <f>Real[[#This Row],[05/05/25]]+(1-Real[[#This Row],[05/05/25]])*'Avance 39'!Q53</f>
        <v>0.99935714285714283</v>
      </c>
      <c r="BK96" s="127">
        <f>Real[[#This Row],[05/05/25]]+(1-Real[[#This Row],[05/05/25]])*'Avance 39'!R53</f>
        <v>0.99935714285714283</v>
      </c>
      <c r="BL96" s="127">
        <f>Real[[#This Row],[05/05/25]]+(1-Real[[#This Row],[05/05/25]])*'Avance 39'!S53</f>
        <v>0.99935714285714283</v>
      </c>
      <c r="BM96" s="127">
        <f>Real[[#This Row],[05/05/25]]+(1-Real[[#This Row],[05/05/25]])*'Avance 39'!T53</f>
        <v>0.99935714285714283</v>
      </c>
      <c r="BN96" s="127">
        <f>Real[[#This Row],[05/05/25]]+(1-Real[[#This Row],[05/05/25]])*'Avance 39'!U53</f>
        <v>0.99935714285714283</v>
      </c>
      <c r="BO96" s="127">
        <f>Real[[#This Row],[05/05/25]]+(1-Real[[#This Row],[05/05/25]])*'Avance 39'!V53</f>
        <v>0.99935714285714283</v>
      </c>
      <c r="BP96" s="127">
        <f>Real[[#This Row],[05/05/25]]+(1-Real[[#This Row],[05/05/25]])*'Avance 39'!W53</f>
        <v>1</v>
      </c>
      <c r="BQ96" s="127">
        <f>Real[[#This Row],[05/05/25]]+(1-Real[[#This Row],[05/05/25]])*'Avance 39'!X53</f>
        <v>1</v>
      </c>
      <c r="BR96" s="127">
        <f>Real[[#This Row],[05/05/25]]+(1-Real[[#This Row],[05/05/25]])*'Avance 39'!Y53</f>
        <v>1</v>
      </c>
      <c r="BS96" s="127">
        <f>Real[[#This Row],[05/05/25]]+(1-Real[[#This Row],[05/05/25]])*'Avance 39'!Z53</f>
        <v>1</v>
      </c>
      <c r="BT96" s="127">
        <f>Real[[#This Row],[05/05/25]]+(1-Real[[#This Row],[05/05/25]])*'Avance 39'!AA53</f>
        <v>1</v>
      </c>
      <c r="BU96" s="127">
        <f>Real[[#This Row],[05/05/25]]+(1-Real[[#This Row],[05/05/25]])*'Avance 39'!AB53</f>
        <v>1</v>
      </c>
      <c r="BV96" s="127">
        <f>Real[[#This Row],[05/05/25]]+(1-Real[[#This Row],[05/05/25]])*'Avance 39'!AC53</f>
        <v>1</v>
      </c>
      <c r="BW96" s="127">
        <f>Real[[#This Row],[05/05/25]]+(1-Real[[#This Row],[05/05/25]])*'Avance 39'!AD53</f>
        <v>1</v>
      </c>
      <c r="BX96" s="127">
        <f>Real[[#This Row],[05/05/25]]+(1-Real[[#This Row],[05/05/25]])*'Avance 39'!AE53</f>
        <v>1</v>
      </c>
      <c r="BY96" s="127">
        <f>Real[[#This Row],[05/05/25]]+(1-Real[[#This Row],[05/05/25]])*'Avance 39'!AF53</f>
        <v>1</v>
      </c>
      <c r="BZ96" s="127">
        <f>Real[[#This Row],[05/05/25]]+(1-Real[[#This Row],[05/05/25]])*'Avance 39'!AG53</f>
        <v>1</v>
      </c>
      <c r="CA96" s="127">
        <f>Real[[#This Row],[05/05/25]]+(1-Real[[#This Row],[05/05/25]])*'Avance 39'!AH53</f>
        <v>1</v>
      </c>
      <c r="CB96" s="127">
        <f>Real[[#This Row],[05/05/25]]+(1-Real[[#This Row],[05/05/25]])*'Avance 39'!AI53</f>
        <v>1</v>
      </c>
      <c r="CC96" s="127">
        <f>Real[[#This Row],[05/05/25]]+(1-Real[[#This Row],[05/05/25]])*'Avance 39'!AJ53</f>
        <v>1</v>
      </c>
      <c r="CD96" s="127">
        <f>Real[[#This Row],[05/05/25]]+(1-Real[[#This Row],[05/05/25]])*'Avance 39'!AK53</f>
        <v>1</v>
      </c>
      <c r="CE96" s="127">
        <f>Real[[#This Row],[05/05/25]]+(1-Real[[#This Row],[05/05/25]])*'Avance 39'!AL53</f>
        <v>1</v>
      </c>
      <c r="CF96" s="127">
        <f>Real[[#This Row],[05/05/25]]+(1-Real[[#This Row],[05/05/25]])*'Avance 39'!AM53</f>
        <v>1</v>
      </c>
      <c r="CG96" s="127">
        <f>Real[[#This Row],[05/05/25]]+(1-Real[[#This Row],[05/05/25]])*'Avance 39'!AN53</f>
        <v>1</v>
      </c>
      <c r="CH96" s="127">
        <f>Real[[#This Row],[05/05/25]]+(1-Real[[#This Row],[05/05/25]])*'Avance 39'!AO53</f>
        <v>1</v>
      </c>
      <c r="CI96" s="127">
        <f>Real[[#This Row],[05/05/25]]+(1-Real[[#This Row],[05/05/25]])*'Avance 39'!AP53</f>
        <v>1</v>
      </c>
      <c r="CJ96" s="127">
        <f>Real[[#This Row],[05/05/25]]+(1-Real[[#This Row],[05/05/25]])*'Avance 39'!AQ53</f>
        <v>1</v>
      </c>
      <c r="CK96" s="127">
        <f>Real[[#This Row],[05/05/25]]+(1-Real[[#This Row],[05/05/25]])*'Avance 39'!AR53</f>
        <v>1</v>
      </c>
      <c r="CL96" s="127">
        <f>Real[[#This Row],[05/05/25]]+(1-Real[[#This Row],[05/05/25]])*'Avance 39'!AS53</f>
        <v>1</v>
      </c>
      <c r="CM96" s="127">
        <f>Real[[#This Row],[05/05/25]]+(1-Real[[#This Row],[05/05/25]])*'Avance 39'!AT53</f>
        <v>1</v>
      </c>
      <c r="CN96" s="127">
        <f>Real[[#This Row],[05/05/25]]+(1-Real[[#This Row],[05/05/25]])*'Avance 39'!AU53</f>
        <v>1</v>
      </c>
      <c r="CO96" s="127">
        <f>Real[[#This Row],[05/05/25]]+(1-Real[[#This Row],[05/05/25]])*'Avance 39'!AV53</f>
        <v>1</v>
      </c>
      <c r="CP96" s="127">
        <f>Real[[#This Row],[05/05/25]]+(1-Real[[#This Row],[05/05/25]])*'Avance 39'!AW53</f>
        <v>1</v>
      </c>
      <c r="CQ96" s="127">
        <f>Real[[#This Row],[05/05/25]]+(1-Real[[#This Row],[05/05/25]])*'Avance 39'!AX53</f>
        <v>1</v>
      </c>
      <c r="CR96" s="127">
        <f>Real[[#This Row],[05/05/25]]+(1-Real[[#This Row],[05/05/25]])*'Avance 39'!AY53</f>
        <v>1</v>
      </c>
      <c r="CS96" s="127">
        <f>Real[[#This Row],[05/05/25]]+(1-Real[[#This Row],[05/05/25]])*'Avance 39'!AZ53</f>
        <v>1</v>
      </c>
      <c r="CT96" s="127">
        <f>Real[[#This Row],[05/05/25]]+(1-Real[[#This Row],[05/05/25]])*'Avance 39'!BA53</f>
        <v>1</v>
      </c>
      <c r="CU96" s="127">
        <f>Real[[#This Row],[05/05/25]]+(1-Real[[#This Row],[05/05/25]])*'Avance 39'!BB53</f>
        <v>1</v>
      </c>
      <c r="CV96" s="127">
        <f>Real[[#This Row],[05/05/25]]+(1-Real[[#This Row],[05/05/25]])*'Avance 39'!BC53</f>
        <v>1</v>
      </c>
      <c r="CW96" s="127">
        <f>Real[[#This Row],[05/05/25]]+(1-Real[[#This Row],[05/05/25]])*'Avance 39'!BD53</f>
        <v>1</v>
      </c>
      <c r="CX96" s="127">
        <f>Real[[#This Row],[05/05/25]]+(1-Real[[#This Row],[05/05/25]])*'Avance 39'!BE53</f>
        <v>1</v>
      </c>
      <c r="CY96" s="127">
        <f>Real[[#This Row],[05/05/25]]+(1-Real[[#This Row],[05/05/25]])*'Avance 39'!BF53</f>
        <v>1</v>
      </c>
      <c r="CZ96" s="127">
        <f>Real[[#This Row],[05/05/25]]+(1-Real[[#This Row],[05/05/25]])*'Avance 39'!BG53</f>
        <v>1</v>
      </c>
      <c r="DA96" s="127">
        <f>Real[[#This Row],[05/05/25]]+(1-Real[[#This Row],[05/05/25]])*'Avance 39'!BH53</f>
        <v>1</v>
      </c>
      <c r="DB96" s="127">
        <f>Real[[#This Row],[05/05/25]]+(1-Real[[#This Row],[05/05/25]])*'Avance 39'!BI53</f>
        <v>1</v>
      </c>
      <c r="DC96" s="127">
        <f>Real[[#This Row],[05/05/25]]+(1-Real[[#This Row],[05/05/25]])*'Avance 39'!BJ53</f>
        <v>1</v>
      </c>
      <c r="DD96" s="127">
        <f>Real[[#This Row],[05/05/25]]+(1-Real[[#This Row],[05/05/25]])*'Avance 39'!BK53</f>
        <v>1</v>
      </c>
      <c r="DE96" s="127">
        <f>Real[[#This Row],[05/05/25]]+(1-Real[[#This Row],[05/05/25]])*'Avance 39'!BL53</f>
        <v>1</v>
      </c>
      <c r="DF96" s="127">
        <f>Real[[#This Row],[05/05/25]]+(1-Real[[#This Row],[05/05/25]])*'Avance 39'!BM53</f>
        <v>1</v>
      </c>
      <c r="DG96" s="127">
        <f>Real[[#This Row],[05/05/25]]+(1-Real[[#This Row],[05/05/25]])*'Avance 39'!BN53</f>
        <v>1</v>
      </c>
      <c r="DH96" s="127">
        <f>Real[[#This Row],[05/05/25]]+(1-Real[[#This Row],[05/05/25]])*'Avance 39'!BO53</f>
        <v>1</v>
      </c>
      <c r="DI96" s="127">
        <f>Real[[#This Row],[05/05/25]]+(1-Real[[#This Row],[05/05/25]])*'Avance 39'!BP53</f>
        <v>1</v>
      </c>
      <c r="DJ96" s="127">
        <f>Real[[#This Row],[05/05/25]]+(1-Real[[#This Row],[05/05/25]])*'Avance 39'!BQ53</f>
        <v>1</v>
      </c>
      <c r="DK96" s="127">
        <f>Real[[#This Row],[05/05/25]]+(1-Real[[#This Row],[05/05/25]])*'Avance 39'!BR53</f>
        <v>1</v>
      </c>
      <c r="DL96" s="127">
        <f>Real[[#This Row],[05/05/25]]+(1-Real[[#This Row],[05/05/25]])*'Avance 39'!BS53</f>
        <v>1</v>
      </c>
      <c r="DM96" s="127">
        <f>Real[[#This Row],[05/05/25]]+(1-Real[[#This Row],[05/05/25]])*'Avance 39'!BT53</f>
        <v>1</v>
      </c>
      <c r="DN96" s="127">
        <f>Real[[#This Row],[05/05/25]]+(1-Real[[#This Row],[05/05/25]])*'Avance 39'!BU53</f>
        <v>1</v>
      </c>
      <c r="DO96" s="127">
        <f>Real[[#This Row],[05/05/25]]+(1-Real[[#This Row],[05/05/25]])*'Avance 39'!BV53</f>
        <v>1</v>
      </c>
      <c r="DP96" s="127">
        <f>Real[[#This Row],[05/05/25]]+(1-Real[[#This Row],[05/05/25]])*'Avance 39'!BW53</f>
        <v>1</v>
      </c>
      <c r="DQ96" s="127">
        <f>Real[[#This Row],[05/05/25]]+(1-Real[[#This Row],[05/05/25]])*'Avance 39'!BX53</f>
        <v>1</v>
      </c>
      <c r="DR96" s="127">
        <f>Real[[#This Row],[05/05/25]]+(1-Real[[#This Row],[05/05/25]])*'Avance 39'!BY53</f>
        <v>1</v>
      </c>
      <c r="DS96" s="127">
        <f>Real[[#This Row],[05/05/25]]+(1-Real[[#This Row],[05/05/25]])*'Avance 39'!BZ53</f>
        <v>1</v>
      </c>
      <c r="DT96" s="127">
        <f>Real[[#This Row],[05/05/25]]+(1-Real[[#This Row],[05/05/25]])*'Avance 39'!CA53</f>
        <v>1</v>
      </c>
      <c r="DU96" s="127">
        <f>Real[[#This Row],[05/05/25]]+(1-Real[[#This Row],[05/05/25]])*'Avance 39'!CB53</f>
        <v>1</v>
      </c>
      <c r="DV96" s="127">
        <f>Real[[#This Row],[05/05/25]]+(1-Real[[#This Row],[05/05/25]])*'Avance 39'!CC53</f>
        <v>1</v>
      </c>
      <c r="DW96" s="127">
        <f>Real[[#This Row],[05/05/25]]+(1-Real[[#This Row],[05/05/25]])*'Avance 39'!CD53</f>
        <v>1</v>
      </c>
      <c r="DX96" s="127">
        <f>Real[[#This Row],[05/05/25]]+(1-Real[[#This Row],[05/05/25]])*'Avance 39'!CE53</f>
        <v>1</v>
      </c>
      <c r="DY96" s="127">
        <f>Real[[#This Row],[05/05/25]]+(1-Real[[#This Row],[05/05/25]])*'Avance 39'!CF53</f>
        <v>1</v>
      </c>
      <c r="DZ96" s="127">
        <f>Real[[#This Row],[05/05/25]]+(1-Real[[#This Row],[05/05/25]])*'Avance 39'!CG53</f>
        <v>1</v>
      </c>
      <c r="EA96" s="127">
        <f>Real[[#This Row],[05/05/25]]+(1-Real[[#This Row],[05/05/25]])*'Avance 39'!CH53</f>
        <v>1</v>
      </c>
      <c r="EB96" s="127">
        <f>Real[[#This Row],[05/05/25]]+(1-Real[[#This Row],[05/05/25]])*'Avance 39'!CI53</f>
        <v>1</v>
      </c>
      <c r="EC96" s="127">
        <f>Real[[#This Row],[05/05/25]]+(1-Real[[#This Row],[05/05/25]])*'Avance 39'!CJ53</f>
        <v>1</v>
      </c>
      <c r="ED96" s="127">
        <f>Real[[#This Row],[05/05/25]]+(1-Real[[#This Row],[05/05/25]])*'Avance 39'!CK53</f>
        <v>1</v>
      </c>
      <c r="EE96" s="127">
        <f>Real[[#This Row],[05/05/25]]+(1-Real[[#This Row],[05/05/25]])*'Avance 39'!CL53</f>
        <v>1</v>
      </c>
      <c r="EF96" s="127">
        <f>Real[[#This Row],[05/05/25]]+(1-Real[[#This Row],[05/05/25]])*'Avance 39'!CM53</f>
        <v>1</v>
      </c>
      <c r="EG96" s="127">
        <f>Real[[#This Row],[05/05/25]]+(1-Real[[#This Row],[05/05/25]])*'Avance 39'!CN53</f>
        <v>1</v>
      </c>
      <c r="EH96" s="127">
        <f>Real[[#This Row],[05/05/25]]+(1-Real[[#This Row],[05/05/25]])*'Avance 39'!CO53</f>
        <v>1</v>
      </c>
      <c r="EI96" s="127">
        <f>Real[[#This Row],[05/05/25]]+(1-Real[[#This Row],[05/05/25]])*'Avance 39'!CP53</f>
        <v>1</v>
      </c>
    </row>
    <row r="97" spans="2:139" hidden="1" outlineLevel="3" x14ac:dyDescent="0.3">
      <c r="B97" s="29"/>
      <c r="C97" s="30"/>
      <c r="D97" s="30"/>
      <c r="E97" s="52" t="s">
        <v>100</v>
      </c>
      <c r="F97" s="33">
        <v>10</v>
      </c>
      <c r="G97" s="35">
        <v>6.25E-2</v>
      </c>
      <c r="H97" s="162"/>
      <c r="I97" s="127">
        <v>0</v>
      </c>
      <c r="J97" s="127">
        <v>0</v>
      </c>
      <c r="K97" s="127">
        <v>0</v>
      </c>
      <c r="L97" s="127">
        <v>0</v>
      </c>
      <c r="M97" s="128">
        <v>0</v>
      </c>
      <c r="N97" s="128">
        <v>0</v>
      </c>
      <c r="O97" s="127">
        <v>0</v>
      </c>
      <c r="P97" s="127">
        <v>0</v>
      </c>
      <c r="Q97" s="127">
        <v>0</v>
      </c>
      <c r="R97" s="127">
        <v>0</v>
      </c>
      <c r="S97" s="127">
        <v>0</v>
      </c>
      <c r="T97" s="127">
        <v>0</v>
      </c>
      <c r="U97" s="127">
        <v>0</v>
      </c>
      <c r="V97" s="127">
        <v>0</v>
      </c>
      <c r="W97" s="127">
        <v>0</v>
      </c>
      <c r="X97" s="127">
        <v>0</v>
      </c>
      <c r="Y97" s="127">
        <v>0</v>
      </c>
      <c r="Z97" s="127">
        <v>0</v>
      </c>
      <c r="AA97" s="127">
        <v>0</v>
      </c>
      <c r="AB97" s="127">
        <v>0</v>
      </c>
      <c r="AC97" s="127">
        <v>0</v>
      </c>
      <c r="AD97" s="127">
        <v>0</v>
      </c>
      <c r="AE97" s="127">
        <v>0</v>
      </c>
      <c r="AF97" s="127">
        <v>0</v>
      </c>
      <c r="AG97" s="127">
        <v>0</v>
      </c>
      <c r="AH97" s="127">
        <v>0</v>
      </c>
      <c r="AI97" s="127">
        <v>0</v>
      </c>
      <c r="AJ97" s="127">
        <v>0</v>
      </c>
      <c r="AK97" s="127">
        <v>0</v>
      </c>
      <c r="AL97" s="127">
        <v>0</v>
      </c>
      <c r="AM97" s="127">
        <v>0</v>
      </c>
      <c r="AN97" s="127">
        <v>0</v>
      </c>
      <c r="AO97" s="127">
        <v>0</v>
      </c>
      <c r="AP97" s="127">
        <v>0</v>
      </c>
      <c r="AQ97" s="127">
        <v>0</v>
      </c>
      <c r="AR97" s="127">
        <v>0</v>
      </c>
      <c r="AS97" s="127">
        <v>0</v>
      </c>
      <c r="AT97" s="127">
        <v>0</v>
      </c>
      <c r="AU97" s="127">
        <v>0</v>
      </c>
      <c r="AV97" s="127">
        <v>0</v>
      </c>
      <c r="AW97" s="127">
        <v>0</v>
      </c>
      <c r="AX97" s="127">
        <v>0</v>
      </c>
      <c r="AY97" s="127">
        <v>0</v>
      </c>
      <c r="AZ97" s="127">
        <v>0</v>
      </c>
      <c r="BA97" s="127">
        <v>0</v>
      </c>
      <c r="BB97" s="127">
        <f>Real[[#This Row],[05/05/25]]+(1-Real[[#This Row],[05/05/25]])*'Avance 39'!I54</f>
        <v>0</v>
      </c>
      <c r="BC97" s="127">
        <f>Real[[#This Row],[05/05/25]]+(1-Real[[#This Row],[05/05/25]])*'Avance 39'!J54</f>
        <v>0</v>
      </c>
      <c r="BD97" s="127">
        <f>Real[[#This Row],[05/05/25]]+(1-Real[[#This Row],[05/05/25]])*'Avance 39'!K54</f>
        <v>0.46153846153846156</v>
      </c>
      <c r="BE97" s="127">
        <f>Real[[#This Row],[05/05/25]]+(1-Real[[#This Row],[05/05/25]])*'Avance 39'!L54</f>
        <v>0.46153846153846156</v>
      </c>
      <c r="BF97" s="127">
        <f>Real[[#This Row],[05/05/25]]+(1-Real[[#This Row],[05/05/25]])*'Avance 39'!M54</f>
        <v>0.46153846153846156</v>
      </c>
      <c r="BG97" s="163">
        <f>Real[[#This Row],[05/05/25]]+(1-Real[[#This Row],[05/05/25]])*'Avance 39'!N54</f>
        <v>0.46153846153846156</v>
      </c>
      <c r="BH97" s="163">
        <f>Real[[#This Row],[05/05/25]]+(1-Real[[#This Row],[05/05/25]])*'Avance 39'!O54</f>
        <v>0.46153846153846156</v>
      </c>
      <c r="BI97" s="127">
        <f>Real[[#This Row],[05/05/25]]+(1-Real[[#This Row],[05/05/25]])*'Avance 39'!P54</f>
        <v>0.46153846153846156</v>
      </c>
      <c r="BJ97" s="127">
        <f>Real[[#This Row],[05/05/25]]+(1-Real[[#This Row],[05/05/25]])*'Avance 39'!Q54</f>
        <v>0.46153846153846156</v>
      </c>
      <c r="BK97" s="127">
        <f>Real[[#This Row],[05/05/25]]+(1-Real[[#This Row],[05/05/25]])*'Avance 39'!R54</f>
        <v>0.46153846153846156</v>
      </c>
      <c r="BL97" s="127">
        <f>Real[[#This Row],[05/05/25]]+(1-Real[[#This Row],[05/05/25]])*'Avance 39'!S54</f>
        <v>0.46153846153846156</v>
      </c>
      <c r="BM97" s="127">
        <f>Real[[#This Row],[05/05/25]]+(1-Real[[#This Row],[05/05/25]])*'Avance 39'!T54</f>
        <v>0.46153846153846156</v>
      </c>
      <c r="BN97" s="127">
        <f>Real[[#This Row],[05/05/25]]+(1-Real[[#This Row],[05/05/25]])*'Avance 39'!U54</f>
        <v>0.46153846153846156</v>
      </c>
      <c r="BO97" s="127">
        <f>Real[[#This Row],[05/05/25]]+(1-Real[[#This Row],[05/05/25]])*'Avance 39'!V54</f>
        <v>0.46153846153846156</v>
      </c>
      <c r="BP97" s="127">
        <f>Real[[#This Row],[05/05/25]]+(1-Real[[#This Row],[05/05/25]])*'Avance 39'!W54</f>
        <v>0.46153846153846156</v>
      </c>
      <c r="BQ97" s="127">
        <f>Real[[#This Row],[05/05/25]]+(1-Real[[#This Row],[05/05/25]])*'Avance 39'!X54</f>
        <v>0.46153846153846156</v>
      </c>
      <c r="BR97" s="127">
        <f>Real[[#This Row],[05/05/25]]+(1-Real[[#This Row],[05/05/25]])*'Avance 39'!Y54</f>
        <v>0.46153846153846156</v>
      </c>
      <c r="BS97" s="127">
        <f>Real[[#This Row],[05/05/25]]+(1-Real[[#This Row],[05/05/25]])*'Avance 39'!Z54</f>
        <v>0.69230769230769229</v>
      </c>
      <c r="BT97" s="127">
        <f>Real[[#This Row],[05/05/25]]+(1-Real[[#This Row],[05/05/25]])*'Avance 39'!AA54</f>
        <v>1</v>
      </c>
      <c r="BU97" s="127">
        <f>Real[[#This Row],[05/05/25]]+(1-Real[[#This Row],[05/05/25]])*'Avance 39'!AB54</f>
        <v>1</v>
      </c>
      <c r="BV97" s="127">
        <f>Real[[#This Row],[05/05/25]]+(1-Real[[#This Row],[05/05/25]])*'Avance 39'!AC54</f>
        <v>1</v>
      </c>
      <c r="BW97" s="127">
        <f>Real[[#This Row],[05/05/25]]+(1-Real[[#This Row],[05/05/25]])*'Avance 39'!AD54</f>
        <v>1</v>
      </c>
      <c r="BX97" s="127">
        <f>Real[[#This Row],[05/05/25]]+(1-Real[[#This Row],[05/05/25]])*'Avance 39'!AE54</f>
        <v>1</v>
      </c>
      <c r="BY97" s="127">
        <f>Real[[#This Row],[05/05/25]]+(1-Real[[#This Row],[05/05/25]])*'Avance 39'!AF54</f>
        <v>1</v>
      </c>
      <c r="BZ97" s="127">
        <f>Real[[#This Row],[05/05/25]]+(1-Real[[#This Row],[05/05/25]])*'Avance 39'!AG54</f>
        <v>1</v>
      </c>
      <c r="CA97" s="127">
        <f>Real[[#This Row],[05/05/25]]+(1-Real[[#This Row],[05/05/25]])*'Avance 39'!AH54</f>
        <v>1</v>
      </c>
      <c r="CB97" s="127">
        <f>Real[[#This Row],[05/05/25]]+(1-Real[[#This Row],[05/05/25]])*'Avance 39'!AI54</f>
        <v>1</v>
      </c>
      <c r="CC97" s="127">
        <f>Real[[#This Row],[05/05/25]]+(1-Real[[#This Row],[05/05/25]])*'Avance 39'!AJ54</f>
        <v>1</v>
      </c>
      <c r="CD97" s="127">
        <f>Real[[#This Row],[05/05/25]]+(1-Real[[#This Row],[05/05/25]])*'Avance 39'!AK54</f>
        <v>1</v>
      </c>
      <c r="CE97" s="127">
        <f>Real[[#This Row],[05/05/25]]+(1-Real[[#This Row],[05/05/25]])*'Avance 39'!AL54</f>
        <v>1</v>
      </c>
      <c r="CF97" s="127">
        <f>Real[[#This Row],[05/05/25]]+(1-Real[[#This Row],[05/05/25]])*'Avance 39'!AM54</f>
        <v>1</v>
      </c>
      <c r="CG97" s="127">
        <f>Real[[#This Row],[05/05/25]]+(1-Real[[#This Row],[05/05/25]])*'Avance 39'!AN54</f>
        <v>1</v>
      </c>
      <c r="CH97" s="127">
        <f>Real[[#This Row],[05/05/25]]+(1-Real[[#This Row],[05/05/25]])*'Avance 39'!AO54</f>
        <v>1</v>
      </c>
      <c r="CI97" s="127">
        <f>Real[[#This Row],[05/05/25]]+(1-Real[[#This Row],[05/05/25]])*'Avance 39'!AP54</f>
        <v>1</v>
      </c>
      <c r="CJ97" s="127">
        <f>Real[[#This Row],[05/05/25]]+(1-Real[[#This Row],[05/05/25]])*'Avance 39'!AQ54</f>
        <v>1</v>
      </c>
      <c r="CK97" s="127">
        <f>Real[[#This Row],[05/05/25]]+(1-Real[[#This Row],[05/05/25]])*'Avance 39'!AR54</f>
        <v>1</v>
      </c>
      <c r="CL97" s="127">
        <f>Real[[#This Row],[05/05/25]]+(1-Real[[#This Row],[05/05/25]])*'Avance 39'!AS54</f>
        <v>1</v>
      </c>
      <c r="CM97" s="127">
        <f>Real[[#This Row],[05/05/25]]+(1-Real[[#This Row],[05/05/25]])*'Avance 39'!AT54</f>
        <v>1</v>
      </c>
      <c r="CN97" s="127">
        <f>Real[[#This Row],[05/05/25]]+(1-Real[[#This Row],[05/05/25]])*'Avance 39'!AU54</f>
        <v>1</v>
      </c>
      <c r="CO97" s="127">
        <f>Real[[#This Row],[05/05/25]]+(1-Real[[#This Row],[05/05/25]])*'Avance 39'!AV54</f>
        <v>1</v>
      </c>
      <c r="CP97" s="127">
        <f>Real[[#This Row],[05/05/25]]+(1-Real[[#This Row],[05/05/25]])*'Avance 39'!AW54</f>
        <v>1</v>
      </c>
      <c r="CQ97" s="127">
        <f>Real[[#This Row],[05/05/25]]+(1-Real[[#This Row],[05/05/25]])*'Avance 39'!AX54</f>
        <v>1</v>
      </c>
      <c r="CR97" s="127">
        <f>Real[[#This Row],[05/05/25]]+(1-Real[[#This Row],[05/05/25]])*'Avance 39'!AY54</f>
        <v>1</v>
      </c>
      <c r="CS97" s="127">
        <f>Real[[#This Row],[05/05/25]]+(1-Real[[#This Row],[05/05/25]])*'Avance 39'!AZ54</f>
        <v>1</v>
      </c>
      <c r="CT97" s="127">
        <f>Real[[#This Row],[05/05/25]]+(1-Real[[#This Row],[05/05/25]])*'Avance 39'!BA54</f>
        <v>1</v>
      </c>
      <c r="CU97" s="127">
        <f>Real[[#This Row],[05/05/25]]+(1-Real[[#This Row],[05/05/25]])*'Avance 39'!BB54</f>
        <v>1</v>
      </c>
      <c r="CV97" s="127">
        <f>Real[[#This Row],[05/05/25]]+(1-Real[[#This Row],[05/05/25]])*'Avance 39'!BC54</f>
        <v>1</v>
      </c>
      <c r="CW97" s="127">
        <f>Real[[#This Row],[05/05/25]]+(1-Real[[#This Row],[05/05/25]])*'Avance 39'!BD54</f>
        <v>1</v>
      </c>
      <c r="CX97" s="127">
        <f>Real[[#This Row],[05/05/25]]+(1-Real[[#This Row],[05/05/25]])*'Avance 39'!BE54</f>
        <v>1</v>
      </c>
      <c r="CY97" s="127">
        <f>Real[[#This Row],[05/05/25]]+(1-Real[[#This Row],[05/05/25]])*'Avance 39'!BF54</f>
        <v>1</v>
      </c>
      <c r="CZ97" s="127">
        <f>Real[[#This Row],[05/05/25]]+(1-Real[[#This Row],[05/05/25]])*'Avance 39'!BG54</f>
        <v>1</v>
      </c>
      <c r="DA97" s="127">
        <f>Real[[#This Row],[05/05/25]]+(1-Real[[#This Row],[05/05/25]])*'Avance 39'!BH54</f>
        <v>1</v>
      </c>
      <c r="DB97" s="127">
        <f>Real[[#This Row],[05/05/25]]+(1-Real[[#This Row],[05/05/25]])*'Avance 39'!BI54</f>
        <v>1</v>
      </c>
      <c r="DC97" s="127">
        <f>Real[[#This Row],[05/05/25]]+(1-Real[[#This Row],[05/05/25]])*'Avance 39'!BJ54</f>
        <v>1</v>
      </c>
      <c r="DD97" s="127">
        <f>Real[[#This Row],[05/05/25]]+(1-Real[[#This Row],[05/05/25]])*'Avance 39'!BK54</f>
        <v>1</v>
      </c>
      <c r="DE97" s="127">
        <f>Real[[#This Row],[05/05/25]]+(1-Real[[#This Row],[05/05/25]])*'Avance 39'!BL54</f>
        <v>1</v>
      </c>
      <c r="DF97" s="127">
        <f>Real[[#This Row],[05/05/25]]+(1-Real[[#This Row],[05/05/25]])*'Avance 39'!BM54</f>
        <v>1</v>
      </c>
      <c r="DG97" s="127">
        <f>Real[[#This Row],[05/05/25]]+(1-Real[[#This Row],[05/05/25]])*'Avance 39'!BN54</f>
        <v>1</v>
      </c>
      <c r="DH97" s="127">
        <f>Real[[#This Row],[05/05/25]]+(1-Real[[#This Row],[05/05/25]])*'Avance 39'!BO54</f>
        <v>1</v>
      </c>
      <c r="DI97" s="127">
        <f>Real[[#This Row],[05/05/25]]+(1-Real[[#This Row],[05/05/25]])*'Avance 39'!BP54</f>
        <v>1</v>
      </c>
      <c r="DJ97" s="127">
        <f>Real[[#This Row],[05/05/25]]+(1-Real[[#This Row],[05/05/25]])*'Avance 39'!BQ54</f>
        <v>1</v>
      </c>
      <c r="DK97" s="127">
        <f>Real[[#This Row],[05/05/25]]+(1-Real[[#This Row],[05/05/25]])*'Avance 39'!BR54</f>
        <v>1</v>
      </c>
      <c r="DL97" s="127">
        <f>Real[[#This Row],[05/05/25]]+(1-Real[[#This Row],[05/05/25]])*'Avance 39'!BS54</f>
        <v>1</v>
      </c>
      <c r="DM97" s="127">
        <f>Real[[#This Row],[05/05/25]]+(1-Real[[#This Row],[05/05/25]])*'Avance 39'!BT54</f>
        <v>1</v>
      </c>
      <c r="DN97" s="127">
        <f>Real[[#This Row],[05/05/25]]+(1-Real[[#This Row],[05/05/25]])*'Avance 39'!BU54</f>
        <v>1</v>
      </c>
      <c r="DO97" s="127">
        <f>Real[[#This Row],[05/05/25]]+(1-Real[[#This Row],[05/05/25]])*'Avance 39'!BV54</f>
        <v>1</v>
      </c>
      <c r="DP97" s="127">
        <f>Real[[#This Row],[05/05/25]]+(1-Real[[#This Row],[05/05/25]])*'Avance 39'!BW54</f>
        <v>1</v>
      </c>
      <c r="DQ97" s="127">
        <f>Real[[#This Row],[05/05/25]]+(1-Real[[#This Row],[05/05/25]])*'Avance 39'!BX54</f>
        <v>1</v>
      </c>
      <c r="DR97" s="127">
        <f>Real[[#This Row],[05/05/25]]+(1-Real[[#This Row],[05/05/25]])*'Avance 39'!BY54</f>
        <v>1</v>
      </c>
      <c r="DS97" s="127">
        <f>Real[[#This Row],[05/05/25]]+(1-Real[[#This Row],[05/05/25]])*'Avance 39'!BZ54</f>
        <v>1</v>
      </c>
      <c r="DT97" s="127">
        <f>Real[[#This Row],[05/05/25]]+(1-Real[[#This Row],[05/05/25]])*'Avance 39'!CA54</f>
        <v>1</v>
      </c>
      <c r="DU97" s="127">
        <f>Real[[#This Row],[05/05/25]]+(1-Real[[#This Row],[05/05/25]])*'Avance 39'!CB54</f>
        <v>1</v>
      </c>
      <c r="DV97" s="127">
        <f>Real[[#This Row],[05/05/25]]+(1-Real[[#This Row],[05/05/25]])*'Avance 39'!CC54</f>
        <v>1</v>
      </c>
      <c r="DW97" s="127">
        <f>Real[[#This Row],[05/05/25]]+(1-Real[[#This Row],[05/05/25]])*'Avance 39'!CD54</f>
        <v>1</v>
      </c>
      <c r="DX97" s="127">
        <f>Real[[#This Row],[05/05/25]]+(1-Real[[#This Row],[05/05/25]])*'Avance 39'!CE54</f>
        <v>1</v>
      </c>
      <c r="DY97" s="127">
        <f>Real[[#This Row],[05/05/25]]+(1-Real[[#This Row],[05/05/25]])*'Avance 39'!CF54</f>
        <v>1</v>
      </c>
      <c r="DZ97" s="127">
        <f>Real[[#This Row],[05/05/25]]+(1-Real[[#This Row],[05/05/25]])*'Avance 39'!CG54</f>
        <v>1</v>
      </c>
      <c r="EA97" s="127">
        <f>Real[[#This Row],[05/05/25]]+(1-Real[[#This Row],[05/05/25]])*'Avance 39'!CH54</f>
        <v>1</v>
      </c>
      <c r="EB97" s="127">
        <f>Real[[#This Row],[05/05/25]]+(1-Real[[#This Row],[05/05/25]])*'Avance 39'!CI54</f>
        <v>1</v>
      </c>
      <c r="EC97" s="127">
        <f>Real[[#This Row],[05/05/25]]+(1-Real[[#This Row],[05/05/25]])*'Avance 39'!CJ54</f>
        <v>1</v>
      </c>
      <c r="ED97" s="127">
        <f>Real[[#This Row],[05/05/25]]+(1-Real[[#This Row],[05/05/25]])*'Avance 39'!CK54</f>
        <v>1</v>
      </c>
      <c r="EE97" s="127">
        <f>Real[[#This Row],[05/05/25]]+(1-Real[[#This Row],[05/05/25]])*'Avance 39'!CL54</f>
        <v>1</v>
      </c>
      <c r="EF97" s="127">
        <f>Real[[#This Row],[05/05/25]]+(1-Real[[#This Row],[05/05/25]])*'Avance 39'!CM54</f>
        <v>1</v>
      </c>
      <c r="EG97" s="127">
        <f>Real[[#This Row],[05/05/25]]+(1-Real[[#This Row],[05/05/25]])*'Avance 39'!CN54</f>
        <v>1</v>
      </c>
      <c r="EH97" s="127">
        <f>Real[[#This Row],[05/05/25]]+(1-Real[[#This Row],[05/05/25]])*'Avance 39'!CO54</f>
        <v>1</v>
      </c>
      <c r="EI97" s="127">
        <f>Real[[#This Row],[05/05/25]]+(1-Real[[#This Row],[05/05/25]])*'Avance 39'!CP54</f>
        <v>1</v>
      </c>
    </row>
    <row r="98" spans="2:139" hidden="1" outlineLevel="3" x14ac:dyDescent="0.3">
      <c r="B98" s="29"/>
      <c r="C98" s="30"/>
      <c r="D98" s="30"/>
      <c r="E98" s="52" t="s">
        <v>101</v>
      </c>
      <c r="F98" s="33">
        <v>0</v>
      </c>
      <c r="G98" s="35">
        <v>1E-119</v>
      </c>
      <c r="H98" s="162"/>
      <c r="I98" s="127">
        <v>0</v>
      </c>
      <c r="J98" s="127">
        <v>0</v>
      </c>
      <c r="K98" s="127">
        <v>0</v>
      </c>
      <c r="L98" s="127">
        <v>0</v>
      </c>
      <c r="M98" s="128">
        <v>0</v>
      </c>
      <c r="N98" s="128">
        <v>0</v>
      </c>
      <c r="O98" s="127">
        <v>0</v>
      </c>
      <c r="P98" s="127">
        <v>0</v>
      </c>
      <c r="Q98" s="127">
        <v>0</v>
      </c>
      <c r="R98" s="127">
        <v>0</v>
      </c>
      <c r="S98" s="127">
        <v>0</v>
      </c>
      <c r="T98" s="127">
        <v>0</v>
      </c>
      <c r="U98" s="127">
        <v>0</v>
      </c>
      <c r="V98" s="127">
        <v>0</v>
      </c>
      <c r="W98" s="127">
        <v>1</v>
      </c>
      <c r="X98" s="127">
        <v>1</v>
      </c>
      <c r="Y98" s="127">
        <v>1</v>
      </c>
      <c r="Z98" s="127">
        <v>1</v>
      </c>
      <c r="AA98" s="127">
        <v>1</v>
      </c>
      <c r="AB98" s="127">
        <v>1</v>
      </c>
      <c r="AC98" s="127">
        <v>1</v>
      </c>
      <c r="AD98" s="127">
        <v>1</v>
      </c>
      <c r="AE98" s="127">
        <v>1</v>
      </c>
      <c r="AF98" s="127">
        <v>1</v>
      </c>
      <c r="AG98" s="127">
        <v>1</v>
      </c>
      <c r="AH98" s="127">
        <v>1</v>
      </c>
      <c r="AI98" s="127">
        <v>1</v>
      </c>
      <c r="AJ98" s="127">
        <v>1</v>
      </c>
      <c r="AK98" s="127">
        <v>1</v>
      </c>
      <c r="AL98" s="127">
        <v>1</v>
      </c>
      <c r="AM98" s="127">
        <v>1</v>
      </c>
      <c r="AN98" s="127">
        <v>1</v>
      </c>
      <c r="AO98" s="127">
        <v>1</v>
      </c>
      <c r="AP98" s="127">
        <v>1</v>
      </c>
      <c r="AQ98" s="127">
        <v>1</v>
      </c>
      <c r="AR98" s="127">
        <v>1</v>
      </c>
      <c r="AS98" s="127">
        <v>1</v>
      </c>
      <c r="AT98" s="127">
        <v>1</v>
      </c>
      <c r="AU98" s="127">
        <v>1</v>
      </c>
      <c r="AV98" s="127">
        <v>1</v>
      </c>
      <c r="AW98" s="127">
        <v>1</v>
      </c>
      <c r="AX98" s="127">
        <v>1</v>
      </c>
      <c r="AY98" s="127">
        <v>1</v>
      </c>
      <c r="AZ98" s="127">
        <v>1</v>
      </c>
      <c r="BA98" s="127">
        <v>1</v>
      </c>
      <c r="BB98" s="127">
        <v>1</v>
      </c>
      <c r="BC98" s="127">
        <v>1</v>
      </c>
      <c r="BD98" s="127">
        <v>1</v>
      </c>
      <c r="BE98" s="127">
        <v>1</v>
      </c>
      <c r="BF98" s="127">
        <v>1</v>
      </c>
      <c r="BG98" s="163">
        <v>1</v>
      </c>
      <c r="BH98" s="163">
        <v>1</v>
      </c>
      <c r="BI98" s="127">
        <v>1</v>
      </c>
      <c r="BJ98" s="127">
        <v>1</v>
      </c>
      <c r="BK98" s="127">
        <v>1</v>
      </c>
      <c r="BL98" s="127">
        <v>1</v>
      </c>
      <c r="BM98" s="127">
        <v>1</v>
      </c>
      <c r="BN98" s="127">
        <v>1</v>
      </c>
      <c r="BO98" s="127">
        <v>1</v>
      </c>
      <c r="BP98" s="127">
        <v>1</v>
      </c>
      <c r="BQ98" s="127">
        <v>1</v>
      </c>
      <c r="BR98" s="127">
        <v>1</v>
      </c>
      <c r="BS98" s="127">
        <v>1</v>
      </c>
      <c r="BT98" s="127">
        <v>1</v>
      </c>
      <c r="BU98" s="127">
        <v>1</v>
      </c>
      <c r="BV98" s="127">
        <v>1</v>
      </c>
      <c r="BW98" s="127">
        <v>1</v>
      </c>
      <c r="BX98" s="127">
        <v>1</v>
      </c>
      <c r="BY98" s="127">
        <v>1</v>
      </c>
      <c r="BZ98" s="127">
        <v>1</v>
      </c>
      <c r="CA98" s="127">
        <v>1</v>
      </c>
      <c r="CB98" s="127">
        <v>1</v>
      </c>
      <c r="CC98" s="127">
        <v>1</v>
      </c>
      <c r="CD98" s="127">
        <v>1</v>
      </c>
      <c r="CE98" s="127">
        <v>1</v>
      </c>
      <c r="CF98" s="127">
        <v>1</v>
      </c>
      <c r="CG98" s="127">
        <v>1</v>
      </c>
      <c r="CH98" s="127">
        <v>1</v>
      </c>
      <c r="CI98" s="127">
        <v>1</v>
      </c>
      <c r="CJ98" s="127">
        <v>1</v>
      </c>
      <c r="CK98" s="127">
        <v>1</v>
      </c>
      <c r="CL98" s="127">
        <v>1</v>
      </c>
      <c r="CM98" s="127">
        <v>1</v>
      </c>
      <c r="CN98" s="127">
        <v>1</v>
      </c>
      <c r="CO98" s="127">
        <v>1</v>
      </c>
      <c r="CP98" s="127">
        <v>1</v>
      </c>
      <c r="CQ98" s="127">
        <v>1</v>
      </c>
      <c r="CR98" s="127">
        <v>1</v>
      </c>
      <c r="CS98" s="127">
        <v>1</v>
      </c>
      <c r="CT98" s="127">
        <v>1</v>
      </c>
      <c r="CU98" s="127">
        <v>1</v>
      </c>
      <c r="CV98" s="127">
        <v>1</v>
      </c>
      <c r="CW98" s="127">
        <v>1</v>
      </c>
      <c r="CX98" s="127">
        <v>1</v>
      </c>
      <c r="CY98" s="127">
        <v>1</v>
      </c>
      <c r="CZ98" s="127">
        <v>1</v>
      </c>
      <c r="DA98" s="127">
        <v>1</v>
      </c>
      <c r="DB98" s="127">
        <v>1</v>
      </c>
      <c r="DC98" s="127">
        <v>1</v>
      </c>
      <c r="DD98" s="127">
        <v>1</v>
      </c>
      <c r="DE98" s="127">
        <v>1</v>
      </c>
      <c r="DF98" s="127">
        <v>1</v>
      </c>
      <c r="DG98" s="127">
        <v>1</v>
      </c>
      <c r="DH98" s="127">
        <v>1</v>
      </c>
      <c r="DI98" s="127">
        <v>1</v>
      </c>
      <c r="DJ98" s="127">
        <v>1</v>
      </c>
      <c r="DK98" s="127">
        <v>1</v>
      </c>
      <c r="DL98" s="127">
        <v>1</v>
      </c>
      <c r="DM98" s="127">
        <v>1</v>
      </c>
      <c r="DN98" s="127">
        <v>1</v>
      </c>
      <c r="DO98" s="127">
        <v>1</v>
      </c>
      <c r="DP98" s="127">
        <v>1</v>
      </c>
      <c r="DQ98" s="127">
        <v>1</v>
      </c>
      <c r="DR98" s="127">
        <v>1</v>
      </c>
      <c r="DS98" s="127">
        <v>1</v>
      </c>
      <c r="DT98" s="127">
        <v>1</v>
      </c>
      <c r="DU98" s="127">
        <v>1</v>
      </c>
      <c r="DV98" s="127">
        <v>1</v>
      </c>
      <c r="DW98" s="127">
        <v>1</v>
      </c>
      <c r="DX98" s="127">
        <v>1</v>
      </c>
      <c r="DY98" s="127">
        <v>1</v>
      </c>
      <c r="DZ98" s="127">
        <v>1</v>
      </c>
      <c r="EA98" s="127">
        <v>1</v>
      </c>
      <c r="EB98" s="127">
        <v>1</v>
      </c>
      <c r="EC98" s="127">
        <v>1</v>
      </c>
      <c r="ED98" s="127">
        <v>1</v>
      </c>
      <c r="EE98" s="127">
        <v>1</v>
      </c>
      <c r="EF98" s="127">
        <v>1</v>
      </c>
      <c r="EG98" s="127">
        <v>1</v>
      </c>
      <c r="EH98" s="127">
        <v>1</v>
      </c>
      <c r="EI98" s="127">
        <v>1</v>
      </c>
    </row>
    <row r="99" spans="2:139" ht="15" outlineLevel="2" collapsed="1" x14ac:dyDescent="0.3">
      <c r="B99" s="22"/>
      <c r="C99" s="23"/>
      <c r="D99" s="23" t="s">
        <v>102</v>
      </c>
      <c r="E99" s="50"/>
      <c r="F99" s="26">
        <f>+SUM(F100:F103)</f>
        <v>69</v>
      </c>
      <c r="G99" s="28">
        <v>2.9849192336063604E-2</v>
      </c>
      <c r="H99" s="160"/>
      <c r="I99" s="28">
        <f t="shared" ref="I99:BD99" si="593">+SUMPRODUCT($G$100:$G$103,I100:I103)</f>
        <v>0</v>
      </c>
      <c r="J99" s="28">
        <f t="shared" si="593"/>
        <v>0</v>
      </c>
      <c r="K99" s="28">
        <f t="shared" si="593"/>
        <v>0</v>
      </c>
      <c r="L99" s="28">
        <f t="shared" si="593"/>
        <v>0</v>
      </c>
      <c r="M99" s="64">
        <f t="shared" si="593"/>
        <v>0</v>
      </c>
      <c r="N99" s="64">
        <f t="shared" si="593"/>
        <v>0</v>
      </c>
      <c r="O99" s="28">
        <f t="shared" si="593"/>
        <v>0</v>
      </c>
      <c r="P99" s="28">
        <f t="shared" si="593"/>
        <v>0</v>
      </c>
      <c r="Q99" s="28">
        <f t="shared" si="593"/>
        <v>0</v>
      </c>
      <c r="R99" s="28">
        <f t="shared" si="593"/>
        <v>0</v>
      </c>
      <c r="S99" s="28">
        <f t="shared" si="593"/>
        <v>0</v>
      </c>
      <c r="T99" s="28">
        <f t="shared" si="593"/>
        <v>0</v>
      </c>
      <c r="U99" s="28">
        <f t="shared" si="593"/>
        <v>0</v>
      </c>
      <c r="V99" s="28">
        <f t="shared" si="593"/>
        <v>0</v>
      </c>
      <c r="W99" s="28">
        <f t="shared" si="593"/>
        <v>0</v>
      </c>
      <c r="X99" s="28">
        <f t="shared" si="593"/>
        <v>0</v>
      </c>
      <c r="Y99" s="28">
        <f t="shared" si="593"/>
        <v>0</v>
      </c>
      <c r="Z99" s="28">
        <f t="shared" si="593"/>
        <v>4.3478260869565216E-2</v>
      </c>
      <c r="AA99" s="28">
        <f t="shared" si="593"/>
        <v>4.3478260869565216E-2</v>
      </c>
      <c r="AB99" s="28">
        <f t="shared" si="593"/>
        <v>4.3478260869565216E-2</v>
      </c>
      <c r="AC99" s="28">
        <f t="shared" si="593"/>
        <v>0.16901108269394716</v>
      </c>
      <c r="AD99" s="28">
        <f t="shared" si="593"/>
        <v>0.51159420289855073</v>
      </c>
      <c r="AE99" s="28">
        <f t="shared" si="593"/>
        <v>0.61594202898550732</v>
      </c>
      <c r="AF99" s="28">
        <f t="shared" si="593"/>
        <v>0.69710144927536233</v>
      </c>
      <c r="AG99" s="28">
        <f t="shared" si="593"/>
        <v>0.74347826086956526</v>
      </c>
      <c r="AH99" s="28">
        <f t="shared" si="593"/>
        <v>0.74347826086956526</v>
      </c>
      <c r="AI99" s="28">
        <f t="shared" si="593"/>
        <v>0.74347826086956526</v>
      </c>
      <c r="AJ99" s="28">
        <f t="shared" si="593"/>
        <v>0.74347826086956526</v>
      </c>
      <c r="AK99" s="28">
        <f t="shared" si="593"/>
        <v>0.74347826086956526</v>
      </c>
      <c r="AL99" s="28">
        <f t="shared" si="593"/>
        <v>0.76086956521739135</v>
      </c>
      <c r="AM99" s="28">
        <f t="shared" si="593"/>
        <v>0.76086956521739135</v>
      </c>
      <c r="AN99" s="28">
        <f t="shared" si="593"/>
        <v>0.76086956521739135</v>
      </c>
      <c r="AO99" s="28">
        <f t="shared" si="593"/>
        <v>0.76086956521739135</v>
      </c>
      <c r="AP99" s="28">
        <f t="shared" si="593"/>
        <v>0.78248721227621487</v>
      </c>
      <c r="AQ99" s="28">
        <f t="shared" si="593"/>
        <v>0.82596547314578006</v>
      </c>
      <c r="AR99" s="28">
        <f t="shared" si="593"/>
        <v>0.83474637681159425</v>
      </c>
      <c r="AS99" s="28">
        <f t="shared" si="593"/>
        <v>0.84339300937766415</v>
      </c>
      <c r="AT99" s="28">
        <f t="shared" si="593"/>
        <v>0.85217391304347834</v>
      </c>
      <c r="AU99" s="28">
        <f t="shared" si="593"/>
        <v>0.86078431372549025</v>
      </c>
      <c r="AV99" s="28">
        <f t="shared" si="593"/>
        <v>0.86952898550724644</v>
      </c>
      <c r="AW99" s="28">
        <f t="shared" si="593"/>
        <v>0.88035507246376821</v>
      </c>
      <c r="AX99" s="28">
        <f t="shared" si="593"/>
        <v>0.89133333333333342</v>
      </c>
      <c r="AY99" s="28">
        <f t="shared" si="593"/>
        <v>0.90215942028985507</v>
      </c>
      <c r="AZ99" s="28">
        <f t="shared" si="593"/>
        <v>0.91303623188405802</v>
      </c>
      <c r="BA99" s="28">
        <f t="shared" si="593"/>
        <v>0.92391304347826086</v>
      </c>
      <c r="BB99" s="28">
        <f t="shared" si="593"/>
        <v>0.92695652173913046</v>
      </c>
      <c r="BC99" s="28">
        <f t="shared" si="593"/>
        <v>0.9338043478260869</v>
      </c>
      <c r="BD99" s="28">
        <f t="shared" si="593"/>
        <v>0.94369565217391305</v>
      </c>
      <c r="BE99" s="28">
        <f t="shared" ref="BE99:BF99" si="594">+SUMPRODUCT($G$100:$G$103,BE100:BE103)</f>
        <v>0.9558695652173913</v>
      </c>
      <c r="BF99" s="28">
        <f t="shared" si="594"/>
        <v>0.96804347826086956</v>
      </c>
      <c r="BG99" s="161">
        <f t="shared" ref="BG99:BH99" si="595">+SUMPRODUCT($G$100:$G$103,BG100:BG103)</f>
        <v>0.98021739130434793</v>
      </c>
      <c r="BH99" s="161">
        <f t="shared" si="595"/>
        <v>0.99010869565217396</v>
      </c>
      <c r="BI99" s="28">
        <f t="shared" ref="BI99:BJ99" si="596">+SUMPRODUCT($G$100:$G$103,BI100:BI103)</f>
        <v>0.99543478260869578</v>
      </c>
      <c r="BJ99" s="28">
        <f t="shared" si="596"/>
        <v>0.99923913043478263</v>
      </c>
      <c r="BK99" s="28">
        <f t="shared" ref="BK99:BL99" si="597">+SUMPRODUCT($G$100:$G$103,BK100:BK103)</f>
        <v>1</v>
      </c>
      <c r="BL99" s="28">
        <f t="shared" si="597"/>
        <v>1</v>
      </c>
      <c r="BM99" s="28">
        <f t="shared" ref="BM99:BN99" si="598">+SUMPRODUCT($G$100:$G$103,BM100:BM103)</f>
        <v>1</v>
      </c>
      <c r="BN99" s="28">
        <f t="shared" si="598"/>
        <v>1</v>
      </c>
      <c r="BO99" s="28">
        <f t="shared" ref="BO99:BP99" si="599">+SUMPRODUCT($G$100:$G$103,BO100:BO103)</f>
        <v>1</v>
      </c>
      <c r="BP99" s="28">
        <f t="shared" si="599"/>
        <v>1</v>
      </c>
      <c r="BQ99" s="28">
        <f t="shared" ref="BQ99:BR99" si="600">+SUMPRODUCT($G$100:$G$103,BQ100:BQ103)</f>
        <v>1</v>
      </c>
      <c r="BR99" s="28">
        <f t="shared" si="600"/>
        <v>1</v>
      </c>
      <c r="BS99" s="28">
        <f t="shared" ref="BS99:BT99" si="601">+SUMPRODUCT($G$100:$G$103,BS100:BS103)</f>
        <v>1</v>
      </c>
      <c r="BT99" s="28">
        <f t="shared" si="601"/>
        <v>1</v>
      </c>
      <c r="BU99" s="28">
        <f t="shared" ref="BU99:BV99" si="602">+SUMPRODUCT($G$100:$G$103,BU100:BU103)</f>
        <v>1</v>
      </c>
      <c r="BV99" s="28">
        <f t="shared" si="602"/>
        <v>1</v>
      </c>
      <c r="BW99" s="28">
        <f t="shared" ref="BW99:BX99" si="603">+SUMPRODUCT($G$100:$G$103,BW100:BW103)</f>
        <v>1</v>
      </c>
      <c r="BX99" s="28">
        <f t="shared" si="603"/>
        <v>1</v>
      </c>
      <c r="BY99" s="28">
        <f t="shared" ref="BY99:BZ99" si="604">+SUMPRODUCT($G$100:$G$103,BY100:BY103)</f>
        <v>1</v>
      </c>
      <c r="BZ99" s="28">
        <f t="shared" si="604"/>
        <v>1</v>
      </c>
      <c r="CA99" s="28">
        <f t="shared" ref="CA99:CB99" si="605">+SUMPRODUCT($G$100:$G$103,CA100:CA103)</f>
        <v>1</v>
      </c>
      <c r="CB99" s="28">
        <f t="shared" si="605"/>
        <v>1</v>
      </c>
      <c r="CC99" s="28">
        <f t="shared" ref="CC99:CD99" si="606">+SUMPRODUCT($G$100:$G$103,CC100:CC103)</f>
        <v>1</v>
      </c>
      <c r="CD99" s="28">
        <f t="shared" si="606"/>
        <v>1</v>
      </c>
      <c r="CE99" s="28">
        <f t="shared" ref="CE99" si="607">+SUMPRODUCT($G$100:$G$103,CE100:CE103)</f>
        <v>1</v>
      </c>
      <c r="CF99" s="28">
        <f t="shared" ref="CF99" si="608">+SUMPRODUCT($G$100:$G$103,CF100:CF103)</f>
        <v>1</v>
      </c>
      <c r="CG99" s="28">
        <f t="shared" ref="CG99" si="609">+SUMPRODUCT($G$100:$G$103,CG100:CG103)</f>
        <v>1</v>
      </c>
      <c r="CH99" s="28">
        <f t="shared" ref="CH99" si="610">+SUMPRODUCT($G$100:$G$103,CH100:CH103)</f>
        <v>1</v>
      </c>
      <c r="CI99" s="28">
        <f t="shared" ref="CI99" si="611">+SUMPRODUCT($G$100:$G$103,CI100:CI103)</f>
        <v>1</v>
      </c>
      <c r="CJ99" s="28">
        <f t="shared" ref="CJ99:CK99" si="612">+SUMPRODUCT($G$100:$G$103,CJ100:CJ103)</f>
        <v>1</v>
      </c>
      <c r="CK99" s="28">
        <f t="shared" si="612"/>
        <v>1</v>
      </c>
      <c r="CL99" s="28">
        <f t="shared" ref="CL99:CV99" si="613">+SUMPRODUCT($G$100:$G$103,CL100:CL103)</f>
        <v>1</v>
      </c>
      <c r="CM99" s="28">
        <f t="shared" si="613"/>
        <v>1</v>
      </c>
      <c r="CN99" s="28">
        <f t="shared" si="613"/>
        <v>1</v>
      </c>
      <c r="CO99" s="28">
        <f t="shared" si="613"/>
        <v>1</v>
      </c>
      <c r="CP99" s="28">
        <f t="shared" si="613"/>
        <v>1</v>
      </c>
      <c r="CQ99" s="28">
        <f t="shared" si="613"/>
        <v>1</v>
      </c>
      <c r="CR99" s="28">
        <f t="shared" si="613"/>
        <v>1</v>
      </c>
      <c r="CS99" s="28">
        <f t="shared" si="613"/>
        <v>1</v>
      </c>
      <c r="CT99" s="28">
        <f t="shared" si="613"/>
        <v>1</v>
      </c>
      <c r="CU99" s="28">
        <f t="shared" si="613"/>
        <v>1</v>
      </c>
      <c r="CV99" s="28">
        <f t="shared" si="613"/>
        <v>1</v>
      </c>
      <c r="CW99" s="28">
        <f t="shared" ref="CW99" si="614">+SUMPRODUCT($G$100:$G$103,CW100:CW103)</f>
        <v>1</v>
      </c>
      <c r="CX99" s="28">
        <f t="shared" ref="CX99:CY99" si="615">+SUMPRODUCT($G$100:$G$103,CX100:CX103)</f>
        <v>1</v>
      </c>
      <c r="CY99" s="28">
        <f t="shared" si="615"/>
        <v>1</v>
      </c>
      <c r="CZ99" s="28">
        <f t="shared" ref="CZ99:DA99" si="616">+SUMPRODUCT($G$100:$G$103,CZ100:CZ103)</f>
        <v>1</v>
      </c>
      <c r="DA99" s="28">
        <f t="shared" si="616"/>
        <v>1</v>
      </c>
      <c r="DB99" s="28">
        <f t="shared" ref="DB99:DC99" si="617">+SUMPRODUCT($G$100:$G$103,DB100:DB103)</f>
        <v>1</v>
      </c>
      <c r="DC99" s="28">
        <f t="shared" si="617"/>
        <v>1</v>
      </c>
      <c r="DD99" s="28">
        <f t="shared" ref="DD99:DE99" si="618">+SUMPRODUCT($G$100:$G$103,DD100:DD103)</f>
        <v>1</v>
      </c>
      <c r="DE99" s="28">
        <f t="shared" si="618"/>
        <v>1</v>
      </c>
      <c r="DF99" s="28">
        <f t="shared" ref="DF99:EI99" si="619">+SUMPRODUCT($G$100:$G$103,DF100:DF103)</f>
        <v>1</v>
      </c>
      <c r="DG99" s="28">
        <f t="shared" si="619"/>
        <v>1</v>
      </c>
      <c r="DH99" s="28">
        <f t="shared" si="619"/>
        <v>1</v>
      </c>
      <c r="DI99" s="28">
        <f t="shared" si="619"/>
        <v>1</v>
      </c>
      <c r="DJ99" s="28">
        <f t="shared" si="619"/>
        <v>1</v>
      </c>
      <c r="DK99" s="28">
        <f t="shared" si="619"/>
        <v>1</v>
      </c>
      <c r="DL99" s="28">
        <f t="shared" si="619"/>
        <v>1</v>
      </c>
      <c r="DM99" s="28">
        <f t="shared" si="619"/>
        <v>1</v>
      </c>
      <c r="DN99" s="28">
        <f t="shared" si="619"/>
        <v>1</v>
      </c>
      <c r="DO99" s="28">
        <f t="shared" si="619"/>
        <v>1</v>
      </c>
      <c r="DP99" s="28">
        <f t="shared" si="619"/>
        <v>1</v>
      </c>
      <c r="DQ99" s="28">
        <f t="shared" si="619"/>
        <v>1</v>
      </c>
      <c r="DR99" s="28">
        <f t="shared" si="619"/>
        <v>1</v>
      </c>
      <c r="DS99" s="28">
        <f t="shared" si="619"/>
        <v>1</v>
      </c>
      <c r="DT99" s="28">
        <f t="shared" si="619"/>
        <v>1</v>
      </c>
      <c r="DU99" s="28">
        <f t="shared" si="619"/>
        <v>1</v>
      </c>
      <c r="DV99" s="28">
        <f t="shared" si="619"/>
        <v>1</v>
      </c>
      <c r="DW99" s="28">
        <f t="shared" si="619"/>
        <v>1</v>
      </c>
      <c r="DX99" s="28">
        <f t="shared" si="619"/>
        <v>1</v>
      </c>
      <c r="DY99" s="28">
        <f t="shared" si="619"/>
        <v>1</v>
      </c>
      <c r="DZ99" s="28">
        <f t="shared" si="619"/>
        <v>1</v>
      </c>
      <c r="EA99" s="28">
        <f t="shared" si="619"/>
        <v>1</v>
      </c>
      <c r="EB99" s="28">
        <f t="shared" si="619"/>
        <v>1</v>
      </c>
      <c r="EC99" s="28">
        <f t="shared" si="619"/>
        <v>1</v>
      </c>
      <c r="ED99" s="28">
        <f t="shared" si="619"/>
        <v>1</v>
      </c>
      <c r="EE99" s="28">
        <f t="shared" si="619"/>
        <v>1</v>
      </c>
      <c r="EF99" s="28">
        <f t="shared" si="619"/>
        <v>1</v>
      </c>
      <c r="EG99" s="28">
        <f t="shared" si="619"/>
        <v>1</v>
      </c>
      <c r="EH99" s="28">
        <f t="shared" si="619"/>
        <v>1</v>
      </c>
      <c r="EI99" s="28">
        <f t="shared" si="619"/>
        <v>1</v>
      </c>
    </row>
    <row r="100" spans="2:139" ht="28.8" hidden="1" outlineLevel="3" x14ac:dyDescent="0.3">
      <c r="B100" s="29"/>
      <c r="C100" s="30"/>
      <c r="D100" s="30"/>
      <c r="E100" s="52" t="s">
        <v>103</v>
      </c>
      <c r="F100" s="33">
        <v>9</v>
      </c>
      <c r="G100" s="35">
        <v>0.13043478260869565</v>
      </c>
      <c r="H100" s="162"/>
      <c r="I100" s="127">
        <v>0</v>
      </c>
      <c r="J100" s="127">
        <v>0</v>
      </c>
      <c r="K100" s="127">
        <v>0</v>
      </c>
      <c r="L100" s="127">
        <v>0</v>
      </c>
      <c r="M100" s="128">
        <v>0</v>
      </c>
      <c r="N100" s="128">
        <v>0</v>
      </c>
      <c r="O100" s="127">
        <v>0</v>
      </c>
      <c r="P100" s="127">
        <v>0</v>
      </c>
      <c r="Q100" s="127">
        <v>0</v>
      </c>
      <c r="R100" s="127">
        <v>0</v>
      </c>
      <c r="S100" s="127">
        <v>0</v>
      </c>
      <c r="T100" s="127">
        <v>0</v>
      </c>
      <c r="U100" s="127">
        <v>0</v>
      </c>
      <c r="V100" s="127">
        <v>0</v>
      </c>
      <c r="W100" s="127">
        <v>0</v>
      </c>
      <c r="X100" s="127">
        <v>0</v>
      </c>
      <c r="Y100" s="127">
        <v>0</v>
      </c>
      <c r="Z100" s="127">
        <v>0</v>
      </c>
      <c r="AA100" s="127">
        <v>0</v>
      </c>
      <c r="AB100" s="127">
        <v>0</v>
      </c>
      <c r="AC100" s="127">
        <v>2.9411764705882353E-2</v>
      </c>
      <c r="AD100" s="127">
        <v>1</v>
      </c>
      <c r="AE100" s="127">
        <v>1</v>
      </c>
      <c r="AF100" s="127">
        <v>1</v>
      </c>
      <c r="AG100" s="127">
        <v>1</v>
      </c>
      <c r="AH100" s="127">
        <v>1</v>
      </c>
      <c r="AI100" s="127">
        <v>1</v>
      </c>
      <c r="AJ100" s="127">
        <v>1</v>
      </c>
      <c r="AK100" s="127">
        <v>1</v>
      </c>
      <c r="AL100" s="127">
        <v>1</v>
      </c>
      <c r="AM100" s="127">
        <v>1</v>
      </c>
      <c r="AN100" s="127">
        <v>1</v>
      </c>
      <c r="AO100" s="127">
        <v>1</v>
      </c>
      <c r="AP100" s="127">
        <v>1</v>
      </c>
      <c r="AQ100" s="127">
        <v>1</v>
      </c>
      <c r="AR100" s="127">
        <v>1</v>
      </c>
      <c r="AS100" s="127">
        <v>1</v>
      </c>
      <c r="AT100" s="127">
        <v>1</v>
      </c>
      <c r="AU100" s="127">
        <v>1</v>
      </c>
      <c r="AV100" s="127">
        <v>1</v>
      </c>
      <c r="AW100" s="127">
        <v>1</v>
      </c>
      <c r="AX100" s="127">
        <v>1</v>
      </c>
      <c r="AY100" s="127">
        <v>1</v>
      </c>
      <c r="AZ100" s="127">
        <v>1</v>
      </c>
      <c r="BA100" s="127">
        <v>1</v>
      </c>
      <c r="BB100" s="127">
        <v>1</v>
      </c>
      <c r="BC100" s="127">
        <v>1</v>
      </c>
      <c r="BD100" s="127">
        <v>1</v>
      </c>
      <c r="BE100" s="127">
        <v>1</v>
      </c>
      <c r="BF100" s="127">
        <v>1</v>
      </c>
      <c r="BG100" s="163">
        <v>1</v>
      </c>
      <c r="BH100" s="163">
        <v>1</v>
      </c>
      <c r="BI100" s="127">
        <v>1</v>
      </c>
      <c r="BJ100" s="127">
        <v>1</v>
      </c>
      <c r="BK100" s="127">
        <v>1</v>
      </c>
      <c r="BL100" s="127">
        <v>1</v>
      </c>
      <c r="BM100" s="127">
        <v>1</v>
      </c>
      <c r="BN100" s="127">
        <v>1</v>
      </c>
      <c r="BO100" s="127">
        <v>1</v>
      </c>
      <c r="BP100" s="127">
        <v>1</v>
      </c>
      <c r="BQ100" s="127">
        <v>1</v>
      </c>
      <c r="BR100" s="127">
        <v>1</v>
      </c>
      <c r="BS100" s="127">
        <v>1</v>
      </c>
      <c r="BT100" s="127">
        <v>1</v>
      </c>
      <c r="BU100" s="127">
        <v>1</v>
      </c>
      <c r="BV100" s="127">
        <v>1</v>
      </c>
      <c r="BW100" s="127">
        <v>1</v>
      </c>
      <c r="BX100" s="127">
        <v>1</v>
      </c>
      <c r="BY100" s="127">
        <v>1</v>
      </c>
      <c r="BZ100" s="127">
        <v>1</v>
      </c>
      <c r="CA100" s="127">
        <v>1</v>
      </c>
      <c r="CB100" s="127">
        <v>1</v>
      </c>
      <c r="CC100" s="127">
        <v>1</v>
      </c>
      <c r="CD100" s="127">
        <v>1</v>
      </c>
      <c r="CE100" s="127">
        <v>1</v>
      </c>
      <c r="CF100" s="127">
        <v>1</v>
      </c>
      <c r="CG100" s="127">
        <v>1</v>
      </c>
      <c r="CH100" s="127">
        <v>1</v>
      </c>
      <c r="CI100" s="127">
        <v>1</v>
      </c>
      <c r="CJ100" s="127">
        <v>1</v>
      </c>
      <c r="CK100" s="127">
        <v>1</v>
      </c>
      <c r="CL100" s="127">
        <v>1</v>
      </c>
      <c r="CM100" s="127">
        <v>1</v>
      </c>
      <c r="CN100" s="127">
        <v>1</v>
      </c>
      <c r="CO100" s="127">
        <v>1</v>
      </c>
      <c r="CP100" s="127">
        <v>1</v>
      </c>
      <c r="CQ100" s="127">
        <v>1</v>
      </c>
      <c r="CR100" s="127">
        <v>1</v>
      </c>
      <c r="CS100" s="127">
        <v>1</v>
      </c>
      <c r="CT100" s="127">
        <v>1</v>
      </c>
      <c r="CU100" s="127">
        <v>1</v>
      </c>
      <c r="CV100" s="127">
        <v>1</v>
      </c>
      <c r="CW100" s="127">
        <v>1</v>
      </c>
      <c r="CX100" s="127">
        <v>1</v>
      </c>
      <c r="CY100" s="127">
        <v>1</v>
      </c>
      <c r="CZ100" s="127">
        <v>1</v>
      </c>
      <c r="DA100" s="127">
        <v>1</v>
      </c>
      <c r="DB100" s="127">
        <v>1</v>
      </c>
      <c r="DC100" s="127">
        <v>1</v>
      </c>
      <c r="DD100" s="127">
        <v>1</v>
      </c>
      <c r="DE100" s="127">
        <v>1</v>
      </c>
      <c r="DF100" s="127">
        <v>1</v>
      </c>
      <c r="DG100" s="127">
        <v>1</v>
      </c>
      <c r="DH100" s="127">
        <v>1</v>
      </c>
      <c r="DI100" s="127">
        <v>1</v>
      </c>
      <c r="DJ100" s="127">
        <v>1</v>
      </c>
      <c r="DK100" s="127">
        <v>1</v>
      </c>
      <c r="DL100" s="127">
        <v>1</v>
      </c>
      <c r="DM100" s="127">
        <v>1</v>
      </c>
      <c r="DN100" s="127">
        <v>1</v>
      </c>
      <c r="DO100" s="127">
        <v>1</v>
      </c>
      <c r="DP100" s="127">
        <v>1</v>
      </c>
      <c r="DQ100" s="127">
        <v>1</v>
      </c>
      <c r="DR100" s="127">
        <v>1</v>
      </c>
      <c r="DS100" s="127">
        <v>1</v>
      </c>
      <c r="DT100" s="127">
        <v>1</v>
      </c>
      <c r="DU100" s="127">
        <v>1</v>
      </c>
      <c r="DV100" s="127">
        <v>1</v>
      </c>
      <c r="DW100" s="127">
        <v>1</v>
      </c>
      <c r="DX100" s="127">
        <v>1</v>
      </c>
      <c r="DY100" s="127">
        <v>1</v>
      </c>
      <c r="DZ100" s="127">
        <v>1</v>
      </c>
      <c r="EA100" s="127">
        <v>1</v>
      </c>
      <c r="EB100" s="127">
        <v>1</v>
      </c>
      <c r="EC100" s="127">
        <v>1</v>
      </c>
      <c r="ED100" s="127">
        <v>1</v>
      </c>
      <c r="EE100" s="127">
        <v>1</v>
      </c>
      <c r="EF100" s="127">
        <v>1</v>
      </c>
      <c r="EG100" s="127">
        <v>1</v>
      </c>
      <c r="EH100" s="127">
        <v>1</v>
      </c>
      <c r="EI100" s="127">
        <v>1</v>
      </c>
    </row>
    <row r="101" spans="2:139" ht="28.8" hidden="1" outlineLevel="3" x14ac:dyDescent="0.3">
      <c r="B101" s="29"/>
      <c r="C101" s="30"/>
      <c r="D101" s="30"/>
      <c r="E101" s="52" t="s">
        <v>104</v>
      </c>
      <c r="F101" s="33">
        <v>40</v>
      </c>
      <c r="G101" s="35">
        <v>0.57971014492753625</v>
      </c>
      <c r="H101" s="162"/>
      <c r="I101" s="127">
        <v>0</v>
      </c>
      <c r="J101" s="127">
        <v>0</v>
      </c>
      <c r="K101" s="127">
        <v>0</v>
      </c>
      <c r="L101" s="127">
        <v>0</v>
      </c>
      <c r="M101" s="128">
        <v>0</v>
      </c>
      <c r="N101" s="128">
        <v>0</v>
      </c>
      <c r="O101" s="127">
        <v>0</v>
      </c>
      <c r="P101" s="127">
        <v>0</v>
      </c>
      <c r="Q101" s="127">
        <v>0</v>
      </c>
      <c r="R101" s="127">
        <v>0</v>
      </c>
      <c r="S101" s="127">
        <v>0</v>
      </c>
      <c r="T101" s="127">
        <v>0</v>
      </c>
      <c r="U101" s="127">
        <v>0</v>
      </c>
      <c r="V101" s="127">
        <v>0</v>
      </c>
      <c r="W101" s="127">
        <v>0</v>
      </c>
      <c r="X101" s="127">
        <v>0</v>
      </c>
      <c r="Y101" s="127">
        <v>0</v>
      </c>
      <c r="Z101" s="127">
        <v>0</v>
      </c>
      <c r="AA101" s="127">
        <v>0</v>
      </c>
      <c r="AB101" s="127">
        <v>0</v>
      </c>
      <c r="AC101" s="127">
        <v>0.2</v>
      </c>
      <c r="AD101" s="127">
        <v>0.56999999999999995</v>
      </c>
      <c r="AE101" s="127">
        <v>0.75</v>
      </c>
      <c r="AF101" s="127">
        <v>0.89</v>
      </c>
      <c r="AG101" s="127">
        <v>0.97</v>
      </c>
      <c r="AH101" s="127">
        <v>0.97</v>
      </c>
      <c r="AI101" s="127">
        <v>0.97</v>
      </c>
      <c r="AJ101" s="127">
        <v>0.97</v>
      </c>
      <c r="AK101" s="127">
        <v>0.97</v>
      </c>
      <c r="AL101" s="127">
        <v>1</v>
      </c>
      <c r="AM101" s="127">
        <v>1</v>
      </c>
      <c r="AN101" s="127">
        <v>1</v>
      </c>
      <c r="AO101" s="127">
        <v>1</v>
      </c>
      <c r="AP101" s="127">
        <v>1</v>
      </c>
      <c r="AQ101" s="127">
        <v>1</v>
      </c>
      <c r="AR101" s="127">
        <v>1</v>
      </c>
      <c r="AS101" s="127">
        <v>1</v>
      </c>
      <c r="AT101" s="127">
        <v>1</v>
      </c>
      <c r="AU101" s="127">
        <v>1</v>
      </c>
      <c r="AV101" s="127">
        <v>1</v>
      </c>
      <c r="AW101" s="127">
        <v>1</v>
      </c>
      <c r="AX101" s="127">
        <v>1</v>
      </c>
      <c r="AY101" s="127">
        <v>1</v>
      </c>
      <c r="AZ101" s="127">
        <v>1</v>
      </c>
      <c r="BA101" s="127">
        <v>1</v>
      </c>
      <c r="BB101" s="127">
        <v>1</v>
      </c>
      <c r="BC101" s="127">
        <v>1</v>
      </c>
      <c r="BD101" s="127">
        <v>1</v>
      </c>
      <c r="BE101" s="127">
        <v>1</v>
      </c>
      <c r="BF101" s="127">
        <v>1</v>
      </c>
      <c r="BG101" s="163">
        <v>1</v>
      </c>
      <c r="BH101" s="163">
        <v>1</v>
      </c>
      <c r="BI101" s="127">
        <v>1</v>
      </c>
      <c r="BJ101" s="127">
        <v>1</v>
      </c>
      <c r="BK101" s="127">
        <v>1</v>
      </c>
      <c r="BL101" s="127">
        <v>1</v>
      </c>
      <c r="BM101" s="127">
        <v>1</v>
      </c>
      <c r="BN101" s="127">
        <v>1</v>
      </c>
      <c r="BO101" s="127">
        <v>1</v>
      </c>
      <c r="BP101" s="127">
        <v>1</v>
      </c>
      <c r="BQ101" s="127">
        <v>1</v>
      </c>
      <c r="BR101" s="127">
        <v>1</v>
      </c>
      <c r="BS101" s="127">
        <v>1</v>
      </c>
      <c r="BT101" s="127">
        <v>1</v>
      </c>
      <c r="BU101" s="127">
        <v>1</v>
      </c>
      <c r="BV101" s="127">
        <v>1</v>
      </c>
      <c r="BW101" s="127">
        <v>1</v>
      </c>
      <c r="BX101" s="127">
        <v>1</v>
      </c>
      <c r="BY101" s="127">
        <v>1</v>
      </c>
      <c r="BZ101" s="127">
        <v>1</v>
      </c>
      <c r="CA101" s="127">
        <v>1</v>
      </c>
      <c r="CB101" s="127">
        <v>1</v>
      </c>
      <c r="CC101" s="127">
        <v>1</v>
      </c>
      <c r="CD101" s="127">
        <v>1</v>
      </c>
      <c r="CE101" s="127">
        <v>1</v>
      </c>
      <c r="CF101" s="127">
        <v>1</v>
      </c>
      <c r="CG101" s="127">
        <v>1</v>
      </c>
      <c r="CH101" s="127">
        <v>1</v>
      </c>
      <c r="CI101" s="127">
        <v>1</v>
      </c>
      <c r="CJ101" s="127">
        <v>1</v>
      </c>
      <c r="CK101" s="127">
        <v>1</v>
      </c>
      <c r="CL101" s="127">
        <v>1</v>
      </c>
      <c r="CM101" s="127">
        <v>1</v>
      </c>
      <c r="CN101" s="127">
        <v>1</v>
      </c>
      <c r="CO101" s="127">
        <v>1</v>
      </c>
      <c r="CP101" s="127">
        <v>1</v>
      </c>
      <c r="CQ101" s="127">
        <v>1</v>
      </c>
      <c r="CR101" s="127">
        <v>1</v>
      </c>
      <c r="CS101" s="127">
        <v>1</v>
      </c>
      <c r="CT101" s="127">
        <v>1</v>
      </c>
      <c r="CU101" s="127">
        <v>1</v>
      </c>
      <c r="CV101" s="127">
        <v>1</v>
      </c>
      <c r="CW101" s="127">
        <v>1</v>
      </c>
      <c r="CX101" s="127">
        <v>1</v>
      </c>
      <c r="CY101" s="127">
        <v>1</v>
      </c>
      <c r="CZ101" s="127">
        <v>1</v>
      </c>
      <c r="DA101" s="127">
        <v>1</v>
      </c>
      <c r="DB101" s="127">
        <v>1</v>
      </c>
      <c r="DC101" s="127">
        <v>1</v>
      </c>
      <c r="DD101" s="127">
        <v>1</v>
      </c>
      <c r="DE101" s="127">
        <v>1</v>
      </c>
      <c r="DF101" s="127">
        <v>1</v>
      </c>
      <c r="DG101" s="127">
        <v>1</v>
      </c>
      <c r="DH101" s="127">
        <v>1</v>
      </c>
      <c r="DI101" s="127">
        <v>1</v>
      </c>
      <c r="DJ101" s="127">
        <v>1</v>
      </c>
      <c r="DK101" s="127">
        <v>1</v>
      </c>
      <c r="DL101" s="127">
        <v>1</v>
      </c>
      <c r="DM101" s="127">
        <v>1</v>
      </c>
      <c r="DN101" s="127">
        <v>1</v>
      </c>
      <c r="DO101" s="127">
        <v>1</v>
      </c>
      <c r="DP101" s="127">
        <v>1</v>
      </c>
      <c r="DQ101" s="127">
        <v>1</v>
      </c>
      <c r="DR101" s="127">
        <v>1</v>
      </c>
      <c r="DS101" s="127">
        <v>1</v>
      </c>
      <c r="DT101" s="127">
        <v>1</v>
      </c>
      <c r="DU101" s="127">
        <v>1</v>
      </c>
      <c r="DV101" s="127">
        <v>1</v>
      </c>
      <c r="DW101" s="127">
        <v>1</v>
      </c>
      <c r="DX101" s="127">
        <v>1</v>
      </c>
      <c r="DY101" s="127">
        <v>1</v>
      </c>
      <c r="DZ101" s="127">
        <v>1</v>
      </c>
      <c r="EA101" s="127">
        <v>1</v>
      </c>
      <c r="EB101" s="127">
        <v>1</v>
      </c>
      <c r="EC101" s="127">
        <v>1</v>
      </c>
      <c r="ED101" s="127">
        <v>1</v>
      </c>
      <c r="EE101" s="127">
        <v>1</v>
      </c>
      <c r="EF101" s="127">
        <v>1</v>
      </c>
      <c r="EG101" s="127">
        <v>1</v>
      </c>
      <c r="EH101" s="127">
        <v>1</v>
      </c>
      <c r="EI101" s="127">
        <v>1</v>
      </c>
    </row>
    <row r="102" spans="2:139" ht="28.8" hidden="1" outlineLevel="3" x14ac:dyDescent="0.3">
      <c r="B102" s="29"/>
      <c r="C102" s="30"/>
      <c r="D102" s="30"/>
      <c r="E102" s="52" t="s">
        <v>105</v>
      </c>
      <c r="F102" s="33">
        <v>5</v>
      </c>
      <c r="G102" s="35">
        <v>7.2463768115942032E-2</v>
      </c>
      <c r="H102" s="162"/>
      <c r="I102" s="127">
        <v>0</v>
      </c>
      <c r="J102" s="127">
        <v>0</v>
      </c>
      <c r="K102" s="127">
        <v>0</v>
      </c>
      <c r="L102" s="127">
        <v>0</v>
      </c>
      <c r="M102" s="128">
        <v>0</v>
      </c>
      <c r="N102" s="128">
        <v>0</v>
      </c>
      <c r="O102" s="127">
        <v>0</v>
      </c>
      <c r="P102" s="127">
        <v>0</v>
      </c>
      <c r="Q102" s="127">
        <v>0</v>
      </c>
      <c r="R102" s="127">
        <v>0</v>
      </c>
      <c r="S102" s="127">
        <v>0</v>
      </c>
      <c r="T102" s="127">
        <v>0</v>
      </c>
      <c r="U102" s="127">
        <v>0</v>
      </c>
      <c r="V102" s="127">
        <v>0</v>
      </c>
      <c r="W102" s="127">
        <v>0</v>
      </c>
      <c r="X102" s="127">
        <v>0</v>
      </c>
      <c r="Y102" s="127">
        <v>0</v>
      </c>
      <c r="Z102" s="127">
        <v>0.3</v>
      </c>
      <c r="AA102" s="127">
        <v>0.3</v>
      </c>
      <c r="AB102" s="127">
        <v>0.3</v>
      </c>
      <c r="AC102" s="127">
        <v>0.32058823529411762</v>
      </c>
      <c r="AD102" s="127">
        <v>0.3411764705882353</v>
      </c>
      <c r="AE102" s="127">
        <v>0.3411764705882353</v>
      </c>
      <c r="AF102" s="127">
        <v>0.3411764705882353</v>
      </c>
      <c r="AG102" s="127">
        <v>0.3411764705882353</v>
      </c>
      <c r="AH102" s="127">
        <v>0.3411764705882353</v>
      </c>
      <c r="AI102" s="127">
        <v>0.3411764705882353</v>
      </c>
      <c r="AJ102" s="127">
        <v>0.3411764705882353</v>
      </c>
      <c r="AK102" s="127">
        <v>0.3411764705882353</v>
      </c>
      <c r="AL102" s="127">
        <v>0.3411764705882353</v>
      </c>
      <c r="AM102" s="127">
        <v>0.3411764705882353</v>
      </c>
      <c r="AN102" s="127">
        <v>0.3411764705882353</v>
      </c>
      <c r="AO102" s="127">
        <v>0.3411764705882353</v>
      </c>
      <c r="AP102" s="127">
        <v>0.63949999999999996</v>
      </c>
      <c r="AQ102" s="127">
        <v>0.63949999999999996</v>
      </c>
      <c r="AR102" s="127">
        <v>0.63949999999999996</v>
      </c>
      <c r="AS102" s="127">
        <v>0.64</v>
      </c>
      <c r="AT102" s="127">
        <v>0.64</v>
      </c>
      <c r="AU102" s="127">
        <v>0.64</v>
      </c>
      <c r="AV102" s="127">
        <v>0.63949999999999996</v>
      </c>
      <c r="AW102" s="127">
        <v>0.67007647058823538</v>
      </c>
      <c r="AX102" s="127">
        <v>0.70039999999999991</v>
      </c>
      <c r="AY102" s="127">
        <v>0.7298</v>
      </c>
      <c r="AZ102" s="127">
        <v>0.75990000000000002</v>
      </c>
      <c r="BA102" s="127">
        <v>0.78999999999999992</v>
      </c>
      <c r="BB102" s="127">
        <f>Real[[#This Row],[05/05/25]]+(1-Real[[#This Row],[05/05/25]])*'Avance 39'!I56</f>
        <v>0.79839999999999989</v>
      </c>
      <c r="BC102" s="127">
        <f>Real[[#This Row],[05/05/25]]+(1-Real[[#This Row],[05/05/25]])*'Avance 39'!J56</f>
        <v>0.81729999999999992</v>
      </c>
      <c r="BD102" s="127">
        <f>Real[[#This Row],[05/05/25]]+(1-Real[[#This Row],[05/05/25]])*'Avance 39'!K56</f>
        <v>0.84459999999999991</v>
      </c>
      <c r="BE102" s="127">
        <f>Real[[#This Row],[05/05/25]]+(1-Real[[#This Row],[05/05/25]])*'Avance 39'!L56</f>
        <v>0.87819999999999998</v>
      </c>
      <c r="BF102" s="127">
        <f>Real[[#This Row],[05/05/25]]+(1-Real[[#This Row],[05/05/25]])*'Avance 39'!M56</f>
        <v>0.91179999999999994</v>
      </c>
      <c r="BG102" s="163">
        <f>Real[[#This Row],[05/05/25]]+(1-Real[[#This Row],[05/05/25]])*'Avance 39'!N56</f>
        <v>0.94540000000000002</v>
      </c>
      <c r="BH102" s="163">
        <f>Real[[#This Row],[05/05/25]]+(1-Real[[#This Row],[05/05/25]])*'Avance 39'!O56</f>
        <v>0.97270000000000001</v>
      </c>
      <c r="BI102" s="127">
        <f>Real[[#This Row],[05/05/25]]+(1-Real[[#This Row],[05/05/25]])*'Avance 39'!P56</f>
        <v>0.98739999999999994</v>
      </c>
      <c r="BJ102" s="127">
        <f>Real[[#This Row],[05/05/25]]+(1-Real[[#This Row],[05/05/25]])*'Avance 39'!Q56</f>
        <v>0.99790000000000001</v>
      </c>
      <c r="BK102" s="127">
        <f>Real[[#This Row],[05/05/25]]+(1-Real[[#This Row],[05/05/25]])*'Avance 39'!R56</f>
        <v>1</v>
      </c>
      <c r="BL102" s="127">
        <f>Real[[#This Row],[05/05/25]]+(1-Real[[#This Row],[05/05/25]])*'Avance 39'!S56</f>
        <v>1</v>
      </c>
      <c r="BM102" s="127">
        <f>Real[[#This Row],[05/05/25]]+(1-Real[[#This Row],[05/05/25]])*'Avance 39'!T56</f>
        <v>1</v>
      </c>
      <c r="BN102" s="127">
        <f>Real[[#This Row],[05/05/25]]+(1-Real[[#This Row],[05/05/25]])*'Avance 39'!U56</f>
        <v>1</v>
      </c>
      <c r="BO102" s="127">
        <f>Real[[#This Row],[05/05/25]]+(1-Real[[#This Row],[05/05/25]])*'Avance 39'!V56</f>
        <v>1</v>
      </c>
      <c r="BP102" s="127">
        <f>Real[[#This Row],[05/05/25]]+(1-Real[[#This Row],[05/05/25]])*'Avance 39'!W56</f>
        <v>1</v>
      </c>
      <c r="BQ102" s="127">
        <f>Real[[#This Row],[05/05/25]]+(1-Real[[#This Row],[05/05/25]])*'Avance 39'!X56</f>
        <v>1</v>
      </c>
      <c r="BR102" s="127">
        <f>Real[[#This Row],[05/05/25]]+(1-Real[[#This Row],[05/05/25]])*'Avance 39'!Y56</f>
        <v>1</v>
      </c>
      <c r="BS102" s="127">
        <f>Real[[#This Row],[05/05/25]]+(1-Real[[#This Row],[05/05/25]])*'Avance 39'!Z56</f>
        <v>1</v>
      </c>
      <c r="BT102" s="127">
        <f>Real[[#This Row],[05/05/25]]+(1-Real[[#This Row],[05/05/25]])*'Avance 39'!AA56</f>
        <v>1</v>
      </c>
      <c r="BU102" s="127">
        <f>Real[[#This Row],[05/05/25]]+(1-Real[[#This Row],[05/05/25]])*'Avance 39'!AB56</f>
        <v>1</v>
      </c>
      <c r="BV102" s="127">
        <f>Real[[#This Row],[05/05/25]]+(1-Real[[#This Row],[05/05/25]])*'Avance 39'!AC56</f>
        <v>1</v>
      </c>
      <c r="BW102" s="127">
        <f>Real[[#This Row],[05/05/25]]+(1-Real[[#This Row],[05/05/25]])*'Avance 39'!AD56</f>
        <v>1</v>
      </c>
      <c r="BX102" s="127">
        <f>Real[[#This Row],[05/05/25]]+(1-Real[[#This Row],[05/05/25]])*'Avance 39'!AE56</f>
        <v>1</v>
      </c>
      <c r="BY102" s="127">
        <f>Real[[#This Row],[05/05/25]]+(1-Real[[#This Row],[05/05/25]])*'Avance 39'!AF56</f>
        <v>1</v>
      </c>
      <c r="BZ102" s="127">
        <f>Real[[#This Row],[05/05/25]]+(1-Real[[#This Row],[05/05/25]])*'Avance 39'!AG56</f>
        <v>1</v>
      </c>
      <c r="CA102" s="127">
        <f>Real[[#This Row],[05/05/25]]+(1-Real[[#This Row],[05/05/25]])*'Avance 39'!AH56</f>
        <v>1</v>
      </c>
      <c r="CB102" s="127">
        <f>Real[[#This Row],[05/05/25]]+(1-Real[[#This Row],[05/05/25]])*'Avance 39'!AI56</f>
        <v>1</v>
      </c>
      <c r="CC102" s="127">
        <f>Real[[#This Row],[05/05/25]]+(1-Real[[#This Row],[05/05/25]])*'Avance 39'!AJ56</f>
        <v>1</v>
      </c>
      <c r="CD102" s="127">
        <f>Real[[#This Row],[05/05/25]]+(1-Real[[#This Row],[05/05/25]])*'Avance 39'!AK56</f>
        <v>1</v>
      </c>
      <c r="CE102" s="127">
        <f>Real[[#This Row],[05/05/25]]+(1-Real[[#This Row],[05/05/25]])*'Avance 39'!AL56</f>
        <v>1</v>
      </c>
      <c r="CF102" s="127">
        <f>Real[[#This Row],[05/05/25]]+(1-Real[[#This Row],[05/05/25]])*'Avance 39'!AM56</f>
        <v>1</v>
      </c>
      <c r="CG102" s="127">
        <f>Real[[#This Row],[05/05/25]]+(1-Real[[#This Row],[05/05/25]])*'Avance 39'!AN56</f>
        <v>1</v>
      </c>
      <c r="CH102" s="127">
        <f>Real[[#This Row],[05/05/25]]+(1-Real[[#This Row],[05/05/25]])*'Avance 39'!AO56</f>
        <v>1</v>
      </c>
      <c r="CI102" s="127">
        <f>Real[[#This Row],[05/05/25]]+(1-Real[[#This Row],[05/05/25]])*'Avance 39'!AP56</f>
        <v>1</v>
      </c>
      <c r="CJ102" s="127">
        <f>Real[[#This Row],[05/05/25]]+(1-Real[[#This Row],[05/05/25]])*'Avance 39'!AQ56</f>
        <v>1</v>
      </c>
      <c r="CK102" s="127">
        <f>Real[[#This Row],[05/05/25]]+(1-Real[[#This Row],[05/05/25]])*'Avance 39'!AR56</f>
        <v>1</v>
      </c>
      <c r="CL102" s="127">
        <f>Real[[#This Row],[05/05/25]]+(1-Real[[#This Row],[05/05/25]])*'Avance 39'!AS56</f>
        <v>1</v>
      </c>
      <c r="CM102" s="127">
        <f>Real[[#This Row],[05/05/25]]+(1-Real[[#This Row],[05/05/25]])*'Avance 39'!AT56</f>
        <v>1</v>
      </c>
      <c r="CN102" s="127">
        <f>Real[[#This Row],[05/05/25]]+(1-Real[[#This Row],[05/05/25]])*'Avance 39'!AU56</f>
        <v>1</v>
      </c>
      <c r="CO102" s="127">
        <f>Real[[#This Row],[05/05/25]]+(1-Real[[#This Row],[05/05/25]])*'Avance 39'!AV56</f>
        <v>1</v>
      </c>
      <c r="CP102" s="127">
        <f>Real[[#This Row],[05/05/25]]+(1-Real[[#This Row],[05/05/25]])*'Avance 39'!AW56</f>
        <v>1</v>
      </c>
      <c r="CQ102" s="127">
        <f>Real[[#This Row],[05/05/25]]+(1-Real[[#This Row],[05/05/25]])*'Avance 39'!AX56</f>
        <v>1</v>
      </c>
      <c r="CR102" s="127">
        <f>Real[[#This Row],[05/05/25]]+(1-Real[[#This Row],[05/05/25]])*'Avance 39'!AY56</f>
        <v>1</v>
      </c>
      <c r="CS102" s="127">
        <f>Real[[#This Row],[05/05/25]]+(1-Real[[#This Row],[05/05/25]])*'Avance 39'!AZ56</f>
        <v>1</v>
      </c>
      <c r="CT102" s="127">
        <f>Real[[#This Row],[05/05/25]]+(1-Real[[#This Row],[05/05/25]])*'Avance 39'!BA56</f>
        <v>1</v>
      </c>
      <c r="CU102" s="127">
        <f>Real[[#This Row],[05/05/25]]+(1-Real[[#This Row],[05/05/25]])*'Avance 39'!BB56</f>
        <v>1</v>
      </c>
      <c r="CV102" s="127">
        <f>Real[[#This Row],[05/05/25]]+(1-Real[[#This Row],[05/05/25]])*'Avance 39'!BC56</f>
        <v>1</v>
      </c>
      <c r="CW102" s="127">
        <f>Real[[#This Row],[05/05/25]]+(1-Real[[#This Row],[05/05/25]])*'Avance 39'!BD56</f>
        <v>1</v>
      </c>
      <c r="CX102" s="127">
        <f>Real[[#This Row],[05/05/25]]+(1-Real[[#This Row],[05/05/25]])*'Avance 39'!BE56</f>
        <v>1</v>
      </c>
      <c r="CY102" s="127">
        <f>Real[[#This Row],[05/05/25]]+(1-Real[[#This Row],[05/05/25]])*'Avance 39'!BF56</f>
        <v>1</v>
      </c>
      <c r="CZ102" s="127">
        <f>Real[[#This Row],[05/05/25]]+(1-Real[[#This Row],[05/05/25]])*'Avance 39'!BG56</f>
        <v>1</v>
      </c>
      <c r="DA102" s="127">
        <f>Real[[#This Row],[05/05/25]]+(1-Real[[#This Row],[05/05/25]])*'Avance 39'!BH56</f>
        <v>1</v>
      </c>
      <c r="DB102" s="127">
        <f>Real[[#This Row],[05/05/25]]+(1-Real[[#This Row],[05/05/25]])*'Avance 39'!BI56</f>
        <v>1</v>
      </c>
      <c r="DC102" s="127">
        <f>Real[[#This Row],[05/05/25]]+(1-Real[[#This Row],[05/05/25]])*'Avance 39'!BJ56</f>
        <v>1</v>
      </c>
      <c r="DD102" s="127">
        <f>Real[[#This Row],[05/05/25]]+(1-Real[[#This Row],[05/05/25]])*'Avance 39'!BK56</f>
        <v>1</v>
      </c>
      <c r="DE102" s="127">
        <f>Real[[#This Row],[05/05/25]]+(1-Real[[#This Row],[05/05/25]])*'Avance 39'!BL56</f>
        <v>1</v>
      </c>
      <c r="DF102" s="127">
        <f>Real[[#This Row],[05/05/25]]+(1-Real[[#This Row],[05/05/25]])*'Avance 39'!BM56</f>
        <v>1</v>
      </c>
      <c r="DG102" s="127">
        <f>Real[[#This Row],[05/05/25]]+(1-Real[[#This Row],[05/05/25]])*'Avance 39'!BN56</f>
        <v>1</v>
      </c>
      <c r="DH102" s="127">
        <f>Real[[#This Row],[05/05/25]]+(1-Real[[#This Row],[05/05/25]])*'Avance 39'!BO56</f>
        <v>1</v>
      </c>
      <c r="DI102" s="127">
        <f>Real[[#This Row],[05/05/25]]+(1-Real[[#This Row],[05/05/25]])*'Avance 39'!BP56</f>
        <v>1</v>
      </c>
      <c r="DJ102" s="127">
        <f>Real[[#This Row],[05/05/25]]+(1-Real[[#This Row],[05/05/25]])*'Avance 39'!BQ56</f>
        <v>1</v>
      </c>
      <c r="DK102" s="127">
        <f>Real[[#This Row],[05/05/25]]+(1-Real[[#This Row],[05/05/25]])*'Avance 39'!BR56</f>
        <v>1</v>
      </c>
      <c r="DL102" s="127">
        <f>Real[[#This Row],[05/05/25]]+(1-Real[[#This Row],[05/05/25]])*'Avance 39'!BS56</f>
        <v>1</v>
      </c>
      <c r="DM102" s="127">
        <f>Real[[#This Row],[05/05/25]]+(1-Real[[#This Row],[05/05/25]])*'Avance 39'!BT56</f>
        <v>1</v>
      </c>
      <c r="DN102" s="127">
        <f>Real[[#This Row],[05/05/25]]+(1-Real[[#This Row],[05/05/25]])*'Avance 39'!BU56</f>
        <v>1</v>
      </c>
      <c r="DO102" s="127">
        <f>Real[[#This Row],[05/05/25]]+(1-Real[[#This Row],[05/05/25]])*'Avance 39'!BV56</f>
        <v>1</v>
      </c>
      <c r="DP102" s="127">
        <f>Real[[#This Row],[05/05/25]]+(1-Real[[#This Row],[05/05/25]])*'Avance 39'!BW56</f>
        <v>1</v>
      </c>
      <c r="DQ102" s="127">
        <f>Real[[#This Row],[05/05/25]]+(1-Real[[#This Row],[05/05/25]])*'Avance 39'!BX56</f>
        <v>1</v>
      </c>
      <c r="DR102" s="127">
        <f>Real[[#This Row],[05/05/25]]+(1-Real[[#This Row],[05/05/25]])*'Avance 39'!BY56</f>
        <v>1</v>
      </c>
      <c r="DS102" s="127">
        <f>Real[[#This Row],[05/05/25]]+(1-Real[[#This Row],[05/05/25]])*'Avance 39'!BZ56</f>
        <v>1</v>
      </c>
      <c r="DT102" s="127">
        <f>Real[[#This Row],[05/05/25]]+(1-Real[[#This Row],[05/05/25]])*'Avance 39'!CA56</f>
        <v>1</v>
      </c>
      <c r="DU102" s="127">
        <f>Real[[#This Row],[05/05/25]]+(1-Real[[#This Row],[05/05/25]])*'Avance 39'!CB56</f>
        <v>1</v>
      </c>
      <c r="DV102" s="127">
        <f>Real[[#This Row],[05/05/25]]+(1-Real[[#This Row],[05/05/25]])*'Avance 39'!CC56</f>
        <v>1</v>
      </c>
      <c r="DW102" s="127">
        <f>Real[[#This Row],[05/05/25]]+(1-Real[[#This Row],[05/05/25]])*'Avance 39'!CD56</f>
        <v>1</v>
      </c>
      <c r="DX102" s="127">
        <f>Real[[#This Row],[05/05/25]]+(1-Real[[#This Row],[05/05/25]])*'Avance 39'!CE56</f>
        <v>1</v>
      </c>
      <c r="DY102" s="127">
        <f>Real[[#This Row],[05/05/25]]+(1-Real[[#This Row],[05/05/25]])*'Avance 39'!CF56</f>
        <v>1</v>
      </c>
      <c r="DZ102" s="127">
        <f>Real[[#This Row],[05/05/25]]+(1-Real[[#This Row],[05/05/25]])*'Avance 39'!CG56</f>
        <v>1</v>
      </c>
      <c r="EA102" s="127">
        <f>Real[[#This Row],[05/05/25]]+(1-Real[[#This Row],[05/05/25]])*'Avance 39'!CH56</f>
        <v>1</v>
      </c>
      <c r="EB102" s="127">
        <f>Real[[#This Row],[05/05/25]]+(1-Real[[#This Row],[05/05/25]])*'Avance 39'!CI56</f>
        <v>1</v>
      </c>
      <c r="EC102" s="127">
        <f>Real[[#This Row],[05/05/25]]+(1-Real[[#This Row],[05/05/25]])*'Avance 39'!CJ56</f>
        <v>1</v>
      </c>
      <c r="ED102" s="127">
        <f>Real[[#This Row],[05/05/25]]+(1-Real[[#This Row],[05/05/25]])*'Avance 39'!CK56</f>
        <v>1</v>
      </c>
      <c r="EE102" s="127">
        <f>Real[[#This Row],[05/05/25]]+(1-Real[[#This Row],[05/05/25]])*'Avance 39'!CL56</f>
        <v>1</v>
      </c>
      <c r="EF102" s="127">
        <f>Real[[#This Row],[05/05/25]]+(1-Real[[#This Row],[05/05/25]])*'Avance 39'!CM56</f>
        <v>1</v>
      </c>
      <c r="EG102" s="127">
        <f>Real[[#This Row],[05/05/25]]+(1-Real[[#This Row],[05/05/25]])*'Avance 39'!CN56</f>
        <v>1</v>
      </c>
      <c r="EH102" s="127">
        <f>Real[[#This Row],[05/05/25]]+(1-Real[[#This Row],[05/05/25]])*'Avance 39'!CO56</f>
        <v>1</v>
      </c>
      <c r="EI102" s="127">
        <f>Real[[#This Row],[05/05/25]]+(1-Real[[#This Row],[05/05/25]])*'Avance 39'!CP56</f>
        <v>1</v>
      </c>
    </row>
    <row r="103" spans="2:139" ht="28.8" hidden="1" outlineLevel="3" x14ac:dyDescent="0.3">
      <c r="B103" s="29"/>
      <c r="C103" s="30"/>
      <c r="D103" s="30"/>
      <c r="E103" s="52" t="s">
        <v>106</v>
      </c>
      <c r="F103" s="33">
        <v>15</v>
      </c>
      <c r="G103" s="35">
        <v>0.21739130434782608</v>
      </c>
      <c r="H103" s="162"/>
      <c r="I103" s="127">
        <v>0</v>
      </c>
      <c r="J103" s="127">
        <v>0</v>
      </c>
      <c r="K103" s="127">
        <v>0</v>
      </c>
      <c r="L103" s="127">
        <v>0</v>
      </c>
      <c r="M103" s="128">
        <v>0</v>
      </c>
      <c r="N103" s="128">
        <v>0</v>
      </c>
      <c r="O103" s="127">
        <v>0</v>
      </c>
      <c r="P103" s="127">
        <v>0</v>
      </c>
      <c r="Q103" s="127">
        <v>0</v>
      </c>
      <c r="R103" s="127">
        <v>0</v>
      </c>
      <c r="S103" s="127">
        <v>0</v>
      </c>
      <c r="T103" s="127">
        <v>0</v>
      </c>
      <c r="U103" s="127">
        <v>0</v>
      </c>
      <c r="V103" s="127">
        <v>0</v>
      </c>
      <c r="W103" s="127">
        <v>0</v>
      </c>
      <c r="X103" s="127">
        <v>0</v>
      </c>
      <c r="Y103" s="127">
        <v>0</v>
      </c>
      <c r="Z103" s="127">
        <v>9.9999999999999992E-2</v>
      </c>
      <c r="AA103" s="127">
        <v>9.9999999999999992E-2</v>
      </c>
      <c r="AB103" s="127">
        <v>9.9999999999999992E-2</v>
      </c>
      <c r="AC103" s="127">
        <v>0.11960784313725489</v>
      </c>
      <c r="AD103" s="127">
        <v>0.11960784313725489</v>
      </c>
      <c r="AE103" s="127">
        <v>0.11960784313725489</v>
      </c>
      <c r="AF103" s="127">
        <v>0.11960784313725489</v>
      </c>
      <c r="AG103" s="127">
        <v>0.11960784313725489</v>
      </c>
      <c r="AH103" s="127">
        <v>0.11960784313725489</v>
      </c>
      <c r="AI103" s="127">
        <v>0.11960784313725489</v>
      </c>
      <c r="AJ103" s="127">
        <v>0.11960784313725489</v>
      </c>
      <c r="AK103" s="127">
        <v>0.11960784313725489</v>
      </c>
      <c r="AL103" s="127">
        <v>0.11960784313725489</v>
      </c>
      <c r="AM103" s="127">
        <v>0.11960784313725489</v>
      </c>
      <c r="AN103" s="127">
        <v>0.11960784313725489</v>
      </c>
      <c r="AO103" s="127">
        <v>0.11960784313725489</v>
      </c>
      <c r="AP103" s="127">
        <v>0.11960784313725489</v>
      </c>
      <c r="AQ103" s="127">
        <v>0.31960784313725488</v>
      </c>
      <c r="AR103" s="127">
        <v>0.36</v>
      </c>
      <c r="AS103" s="127">
        <v>0.39960784313725484</v>
      </c>
      <c r="AT103" s="127">
        <v>0.44</v>
      </c>
      <c r="AU103" s="127">
        <v>0.4796078431372548</v>
      </c>
      <c r="AV103" s="127">
        <v>0.52</v>
      </c>
      <c r="AW103" s="127">
        <v>0.55960784313725487</v>
      </c>
      <c r="AX103" s="127">
        <v>0.6</v>
      </c>
      <c r="AY103" s="127">
        <v>0.6399999999999999</v>
      </c>
      <c r="AZ103" s="127">
        <v>0.68</v>
      </c>
      <c r="BA103" s="127">
        <v>0.72</v>
      </c>
      <c r="BB103" s="127">
        <f>Real[[#This Row],[05/05/25]]+(1-Real[[#This Row],[05/05/25]])*'Avance 39'!I57</f>
        <v>0.73119999999999996</v>
      </c>
      <c r="BC103" s="127">
        <f>Real[[#This Row],[05/05/25]]+(1-Real[[#This Row],[05/05/25]])*'Avance 39'!J57</f>
        <v>0.75639999999999996</v>
      </c>
      <c r="BD103" s="127">
        <f>Real[[#This Row],[05/05/25]]+(1-Real[[#This Row],[05/05/25]])*'Avance 39'!K57</f>
        <v>0.79279999999999995</v>
      </c>
      <c r="BE103" s="127">
        <f>Real[[#This Row],[05/05/25]]+(1-Real[[#This Row],[05/05/25]])*'Avance 39'!L57</f>
        <v>0.83760000000000001</v>
      </c>
      <c r="BF103" s="127">
        <f>Real[[#This Row],[05/05/25]]+(1-Real[[#This Row],[05/05/25]])*'Avance 39'!M57</f>
        <v>0.88240000000000007</v>
      </c>
      <c r="BG103" s="163">
        <f>Real[[#This Row],[05/05/25]]+(1-Real[[#This Row],[05/05/25]])*'Avance 39'!N57</f>
        <v>0.92720000000000002</v>
      </c>
      <c r="BH103" s="163">
        <f>Real[[#This Row],[05/05/25]]+(1-Real[[#This Row],[05/05/25]])*'Avance 39'!O57</f>
        <v>0.96360000000000001</v>
      </c>
      <c r="BI103" s="127">
        <f>Real[[#This Row],[05/05/25]]+(1-Real[[#This Row],[05/05/25]])*'Avance 39'!P57</f>
        <v>0.98319999999999996</v>
      </c>
      <c r="BJ103" s="127">
        <f>Real[[#This Row],[05/05/25]]+(1-Real[[#This Row],[05/05/25]])*'Avance 39'!Q57</f>
        <v>0.99719999999999998</v>
      </c>
      <c r="BK103" s="127">
        <f>Real[[#This Row],[05/05/25]]+(1-Real[[#This Row],[05/05/25]])*'Avance 39'!R57</f>
        <v>1</v>
      </c>
      <c r="BL103" s="127">
        <f>Real[[#This Row],[05/05/25]]+(1-Real[[#This Row],[05/05/25]])*'Avance 39'!S57</f>
        <v>1</v>
      </c>
      <c r="BM103" s="127">
        <f>Real[[#This Row],[05/05/25]]+(1-Real[[#This Row],[05/05/25]])*'Avance 39'!T57</f>
        <v>1</v>
      </c>
      <c r="BN103" s="127">
        <f>Real[[#This Row],[05/05/25]]+(1-Real[[#This Row],[05/05/25]])*'Avance 39'!U57</f>
        <v>1</v>
      </c>
      <c r="BO103" s="127">
        <f>Real[[#This Row],[05/05/25]]+(1-Real[[#This Row],[05/05/25]])*'Avance 39'!V57</f>
        <v>1</v>
      </c>
      <c r="BP103" s="127">
        <f>Real[[#This Row],[05/05/25]]+(1-Real[[#This Row],[05/05/25]])*'Avance 39'!W57</f>
        <v>1</v>
      </c>
      <c r="BQ103" s="127">
        <f>Real[[#This Row],[05/05/25]]+(1-Real[[#This Row],[05/05/25]])*'Avance 39'!X57</f>
        <v>1</v>
      </c>
      <c r="BR103" s="127">
        <f>Real[[#This Row],[05/05/25]]+(1-Real[[#This Row],[05/05/25]])*'Avance 39'!Y57</f>
        <v>1</v>
      </c>
      <c r="BS103" s="127">
        <f>Real[[#This Row],[05/05/25]]+(1-Real[[#This Row],[05/05/25]])*'Avance 39'!Z57</f>
        <v>1</v>
      </c>
      <c r="BT103" s="127">
        <f>Real[[#This Row],[05/05/25]]+(1-Real[[#This Row],[05/05/25]])*'Avance 39'!AA57</f>
        <v>1</v>
      </c>
      <c r="BU103" s="127">
        <f>Real[[#This Row],[05/05/25]]+(1-Real[[#This Row],[05/05/25]])*'Avance 39'!AB57</f>
        <v>1</v>
      </c>
      <c r="BV103" s="127">
        <f>Real[[#This Row],[05/05/25]]+(1-Real[[#This Row],[05/05/25]])*'Avance 39'!AC57</f>
        <v>1</v>
      </c>
      <c r="BW103" s="127">
        <f>Real[[#This Row],[05/05/25]]+(1-Real[[#This Row],[05/05/25]])*'Avance 39'!AD57</f>
        <v>1</v>
      </c>
      <c r="BX103" s="127">
        <f>Real[[#This Row],[05/05/25]]+(1-Real[[#This Row],[05/05/25]])*'Avance 39'!AE57</f>
        <v>1</v>
      </c>
      <c r="BY103" s="127">
        <f>Real[[#This Row],[05/05/25]]+(1-Real[[#This Row],[05/05/25]])*'Avance 39'!AF57</f>
        <v>1</v>
      </c>
      <c r="BZ103" s="127">
        <f>Real[[#This Row],[05/05/25]]+(1-Real[[#This Row],[05/05/25]])*'Avance 39'!AG57</f>
        <v>1</v>
      </c>
      <c r="CA103" s="127">
        <f>Real[[#This Row],[05/05/25]]+(1-Real[[#This Row],[05/05/25]])*'Avance 39'!AH57</f>
        <v>1</v>
      </c>
      <c r="CB103" s="127">
        <f>Real[[#This Row],[05/05/25]]+(1-Real[[#This Row],[05/05/25]])*'Avance 39'!AI57</f>
        <v>1</v>
      </c>
      <c r="CC103" s="127">
        <f>Real[[#This Row],[05/05/25]]+(1-Real[[#This Row],[05/05/25]])*'Avance 39'!AJ57</f>
        <v>1</v>
      </c>
      <c r="CD103" s="127">
        <f>Real[[#This Row],[05/05/25]]+(1-Real[[#This Row],[05/05/25]])*'Avance 39'!AK57</f>
        <v>1</v>
      </c>
      <c r="CE103" s="127">
        <f>Real[[#This Row],[05/05/25]]+(1-Real[[#This Row],[05/05/25]])*'Avance 39'!AL57</f>
        <v>1</v>
      </c>
      <c r="CF103" s="127">
        <f>Real[[#This Row],[05/05/25]]+(1-Real[[#This Row],[05/05/25]])*'Avance 39'!AM57</f>
        <v>1</v>
      </c>
      <c r="CG103" s="127">
        <f>Real[[#This Row],[05/05/25]]+(1-Real[[#This Row],[05/05/25]])*'Avance 39'!AN57</f>
        <v>1</v>
      </c>
      <c r="CH103" s="127">
        <f>Real[[#This Row],[05/05/25]]+(1-Real[[#This Row],[05/05/25]])*'Avance 39'!AO57</f>
        <v>1</v>
      </c>
      <c r="CI103" s="127">
        <f>Real[[#This Row],[05/05/25]]+(1-Real[[#This Row],[05/05/25]])*'Avance 39'!AP57</f>
        <v>1</v>
      </c>
      <c r="CJ103" s="127">
        <f>Real[[#This Row],[05/05/25]]+(1-Real[[#This Row],[05/05/25]])*'Avance 39'!AQ57</f>
        <v>1</v>
      </c>
      <c r="CK103" s="127">
        <f>Real[[#This Row],[05/05/25]]+(1-Real[[#This Row],[05/05/25]])*'Avance 39'!AR57</f>
        <v>1</v>
      </c>
      <c r="CL103" s="127">
        <f>Real[[#This Row],[05/05/25]]+(1-Real[[#This Row],[05/05/25]])*'Avance 39'!AS57</f>
        <v>1</v>
      </c>
      <c r="CM103" s="127">
        <f>Real[[#This Row],[05/05/25]]+(1-Real[[#This Row],[05/05/25]])*'Avance 39'!AT57</f>
        <v>1</v>
      </c>
      <c r="CN103" s="127">
        <f>Real[[#This Row],[05/05/25]]+(1-Real[[#This Row],[05/05/25]])*'Avance 39'!AU57</f>
        <v>1</v>
      </c>
      <c r="CO103" s="127">
        <f>Real[[#This Row],[05/05/25]]+(1-Real[[#This Row],[05/05/25]])*'Avance 39'!AV57</f>
        <v>1</v>
      </c>
      <c r="CP103" s="127">
        <f>Real[[#This Row],[05/05/25]]+(1-Real[[#This Row],[05/05/25]])*'Avance 39'!AW57</f>
        <v>1</v>
      </c>
      <c r="CQ103" s="127">
        <f>Real[[#This Row],[05/05/25]]+(1-Real[[#This Row],[05/05/25]])*'Avance 39'!AX57</f>
        <v>1</v>
      </c>
      <c r="CR103" s="127">
        <f>Real[[#This Row],[05/05/25]]+(1-Real[[#This Row],[05/05/25]])*'Avance 39'!AY57</f>
        <v>1</v>
      </c>
      <c r="CS103" s="127">
        <f>Real[[#This Row],[05/05/25]]+(1-Real[[#This Row],[05/05/25]])*'Avance 39'!AZ57</f>
        <v>1</v>
      </c>
      <c r="CT103" s="127">
        <f>Real[[#This Row],[05/05/25]]+(1-Real[[#This Row],[05/05/25]])*'Avance 39'!BA57</f>
        <v>1</v>
      </c>
      <c r="CU103" s="127">
        <f>Real[[#This Row],[05/05/25]]+(1-Real[[#This Row],[05/05/25]])*'Avance 39'!BB57</f>
        <v>1</v>
      </c>
      <c r="CV103" s="127">
        <f>Real[[#This Row],[05/05/25]]+(1-Real[[#This Row],[05/05/25]])*'Avance 39'!BC57</f>
        <v>1</v>
      </c>
      <c r="CW103" s="127">
        <f>Real[[#This Row],[05/05/25]]+(1-Real[[#This Row],[05/05/25]])*'Avance 39'!BD57</f>
        <v>1</v>
      </c>
      <c r="CX103" s="127">
        <f>Real[[#This Row],[05/05/25]]+(1-Real[[#This Row],[05/05/25]])*'Avance 39'!BE57</f>
        <v>1</v>
      </c>
      <c r="CY103" s="127">
        <f>Real[[#This Row],[05/05/25]]+(1-Real[[#This Row],[05/05/25]])*'Avance 39'!BF57</f>
        <v>1</v>
      </c>
      <c r="CZ103" s="127">
        <f>Real[[#This Row],[05/05/25]]+(1-Real[[#This Row],[05/05/25]])*'Avance 39'!BG57</f>
        <v>1</v>
      </c>
      <c r="DA103" s="127">
        <f>Real[[#This Row],[05/05/25]]+(1-Real[[#This Row],[05/05/25]])*'Avance 39'!BH57</f>
        <v>1</v>
      </c>
      <c r="DB103" s="127">
        <f>Real[[#This Row],[05/05/25]]+(1-Real[[#This Row],[05/05/25]])*'Avance 39'!BI57</f>
        <v>1</v>
      </c>
      <c r="DC103" s="127">
        <f>Real[[#This Row],[05/05/25]]+(1-Real[[#This Row],[05/05/25]])*'Avance 39'!BJ57</f>
        <v>1</v>
      </c>
      <c r="DD103" s="127">
        <f>Real[[#This Row],[05/05/25]]+(1-Real[[#This Row],[05/05/25]])*'Avance 39'!BK57</f>
        <v>1</v>
      </c>
      <c r="DE103" s="127">
        <f>Real[[#This Row],[05/05/25]]+(1-Real[[#This Row],[05/05/25]])*'Avance 39'!BL57</f>
        <v>1</v>
      </c>
      <c r="DF103" s="127">
        <f>Real[[#This Row],[05/05/25]]+(1-Real[[#This Row],[05/05/25]])*'Avance 39'!BM57</f>
        <v>1</v>
      </c>
      <c r="DG103" s="127">
        <f>Real[[#This Row],[05/05/25]]+(1-Real[[#This Row],[05/05/25]])*'Avance 39'!BN57</f>
        <v>1</v>
      </c>
      <c r="DH103" s="127">
        <f>Real[[#This Row],[05/05/25]]+(1-Real[[#This Row],[05/05/25]])*'Avance 39'!BO57</f>
        <v>1</v>
      </c>
      <c r="DI103" s="127">
        <f>Real[[#This Row],[05/05/25]]+(1-Real[[#This Row],[05/05/25]])*'Avance 39'!BP57</f>
        <v>1</v>
      </c>
      <c r="DJ103" s="127">
        <f>Real[[#This Row],[05/05/25]]+(1-Real[[#This Row],[05/05/25]])*'Avance 39'!BQ57</f>
        <v>1</v>
      </c>
      <c r="DK103" s="127">
        <f>Real[[#This Row],[05/05/25]]+(1-Real[[#This Row],[05/05/25]])*'Avance 39'!BR57</f>
        <v>1</v>
      </c>
      <c r="DL103" s="127">
        <f>Real[[#This Row],[05/05/25]]+(1-Real[[#This Row],[05/05/25]])*'Avance 39'!BS57</f>
        <v>1</v>
      </c>
      <c r="DM103" s="127">
        <f>Real[[#This Row],[05/05/25]]+(1-Real[[#This Row],[05/05/25]])*'Avance 39'!BT57</f>
        <v>1</v>
      </c>
      <c r="DN103" s="127">
        <f>Real[[#This Row],[05/05/25]]+(1-Real[[#This Row],[05/05/25]])*'Avance 39'!BU57</f>
        <v>1</v>
      </c>
      <c r="DO103" s="127">
        <f>Real[[#This Row],[05/05/25]]+(1-Real[[#This Row],[05/05/25]])*'Avance 39'!BV57</f>
        <v>1</v>
      </c>
      <c r="DP103" s="127">
        <f>Real[[#This Row],[05/05/25]]+(1-Real[[#This Row],[05/05/25]])*'Avance 39'!BW57</f>
        <v>1</v>
      </c>
      <c r="DQ103" s="127">
        <f>Real[[#This Row],[05/05/25]]+(1-Real[[#This Row],[05/05/25]])*'Avance 39'!BX57</f>
        <v>1</v>
      </c>
      <c r="DR103" s="127">
        <f>Real[[#This Row],[05/05/25]]+(1-Real[[#This Row],[05/05/25]])*'Avance 39'!BY57</f>
        <v>1</v>
      </c>
      <c r="DS103" s="127">
        <f>Real[[#This Row],[05/05/25]]+(1-Real[[#This Row],[05/05/25]])*'Avance 39'!BZ57</f>
        <v>1</v>
      </c>
      <c r="DT103" s="127">
        <f>Real[[#This Row],[05/05/25]]+(1-Real[[#This Row],[05/05/25]])*'Avance 39'!CA57</f>
        <v>1</v>
      </c>
      <c r="DU103" s="127">
        <f>Real[[#This Row],[05/05/25]]+(1-Real[[#This Row],[05/05/25]])*'Avance 39'!CB57</f>
        <v>1</v>
      </c>
      <c r="DV103" s="127">
        <f>Real[[#This Row],[05/05/25]]+(1-Real[[#This Row],[05/05/25]])*'Avance 39'!CC57</f>
        <v>1</v>
      </c>
      <c r="DW103" s="127">
        <f>Real[[#This Row],[05/05/25]]+(1-Real[[#This Row],[05/05/25]])*'Avance 39'!CD57</f>
        <v>1</v>
      </c>
      <c r="DX103" s="127">
        <f>Real[[#This Row],[05/05/25]]+(1-Real[[#This Row],[05/05/25]])*'Avance 39'!CE57</f>
        <v>1</v>
      </c>
      <c r="DY103" s="127">
        <f>Real[[#This Row],[05/05/25]]+(1-Real[[#This Row],[05/05/25]])*'Avance 39'!CF57</f>
        <v>1</v>
      </c>
      <c r="DZ103" s="127">
        <f>Real[[#This Row],[05/05/25]]+(1-Real[[#This Row],[05/05/25]])*'Avance 39'!CG57</f>
        <v>1</v>
      </c>
      <c r="EA103" s="127">
        <f>Real[[#This Row],[05/05/25]]+(1-Real[[#This Row],[05/05/25]])*'Avance 39'!CH57</f>
        <v>1</v>
      </c>
      <c r="EB103" s="127">
        <f>Real[[#This Row],[05/05/25]]+(1-Real[[#This Row],[05/05/25]])*'Avance 39'!CI57</f>
        <v>1</v>
      </c>
      <c r="EC103" s="127">
        <f>Real[[#This Row],[05/05/25]]+(1-Real[[#This Row],[05/05/25]])*'Avance 39'!CJ57</f>
        <v>1</v>
      </c>
      <c r="ED103" s="127">
        <f>Real[[#This Row],[05/05/25]]+(1-Real[[#This Row],[05/05/25]])*'Avance 39'!CK57</f>
        <v>1</v>
      </c>
      <c r="EE103" s="127">
        <f>Real[[#This Row],[05/05/25]]+(1-Real[[#This Row],[05/05/25]])*'Avance 39'!CL57</f>
        <v>1</v>
      </c>
      <c r="EF103" s="127">
        <f>Real[[#This Row],[05/05/25]]+(1-Real[[#This Row],[05/05/25]])*'Avance 39'!CM57</f>
        <v>1</v>
      </c>
      <c r="EG103" s="127">
        <f>Real[[#This Row],[05/05/25]]+(1-Real[[#This Row],[05/05/25]])*'Avance 39'!CN57</f>
        <v>1</v>
      </c>
      <c r="EH103" s="127">
        <f>Real[[#This Row],[05/05/25]]+(1-Real[[#This Row],[05/05/25]])*'Avance 39'!CO57</f>
        <v>1</v>
      </c>
      <c r="EI103" s="127">
        <f>Real[[#This Row],[05/05/25]]+(1-Real[[#This Row],[05/05/25]])*'Avance 39'!CP57</f>
        <v>1</v>
      </c>
    </row>
    <row r="104" spans="2:139" ht="15" outlineLevel="2" collapsed="1" x14ac:dyDescent="0.3">
      <c r="B104" s="22"/>
      <c r="C104" s="23"/>
      <c r="D104" s="23" t="s">
        <v>107</v>
      </c>
      <c r="E104" s="50"/>
      <c r="F104" s="26">
        <f>+F105</f>
        <v>30</v>
      </c>
      <c r="G104" s="28">
        <v>4.3115500040980761E-2</v>
      </c>
      <c r="H104" s="160"/>
      <c r="I104" s="28">
        <f t="shared" ref="I104:CM104" si="620">+I105*$G$105</f>
        <v>0</v>
      </c>
      <c r="J104" s="28">
        <f t="shared" si="620"/>
        <v>0</v>
      </c>
      <c r="K104" s="28">
        <f t="shared" si="620"/>
        <v>0</v>
      </c>
      <c r="L104" s="28">
        <f t="shared" si="620"/>
        <v>0</v>
      </c>
      <c r="M104" s="64">
        <f t="shared" si="620"/>
        <v>0</v>
      </c>
      <c r="N104" s="64">
        <f t="shared" si="620"/>
        <v>0</v>
      </c>
      <c r="O104" s="28">
        <f t="shared" si="620"/>
        <v>0</v>
      </c>
      <c r="P104" s="28">
        <f t="shared" si="620"/>
        <v>0</v>
      </c>
      <c r="Q104" s="28">
        <f t="shared" si="620"/>
        <v>0</v>
      </c>
      <c r="R104" s="28">
        <f t="shared" si="620"/>
        <v>0</v>
      </c>
      <c r="S104" s="28">
        <f t="shared" si="620"/>
        <v>0</v>
      </c>
      <c r="T104" s="28">
        <f t="shared" si="620"/>
        <v>0</v>
      </c>
      <c r="U104" s="28">
        <f t="shared" si="620"/>
        <v>0</v>
      </c>
      <c r="V104" s="28">
        <f t="shared" si="620"/>
        <v>0</v>
      </c>
      <c r="W104" s="28">
        <f t="shared" si="620"/>
        <v>0</v>
      </c>
      <c r="X104" s="28">
        <f t="shared" si="620"/>
        <v>0</v>
      </c>
      <c r="Y104" s="28">
        <f t="shared" si="620"/>
        <v>0</v>
      </c>
      <c r="Z104" s="28">
        <f t="shared" si="620"/>
        <v>0</v>
      </c>
      <c r="AA104" s="28">
        <f t="shared" si="620"/>
        <v>0</v>
      </c>
      <c r="AB104" s="28">
        <f t="shared" si="620"/>
        <v>0</v>
      </c>
      <c r="AC104" s="28">
        <f t="shared" si="620"/>
        <v>0</v>
      </c>
      <c r="AD104" s="28">
        <f t="shared" si="620"/>
        <v>0</v>
      </c>
      <c r="AE104" s="28">
        <f t="shared" si="620"/>
        <v>0</v>
      </c>
      <c r="AF104" s="28">
        <f t="shared" si="620"/>
        <v>0</v>
      </c>
      <c r="AG104" s="28">
        <f t="shared" si="620"/>
        <v>0</v>
      </c>
      <c r="AH104" s="28">
        <f t="shared" si="620"/>
        <v>0</v>
      </c>
      <c r="AI104" s="28">
        <f t="shared" si="620"/>
        <v>0</v>
      </c>
      <c r="AJ104" s="28">
        <f t="shared" si="620"/>
        <v>0</v>
      </c>
      <c r="AK104" s="28">
        <f t="shared" si="620"/>
        <v>0</v>
      </c>
      <c r="AL104" s="28">
        <f t="shared" si="620"/>
        <v>0</v>
      </c>
      <c r="AM104" s="28">
        <f t="shared" si="620"/>
        <v>0</v>
      </c>
      <c r="AN104" s="28">
        <f t="shared" si="620"/>
        <v>0</v>
      </c>
      <c r="AO104" s="28">
        <f t="shared" si="620"/>
        <v>0</v>
      </c>
      <c r="AP104" s="28">
        <f t="shared" si="620"/>
        <v>0</v>
      </c>
      <c r="AQ104" s="28">
        <f t="shared" si="620"/>
        <v>0</v>
      </c>
      <c r="AR104" s="28">
        <f t="shared" si="620"/>
        <v>0</v>
      </c>
      <c r="AS104" s="28">
        <f t="shared" si="620"/>
        <v>0</v>
      </c>
      <c r="AT104" s="28">
        <f t="shared" si="620"/>
        <v>0</v>
      </c>
      <c r="AU104" s="28">
        <f t="shared" si="620"/>
        <v>0</v>
      </c>
      <c r="AV104" s="28">
        <f t="shared" si="620"/>
        <v>0</v>
      </c>
      <c r="AW104" s="28">
        <f t="shared" si="620"/>
        <v>0</v>
      </c>
      <c r="AX104" s="28">
        <f t="shared" si="620"/>
        <v>0</v>
      </c>
      <c r="AY104" s="28">
        <f t="shared" si="620"/>
        <v>0</v>
      </c>
      <c r="AZ104" s="28">
        <f t="shared" si="620"/>
        <v>0</v>
      </c>
      <c r="BA104" s="28">
        <f t="shared" si="620"/>
        <v>0</v>
      </c>
      <c r="BB104" s="28">
        <f t="shared" si="620"/>
        <v>0</v>
      </c>
      <c r="BC104" s="28">
        <f t="shared" si="620"/>
        <v>0</v>
      </c>
      <c r="BD104" s="28">
        <f t="shared" si="620"/>
        <v>0</v>
      </c>
      <c r="BE104" s="28">
        <f t="shared" si="620"/>
        <v>0</v>
      </c>
      <c r="BF104" s="28">
        <f t="shared" si="620"/>
        <v>0</v>
      </c>
      <c r="BG104" s="161">
        <f t="shared" si="620"/>
        <v>0</v>
      </c>
      <c r="BH104" s="161">
        <f t="shared" si="620"/>
        <v>0</v>
      </c>
      <c r="BI104" s="28">
        <f t="shared" si="620"/>
        <v>0</v>
      </c>
      <c r="BJ104" s="28">
        <f t="shared" si="620"/>
        <v>0</v>
      </c>
      <c r="BK104" s="28">
        <f t="shared" si="620"/>
        <v>0</v>
      </c>
      <c r="BL104" s="28">
        <f t="shared" si="620"/>
        <v>0</v>
      </c>
      <c r="BM104" s="28">
        <f t="shared" si="620"/>
        <v>0</v>
      </c>
      <c r="BN104" s="28">
        <f t="shared" si="620"/>
        <v>0</v>
      </c>
      <c r="BO104" s="28">
        <f t="shared" si="620"/>
        <v>0</v>
      </c>
      <c r="BP104" s="28">
        <f t="shared" si="620"/>
        <v>0</v>
      </c>
      <c r="BQ104" s="28">
        <f t="shared" si="620"/>
        <v>0</v>
      </c>
      <c r="BR104" s="28">
        <f t="shared" si="620"/>
        <v>0</v>
      </c>
      <c r="BS104" s="28">
        <f t="shared" si="620"/>
        <v>0</v>
      </c>
      <c r="BT104" s="28">
        <f t="shared" si="620"/>
        <v>0</v>
      </c>
      <c r="BU104" s="28">
        <f t="shared" si="620"/>
        <v>0</v>
      </c>
      <c r="BV104" s="28">
        <f t="shared" si="620"/>
        <v>0</v>
      </c>
      <c r="BW104" s="28">
        <f t="shared" si="620"/>
        <v>0</v>
      </c>
      <c r="BX104" s="28">
        <f t="shared" si="620"/>
        <v>0</v>
      </c>
      <c r="BY104" s="28">
        <f t="shared" si="620"/>
        <v>0</v>
      </c>
      <c r="BZ104" s="28">
        <f t="shared" si="620"/>
        <v>0</v>
      </c>
      <c r="CA104" s="28">
        <f t="shared" si="620"/>
        <v>0</v>
      </c>
      <c r="CB104" s="28">
        <f t="shared" si="620"/>
        <v>0</v>
      </c>
      <c r="CC104" s="28">
        <f t="shared" si="620"/>
        <v>0</v>
      </c>
      <c r="CD104" s="28">
        <f t="shared" si="620"/>
        <v>0</v>
      </c>
      <c r="CE104" s="28">
        <f t="shared" si="620"/>
        <v>0</v>
      </c>
      <c r="CF104" s="28">
        <f t="shared" si="620"/>
        <v>0</v>
      </c>
      <c r="CG104" s="28">
        <f t="shared" si="620"/>
        <v>0</v>
      </c>
      <c r="CH104" s="28">
        <f t="shared" si="620"/>
        <v>0</v>
      </c>
      <c r="CI104" s="28">
        <f t="shared" si="620"/>
        <v>0</v>
      </c>
      <c r="CJ104" s="28">
        <f t="shared" si="620"/>
        <v>0</v>
      </c>
      <c r="CK104" s="28">
        <f t="shared" si="620"/>
        <v>0</v>
      </c>
      <c r="CL104" s="28">
        <f t="shared" si="620"/>
        <v>0</v>
      </c>
      <c r="CM104" s="28">
        <f t="shared" si="620"/>
        <v>0</v>
      </c>
      <c r="CN104" s="28">
        <f t="shared" ref="CN104:EI104" si="621">+CN105*$G$105</f>
        <v>0</v>
      </c>
      <c r="CO104" s="28">
        <f t="shared" si="621"/>
        <v>0</v>
      </c>
      <c r="CP104" s="28">
        <f t="shared" si="621"/>
        <v>0</v>
      </c>
      <c r="CQ104" s="28">
        <f t="shared" si="621"/>
        <v>0</v>
      </c>
      <c r="CR104" s="28">
        <f t="shared" si="621"/>
        <v>0</v>
      </c>
      <c r="CS104" s="28">
        <f t="shared" si="621"/>
        <v>0</v>
      </c>
      <c r="CT104" s="28">
        <f t="shared" si="621"/>
        <v>0</v>
      </c>
      <c r="CU104" s="28">
        <f t="shared" si="621"/>
        <v>0</v>
      </c>
      <c r="CV104" s="28">
        <f t="shared" si="621"/>
        <v>0</v>
      </c>
      <c r="CW104" s="28">
        <f t="shared" si="621"/>
        <v>0</v>
      </c>
      <c r="CX104" s="28">
        <f t="shared" si="621"/>
        <v>0</v>
      </c>
      <c r="CY104" s="28">
        <f t="shared" si="621"/>
        <v>0</v>
      </c>
      <c r="CZ104" s="28">
        <f t="shared" si="621"/>
        <v>0</v>
      </c>
      <c r="DA104" s="28">
        <f t="shared" si="621"/>
        <v>0</v>
      </c>
      <c r="DB104" s="28">
        <f t="shared" si="621"/>
        <v>0</v>
      </c>
      <c r="DC104" s="28">
        <f t="shared" si="621"/>
        <v>0</v>
      </c>
      <c r="DD104" s="28">
        <f t="shared" si="621"/>
        <v>0</v>
      </c>
      <c r="DE104" s="28">
        <f t="shared" si="621"/>
        <v>0</v>
      </c>
      <c r="DF104" s="28">
        <f t="shared" si="621"/>
        <v>0</v>
      </c>
      <c r="DG104" s="28">
        <f t="shared" si="621"/>
        <v>0</v>
      </c>
      <c r="DH104" s="28">
        <f t="shared" si="621"/>
        <v>0</v>
      </c>
      <c r="DI104" s="28">
        <f t="shared" si="621"/>
        <v>0</v>
      </c>
      <c r="DJ104" s="28">
        <f t="shared" si="621"/>
        <v>0</v>
      </c>
      <c r="DK104" s="28">
        <f t="shared" si="621"/>
        <v>0</v>
      </c>
      <c r="DL104" s="28">
        <f t="shared" si="621"/>
        <v>0</v>
      </c>
      <c r="DM104" s="28">
        <f t="shared" si="621"/>
        <v>0</v>
      </c>
      <c r="DN104" s="28">
        <f t="shared" si="621"/>
        <v>0</v>
      </c>
      <c r="DO104" s="28">
        <f t="shared" si="621"/>
        <v>0</v>
      </c>
      <c r="DP104" s="28">
        <f t="shared" si="621"/>
        <v>0</v>
      </c>
      <c r="DQ104" s="28">
        <f t="shared" si="621"/>
        <v>0</v>
      </c>
      <c r="DR104" s="28">
        <f t="shared" si="621"/>
        <v>0</v>
      </c>
      <c r="DS104" s="28">
        <f t="shared" si="621"/>
        <v>0</v>
      </c>
      <c r="DT104" s="28">
        <f t="shared" si="621"/>
        <v>0</v>
      </c>
      <c r="DU104" s="28">
        <f t="shared" si="621"/>
        <v>0</v>
      </c>
      <c r="DV104" s="28">
        <f t="shared" si="621"/>
        <v>0</v>
      </c>
      <c r="DW104" s="28">
        <f t="shared" si="621"/>
        <v>0</v>
      </c>
      <c r="DX104" s="28">
        <f t="shared" si="621"/>
        <v>0</v>
      </c>
      <c r="DY104" s="28">
        <f t="shared" si="621"/>
        <v>0</v>
      </c>
      <c r="DZ104" s="28">
        <f t="shared" si="621"/>
        <v>0</v>
      </c>
      <c r="EA104" s="28">
        <f t="shared" si="621"/>
        <v>0</v>
      </c>
      <c r="EB104" s="28">
        <f t="shared" si="621"/>
        <v>0</v>
      </c>
      <c r="EC104" s="28">
        <f t="shared" si="621"/>
        <v>0</v>
      </c>
      <c r="ED104" s="28">
        <f t="shared" si="621"/>
        <v>0</v>
      </c>
      <c r="EE104" s="28">
        <f t="shared" si="621"/>
        <v>0</v>
      </c>
      <c r="EF104" s="28">
        <f t="shared" si="621"/>
        <v>0</v>
      </c>
      <c r="EG104" s="28">
        <f t="shared" si="621"/>
        <v>0</v>
      </c>
      <c r="EH104" s="28">
        <f t="shared" si="621"/>
        <v>0</v>
      </c>
      <c r="EI104" s="28">
        <f t="shared" si="621"/>
        <v>0</v>
      </c>
    </row>
    <row r="105" spans="2:139" hidden="1" outlineLevel="3" x14ac:dyDescent="0.3">
      <c r="B105" s="280"/>
      <c r="C105" s="281"/>
      <c r="D105" s="281"/>
      <c r="E105" s="282" t="s">
        <v>108</v>
      </c>
      <c r="F105" s="283">
        <v>30</v>
      </c>
      <c r="G105" s="284">
        <v>1</v>
      </c>
      <c r="H105" s="162"/>
      <c r="I105" s="127">
        <v>0</v>
      </c>
      <c r="J105" s="127">
        <v>0</v>
      </c>
      <c r="K105" s="127">
        <v>0</v>
      </c>
      <c r="L105" s="127">
        <v>0</v>
      </c>
      <c r="M105" s="128">
        <v>0</v>
      </c>
      <c r="N105" s="128">
        <v>0</v>
      </c>
      <c r="O105" s="127">
        <v>0</v>
      </c>
      <c r="P105" s="127">
        <v>0</v>
      </c>
      <c r="Q105" s="127">
        <v>0</v>
      </c>
      <c r="R105" s="127">
        <v>0</v>
      </c>
      <c r="S105" s="127">
        <v>0</v>
      </c>
      <c r="T105" s="127">
        <v>0</v>
      </c>
      <c r="U105" s="127">
        <v>0</v>
      </c>
      <c r="V105" s="127">
        <v>0</v>
      </c>
      <c r="W105" s="127">
        <v>0</v>
      </c>
      <c r="X105" s="127">
        <v>0</v>
      </c>
      <c r="Y105" s="127">
        <v>0</v>
      </c>
      <c r="Z105" s="127">
        <v>0</v>
      </c>
      <c r="AA105" s="127">
        <v>0</v>
      </c>
      <c r="AB105" s="127">
        <v>0</v>
      </c>
      <c r="AC105" s="127">
        <v>0</v>
      </c>
      <c r="AD105" s="127">
        <v>0</v>
      </c>
      <c r="AE105" s="127">
        <v>0</v>
      </c>
      <c r="AF105" s="127">
        <v>0</v>
      </c>
      <c r="AG105" s="127">
        <v>0</v>
      </c>
      <c r="AH105" s="127">
        <v>0</v>
      </c>
      <c r="AI105" s="127">
        <v>0</v>
      </c>
      <c r="AJ105" s="127">
        <v>0</v>
      </c>
      <c r="AK105" s="127">
        <v>0</v>
      </c>
      <c r="AL105" s="127">
        <v>0</v>
      </c>
      <c r="AM105" s="127">
        <v>0</v>
      </c>
      <c r="AN105" s="127">
        <v>0</v>
      </c>
      <c r="AO105" s="127">
        <v>0</v>
      </c>
      <c r="AP105" s="127">
        <v>0</v>
      </c>
      <c r="AQ105" s="127">
        <v>0</v>
      </c>
      <c r="AR105" s="127">
        <v>0</v>
      </c>
      <c r="AS105" s="127">
        <v>0</v>
      </c>
      <c r="AT105" s="127">
        <v>0</v>
      </c>
      <c r="AU105" s="127">
        <v>0</v>
      </c>
      <c r="AV105" s="127">
        <v>0</v>
      </c>
      <c r="AW105" s="127">
        <v>0</v>
      </c>
      <c r="AX105" s="127">
        <v>0</v>
      </c>
      <c r="AY105" s="127">
        <v>0</v>
      </c>
      <c r="AZ105" s="127">
        <v>0</v>
      </c>
      <c r="BA105" s="127">
        <v>0</v>
      </c>
      <c r="BB105" s="127">
        <f>Real[[#This Row],[05/05/25]]+(1-Real[[#This Row],[05/05/25]])*'Avance 39'!I59</f>
        <v>0</v>
      </c>
      <c r="BC105" s="127">
        <f>Real[[#This Row],[05/05/25]]+(1-Real[[#This Row],[05/05/25]])*'Avance 39'!J59</f>
        <v>0</v>
      </c>
      <c r="BD105" s="127">
        <f>Real[[#This Row],[05/05/25]]+(1-Real[[#This Row],[05/05/25]])*'Avance 39'!K59</f>
        <v>0</v>
      </c>
      <c r="BE105" s="127">
        <f>Real[[#This Row],[05/05/25]]+(1-Real[[#This Row],[05/05/25]])*'Avance 39'!L59</f>
        <v>0</v>
      </c>
      <c r="BF105" s="127">
        <f>Real[[#This Row],[05/05/25]]+(1-Real[[#This Row],[05/05/25]])*'Avance 39'!M59</f>
        <v>0</v>
      </c>
      <c r="BG105" s="163">
        <f>Real[[#This Row],[05/05/25]]+(1-Real[[#This Row],[05/05/25]])*'Avance 39'!N59</f>
        <v>0</v>
      </c>
      <c r="BH105" s="163">
        <f>Real[[#This Row],[05/05/25]]+(1-Real[[#This Row],[05/05/25]])*'Avance 39'!O59</f>
        <v>0</v>
      </c>
      <c r="BI105" s="127">
        <f>Real[[#This Row],[05/05/25]]+(1-Real[[#This Row],[05/05/25]])*'Avance 39'!P59</f>
        <v>0</v>
      </c>
      <c r="BJ105" s="127">
        <f>Real[[#This Row],[05/05/25]]+(1-Real[[#This Row],[05/05/25]])*'Avance 39'!Q59</f>
        <v>0</v>
      </c>
      <c r="BK105" s="127">
        <f>Real[[#This Row],[05/05/25]]+(1-Real[[#This Row],[05/05/25]])*'Avance 39'!R59</f>
        <v>0</v>
      </c>
      <c r="BL105" s="127">
        <f>Real[[#This Row],[05/05/25]]+(1-Real[[#This Row],[05/05/25]])*'Avance 39'!S59</f>
        <v>0</v>
      </c>
      <c r="BM105" s="127">
        <f>Real[[#This Row],[05/05/25]]+(1-Real[[#This Row],[05/05/25]])*'Avance 39'!T59</f>
        <v>0</v>
      </c>
      <c r="BN105" s="127">
        <f>Real[[#This Row],[05/05/25]]+(1-Real[[#This Row],[05/05/25]])*'Avance 39'!U59</f>
        <v>0</v>
      </c>
      <c r="BO105" s="127">
        <f>Real[[#This Row],[05/05/25]]+(1-Real[[#This Row],[05/05/25]])*'Avance 39'!V59</f>
        <v>0</v>
      </c>
      <c r="BP105" s="127">
        <f>Real[[#This Row],[05/05/25]]+(1-Real[[#This Row],[05/05/25]])*'Avance 39'!W59</f>
        <v>0</v>
      </c>
      <c r="BQ105" s="127">
        <f>Real[[#This Row],[05/05/25]]+(1-Real[[#This Row],[05/05/25]])*'Avance 39'!X59</f>
        <v>0</v>
      </c>
      <c r="BR105" s="127">
        <f>Real[[#This Row],[05/05/25]]+(1-Real[[#This Row],[05/05/25]])*'Avance 39'!Y59</f>
        <v>0</v>
      </c>
      <c r="BS105" s="127">
        <f>Real[[#This Row],[05/05/25]]+(1-Real[[#This Row],[05/05/25]])*'Avance 39'!Z59</f>
        <v>0</v>
      </c>
      <c r="BT105" s="127">
        <f>Real[[#This Row],[05/05/25]]+(1-Real[[#This Row],[05/05/25]])*'Avance 39'!AA59</f>
        <v>0</v>
      </c>
      <c r="BU105" s="127">
        <f>Real[[#This Row],[05/05/25]]+(1-Real[[#This Row],[05/05/25]])*'Avance 39'!AB59</f>
        <v>0</v>
      </c>
      <c r="BV105" s="127">
        <f>Real[[#This Row],[05/05/25]]+(1-Real[[#This Row],[05/05/25]])*'Avance 39'!AC59</f>
        <v>0</v>
      </c>
      <c r="BW105" s="127">
        <f>Real[[#This Row],[05/05/25]]+(1-Real[[#This Row],[05/05/25]])*'Avance 39'!AD59</f>
        <v>0</v>
      </c>
      <c r="BX105" s="127">
        <f>Real[[#This Row],[05/05/25]]+(1-Real[[#This Row],[05/05/25]])*'Avance 39'!AE59</f>
        <v>0</v>
      </c>
      <c r="BY105" s="127">
        <f>Real[[#This Row],[05/05/25]]+(1-Real[[#This Row],[05/05/25]])*'Avance 39'!AF59</f>
        <v>0</v>
      </c>
      <c r="BZ105" s="127">
        <f>Real[[#This Row],[05/05/25]]+(1-Real[[#This Row],[05/05/25]])*'Avance 39'!AG59</f>
        <v>0</v>
      </c>
      <c r="CA105" s="127">
        <f>Real[[#This Row],[05/05/25]]+(1-Real[[#This Row],[05/05/25]])*'Avance 39'!AH59</f>
        <v>0</v>
      </c>
      <c r="CB105" s="127">
        <f>Real[[#This Row],[05/05/25]]+(1-Real[[#This Row],[05/05/25]])*'Avance 39'!AI59</f>
        <v>0</v>
      </c>
      <c r="CC105" s="127">
        <f>Real[[#This Row],[05/05/25]]+(1-Real[[#This Row],[05/05/25]])*'Avance 39'!AJ59</f>
        <v>0</v>
      </c>
      <c r="CD105" s="127">
        <f>Real[[#This Row],[05/05/25]]+(1-Real[[#This Row],[05/05/25]])*'Avance 39'!AK59</f>
        <v>0</v>
      </c>
      <c r="CE105" s="127">
        <f>Real[[#This Row],[05/05/25]]+(1-Real[[#This Row],[05/05/25]])*'Avance 39'!AL59</f>
        <v>0</v>
      </c>
      <c r="CF105" s="127">
        <f>Real[[#This Row],[05/05/25]]+(1-Real[[#This Row],[05/05/25]])*'Avance 39'!AM59</f>
        <v>0</v>
      </c>
      <c r="CG105" s="127">
        <f>Real[[#This Row],[05/05/25]]+(1-Real[[#This Row],[05/05/25]])*'Avance 39'!AN59</f>
        <v>0</v>
      </c>
      <c r="CH105" s="127">
        <f>Real[[#This Row],[05/05/25]]+(1-Real[[#This Row],[05/05/25]])*'Avance 39'!AO59</f>
        <v>0</v>
      </c>
      <c r="CI105" s="127">
        <f>Real[[#This Row],[05/05/25]]+(1-Real[[#This Row],[05/05/25]])*'Avance 39'!AP59</f>
        <v>0</v>
      </c>
      <c r="CJ105" s="127">
        <f>Real[[#This Row],[05/05/25]]+(1-Real[[#This Row],[05/05/25]])*'Avance 39'!AQ59</f>
        <v>0</v>
      </c>
      <c r="CK105" s="127">
        <f>Real[[#This Row],[05/05/25]]+(1-Real[[#This Row],[05/05/25]])*'Avance 39'!AR59</f>
        <v>0</v>
      </c>
      <c r="CL105" s="127">
        <f>Real[[#This Row],[05/05/25]]+(1-Real[[#This Row],[05/05/25]])*'Avance 39'!AS59</f>
        <v>0</v>
      </c>
      <c r="CM105" s="127">
        <f>Real[[#This Row],[05/05/25]]+(1-Real[[#This Row],[05/05/25]])*'Avance 39'!AT59</f>
        <v>0</v>
      </c>
      <c r="CN105" s="127">
        <f>Real[[#This Row],[05/05/25]]+(1-Real[[#This Row],[05/05/25]])*'Avance 39'!AU59</f>
        <v>0</v>
      </c>
      <c r="CO105" s="127">
        <f>Real[[#This Row],[05/05/25]]+(1-Real[[#This Row],[05/05/25]])*'Avance 39'!AV59</f>
        <v>0</v>
      </c>
      <c r="CP105" s="127">
        <f>Real[[#This Row],[05/05/25]]+(1-Real[[#This Row],[05/05/25]])*'Avance 39'!AW59</f>
        <v>0</v>
      </c>
      <c r="CQ105" s="127">
        <f>Real[[#This Row],[05/05/25]]+(1-Real[[#This Row],[05/05/25]])*'Avance 39'!AX59</f>
        <v>0</v>
      </c>
      <c r="CR105" s="127">
        <f>Real[[#This Row],[05/05/25]]+(1-Real[[#This Row],[05/05/25]])*'Avance 39'!AY59</f>
        <v>0</v>
      </c>
      <c r="CS105" s="127">
        <f>Real[[#This Row],[05/05/25]]+(1-Real[[#This Row],[05/05/25]])*'Avance 39'!AZ59</f>
        <v>0</v>
      </c>
      <c r="CT105" s="127">
        <f>Real[[#This Row],[05/05/25]]+(1-Real[[#This Row],[05/05/25]])*'Avance 39'!BA59</f>
        <v>0</v>
      </c>
      <c r="CU105" s="127">
        <f>Real[[#This Row],[05/05/25]]+(1-Real[[#This Row],[05/05/25]])*'Avance 39'!BB59</f>
        <v>0</v>
      </c>
      <c r="CV105" s="127">
        <f>Real[[#This Row],[05/05/25]]+(1-Real[[#This Row],[05/05/25]])*'Avance 39'!BC59</f>
        <v>0</v>
      </c>
      <c r="CW105" s="127">
        <f>Real[[#This Row],[05/05/25]]+(1-Real[[#This Row],[05/05/25]])*'Avance 39'!BD59</f>
        <v>0</v>
      </c>
      <c r="CX105" s="127">
        <f>Real[[#This Row],[05/05/25]]+(1-Real[[#This Row],[05/05/25]])*'Avance 39'!BE59</f>
        <v>0</v>
      </c>
      <c r="CY105" s="127">
        <f>Real[[#This Row],[05/05/25]]+(1-Real[[#This Row],[05/05/25]])*'Avance 39'!BF59</f>
        <v>0</v>
      </c>
      <c r="CZ105" s="127">
        <f>Real[[#This Row],[05/05/25]]+(1-Real[[#This Row],[05/05/25]])*'Avance 39'!BG59</f>
        <v>0</v>
      </c>
      <c r="DA105" s="127">
        <f>Real[[#This Row],[05/05/25]]+(1-Real[[#This Row],[05/05/25]])*'Avance 39'!BH59</f>
        <v>0</v>
      </c>
      <c r="DB105" s="127">
        <f>Real[[#This Row],[05/05/25]]+(1-Real[[#This Row],[05/05/25]])*'Avance 39'!BI59</f>
        <v>0</v>
      </c>
      <c r="DC105" s="127">
        <f>Real[[#This Row],[05/05/25]]+(1-Real[[#This Row],[05/05/25]])*'Avance 39'!BJ59</f>
        <v>0</v>
      </c>
      <c r="DD105" s="127">
        <f>Real[[#This Row],[05/05/25]]+(1-Real[[#This Row],[05/05/25]])*'Avance 39'!BK59</f>
        <v>0</v>
      </c>
      <c r="DE105" s="127">
        <f>Real[[#This Row],[05/05/25]]+(1-Real[[#This Row],[05/05/25]])*'Avance 39'!BL59</f>
        <v>0</v>
      </c>
      <c r="DF105" s="127">
        <f>Real[[#This Row],[05/05/25]]+(1-Real[[#This Row],[05/05/25]])*'Avance 39'!BM59</f>
        <v>0</v>
      </c>
      <c r="DG105" s="127">
        <f>Real[[#This Row],[05/05/25]]+(1-Real[[#This Row],[05/05/25]])*'Avance 39'!BN59</f>
        <v>0</v>
      </c>
      <c r="DH105" s="127">
        <f>Real[[#This Row],[05/05/25]]+(1-Real[[#This Row],[05/05/25]])*'Avance 39'!BO59</f>
        <v>0</v>
      </c>
      <c r="DI105" s="127">
        <f>Real[[#This Row],[05/05/25]]+(1-Real[[#This Row],[05/05/25]])*'Avance 39'!BP59</f>
        <v>0</v>
      </c>
      <c r="DJ105" s="127">
        <f>Real[[#This Row],[05/05/25]]+(1-Real[[#This Row],[05/05/25]])*'Avance 39'!BQ59</f>
        <v>0</v>
      </c>
      <c r="DK105" s="127">
        <f>Real[[#This Row],[05/05/25]]+(1-Real[[#This Row],[05/05/25]])*'Avance 39'!BR59</f>
        <v>0</v>
      </c>
      <c r="DL105" s="127">
        <f>Real[[#This Row],[05/05/25]]+(1-Real[[#This Row],[05/05/25]])*'Avance 39'!BS59</f>
        <v>0</v>
      </c>
      <c r="DM105" s="127">
        <f>Real[[#This Row],[05/05/25]]+(1-Real[[#This Row],[05/05/25]])*'Avance 39'!BT59</f>
        <v>0</v>
      </c>
      <c r="DN105" s="127">
        <f>Real[[#This Row],[05/05/25]]+(1-Real[[#This Row],[05/05/25]])*'Avance 39'!BU59</f>
        <v>0</v>
      </c>
      <c r="DO105" s="127">
        <f>Real[[#This Row],[05/05/25]]+(1-Real[[#This Row],[05/05/25]])*'Avance 39'!BV59</f>
        <v>0</v>
      </c>
      <c r="DP105" s="127">
        <f>Real[[#This Row],[05/05/25]]+(1-Real[[#This Row],[05/05/25]])*'Avance 39'!BW59</f>
        <v>0</v>
      </c>
      <c r="DQ105" s="127">
        <f>Real[[#This Row],[05/05/25]]+(1-Real[[#This Row],[05/05/25]])*'Avance 39'!BX59</f>
        <v>0</v>
      </c>
      <c r="DR105" s="127">
        <f>Real[[#This Row],[05/05/25]]+(1-Real[[#This Row],[05/05/25]])*'Avance 39'!BY59</f>
        <v>0</v>
      </c>
      <c r="DS105" s="127">
        <f>Real[[#This Row],[05/05/25]]+(1-Real[[#This Row],[05/05/25]])*'Avance 39'!BZ59</f>
        <v>0</v>
      </c>
      <c r="DT105" s="127">
        <f>Real[[#This Row],[05/05/25]]+(1-Real[[#This Row],[05/05/25]])*'Avance 39'!CA59</f>
        <v>0</v>
      </c>
      <c r="DU105" s="127">
        <f>Real[[#This Row],[05/05/25]]+(1-Real[[#This Row],[05/05/25]])*'Avance 39'!CB59</f>
        <v>0</v>
      </c>
      <c r="DV105" s="127">
        <f>Real[[#This Row],[05/05/25]]+(1-Real[[#This Row],[05/05/25]])*'Avance 39'!CC59</f>
        <v>0</v>
      </c>
      <c r="DW105" s="127">
        <f>Real[[#This Row],[05/05/25]]+(1-Real[[#This Row],[05/05/25]])*'Avance 39'!CD59</f>
        <v>0</v>
      </c>
      <c r="DX105" s="127">
        <f>Real[[#This Row],[05/05/25]]+(1-Real[[#This Row],[05/05/25]])*'Avance 39'!CE59</f>
        <v>0</v>
      </c>
      <c r="DY105" s="127">
        <f>Real[[#This Row],[05/05/25]]+(1-Real[[#This Row],[05/05/25]])*'Avance 39'!CF59</f>
        <v>0</v>
      </c>
      <c r="DZ105" s="127">
        <f>Real[[#This Row],[05/05/25]]+(1-Real[[#This Row],[05/05/25]])*'Avance 39'!CG59</f>
        <v>0</v>
      </c>
      <c r="EA105" s="127">
        <f>Real[[#This Row],[05/05/25]]+(1-Real[[#This Row],[05/05/25]])*'Avance 39'!CH59</f>
        <v>0</v>
      </c>
      <c r="EB105" s="127">
        <f>Real[[#This Row],[05/05/25]]+(1-Real[[#This Row],[05/05/25]])*'Avance 39'!CI59</f>
        <v>0</v>
      </c>
      <c r="EC105" s="127">
        <f>Real[[#This Row],[05/05/25]]+(1-Real[[#This Row],[05/05/25]])*'Avance 39'!CJ59</f>
        <v>0</v>
      </c>
      <c r="ED105" s="127">
        <f>Real[[#This Row],[05/05/25]]+(1-Real[[#This Row],[05/05/25]])*'Avance 39'!CK59</f>
        <v>0</v>
      </c>
      <c r="EE105" s="127">
        <f>Real[[#This Row],[05/05/25]]+(1-Real[[#This Row],[05/05/25]])*'Avance 39'!CL59</f>
        <v>0</v>
      </c>
      <c r="EF105" s="127">
        <f>Real[[#This Row],[05/05/25]]+(1-Real[[#This Row],[05/05/25]])*'Avance 39'!CM59</f>
        <v>0</v>
      </c>
      <c r="EG105" s="127">
        <f>Real[[#This Row],[05/05/25]]+(1-Real[[#This Row],[05/05/25]])*'Avance 39'!CN59</f>
        <v>0</v>
      </c>
      <c r="EH105" s="127">
        <f>Real[[#This Row],[05/05/25]]+(1-Real[[#This Row],[05/05/25]])*'Avance 39'!CO59</f>
        <v>0</v>
      </c>
      <c r="EI105" s="127">
        <f>Real[[#This Row],[05/05/25]]+(1-Real[[#This Row],[05/05/25]])*'Avance 39'!CP59</f>
        <v>0</v>
      </c>
    </row>
    <row r="106" spans="2:139" ht="15" outlineLevel="2" collapsed="1" x14ac:dyDescent="0.3">
      <c r="B106" s="22"/>
      <c r="C106" s="23"/>
      <c r="D106" s="23" t="s">
        <v>109</v>
      </c>
      <c r="E106" s="50"/>
      <c r="F106" s="26">
        <f>+SUM(F107:F108)</f>
        <v>27</v>
      </c>
      <c r="G106" s="28">
        <v>3.6482346188522183E-2</v>
      </c>
      <c r="H106" s="160"/>
      <c r="I106" s="28">
        <f t="shared" ref="I106:BD106" si="622">+SUMPRODUCT($G$107:$G$108,I107:I108)</f>
        <v>0</v>
      </c>
      <c r="J106" s="28">
        <f t="shared" si="622"/>
        <v>0</v>
      </c>
      <c r="K106" s="28">
        <f t="shared" si="622"/>
        <v>0</v>
      </c>
      <c r="L106" s="28">
        <f t="shared" si="622"/>
        <v>0</v>
      </c>
      <c r="M106" s="64">
        <f t="shared" si="622"/>
        <v>0</v>
      </c>
      <c r="N106" s="64">
        <f t="shared" si="622"/>
        <v>0</v>
      </c>
      <c r="O106" s="28">
        <f t="shared" si="622"/>
        <v>0</v>
      </c>
      <c r="P106" s="28">
        <f t="shared" si="622"/>
        <v>0</v>
      </c>
      <c r="Q106" s="28">
        <f t="shared" si="622"/>
        <v>0</v>
      </c>
      <c r="R106" s="28">
        <f t="shared" si="622"/>
        <v>0</v>
      </c>
      <c r="S106" s="28">
        <f t="shared" si="622"/>
        <v>0</v>
      </c>
      <c r="T106" s="28">
        <f t="shared" si="622"/>
        <v>0</v>
      </c>
      <c r="U106" s="28">
        <f t="shared" si="622"/>
        <v>0</v>
      </c>
      <c r="V106" s="28">
        <f t="shared" si="622"/>
        <v>0</v>
      </c>
      <c r="W106" s="28">
        <f t="shared" si="622"/>
        <v>0</v>
      </c>
      <c r="X106" s="28">
        <f t="shared" si="622"/>
        <v>0</v>
      </c>
      <c r="Y106" s="28">
        <f t="shared" si="622"/>
        <v>0</v>
      </c>
      <c r="Z106" s="28">
        <f t="shared" si="622"/>
        <v>0</v>
      </c>
      <c r="AA106" s="28">
        <f t="shared" si="622"/>
        <v>0</v>
      </c>
      <c r="AB106" s="28">
        <f t="shared" si="622"/>
        <v>0</v>
      </c>
      <c r="AC106" s="28">
        <f t="shared" si="622"/>
        <v>0</v>
      </c>
      <c r="AD106" s="28">
        <f t="shared" si="622"/>
        <v>0</v>
      </c>
      <c r="AE106" s="28">
        <f t="shared" si="622"/>
        <v>0</v>
      </c>
      <c r="AF106" s="28">
        <f t="shared" si="622"/>
        <v>0</v>
      </c>
      <c r="AG106" s="28">
        <f t="shared" si="622"/>
        <v>0</v>
      </c>
      <c r="AH106" s="28">
        <f t="shared" si="622"/>
        <v>0</v>
      </c>
      <c r="AI106" s="28">
        <f t="shared" si="622"/>
        <v>0</v>
      </c>
      <c r="AJ106" s="28">
        <f t="shared" si="622"/>
        <v>0</v>
      </c>
      <c r="AK106" s="28">
        <f t="shared" si="622"/>
        <v>0</v>
      </c>
      <c r="AL106" s="28">
        <f t="shared" si="622"/>
        <v>0</v>
      </c>
      <c r="AM106" s="28">
        <f t="shared" si="622"/>
        <v>0</v>
      </c>
      <c r="AN106" s="28">
        <f t="shared" si="622"/>
        <v>0</v>
      </c>
      <c r="AO106" s="28">
        <f t="shared" si="622"/>
        <v>0</v>
      </c>
      <c r="AP106" s="28">
        <f t="shared" si="622"/>
        <v>0</v>
      </c>
      <c r="AQ106" s="28">
        <f t="shared" si="622"/>
        <v>0</v>
      </c>
      <c r="AR106" s="28">
        <f t="shared" si="622"/>
        <v>0</v>
      </c>
      <c r="AS106" s="28">
        <f t="shared" si="622"/>
        <v>0</v>
      </c>
      <c r="AT106" s="28">
        <f t="shared" si="622"/>
        <v>0</v>
      </c>
      <c r="AU106" s="28">
        <f t="shared" si="622"/>
        <v>0</v>
      </c>
      <c r="AV106" s="28">
        <f t="shared" si="622"/>
        <v>0</v>
      </c>
      <c r="AW106" s="28">
        <f t="shared" si="622"/>
        <v>0</v>
      </c>
      <c r="AX106" s="28">
        <f t="shared" si="622"/>
        <v>0</v>
      </c>
      <c r="AY106" s="28">
        <f t="shared" si="622"/>
        <v>0</v>
      </c>
      <c r="AZ106" s="28">
        <f t="shared" si="622"/>
        <v>0</v>
      </c>
      <c r="BA106" s="28">
        <f t="shared" si="622"/>
        <v>0</v>
      </c>
      <c r="BB106" s="28">
        <f t="shared" si="622"/>
        <v>0</v>
      </c>
      <c r="BC106" s="28">
        <f t="shared" si="622"/>
        <v>0</v>
      </c>
      <c r="BD106" s="28">
        <f t="shared" si="622"/>
        <v>0</v>
      </c>
      <c r="BE106" s="28">
        <f t="shared" ref="BE106:BF106" si="623">+SUMPRODUCT($G$107:$G$108,BE107:BE108)</f>
        <v>0</v>
      </c>
      <c r="BF106" s="28">
        <f t="shared" si="623"/>
        <v>0</v>
      </c>
      <c r="BG106" s="161">
        <f t="shared" ref="BG106:BH106" si="624">+SUMPRODUCT($G$107:$G$108,BG107:BG108)</f>
        <v>0</v>
      </c>
      <c r="BH106" s="161">
        <f t="shared" si="624"/>
        <v>0</v>
      </c>
      <c r="BI106" s="28">
        <f t="shared" ref="BI106:BJ106" si="625">+SUMPRODUCT($G$107:$G$108,BI107:BI108)</f>
        <v>0</v>
      </c>
      <c r="BJ106" s="28">
        <f t="shared" si="625"/>
        <v>0</v>
      </c>
      <c r="BK106" s="28">
        <f t="shared" ref="BK106:BL106" si="626">+SUMPRODUCT($G$107:$G$108,BK107:BK108)</f>
        <v>0</v>
      </c>
      <c r="BL106" s="28">
        <f t="shared" si="626"/>
        <v>0</v>
      </c>
      <c r="BM106" s="28">
        <f t="shared" ref="BM106:BN106" si="627">+SUMPRODUCT($G$107:$G$108,BM107:BM108)</f>
        <v>0</v>
      </c>
      <c r="BN106" s="28">
        <f t="shared" si="627"/>
        <v>0</v>
      </c>
      <c r="BO106" s="28">
        <f t="shared" ref="BO106:BP106" si="628">+SUMPRODUCT($G$107:$G$108,BO107:BO108)</f>
        <v>0</v>
      </c>
      <c r="BP106" s="28">
        <f t="shared" si="628"/>
        <v>0</v>
      </c>
      <c r="BQ106" s="28">
        <f t="shared" ref="BQ106:BR106" si="629">+SUMPRODUCT($G$107:$G$108,BQ107:BQ108)</f>
        <v>0</v>
      </c>
      <c r="BR106" s="28">
        <f t="shared" si="629"/>
        <v>0</v>
      </c>
      <c r="BS106" s="28">
        <f t="shared" ref="BS106:BT106" si="630">+SUMPRODUCT($G$107:$G$108,BS107:BS108)</f>
        <v>0</v>
      </c>
      <c r="BT106" s="28">
        <f t="shared" si="630"/>
        <v>0</v>
      </c>
      <c r="BU106" s="28">
        <f t="shared" ref="BU106:BV106" si="631">+SUMPRODUCT($G$107:$G$108,BU107:BU108)</f>
        <v>0</v>
      </c>
      <c r="BV106" s="28">
        <f t="shared" si="631"/>
        <v>0</v>
      </c>
      <c r="BW106" s="28">
        <f t="shared" ref="BW106:BX106" si="632">+SUMPRODUCT($G$107:$G$108,BW107:BW108)</f>
        <v>0</v>
      </c>
      <c r="BX106" s="28">
        <f t="shared" si="632"/>
        <v>0</v>
      </c>
      <c r="BY106" s="28">
        <f t="shared" ref="BY106:BZ106" si="633">+SUMPRODUCT($G$107:$G$108,BY107:BY108)</f>
        <v>0</v>
      </c>
      <c r="BZ106" s="28">
        <f t="shared" si="633"/>
        <v>0</v>
      </c>
      <c r="CA106" s="28">
        <f t="shared" ref="CA106:CB106" si="634">+SUMPRODUCT($G$107:$G$108,CA107:CA108)</f>
        <v>0</v>
      </c>
      <c r="CB106" s="28">
        <f t="shared" si="634"/>
        <v>0</v>
      </c>
      <c r="CC106" s="28">
        <f t="shared" ref="CC106:CD106" si="635">+SUMPRODUCT($G$107:$G$108,CC107:CC108)</f>
        <v>0</v>
      </c>
      <c r="CD106" s="28">
        <f t="shared" si="635"/>
        <v>0</v>
      </c>
      <c r="CE106" s="28">
        <f t="shared" ref="CE106" si="636">+SUMPRODUCT($G$107:$G$108,CE107:CE108)</f>
        <v>0.47499999999999998</v>
      </c>
      <c r="CF106" s="28">
        <f t="shared" ref="CF106" si="637">+SUMPRODUCT($G$107:$G$108,CF107:CF108)</f>
        <v>0.47499999999999998</v>
      </c>
      <c r="CG106" s="28">
        <f t="shared" ref="CG106" si="638">+SUMPRODUCT($G$107:$G$108,CG107:CG108)</f>
        <v>0.47499999999999998</v>
      </c>
      <c r="CH106" s="28">
        <f t="shared" ref="CH106" si="639">+SUMPRODUCT($G$107:$G$108,CH107:CH108)</f>
        <v>0.47499999999999998</v>
      </c>
      <c r="CI106" s="28">
        <f t="shared" ref="CI106" si="640">+SUMPRODUCT($G$107:$G$108,CI107:CI108)</f>
        <v>0.47499999999999998</v>
      </c>
      <c r="CJ106" s="28">
        <f t="shared" ref="CJ106:CK106" si="641">+SUMPRODUCT($G$107:$G$108,CJ107:CJ108)</f>
        <v>0.47499999999999998</v>
      </c>
      <c r="CK106" s="28">
        <f t="shared" si="641"/>
        <v>0.47499999999999998</v>
      </c>
      <c r="CL106" s="28">
        <f t="shared" ref="CL106:CV106" si="642">+SUMPRODUCT($G$107:$G$108,CL107:CL108)</f>
        <v>0.47499999999999998</v>
      </c>
      <c r="CM106" s="28">
        <f t="shared" si="642"/>
        <v>0.47499999999999998</v>
      </c>
      <c r="CN106" s="28">
        <f t="shared" si="642"/>
        <v>0.47499999999999998</v>
      </c>
      <c r="CO106" s="28">
        <f t="shared" si="642"/>
        <v>0.47499999999999998</v>
      </c>
      <c r="CP106" s="28">
        <f t="shared" si="642"/>
        <v>0.47499999999999998</v>
      </c>
      <c r="CQ106" s="28">
        <f t="shared" si="642"/>
        <v>0.47499999999999998</v>
      </c>
      <c r="CR106" s="28">
        <f t="shared" si="642"/>
        <v>0.47499999999999998</v>
      </c>
      <c r="CS106" s="28">
        <f t="shared" si="642"/>
        <v>0.47499999999999998</v>
      </c>
      <c r="CT106" s="28">
        <f t="shared" si="642"/>
        <v>0.47499999999999998</v>
      </c>
      <c r="CU106" s="28">
        <f t="shared" si="642"/>
        <v>0.47499999999999998</v>
      </c>
      <c r="CV106" s="28">
        <f t="shared" si="642"/>
        <v>0.47499999999999998</v>
      </c>
      <c r="CW106" s="28">
        <f t="shared" ref="CW106" si="643">+SUMPRODUCT($G$107:$G$108,CW107:CW108)</f>
        <v>0.47499999999999998</v>
      </c>
      <c r="CX106" s="28">
        <f t="shared" ref="CX106:CY106" si="644">+SUMPRODUCT($G$107:$G$108,CX107:CX108)</f>
        <v>0.47499999999999998</v>
      </c>
      <c r="CY106" s="28">
        <f t="shared" si="644"/>
        <v>0.47499999999999998</v>
      </c>
      <c r="CZ106" s="28">
        <f t="shared" ref="CZ106:DA106" si="645">+SUMPRODUCT($G$107:$G$108,CZ107:CZ108)</f>
        <v>0.47499999999999998</v>
      </c>
      <c r="DA106" s="28">
        <f t="shared" si="645"/>
        <v>0.47499999999999998</v>
      </c>
      <c r="DB106" s="28">
        <f t="shared" ref="DB106:DC106" si="646">+SUMPRODUCT($G$107:$G$108,DB107:DB108)</f>
        <v>0.47499999999999998</v>
      </c>
      <c r="DC106" s="28">
        <f t="shared" si="646"/>
        <v>0.47499999999999998</v>
      </c>
      <c r="DD106" s="28">
        <f t="shared" ref="DD106:DE106" si="647">+SUMPRODUCT($G$107:$G$108,DD107:DD108)</f>
        <v>0.47499999999999998</v>
      </c>
      <c r="DE106" s="28">
        <f t="shared" si="647"/>
        <v>0.47499999999999998</v>
      </c>
      <c r="DF106" s="28">
        <f t="shared" ref="DF106:EI106" si="648">+SUMPRODUCT($G$107:$G$108,DF107:DF108)</f>
        <v>0.47499999999999998</v>
      </c>
      <c r="DG106" s="28">
        <f t="shared" si="648"/>
        <v>0.47499999999999998</v>
      </c>
      <c r="DH106" s="28">
        <f t="shared" si="648"/>
        <v>0.47499999999999998</v>
      </c>
      <c r="DI106" s="28">
        <f t="shared" si="648"/>
        <v>0.47499999999999998</v>
      </c>
      <c r="DJ106" s="28">
        <f t="shared" si="648"/>
        <v>0.47499999999999998</v>
      </c>
      <c r="DK106" s="28">
        <f t="shared" si="648"/>
        <v>0.47499999999999998</v>
      </c>
      <c r="DL106" s="28">
        <f t="shared" si="648"/>
        <v>0.47499999999999998</v>
      </c>
      <c r="DM106" s="28">
        <f t="shared" si="648"/>
        <v>0.47499999999999998</v>
      </c>
      <c r="DN106" s="28">
        <f t="shared" si="648"/>
        <v>0.47499999999999998</v>
      </c>
      <c r="DO106" s="28">
        <f t="shared" si="648"/>
        <v>0.47499999999999998</v>
      </c>
      <c r="DP106" s="28">
        <f t="shared" si="648"/>
        <v>0.47499999999999998</v>
      </c>
      <c r="DQ106" s="28">
        <f t="shared" si="648"/>
        <v>0.47499999999999998</v>
      </c>
      <c r="DR106" s="28">
        <f t="shared" si="648"/>
        <v>0.47499999999999998</v>
      </c>
      <c r="DS106" s="28">
        <f t="shared" si="648"/>
        <v>0.47499999999999998</v>
      </c>
      <c r="DT106" s="28">
        <f t="shared" si="648"/>
        <v>0.47499999999999998</v>
      </c>
      <c r="DU106" s="28">
        <f t="shared" si="648"/>
        <v>0.47499999999999998</v>
      </c>
      <c r="DV106" s="28">
        <f t="shared" si="648"/>
        <v>0.47499999999999998</v>
      </c>
      <c r="DW106" s="28">
        <f t="shared" si="648"/>
        <v>0.47499999999999998</v>
      </c>
      <c r="DX106" s="28">
        <f t="shared" si="648"/>
        <v>0.47499999999999998</v>
      </c>
      <c r="DY106" s="28">
        <f t="shared" si="648"/>
        <v>0.47499999999999998</v>
      </c>
      <c r="DZ106" s="28">
        <f t="shared" si="648"/>
        <v>0.47499999999999998</v>
      </c>
      <c r="EA106" s="28">
        <f t="shared" si="648"/>
        <v>0.47499999999999998</v>
      </c>
      <c r="EB106" s="28">
        <f t="shared" si="648"/>
        <v>0.47499999999999998</v>
      </c>
      <c r="EC106" s="28">
        <f t="shared" si="648"/>
        <v>0.47499999999999998</v>
      </c>
      <c r="ED106" s="28">
        <f t="shared" si="648"/>
        <v>0.47499999999999998</v>
      </c>
      <c r="EE106" s="28">
        <f t="shared" si="648"/>
        <v>0.47499999999999998</v>
      </c>
      <c r="EF106" s="28">
        <f t="shared" si="648"/>
        <v>0.47499999999999998</v>
      </c>
      <c r="EG106" s="28">
        <f t="shared" si="648"/>
        <v>0.47499999999999998</v>
      </c>
      <c r="EH106" s="28">
        <f t="shared" si="648"/>
        <v>0.47499999999999998</v>
      </c>
      <c r="EI106" s="28">
        <f t="shared" si="648"/>
        <v>0.47499999999999998</v>
      </c>
    </row>
    <row r="107" spans="2:139" hidden="1" outlineLevel="3" x14ac:dyDescent="0.3">
      <c r="B107" s="29"/>
      <c r="C107" s="30"/>
      <c r="D107" s="30"/>
      <c r="E107" s="52" t="s">
        <v>110</v>
      </c>
      <c r="F107" s="33">
        <v>9</v>
      </c>
      <c r="G107" s="35">
        <v>0.25</v>
      </c>
      <c r="H107" s="162"/>
      <c r="I107" s="127">
        <v>0</v>
      </c>
      <c r="J107" s="127">
        <v>0</v>
      </c>
      <c r="K107" s="127">
        <v>0</v>
      </c>
      <c r="L107" s="127">
        <v>0</v>
      </c>
      <c r="M107" s="128">
        <v>0</v>
      </c>
      <c r="N107" s="128">
        <v>0</v>
      </c>
      <c r="O107" s="127">
        <v>0</v>
      </c>
      <c r="P107" s="127">
        <v>0</v>
      </c>
      <c r="Q107" s="127">
        <v>0</v>
      </c>
      <c r="R107" s="127">
        <v>0</v>
      </c>
      <c r="S107" s="127">
        <v>0</v>
      </c>
      <c r="T107" s="127">
        <v>0</v>
      </c>
      <c r="U107" s="127">
        <v>0</v>
      </c>
      <c r="V107" s="127">
        <v>0</v>
      </c>
      <c r="W107" s="127">
        <v>0</v>
      </c>
      <c r="X107" s="127">
        <v>0</v>
      </c>
      <c r="Y107" s="127">
        <v>0</v>
      </c>
      <c r="Z107" s="127">
        <v>0</v>
      </c>
      <c r="AA107" s="127">
        <v>0</v>
      </c>
      <c r="AB107" s="127">
        <v>0</v>
      </c>
      <c r="AC107" s="127">
        <v>0</v>
      </c>
      <c r="AD107" s="127">
        <v>0</v>
      </c>
      <c r="AE107" s="127">
        <v>0</v>
      </c>
      <c r="AF107" s="127">
        <v>0</v>
      </c>
      <c r="AG107" s="127">
        <v>0</v>
      </c>
      <c r="AH107" s="127">
        <v>0</v>
      </c>
      <c r="AI107" s="127">
        <v>0</v>
      </c>
      <c r="AJ107" s="127">
        <v>0</v>
      </c>
      <c r="AK107" s="127">
        <v>0</v>
      </c>
      <c r="AL107" s="127">
        <v>0</v>
      </c>
      <c r="AM107" s="127">
        <v>0</v>
      </c>
      <c r="AN107" s="127">
        <v>0</v>
      </c>
      <c r="AO107" s="127">
        <v>0</v>
      </c>
      <c r="AP107" s="127">
        <v>0</v>
      </c>
      <c r="AQ107" s="127">
        <v>0</v>
      </c>
      <c r="AR107" s="127">
        <v>0</v>
      </c>
      <c r="AS107" s="127">
        <v>0</v>
      </c>
      <c r="AT107" s="127">
        <v>0</v>
      </c>
      <c r="AU107" s="127">
        <v>0</v>
      </c>
      <c r="AV107" s="127">
        <v>0</v>
      </c>
      <c r="AW107" s="127">
        <v>0</v>
      </c>
      <c r="AX107" s="127">
        <v>0</v>
      </c>
      <c r="AY107" s="127">
        <v>0</v>
      </c>
      <c r="AZ107" s="127">
        <v>0</v>
      </c>
      <c r="BA107" s="127">
        <v>0</v>
      </c>
      <c r="BB107" s="127">
        <f>Real[[#This Row],[05/05/25]]+(1-Real[[#This Row],[05/05/25]])*'Avance 39'!I61</f>
        <v>0</v>
      </c>
      <c r="BC107" s="127">
        <f>Real[[#This Row],[05/05/25]]+(1-Real[[#This Row],[05/05/25]])*'Avance 39'!J61</f>
        <v>0</v>
      </c>
      <c r="BD107" s="127">
        <f>Real[[#This Row],[05/05/25]]+(1-Real[[#This Row],[05/05/25]])*'Avance 39'!K61</f>
        <v>0</v>
      </c>
      <c r="BE107" s="127">
        <f>Real[[#This Row],[05/05/25]]+(1-Real[[#This Row],[05/05/25]])*'Avance 39'!L61</f>
        <v>0</v>
      </c>
      <c r="BF107" s="127">
        <f>Real[[#This Row],[05/05/25]]+(1-Real[[#This Row],[05/05/25]])*'Avance 39'!M61</f>
        <v>0</v>
      </c>
      <c r="BG107" s="163">
        <f>Real[[#This Row],[05/05/25]]+(1-Real[[#This Row],[05/05/25]])*'Avance 39'!N61</f>
        <v>0</v>
      </c>
      <c r="BH107" s="163">
        <f>Real[[#This Row],[05/05/25]]+(1-Real[[#This Row],[05/05/25]])*'Avance 39'!O61</f>
        <v>0</v>
      </c>
      <c r="BI107" s="127">
        <f>Real[[#This Row],[05/05/25]]+(1-Real[[#This Row],[05/05/25]])*'Avance 39'!P61</f>
        <v>0</v>
      </c>
      <c r="BJ107" s="127">
        <f>Real[[#This Row],[05/05/25]]+(1-Real[[#This Row],[05/05/25]])*'Avance 39'!Q61</f>
        <v>0</v>
      </c>
      <c r="BK107" s="127">
        <f>Real[[#This Row],[05/05/25]]+(1-Real[[#This Row],[05/05/25]])*'Avance 39'!R61</f>
        <v>0</v>
      </c>
      <c r="BL107" s="127">
        <f>Real[[#This Row],[05/05/25]]+(1-Real[[#This Row],[05/05/25]])*'Avance 39'!S61</f>
        <v>0</v>
      </c>
      <c r="BM107" s="127">
        <f>Real[[#This Row],[05/05/25]]+(1-Real[[#This Row],[05/05/25]])*'Avance 39'!T61</f>
        <v>0</v>
      </c>
      <c r="BN107" s="127">
        <f>Real[[#This Row],[05/05/25]]+(1-Real[[#This Row],[05/05/25]])*'Avance 39'!U61</f>
        <v>0</v>
      </c>
      <c r="BO107" s="127">
        <f>Real[[#This Row],[05/05/25]]+(1-Real[[#This Row],[05/05/25]])*'Avance 39'!V61</f>
        <v>0</v>
      </c>
      <c r="BP107" s="127">
        <f>Real[[#This Row],[05/05/25]]+(1-Real[[#This Row],[05/05/25]])*'Avance 39'!W61</f>
        <v>0</v>
      </c>
      <c r="BQ107" s="127">
        <f>Real[[#This Row],[05/05/25]]+(1-Real[[#This Row],[05/05/25]])*'Avance 39'!X61</f>
        <v>0</v>
      </c>
      <c r="BR107" s="127">
        <f>Real[[#This Row],[05/05/25]]+(1-Real[[#This Row],[05/05/25]])*'Avance 39'!Y61</f>
        <v>0</v>
      </c>
      <c r="BS107" s="127">
        <f>Real[[#This Row],[05/05/25]]+(1-Real[[#This Row],[05/05/25]])*'Avance 39'!Z61</f>
        <v>0</v>
      </c>
      <c r="BT107" s="127">
        <f>Real[[#This Row],[05/05/25]]+(1-Real[[#This Row],[05/05/25]])*'Avance 39'!AA61</f>
        <v>0</v>
      </c>
      <c r="BU107" s="127">
        <f>Real[[#This Row],[05/05/25]]+(1-Real[[#This Row],[05/05/25]])*'Avance 39'!AB61</f>
        <v>0</v>
      </c>
      <c r="BV107" s="127">
        <f>Real[[#This Row],[05/05/25]]+(1-Real[[#This Row],[05/05/25]])*'Avance 39'!AC61</f>
        <v>0</v>
      </c>
      <c r="BW107" s="127">
        <f>Real[[#This Row],[05/05/25]]+(1-Real[[#This Row],[05/05/25]])*'Avance 39'!AD61</f>
        <v>0</v>
      </c>
      <c r="BX107" s="127">
        <f>Real[[#This Row],[05/05/25]]+(1-Real[[#This Row],[05/05/25]])*'Avance 39'!AE61</f>
        <v>0</v>
      </c>
      <c r="BY107" s="127">
        <f>Real[[#This Row],[05/05/25]]+(1-Real[[#This Row],[05/05/25]])*'Avance 39'!AF61</f>
        <v>0</v>
      </c>
      <c r="BZ107" s="127">
        <f>Real[[#This Row],[05/05/25]]+(1-Real[[#This Row],[05/05/25]])*'Avance 39'!AG61</f>
        <v>0</v>
      </c>
      <c r="CA107" s="127">
        <f>Real[[#This Row],[05/05/25]]+(1-Real[[#This Row],[05/05/25]])*'Avance 39'!AH61</f>
        <v>0</v>
      </c>
      <c r="CB107" s="127">
        <f>Real[[#This Row],[05/05/25]]+(1-Real[[#This Row],[05/05/25]])*'Avance 39'!AI61</f>
        <v>0</v>
      </c>
      <c r="CC107" s="127">
        <f>Real[[#This Row],[05/05/25]]+(1-Real[[#This Row],[05/05/25]])*'Avance 39'!AJ61</f>
        <v>0</v>
      </c>
      <c r="CD107" s="127">
        <f>Real[[#This Row],[05/05/25]]+(1-Real[[#This Row],[05/05/25]])*'Avance 39'!AK61</f>
        <v>0</v>
      </c>
      <c r="CE107" s="127">
        <f>Real[[#This Row],[05/05/25]]+(1-Real[[#This Row],[05/05/25]])*'Avance 39'!AL61</f>
        <v>1</v>
      </c>
      <c r="CF107" s="127">
        <f>Real[[#This Row],[05/05/25]]+(1-Real[[#This Row],[05/05/25]])*'Avance 39'!AM61</f>
        <v>1</v>
      </c>
      <c r="CG107" s="127">
        <f>Real[[#This Row],[05/05/25]]+(1-Real[[#This Row],[05/05/25]])*'Avance 39'!AN61</f>
        <v>1</v>
      </c>
      <c r="CH107" s="127">
        <f>Real[[#This Row],[05/05/25]]+(1-Real[[#This Row],[05/05/25]])*'Avance 39'!AO61</f>
        <v>1</v>
      </c>
      <c r="CI107" s="127">
        <f>Real[[#This Row],[05/05/25]]+(1-Real[[#This Row],[05/05/25]])*'Avance 39'!AP61</f>
        <v>1</v>
      </c>
      <c r="CJ107" s="127">
        <f>Real[[#This Row],[05/05/25]]+(1-Real[[#This Row],[05/05/25]])*'Avance 39'!AQ61</f>
        <v>1</v>
      </c>
      <c r="CK107" s="127">
        <f>Real[[#This Row],[05/05/25]]+(1-Real[[#This Row],[05/05/25]])*'Avance 39'!AR61</f>
        <v>1</v>
      </c>
      <c r="CL107" s="127">
        <f>Real[[#This Row],[05/05/25]]+(1-Real[[#This Row],[05/05/25]])*'Avance 39'!AS61</f>
        <v>1</v>
      </c>
      <c r="CM107" s="127">
        <f>Real[[#This Row],[05/05/25]]+(1-Real[[#This Row],[05/05/25]])*'Avance 39'!AT61</f>
        <v>1</v>
      </c>
      <c r="CN107" s="127">
        <f>Real[[#This Row],[05/05/25]]+(1-Real[[#This Row],[05/05/25]])*'Avance 39'!AU61</f>
        <v>1</v>
      </c>
      <c r="CO107" s="127">
        <f>Real[[#This Row],[05/05/25]]+(1-Real[[#This Row],[05/05/25]])*'Avance 39'!AV61</f>
        <v>1</v>
      </c>
      <c r="CP107" s="127">
        <f>Real[[#This Row],[05/05/25]]+(1-Real[[#This Row],[05/05/25]])*'Avance 39'!AW61</f>
        <v>1</v>
      </c>
      <c r="CQ107" s="127">
        <f>Real[[#This Row],[05/05/25]]+(1-Real[[#This Row],[05/05/25]])*'Avance 39'!AX61</f>
        <v>1</v>
      </c>
      <c r="CR107" s="127">
        <f>Real[[#This Row],[05/05/25]]+(1-Real[[#This Row],[05/05/25]])*'Avance 39'!AY61</f>
        <v>1</v>
      </c>
      <c r="CS107" s="127">
        <f>Real[[#This Row],[05/05/25]]+(1-Real[[#This Row],[05/05/25]])*'Avance 39'!AZ61</f>
        <v>1</v>
      </c>
      <c r="CT107" s="127">
        <f>Real[[#This Row],[05/05/25]]+(1-Real[[#This Row],[05/05/25]])*'Avance 39'!BA61</f>
        <v>1</v>
      </c>
      <c r="CU107" s="127">
        <f>Real[[#This Row],[05/05/25]]+(1-Real[[#This Row],[05/05/25]])*'Avance 39'!BB61</f>
        <v>1</v>
      </c>
      <c r="CV107" s="127">
        <f>Real[[#This Row],[05/05/25]]+(1-Real[[#This Row],[05/05/25]])*'Avance 39'!BC61</f>
        <v>1</v>
      </c>
      <c r="CW107" s="127">
        <f>Real[[#This Row],[05/05/25]]+(1-Real[[#This Row],[05/05/25]])*'Avance 39'!BD61</f>
        <v>1</v>
      </c>
      <c r="CX107" s="127">
        <f>Real[[#This Row],[05/05/25]]+(1-Real[[#This Row],[05/05/25]])*'Avance 39'!BE61</f>
        <v>1</v>
      </c>
      <c r="CY107" s="127">
        <f>Real[[#This Row],[05/05/25]]+(1-Real[[#This Row],[05/05/25]])*'Avance 39'!BF61</f>
        <v>1</v>
      </c>
      <c r="CZ107" s="127">
        <f>Real[[#This Row],[05/05/25]]+(1-Real[[#This Row],[05/05/25]])*'Avance 39'!BG61</f>
        <v>1</v>
      </c>
      <c r="DA107" s="127">
        <f>Real[[#This Row],[05/05/25]]+(1-Real[[#This Row],[05/05/25]])*'Avance 39'!BH61</f>
        <v>1</v>
      </c>
      <c r="DB107" s="127">
        <f>Real[[#This Row],[05/05/25]]+(1-Real[[#This Row],[05/05/25]])*'Avance 39'!BI61</f>
        <v>1</v>
      </c>
      <c r="DC107" s="127">
        <f>Real[[#This Row],[05/05/25]]+(1-Real[[#This Row],[05/05/25]])*'Avance 39'!BJ61</f>
        <v>1</v>
      </c>
      <c r="DD107" s="127">
        <f>Real[[#This Row],[05/05/25]]+(1-Real[[#This Row],[05/05/25]])*'Avance 39'!BK61</f>
        <v>1</v>
      </c>
      <c r="DE107" s="127">
        <f>Real[[#This Row],[05/05/25]]+(1-Real[[#This Row],[05/05/25]])*'Avance 39'!BL61</f>
        <v>1</v>
      </c>
      <c r="DF107" s="127">
        <f>Real[[#This Row],[05/05/25]]+(1-Real[[#This Row],[05/05/25]])*'Avance 39'!BM61</f>
        <v>1</v>
      </c>
      <c r="DG107" s="127">
        <f>Real[[#This Row],[05/05/25]]+(1-Real[[#This Row],[05/05/25]])*'Avance 39'!BN61</f>
        <v>1</v>
      </c>
      <c r="DH107" s="127">
        <f>Real[[#This Row],[05/05/25]]+(1-Real[[#This Row],[05/05/25]])*'Avance 39'!BO61</f>
        <v>1</v>
      </c>
      <c r="DI107" s="127">
        <f>Real[[#This Row],[05/05/25]]+(1-Real[[#This Row],[05/05/25]])*'Avance 39'!BP61</f>
        <v>1</v>
      </c>
      <c r="DJ107" s="127">
        <f>Real[[#This Row],[05/05/25]]+(1-Real[[#This Row],[05/05/25]])*'Avance 39'!BQ61</f>
        <v>1</v>
      </c>
      <c r="DK107" s="127">
        <f>Real[[#This Row],[05/05/25]]+(1-Real[[#This Row],[05/05/25]])*'Avance 39'!BR61</f>
        <v>1</v>
      </c>
      <c r="DL107" s="127">
        <f>Real[[#This Row],[05/05/25]]+(1-Real[[#This Row],[05/05/25]])*'Avance 39'!BS61</f>
        <v>1</v>
      </c>
      <c r="DM107" s="127">
        <f>Real[[#This Row],[05/05/25]]+(1-Real[[#This Row],[05/05/25]])*'Avance 39'!BT61</f>
        <v>1</v>
      </c>
      <c r="DN107" s="127">
        <f>Real[[#This Row],[05/05/25]]+(1-Real[[#This Row],[05/05/25]])*'Avance 39'!BU61</f>
        <v>1</v>
      </c>
      <c r="DO107" s="127">
        <f>Real[[#This Row],[05/05/25]]+(1-Real[[#This Row],[05/05/25]])*'Avance 39'!BV61</f>
        <v>1</v>
      </c>
      <c r="DP107" s="127">
        <f>Real[[#This Row],[05/05/25]]+(1-Real[[#This Row],[05/05/25]])*'Avance 39'!BW61</f>
        <v>1</v>
      </c>
      <c r="DQ107" s="127">
        <f>Real[[#This Row],[05/05/25]]+(1-Real[[#This Row],[05/05/25]])*'Avance 39'!BX61</f>
        <v>1</v>
      </c>
      <c r="DR107" s="127">
        <f>Real[[#This Row],[05/05/25]]+(1-Real[[#This Row],[05/05/25]])*'Avance 39'!BY61</f>
        <v>1</v>
      </c>
      <c r="DS107" s="127">
        <f>Real[[#This Row],[05/05/25]]+(1-Real[[#This Row],[05/05/25]])*'Avance 39'!BZ61</f>
        <v>1</v>
      </c>
      <c r="DT107" s="127">
        <f>Real[[#This Row],[05/05/25]]+(1-Real[[#This Row],[05/05/25]])*'Avance 39'!CA61</f>
        <v>1</v>
      </c>
      <c r="DU107" s="127">
        <f>Real[[#This Row],[05/05/25]]+(1-Real[[#This Row],[05/05/25]])*'Avance 39'!CB61</f>
        <v>1</v>
      </c>
      <c r="DV107" s="127">
        <f>Real[[#This Row],[05/05/25]]+(1-Real[[#This Row],[05/05/25]])*'Avance 39'!CC61</f>
        <v>1</v>
      </c>
      <c r="DW107" s="127">
        <f>Real[[#This Row],[05/05/25]]+(1-Real[[#This Row],[05/05/25]])*'Avance 39'!CD61</f>
        <v>1</v>
      </c>
      <c r="DX107" s="127">
        <f>Real[[#This Row],[05/05/25]]+(1-Real[[#This Row],[05/05/25]])*'Avance 39'!CE61</f>
        <v>1</v>
      </c>
      <c r="DY107" s="127">
        <f>Real[[#This Row],[05/05/25]]+(1-Real[[#This Row],[05/05/25]])*'Avance 39'!CF61</f>
        <v>1</v>
      </c>
      <c r="DZ107" s="127">
        <f>Real[[#This Row],[05/05/25]]+(1-Real[[#This Row],[05/05/25]])*'Avance 39'!CG61</f>
        <v>1</v>
      </c>
      <c r="EA107" s="127">
        <f>Real[[#This Row],[05/05/25]]+(1-Real[[#This Row],[05/05/25]])*'Avance 39'!CH61</f>
        <v>1</v>
      </c>
      <c r="EB107" s="127">
        <f>Real[[#This Row],[05/05/25]]+(1-Real[[#This Row],[05/05/25]])*'Avance 39'!CI61</f>
        <v>1</v>
      </c>
      <c r="EC107" s="127">
        <f>Real[[#This Row],[05/05/25]]+(1-Real[[#This Row],[05/05/25]])*'Avance 39'!CJ61</f>
        <v>1</v>
      </c>
      <c r="ED107" s="127">
        <f>Real[[#This Row],[05/05/25]]+(1-Real[[#This Row],[05/05/25]])*'Avance 39'!CK61</f>
        <v>1</v>
      </c>
      <c r="EE107" s="127">
        <f>Real[[#This Row],[05/05/25]]+(1-Real[[#This Row],[05/05/25]])*'Avance 39'!CL61</f>
        <v>1</v>
      </c>
      <c r="EF107" s="127">
        <f>Real[[#This Row],[05/05/25]]+(1-Real[[#This Row],[05/05/25]])*'Avance 39'!CM61</f>
        <v>1</v>
      </c>
      <c r="EG107" s="127">
        <f>Real[[#This Row],[05/05/25]]+(1-Real[[#This Row],[05/05/25]])*'Avance 39'!CN61</f>
        <v>1</v>
      </c>
      <c r="EH107" s="127">
        <f>Real[[#This Row],[05/05/25]]+(1-Real[[#This Row],[05/05/25]])*'Avance 39'!CO61</f>
        <v>1</v>
      </c>
      <c r="EI107" s="127">
        <f>Real[[#This Row],[05/05/25]]+(1-Real[[#This Row],[05/05/25]])*'Avance 39'!CP61</f>
        <v>1</v>
      </c>
    </row>
    <row r="108" spans="2:139" hidden="1" outlineLevel="3" x14ac:dyDescent="0.3">
      <c r="B108" s="280"/>
      <c r="C108" s="281"/>
      <c r="D108" s="281"/>
      <c r="E108" s="282" t="s">
        <v>111</v>
      </c>
      <c r="F108" s="283">
        <v>18</v>
      </c>
      <c r="G108" s="284">
        <v>0.75</v>
      </c>
      <c r="H108" s="162"/>
      <c r="I108" s="127">
        <v>0</v>
      </c>
      <c r="J108" s="127">
        <v>0</v>
      </c>
      <c r="K108" s="127">
        <v>0</v>
      </c>
      <c r="L108" s="127">
        <v>0</v>
      </c>
      <c r="M108" s="128">
        <v>0</v>
      </c>
      <c r="N108" s="128">
        <v>0</v>
      </c>
      <c r="O108" s="127">
        <v>0</v>
      </c>
      <c r="P108" s="127">
        <v>0</v>
      </c>
      <c r="Q108" s="127">
        <v>0</v>
      </c>
      <c r="R108" s="127">
        <v>0</v>
      </c>
      <c r="S108" s="127">
        <v>0</v>
      </c>
      <c r="T108" s="127">
        <v>0</v>
      </c>
      <c r="U108" s="127">
        <v>0</v>
      </c>
      <c r="V108" s="127">
        <v>0</v>
      </c>
      <c r="W108" s="127">
        <v>0</v>
      </c>
      <c r="X108" s="127">
        <v>0</v>
      </c>
      <c r="Y108" s="127">
        <v>0</v>
      </c>
      <c r="Z108" s="127">
        <v>0</v>
      </c>
      <c r="AA108" s="127">
        <v>0</v>
      </c>
      <c r="AB108" s="127">
        <v>0</v>
      </c>
      <c r="AC108" s="127">
        <v>0</v>
      </c>
      <c r="AD108" s="127">
        <v>0</v>
      </c>
      <c r="AE108" s="127">
        <v>0</v>
      </c>
      <c r="AF108" s="127">
        <v>0</v>
      </c>
      <c r="AG108" s="127">
        <v>0</v>
      </c>
      <c r="AH108" s="127">
        <v>0</v>
      </c>
      <c r="AI108" s="127">
        <v>0</v>
      </c>
      <c r="AJ108" s="127">
        <v>0</v>
      </c>
      <c r="AK108" s="127">
        <v>0</v>
      </c>
      <c r="AL108" s="127">
        <v>0</v>
      </c>
      <c r="AM108" s="127">
        <v>0</v>
      </c>
      <c r="AN108" s="127">
        <v>0</v>
      </c>
      <c r="AO108" s="127">
        <v>0</v>
      </c>
      <c r="AP108" s="127">
        <v>0</v>
      </c>
      <c r="AQ108" s="127">
        <v>0</v>
      </c>
      <c r="AR108" s="127">
        <v>0</v>
      </c>
      <c r="AS108" s="127">
        <v>0</v>
      </c>
      <c r="AT108" s="127">
        <v>0</v>
      </c>
      <c r="AU108" s="127">
        <v>0</v>
      </c>
      <c r="AV108" s="127">
        <v>0</v>
      </c>
      <c r="AW108" s="127">
        <v>0</v>
      </c>
      <c r="AX108" s="127">
        <v>0</v>
      </c>
      <c r="AY108" s="127">
        <v>0</v>
      </c>
      <c r="AZ108" s="127">
        <v>0</v>
      </c>
      <c r="BA108" s="127">
        <v>0</v>
      </c>
      <c r="BB108" s="127">
        <f>Real[[#This Row],[05/05/25]]+(1-Real[[#This Row],[05/05/25]])*'Avance 39'!I62</f>
        <v>0</v>
      </c>
      <c r="BC108" s="127">
        <f>Real[[#This Row],[05/05/25]]+(1-Real[[#This Row],[05/05/25]])*'Avance 39'!J62</f>
        <v>0</v>
      </c>
      <c r="BD108" s="127">
        <f>Real[[#This Row],[05/05/25]]+(1-Real[[#This Row],[05/05/25]])*'Avance 39'!K62</f>
        <v>0</v>
      </c>
      <c r="BE108" s="127">
        <f>Real[[#This Row],[05/05/25]]+(1-Real[[#This Row],[05/05/25]])*'Avance 39'!L62</f>
        <v>0</v>
      </c>
      <c r="BF108" s="127">
        <f>Real[[#This Row],[05/05/25]]+(1-Real[[#This Row],[05/05/25]])*'Avance 39'!M62</f>
        <v>0</v>
      </c>
      <c r="BG108" s="163">
        <f>Real[[#This Row],[05/05/25]]+(1-Real[[#This Row],[05/05/25]])*'Avance 39'!N62</f>
        <v>0</v>
      </c>
      <c r="BH108" s="163">
        <f>Real[[#This Row],[05/05/25]]+(1-Real[[#This Row],[05/05/25]])*'Avance 39'!O62</f>
        <v>0</v>
      </c>
      <c r="BI108" s="127">
        <f>Real[[#This Row],[05/05/25]]+(1-Real[[#This Row],[05/05/25]])*'Avance 39'!P62</f>
        <v>0</v>
      </c>
      <c r="BJ108" s="127">
        <f>Real[[#This Row],[05/05/25]]+(1-Real[[#This Row],[05/05/25]])*'Avance 39'!Q62</f>
        <v>0</v>
      </c>
      <c r="BK108" s="127">
        <f>Real[[#This Row],[05/05/25]]+(1-Real[[#This Row],[05/05/25]])*'Avance 39'!R62</f>
        <v>0</v>
      </c>
      <c r="BL108" s="127">
        <f>Real[[#This Row],[05/05/25]]+(1-Real[[#This Row],[05/05/25]])*'Avance 39'!S62</f>
        <v>0</v>
      </c>
      <c r="BM108" s="127">
        <f>Real[[#This Row],[05/05/25]]+(1-Real[[#This Row],[05/05/25]])*'Avance 39'!T62</f>
        <v>0</v>
      </c>
      <c r="BN108" s="127">
        <f>Real[[#This Row],[05/05/25]]+(1-Real[[#This Row],[05/05/25]])*'Avance 39'!U62</f>
        <v>0</v>
      </c>
      <c r="BO108" s="127">
        <f>Real[[#This Row],[05/05/25]]+(1-Real[[#This Row],[05/05/25]])*'Avance 39'!V62</f>
        <v>0</v>
      </c>
      <c r="BP108" s="127">
        <f>Real[[#This Row],[05/05/25]]+(1-Real[[#This Row],[05/05/25]])*'Avance 39'!W62</f>
        <v>0</v>
      </c>
      <c r="BQ108" s="127">
        <f>Real[[#This Row],[05/05/25]]+(1-Real[[#This Row],[05/05/25]])*'Avance 39'!X62</f>
        <v>0</v>
      </c>
      <c r="BR108" s="127">
        <f>Real[[#This Row],[05/05/25]]+(1-Real[[#This Row],[05/05/25]])*'Avance 39'!Y62</f>
        <v>0</v>
      </c>
      <c r="BS108" s="127">
        <f>Real[[#This Row],[05/05/25]]+(1-Real[[#This Row],[05/05/25]])*'Avance 39'!Z62</f>
        <v>0</v>
      </c>
      <c r="BT108" s="127">
        <f>Real[[#This Row],[05/05/25]]+(1-Real[[#This Row],[05/05/25]])*'Avance 39'!AA62</f>
        <v>0</v>
      </c>
      <c r="BU108" s="127">
        <f>Real[[#This Row],[05/05/25]]+(1-Real[[#This Row],[05/05/25]])*'Avance 39'!AB62</f>
        <v>0</v>
      </c>
      <c r="BV108" s="127">
        <f>Real[[#This Row],[05/05/25]]+(1-Real[[#This Row],[05/05/25]])*'Avance 39'!AC62</f>
        <v>0</v>
      </c>
      <c r="BW108" s="127">
        <f>Real[[#This Row],[05/05/25]]+(1-Real[[#This Row],[05/05/25]])*'Avance 39'!AD62</f>
        <v>0</v>
      </c>
      <c r="BX108" s="127">
        <f>Real[[#This Row],[05/05/25]]+(1-Real[[#This Row],[05/05/25]])*'Avance 39'!AE62</f>
        <v>0</v>
      </c>
      <c r="BY108" s="127">
        <f>Real[[#This Row],[05/05/25]]+(1-Real[[#This Row],[05/05/25]])*'Avance 39'!AF62</f>
        <v>0</v>
      </c>
      <c r="BZ108" s="127">
        <f>Real[[#This Row],[05/05/25]]+(1-Real[[#This Row],[05/05/25]])*'Avance 39'!AG62</f>
        <v>0</v>
      </c>
      <c r="CA108" s="127">
        <f>Real[[#This Row],[05/05/25]]+(1-Real[[#This Row],[05/05/25]])*'Avance 39'!AH62</f>
        <v>0</v>
      </c>
      <c r="CB108" s="127">
        <f>Real[[#This Row],[05/05/25]]+(1-Real[[#This Row],[05/05/25]])*'Avance 39'!AI62</f>
        <v>0</v>
      </c>
      <c r="CC108" s="127">
        <f>Real[[#This Row],[05/05/25]]+(1-Real[[#This Row],[05/05/25]])*'Avance 39'!AJ62</f>
        <v>0</v>
      </c>
      <c r="CD108" s="127">
        <f>Real[[#This Row],[05/05/25]]+(1-Real[[#This Row],[05/05/25]])*'Avance 39'!AK62</f>
        <v>0</v>
      </c>
      <c r="CE108" s="127">
        <f>Real[[#This Row],[05/05/25]]+(1-Real[[#This Row],[05/05/25]])*'Avance 39'!AL62</f>
        <v>0.3</v>
      </c>
      <c r="CF108" s="127">
        <f>Real[[#This Row],[05/05/25]]+(1-Real[[#This Row],[05/05/25]])*'Avance 39'!AM62</f>
        <v>0.3</v>
      </c>
      <c r="CG108" s="127">
        <f>Real[[#This Row],[05/05/25]]+(1-Real[[#This Row],[05/05/25]])*'Avance 39'!AN62</f>
        <v>0.3</v>
      </c>
      <c r="CH108" s="127">
        <f>Real[[#This Row],[05/05/25]]+(1-Real[[#This Row],[05/05/25]])*'Avance 39'!AO62</f>
        <v>0.3</v>
      </c>
      <c r="CI108" s="127">
        <f>Real[[#This Row],[05/05/25]]+(1-Real[[#This Row],[05/05/25]])*'Avance 39'!AP62</f>
        <v>0.3</v>
      </c>
      <c r="CJ108" s="127">
        <f>Real[[#This Row],[05/05/25]]+(1-Real[[#This Row],[05/05/25]])*'Avance 39'!AQ62</f>
        <v>0.3</v>
      </c>
      <c r="CK108" s="127">
        <f>Real[[#This Row],[05/05/25]]+(1-Real[[#This Row],[05/05/25]])*'Avance 39'!AR62</f>
        <v>0.3</v>
      </c>
      <c r="CL108" s="127">
        <f>Real[[#This Row],[05/05/25]]+(1-Real[[#This Row],[05/05/25]])*'Avance 39'!AS62</f>
        <v>0.3</v>
      </c>
      <c r="CM108" s="127">
        <f>Real[[#This Row],[05/05/25]]+(1-Real[[#This Row],[05/05/25]])*'Avance 39'!AT62</f>
        <v>0.3</v>
      </c>
      <c r="CN108" s="127">
        <f>Real[[#This Row],[05/05/25]]+(1-Real[[#This Row],[05/05/25]])*'Avance 39'!AU62</f>
        <v>0.3</v>
      </c>
      <c r="CO108" s="127">
        <f>Real[[#This Row],[05/05/25]]+(1-Real[[#This Row],[05/05/25]])*'Avance 39'!AV62</f>
        <v>0.3</v>
      </c>
      <c r="CP108" s="127">
        <f>Real[[#This Row],[05/05/25]]+(1-Real[[#This Row],[05/05/25]])*'Avance 39'!AW62</f>
        <v>0.3</v>
      </c>
      <c r="CQ108" s="127">
        <f>Real[[#This Row],[05/05/25]]+(1-Real[[#This Row],[05/05/25]])*'Avance 39'!AX62</f>
        <v>0.3</v>
      </c>
      <c r="CR108" s="127">
        <f>Real[[#This Row],[05/05/25]]+(1-Real[[#This Row],[05/05/25]])*'Avance 39'!AY62</f>
        <v>0.3</v>
      </c>
      <c r="CS108" s="127">
        <f>Real[[#This Row],[05/05/25]]+(1-Real[[#This Row],[05/05/25]])*'Avance 39'!AZ62</f>
        <v>0.3</v>
      </c>
      <c r="CT108" s="127">
        <f>Real[[#This Row],[05/05/25]]+(1-Real[[#This Row],[05/05/25]])*'Avance 39'!BA62</f>
        <v>0.3</v>
      </c>
      <c r="CU108" s="127">
        <f>Real[[#This Row],[05/05/25]]+(1-Real[[#This Row],[05/05/25]])*'Avance 39'!BB62</f>
        <v>0.3</v>
      </c>
      <c r="CV108" s="127">
        <f>Real[[#This Row],[05/05/25]]+(1-Real[[#This Row],[05/05/25]])*'Avance 39'!BC62</f>
        <v>0.3</v>
      </c>
      <c r="CW108" s="127">
        <f>Real[[#This Row],[05/05/25]]+(1-Real[[#This Row],[05/05/25]])*'Avance 39'!BD62</f>
        <v>0.3</v>
      </c>
      <c r="CX108" s="127">
        <f>Real[[#This Row],[05/05/25]]+(1-Real[[#This Row],[05/05/25]])*'Avance 39'!BE62</f>
        <v>0.3</v>
      </c>
      <c r="CY108" s="127">
        <f>Real[[#This Row],[05/05/25]]+(1-Real[[#This Row],[05/05/25]])*'Avance 39'!BF62</f>
        <v>0.3</v>
      </c>
      <c r="CZ108" s="127">
        <f>Real[[#This Row],[05/05/25]]+(1-Real[[#This Row],[05/05/25]])*'Avance 39'!BG62</f>
        <v>0.3</v>
      </c>
      <c r="DA108" s="127">
        <f>Real[[#This Row],[05/05/25]]+(1-Real[[#This Row],[05/05/25]])*'Avance 39'!BH62</f>
        <v>0.3</v>
      </c>
      <c r="DB108" s="127">
        <f>Real[[#This Row],[05/05/25]]+(1-Real[[#This Row],[05/05/25]])*'Avance 39'!BI62</f>
        <v>0.3</v>
      </c>
      <c r="DC108" s="127">
        <f>Real[[#This Row],[05/05/25]]+(1-Real[[#This Row],[05/05/25]])*'Avance 39'!BJ62</f>
        <v>0.3</v>
      </c>
      <c r="DD108" s="127">
        <f>Real[[#This Row],[05/05/25]]+(1-Real[[#This Row],[05/05/25]])*'Avance 39'!BK62</f>
        <v>0.3</v>
      </c>
      <c r="DE108" s="127">
        <f>Real[[#This Row],[05/05/25]]+(1-Real[[#This Row],[05/05/25]])*'Avance 39'!BL62</f>
        <v>0.3</v>
      </c>
      <c r="DF108" s="127">
        <f>Real[[#This Row],[05/05/25]]+(1-Real[[#This Row],[05/05/25]])*'Avance 39'!BM62</f>
        <v>0.3</v>
      </c>
      <c r="DG108" s="127">
        <f>Real[[#This Row],[05/05/25]]+(1-Real[[#This Row],[05/05/25]])*'Avance 39'!BN62</f>
        <v>0.3</v>
      </c>
      <c r="DH108" s="127">
        <f>Real[[#This Row],[05/05/25]]+(1-Real[[#This Row],[05/05/25]])*'Avance 39'!BO62</f>
        <v>0.3</v>
      </c>
      <c r="DI108" s="127">
        <f>Real[[#This Row],[05/05/25]]+(1-Real[[#This Row],[05/05/25]])*'Avance 39'!BP62</f>
        <v>0.3</v>
      </c>
      <c r="DJ108" s="127">
        <f>Real[[#This Row],[05/05/25]]+(1-Real[[#This Row],[05/05/25]])*'Avance 39'!BQ62</f>
        <v>0.3</v>
      </c>
      <c r="DK108" s="127">
        <f>Real[[#This Row],[05/05/25]]+(1-Real[[#This Row],[05/05/25]])*'Avance 39'!BR62</f>
        <v>0.3</v>
      </c>
      <c r="DL108" s="127">
        <f>Real[[#This Row],[05/05/25]]+(1-Real[[#This Row],[05/05/25]])*'Avance 39'!BS62</f>
        <v>0.3</v>
      </c>
      <c r="DM108" s="127">
        <f>Real[[#This Row],[05/05/25]]+(1-Real[[#This Row],[05/05/25]])*'Avance 39'!BT62</f>
        <v>0.3</v>
      </c>
      <c r="DN108" s="127">
        <f>Real[[#This Row],[05/05/25]]+(1-Real[[#This Row],[05/05/25]])*'Avance 39'!BU62</f>
        <v>0.3</v>
      </c>
      <c r="DO108" s="127">
        <f>Real[[#This Row],[05/05/25]]+(1-Real[[#This Row],[05/05/25]])*'Avance 39'!BV62</f>
        <v>0.3</v>
      </c>
      <c r="DP108" s="127">
        <f>Real[[#This Row],[05/05/25]]+(1-Real[[#This Row],[05/05/25]])*'Avance 39'!BW62</f>
        <v>0.3</v>
      </c>
      <c r="DQ108" s="127">
        <f>Real[[#This Row],[05/05/25]]+(1-Real[[#This Row],[05/05/25]])*'Avance 39'!BX62</f>
        <v>0.3</v>
      </c>
      <c r="DR108" s="127">
        <f>Real[[#This Row],[05/05/25]]+(1-Real[[#This Row],[05/05/25]])*'Avance 39'!BY62</f>
        <v>0.3</v>
      </c>
      <c r="DS108" s="127">
        <f>Real[[#This Row],[05/05/25]]+(1-Real[[#This Row],[05/05/25]])*'Avance 39'!BZ62</f>
        <v>0.3</v>
      </c>
      <c r="DT108" s="127">
        <f>Real[[#This Row],[05/05/25]]+(1-Real[[#This Row],[05/05/25]])*'Avance 39'!CA62</f>
        <v>0.3</v>
      </c>
      <c r="DU108" s="127">
        <f>Real[[#This Row],[05/05/25]]+(1-Real[[#This Row],[05/05/25]])*'Avance 39'!CB62</f>
        <v>0.3</v>
      </c>
      <c r="DV108" s="127">
        <f>Real[[#This Row],[05/05/25]]+(1-Real[[#This Row],[05/05/25]])*'Avance 39'!CC62</f>
        <v>0.3</v>
      </c>
      <c r="DW108" s="127">
        <f>Real[[#This Row],[05/05/25]]+(1-Real[[#This Row],[05/05/25]])*'Avance 39'!CD62</f>
        <v>0.3</v>
      </c>
      <c r="DX108" s="127">
        <f>Real[[#This Row],[05/05/25]]+(1-Real[[#This Row],[05/05/25]])*'Avance 39'!CE62</f>
        <v>0.3</v>
      </c>
      <c r="DY108" s="127">
        <f>Real[[#This Row],[05/05/25]]+(1-Real[[#This Row],[05/05/25]])*'Avance 39'!CF62</f>
        <v>0.3</v>
      </c>
      <c r="DZ108" s="127">
        <f>Real[[#This Row],[05/05/25]]+(1-Real[[#This Row],[05/05/25]])*'Avance 39'!CG62</f>
        <v>0.3</v>
      </c>
      <c r="EA108" s="127">
        <f>Real[[#This Row],[05/05/25]]+(1-Real[[#This Row],[05/05/25]])*'Avance 39'!CH62</f>
        <v>0.3</v>
      </c>
      <c r="EB108" s="127">
        <f>Real[[#This Row],[05/05/25]]+(1-Real[[#This Row],[05/05/25]])*'Avance 39'!CI62</f>
        <v>0.3</v>
      </c>
      <c r="EC108" s="127">
        <f>Real[[#This Row],[05/05/25]]+(1-Real[[#This Row],[05/05/25]])*'Avance 39'!CJ62</f>
        <v>0.3</v>
      </c>
      <c r="ED108" s="127">
        <f>Real[[#This Row],[05/05/25]]+(1-Real[[#This Row],[05/05/25]])*'Avance 39'!CK62</f>
        <v>0.3</v>
      </c>
      <c r="EE108" s="127">
        <f>Real[[#This Row],[05/05/25]]+(1-Real[[#This Row],[05/05/25]])*'Avance 39'!CL62</f>
        <v>0.3</v>
      </c>
      <c r="EF108" s="127">
        <f>Real[[#This Row],[05/05/25]]+(1-Real[[#This Row],[05/05/25]])*'Avance 39'!CM62</f>
        <v>0.3</v>
      </c>
      <c r="EG108" s="127">
        <f>Real[[#This Row],[05/05/25]]+(1-Real[[#This Row],[05/05/25]])*'Avance 39'!CN62</f>
        <v>0.3</v>
      </c>
      <c r="EH108" s="127">
        <f>Real[[#This Row],[05/05/25]]+(1-Real[[#This Row],[05/05/25]])*'Avance 39'!CO62</f>
        <v>0.3</v>
      </c>
      <c r="EI108" s="127">
        <f>Real[[#This Row],[05/05/25]]+(1-Real[[#This Row],[05/05/25]])*'Avance 39'!CP62</f>
        <v>0.3</v>
      </c>
    </row>
    <row r="109" spans="2:139" ht="15" outlineLevel="2" collapsed="1" x14ac:dyDescent="0.3">
      <c r="B109" s="22"/>
      <c r="C109" s="23"/>
      <c r="D109" s="23" t="s">
        <v>112</v>
      </c>
      <c r="E109" s="50"/>
      <c r="F109" s="26">
        <f>+SUM(F110:F111)</f>
        <v>50</v>
      </c>
      <c r="G109" s="28">
        <v>6.9648115450815076E-2</v>
      </c>
      <c r="H109" s="160"/>
      <c r="I109" s="28">
        <f t="shared" ref="I109:BD109" si="649">+SUMPRODUCT($G$110:$G$111,I110:I111)</f>
        <v>5.5500000000000002E-3</v>
      </c>
      <c r="J109" s="28">
        <f t="shared" si="649"/>
        <v>1.5857142857142875E-2</v>
      </c>
      <c r="K109" s="28">
        <f t="shared" si="649"/>
        <v>3.1714285714285737E-2</v>
      </c>
      <c r="L109" s="28">
        <f t="shared" si="649"/>
        <v>4.7571428571428598E-2</v>
      </c>
      <c r="M109" s="64">
        <f t="shared" si="649"/>
        <v>6.3428571428571459E-2</v>
      </c>
      <c r="N109" s="64">
        <f t="shared" si="649"/>
        <v>7.928571428571432E-2</v>
      </c>
      <c r="O109" s="28">
        <f t="shared" si="649"/>
        <v>9.5142857142857182E-2</v>
      </c>
      <c r="P109" s="28">
        <f t="shared" si="649"/>
        <v>0.111</v>
      </c>
      <c r="Q109" s="28">
        <f t="shared" si="649"/>
        <v>0.111</v>
      </c>
      <c r="R109" s="28">
        <f t="shared" si="649"/>
        <v>0.111</v>
      </c>
      <c r="S109" s="28">
        <f t="shared" si="649"/>
        <v>0.111</v>
      </c>
      <c r="T109" s="28">
        <f t="shared" si="649"/>
        <v>0.111</v>
      </c>
      <c r="U109" s="28">
        <f t="shared" si="649"/>
        <v>0.111</v>
      </c>
      <c r="V109" s="28">
        <f t="shared" si="649"/>
        <v>0.111</v>
      </c>
      <c r="W109" s="28">
        <f t="shared" si="649"/>
        <v>0.111</v>
      </c>
      <c r="X109" s="28">
        <f t="shared" si="649"/>
        <v>0.111</v>
      </c>
      <c r="Y109" s="28">
        <f t="shared" si="649"/>
        <v>0.111</v>
      </c>
      <c r="Z109" s="28">
        <f t="shared" si="649"/>
        <v>0.111</v>
      </c>
      <c r="AA109" s="28">
        <f t="shared" si="649"/>
        <v>0.111</v>
      </c>
      <c r="AB109" s="28">
        <f t="shared" si="649"/>
        <v>0.111</v>
      </c>
      <c r="AC109" s="28">
        <f t="shared" si="649"/>
        <v>0.111</v>
      </c>
      <c r="AD109" s="28">
        <f t="shared" si="649"/>
        <v>0.111</v>
      </c>
      <c r="AE109" s="28">
        <f t="shared" si="649"/>
        <v>0.111</v>
      </c>
      <c r="AF109" s="28">
        <f t="shared" si="649"/>
        <v>0.12210000000000001</v>
      </c>
      <c r="AG109" s="28">
        <f t="shared" si="649"/>
        <v>0.12210000000000001</v>
      </c>
      <c r="AH109" s="28">
        <f t="shared" si="649"/>
        <v>0.12210000000000001</v>
      </c>
      <c r="AI109" s="28">
        <f t="shared" si="649"/>
        <v>0.12210000000000001</v>
      </c>
      <c r="AJ109" s="28">
        <f t="shared" si="649"/>
        <v>0.12210000000000001</v>
      </c>
      <c r="AK109" s="28">
        <f t="shared" si="649"/>
        <v>0.12210000000000001</v>
      </c>
      <c r="AL109" s="28">
        <f t="shared" si="649"/>
        <v>0.12210000000000001</v>
      </c>
      <c r="AM109" s="28">
        <f t="shared" si="649"/>
        <v>0.12210000000000001</v>
      </c>
      <c r="AN109" s="28">
        <f t="shared" si="649"/>
        <v>0.19980000000000001</v>
      </c>
      <c r="AO109" s="28">
        <f t="shared" si="649"/>
        <v>0.19980000000000001</v>
      </c>
      <c r="AP109" s="28">
        <f t="shared" si="649"/>
        <v>0.19980000000000001</v>
      </c>
      <c r="AQ109" s="28">
        <f t="shared" si="649"/>
        <v>0.19980000000000001</v>
      </c>
      <c r="AR109" s="28">
        <f t="shared" si="649"/>
        <v>0.19980000000000001</v>
      </c>
      <c r="AS109" s="28">
        <f t="shared" si="649"/>
        <v>0.19980000000000001</v>
      </c>
      <c r="AT109" s="28">
        <f t="shared" si="649"/>
        <v>0.19980000000000001</v>
      </c>
      <c r="AU109" s="28">
        <f t="shared" si="649"/>
        <v>0.19980000000000001</v>
      </c>
      <c r="AV109" s="28">
        <f t="shared" si="649"/>
        <v>0.19980000000000001</v>
      </c>
      <c r="AW109" s="28">
        <f t="shared" si="649"/>
        <v>0.19980000000000001</v>
      </c>
      <c r="AX109" s="28">
        <f t="shared" si="649"/>
        <v>0.19980000000000001</v>
      </c>
      <c r="AY109" s="28">
        <f t="shared" si="649"/>
        <v>0.19980000000000001</v>
      </c>
      <c r="AZ109" s="28">
        <f t="shared" si="649"/>
        <v>0.19980000000000001</v>
      </c>
      <c r="BA109" s="28">
        <f t="shared" si="649"/>
        <v>0.19980000000000001</v>
      </c>
      <c r="BB109" s="28">
        <f t="shared" si="649"/>
        <v>0.19980000000000001</v>
      </c>
      <c r="BC109" s="28">
        <f t="shared" si="649"/>
        <v>0.19980000000000001</v>
      </c>
      <c r="BD109" s="28">
        <f t="shared" si="649"/>
        <v>0.19980000000000001</v>
      </c>
      <c r="BE109" s="28">
        <f t="shared" ref="BE109:BF109" si="650">+SUMPRODUCT($G$110:$G$111,BE110:BE111)</f>
        <v>0.19980000000000001</v>
      </c>
      <c r="BF109" s="28">
        <f t="shared" si="650"/>
        <v>0.19980000000000001</v>
      </c>
      <c r="BG109" s="161">
        <f t="shared" ref="BG109:BH109" si="651">+SUMPRODUCT($G$110:$G$111,BG110:BG111)</f>
        <v>0.19980000000000001</v>
      </c>
      <c r="BH109" s="161">
        <f t="shared" si="651"/>
        <v>0.19980000000000001</v>
      </c>
      <c r="BI109" s="28">
        <f t="shared" ref="BI109:BJ109" si="652">+SUMPRODUCT($G$110:$G$111,BI110:BI111)</f>
        <v>0.19980000000000001</v>
      </c>
      <c r="BJ109" s="28">
        <f t="shared" si="652"/>
        <v>0.19980000000000001</v>
      </c>
      <c r="BK109" s="28">
        <f t="shared" ref="BK109:BL109" si="653">+SUMPRODUCT($G$110:$G$111,BK110:BK111)</f>
        <v>0.19980000000000001</v>
      </c>
      <c r="BL109" s="28">
        <f t="shared" si="653"/>
        <v>0.19980000000000001</v>
      </c>
      <c r="BM109" s="28">
        <f t="shared" ref="BM109:BN109" si="654">+SUMPRODUCT($G$110:$G$111,BM110:BM111)</f>
        <v>0.222</v>
      </c>
      <c r="BN109" s="28">
        <f t="shared" si="654"/>
        <v>0.222</v>
      </c>
      <c r="BO109" s="28">
        <f t="shared" ref="BO109:BP109" si="655">+SUMPRODUCT($G$110:$G$111,BO110:BO111)</f>
        <v>0.222</v>
      </c>
      <c r="BP109" s="28">
        <f t="shared" si="655"/>
        <v>0.222</v>
      </c>
      <c r="BQ109" s="28">
        <f t="shared" ref="BQ109:BR109" si="656">+SUMPRODUCT($G$110:$G$111,BQ110:BQ111)</f>
        <v>0.222</v>
      </c>
      <c r="BR109" s="28">
        <f t="shared" si="656"/>
        <v>0.222</v>
      </c>
      <c r="BS109" s="28">
        <f t="shared" ref="BS109:BT109" si="657">+SUMPRODUCT($G$110:$G$111,BS110:BS111)</f>
        <v>0.222</v>
      </c>
      <c r="BT109" s="28">
        <f t="shared" si="657"/>
        <v>0.222</v>
      </c>
      <c r="BU109" s="28">
        <f t="shared" ref="BU109:BV109" si="658">+SUMPRODUCT($G$110:$G$111,BU110:BU111)</f>
        <v>0.222</v>
      </c>
      <c r="BV109" s="28">
        <f t="shared" si="658"/>
        <v>0.222</v>
      </c>
      <c r="BW109" s="28">
        <f t="shared" ref="BW109:BX109" si="659">+SUMPRODUCT($G$110:$G$111,BW110:BW111)</f>
        <v>0.222</v>
      </c>
      <c r="BX109" s="28">
        <f t="shared" si="659"/>
        <v>0.222</v>
      </c>
      <c r="BY109" s="28">
        <f t="shared" ref="BY109:BZ109" si="660">+SUMPRODUCT($G$110:$G$111,BY110:BY111)</f>
        <v>0.222</v>
      </c>
      <c r="BZ109" s="28">
        <f t="shared" si="660"/>
        <v>0.222</v>
      </c>
      <c r="CA109" s="28">
        <f t="shared" ref="CA109:CB109" si="661">+SUMPRODUCT($G$110:$G$111,CA110:CA111)</f>
        <v>0.222</v>
      </c>
      <c r="CB109" s="28">
        <f t="shared" si="661"/>
        <v>0.222</v>
      </c>
      <c r="CC109" s="28">
        <f t="shared" ref="CC109:CD109" si="662">+SUMPRODUCT($G$110:$G$111,CC110:CC111)</f>
        <v>0.222</v>
      </c>
      <c r="CD109" s="28">
        <f t="shared" si="662"/>
        <v>0.222</v>
      </c>
      <c r="CE109" s="28">
        <f t="shared" ref="CE109" si="663">+SUMPRODUCT($G$110:$G$111,CE110:CE111)</f>
        <v>0.222</v>
      </c>
      <c r="CF109" s="28">
        <f t="shared" ref="CF109" si="664">+SUMPRODUCT($G$110:$G$111,CF110:CF111)</f>
        <v>0.222</v>
      </c>
      <c r="CG109" s="28">
        <f t="shared" ref="CG109" si="665">+SUMPRODUCT($G$110:$G$111,CG110:CG111)</f>
        <v>0.222</v>
      </c>
      <c r="CH109" s="28">
        <f t="shared" ref="CH109" si="666">+SUMPRODUCT($G$110:$G$111,CH110:CH111)</f>
        <v>0.222</v>
      </c>
      <c r="CI109" s="28">
        <f t="shared" ref="CI109" si="667">+SUMPRODUCT($G$110:$G$111,CI110:CI111)</f>
        <v>0.222</v>
      </c>
      <c r="CJ109" s="28">
        <f t="shared" ref="CJ109:CK109" si="668">+SUMPRODUCT($G$110:$G$111,CJ110:CJ111)</f>
        <v>0.222</v>
      </c>
      <c r="CK109" s="28">
        <f t="shared" si="668"/>
        <v>0.222</v>
      </c>
      <c r="CL109" s="28">
        <f t="shared" ref="CL109:CV109" si="669">+SUMPRODUCT($G$110:$G$111,CL110:CL111)</f>
        <v>0.222</v>
      </c>
      <c r="CM109" s="28">
        <f t="shared" si="669"/>
        <v>0.222</v>
      </c>
      <c r="CN109" s="28">
        <f t="shared" si="669"/>
        <v>0.222</v>
      </c>
      <c r="CO109" s="28">
        <f t="shared" si="669"/>
        <v>0.222</v>
      </c>
      <c r="CP109" s="28">
        <f t="shared" si="669"/>
        <v>0.222</v>
      </c>
      <c r="CQ109" s="28">
        <f t="shared" si="669"/>
        <v>0.222</v>
      </c>
      <c r="CR109" s="28">
        <f t="shared" si="669"/>
        <v>0.222</v>
      </c>
      <c r="CS109" s="28">
        <f t="shared" si="669"/>
        <v>0.222</v>
      </c>
      <c r="CT109" s="28">
        <f t="shared" si="669"/>
        <v>0.222</v>
      </c>
      <c r="CU109" s="28">
        <f t="shared" si="669"/>
        <v>0.222</v>
      </c>
      <c r="CV109" s="28">
        <f t="shared" si="669"/>
        <v>0.222</v>
      </c>
      <c r="CW109" s="28">
        <f t="shared" ref="CW109" si="670">+SUMPRODUCT($G$110:$G$111,CW110:CW111)</f>
        <v>0.222</v>
      </c>
      <c r="CX109" s="28">
        <f t="shared" ref="CX109:CY109" si="671">+SUMPRODUCT($G$110:$G$111,CX110:CX111)</f>
        <v>0.222</v>
      </c>
      <c r="CY109" s="28">
        <f t="shared" si="671"/>
        <v>0.222</v>
      </c>
      <c r="CZ109" s="28">
        <f t="shared" ref="CZ109:DA109" si="672">+SUMPRODUCT($G$110:$G$111,CZ110:CZ111)</f>
        <v>0.222</v>
      </c>
      <c r="DA109" s="28">
        <f t="shared" si="672"/>
        <v>0.222</v>
      </c>
      <c r="DB109" s="28">
        <f t="shared" ref="DB109:DC109" si="673">+SUMPRODUCT($G$110:$G$111,DB110:DB111)</f>
        <v>0.222</v>
      </c>
      <c r="DC109" s="28">
        <f t="shared" si="673"/>
        <v>0.222</v>
      </c>
      <c r="DD109" s="28">
        <f t="shared" ref="DD109:DE109" si="674">+SUMPRODUCT($G$110:$G$111,DD110:DD111)</f>
        <v>0.222</v>
      </c>
      <c r="DE109" s="28">
        <f t="shared" si="674"/>
        <v>0.222</v>
      </c>
      <c r="DF109" s="28">
        <f t="shared" ref="DF109:EI109" si="675">+SUMPRODUCT($G$110:$G$111,DF110:DF111)</f>
        <v>0.222</v>
      </c>
      <c r="DG109" s="28">
        <f t="shared" si="675"/>
        <v>0.222</v>
      </c>
      <c r="DH109" s="28">
        <f t="shared" si="675"/>
        <v>0.222</v>
      </c>
      <c r="DI109" s="28">
        <f t="shared" si="675"/>
        <v>0.222</v>
      </c>
      <c r="DJ109" s="28">
        <f t="shared" si="675"/>
        <v>0.222</v>
      </c>
      <c r="DK109" s="28">
        <f t="shared" si="675"/>
        <v>0.222</v>
      </c>
      <c r="DL109" s="28">
        <f t="shared" si="675"/>
        <v>0.222</v>
      </c>
      <c r="DM109" s="28">
        <f t="shared" si="675"/>
        <v>0.222</v>
      </c>
      <c r="DN109" s="28">
        <f t="shared" si="675"/>
        <v>0.222</v>
      </c>
      <c r="DO109" s="28">
        <f t="shared" si="675"/>
        <v>0.222</v>
      </c>
      <c r="DP109" s="28">
        <f t="shared" si="675"/>
        <v>0.222</v>
      </c>
      <c r="DQ109" s="28">
        <f t="shared" si="675"/>
        <v>0.222</v>
      </c>
      <c r="DR109" s="28">
        <f t="shared" si="675"/>
        <v>0.222</v>
      </c>
      <c r="DS109" s="28">
        <f t="shared" si="675"/>
        <v>0.222</v>
      </c>
      <c r="DT109" s="28">
        <f t="shared" si="675"/>
        <v>0.222</v>
      </c>
      <c r="DU109" s="28">
        <f t="shared" si="675"/>
        <v>0.222</v>
      </c>
      <c r="DV109" s="28">
        <f t="shared" si="675"/>
        <v>0.222</v>
      </c>
      <c r="DW109" s="28">
        <f t="shared" si="675"/>
        <v>0.222</v>
      </c>
      <c r="DX109" s="28">
        <f t="shared" si="675"/>
        <v>0.222</v>
      </c>
      <c r="DY109" s="28">
        <f t="shared" si="675"/>
        <v>0.222</v>
      </c>
      <c r="DZ109" s="28">
        <f t="shared" si="675"/>
        <v>0.222</v>
      </c>
      <c r="EA109" s="28">
        <f t="shared" si="675"/>
        <v>0.222</v>
      </c>
      <c r="EB109" s="28">
        <f t="shared" si="675"/>
        <v>0.222</v>
      </c>
      <c r="EC109" s="28">
        <f t="shared" si="675"/>
        <v>0.222</v>
      </c>
      <c r="ED109" s="28">
        <f t="shared" si="675"/>
        <v>0.222</v>
      </c>
      <c r="EE109" s="28">
        <f t="shared" si="675"/>
        <v>0.222</v>
      </c>
      <c r="EF109" s="28">
        <f t="shared" si="675"/>
        <v>0.222</v>
      </c>
      <c r="EG109" s="28">
        <f t="shared" si="675"/>
        <v>0.222</v>
      </c>
      <c r="EH109" s="28">
        <f t="shared" si="675"/>
        <v>0.222</v>
      </c>
      <c r="EI109" s="28">
        <f t="shared" si="675"/>
        <v>0.222</v>
      </c>
    </row>
    <row r="110" spans="2:139" hidden="1" outlineLevel="3" x14ac:dyDescent="0.3">
      <c r="B110" s="29"/>
      <c r="C110" s="30"/>
      <c r="D110" s="30"/>
      <c r="E110" s="52" t="s">
        <v>113</v>
      </c>
      <c r="F110" s="33">
        <v>10</v>
      </c>
      <c r="G110" s="35">
        <v>0.222</v>
      </c>
      <c r="H110" s="162"/>
      <c r="I110" s="127">
        <v>2.5000000000000001E-2</v>
      </c>
      <c r="J110" s="127">
        <v>7.1428571428571508E-2</v>
      </c>
      <c r="K110" s="127">
        <v>0.14285714285714296</v>
      </c>
      <c r="L110" s="127">
        <v>0.21428571428571441</v>
      </c>
      <c r="M110" s="127">
        <v>0.28571428571428586</v>
      </c>
      <c r="N110" s="127">
        <v>0.35714285714285732</v>
      </c>
      <c r="O110" s="127">
        <v>0.42857142857142877</v>
      </c>
      <c r="P110" s="127">
        <v>0.5</v>
      </c>
      <c r="Q110" s="127">
        <v>0.5</v>
      </c>
      <c r="R110" s="127">
        <v>0.5</v>
      </c>
      <c r="S110" s="127">
        <v>0.5</v>
      </c>
      <c r="T110" s="127">
        <v>0.5</v>
      </c>
      <c r="U110" s="127">
        <v>0.5</v>
      </c>
      <c r="V110" s="127">
        <v>0.5</v>
      </c>
      <c r="W110" s="127">
        <v>0.5</v>
      </c>
      <c r="X110" s="127">
        <v>0.5</v>
      </c>
      <c r="Y110" s="127">
        <v>0.5</v>
      </c>
      <c r="Z110" s="127">
        <v>0.5</v>
      </c>
      <c r="AA110" s="127">
        <v>0.5</v>
      </c>
      <c r="AB110" s="127">
        <v>0.5</v>
      </c>
      <c r="AC110" s="127">
        <v>0.5</v>
      </c>
      <c r="AD110" s="127">
        <v>0.5</v>
      </c>
      <c r="AE110" s="127">
        <v>0.5</v>
      </c>
      <c r="AF110" s="127">
        <v>0.55000000000000004</v>
      </c>
      <c r="AG110" s="127">
        <v>0.55000000000000004</v>
      </c>
      <c r="AH110" s="127">
        <v>0.55000000000000004</v>
      </c>
      <c r="AI110" s="127">
        <v>0.55000000000000004</v>
      </c>
      <c r="AJ110" s="127">
        <v>0.55000000000000004</v>
      </c>
      <c r="AK110" s="127">
        <v>0.55000000000000004</v>
      </c>
      <c r="AL110" s="127">
        <v>0.55000000000000004</v>
      </c>
      <c r="AM110" s="127">
        <v>0.55000000000000004</v>
      </c>
      <c r="AN110" s="127">
        <v>0.9</v>
      </c>
      <c r="AO110" s="127">
        <v>0.9</v>
      </c>
      <c r="AP110" s="127">
        <v>0.9</v>
      </c>
      <c r="AQ110" s="127">
        <v>0.9</v>
      </c>
      <c r="AR110" s="127">
        <v>0.9</v>
      </c>
      <c r="AS110" s="127">
        <v>0.9</v>
      </c>
      <c r="AT110" s="127">
        <v>0.9</v>
      </c>
      <c r="AU110" s="127">
        <v>0.9</v>
      </c>
      <c r="AV110" s="127">
        <v>0.9</v>
      </c>
      <c r="AW110" s="127">
        <v>0.9</v>
      </c>
      <c r="AX110" s="127">
        <v>0.9</v>
      </c>
      <c r="AY110" s="127">
        <v>0.9</v>
      </c>
      <c r="AZ110" s="127">
        <v>0.9</v>
      </c>
      <c r="BA110" s="127">
        <v>0.9</v>
      </c>
      <c r="BB110" s="127">
        <f>Real[[#This Row],[05/05/25]]+(1-Real[[#This Row],[05/05/25]])*'Avance 39'!I64</f>
        <v>0.9</v>
      </c>
      <c r="BC110" s="127">
        <f>Real[[#This Row],[05/05/25]]+(1-Real[[#This Row],[05/05/25]])*'Avance 39'!J64</f>
        <v>0.9</v>
      </c>
      <c r="BD110" s="127">
        <f>Real[[#This Row],[05/05/25]]+(1-Real[[#This Row],[05/05/25]])*'Avance 39'!K64</f>
        <v>0.9</v>
      </c>
      <c r="BE110" s="127">
        <f>Real[[#This Row],[05/05/25]]+(1-Real[[#This Row],[05/05/25]])*'Avance 39'!L64</f>
        <v>0.9</v>
      </c>
      <c r="BF110" s="127">
        <f>Real[[#This Row],[05/05/25]]+(1-Real[[#This Row],[05/05/25]])*'Avance 39'!M64</f>
        <v>0.9</v>
      </c>
      <c r="BG110" s="163">
        <f>Real[[#This Row],[05/05/25]]+(1-Real[[#This Row],[05/05/25]])*'Avance 39'!N64</f>
        <v>0.9</v>
      </c>
      <c r="BH110" s="163">
        <f>Real[[#This Row],[05/05/25]]+(1-Real[[#This Row],[05/05/25]])*'Avance 39'!O64</f>
        <v>0.9</v>
      </c>
      <c r="BI110" s="127">
        <f>Real[[#This Row],[05/05/25]]+(1-Real[[#This Row],[05/05/25]])*'Avance 39'!P64</f>
        <v>0.9</v>
      </c>
      <c r="BJ110" s="127">
        <f>Real[[#This Row],[05/05/25]]+(1-Real[[#This Row],[05/05/25]])*'Avance 39'!Q64</f>
        <v>0.9</v>
      </c>
      <c r="BK110" s="127">
        <f>Real[[#This Row],[05/05/25]]+(1-Real[[#This Row],[05/05/25]])*'Avance 39'!R64</f>
        <v>0.9</v>
      </c>
      <c r="BL110" s="127">
        <f>Real[[#This Row],[05/05/25]]+(1-Real[[#This Row],[05/05/25]])*'Avance 39'!S64</f>
        <v>0.9</v>
      </c>
      <c r="BM110" s="127">
        <f>Real[[#This Row],[05/05/25]]+(1-Real[[#This Row],[05/05/25]])*'Avance 39'!T64</f>
        <v>1</v>
      </c>
      <c r="BN110" s="127">
        <f>Real[[#This Row],[05/05/25]]+(1-Real[[#This Row],[05/05/25]])*'Avance 39'!U64</f>
        <v>1</v>
      </c>
      <c r="BO110" s="127">
        <f>Real[[#This Row],[05/05/25]]+(1-Real[[#This Row],[05/05/25]])*'Avance 39'!V64</f>
        <v>1</v>
      </c>
      <c r="BP110" s="127">
        <f>Real[[#This Row],[05/05/25]]+(1-Real[[#This Row],[05/05/25]])*'Avance 39'!W64</f>
        <v>1</v>
      </c>
      <c r="BQ110" s="127">
        <f>Real[[#This Row],[05/05/25]]+(1-Real[[#This Row],[05/05/25]])*'Avance 39'!X64</f>
        <v>1</v>
      </c>
      <c r="BR110" s="127">
        <f>Real[[#This Row],[05/05/25]]+(1-Real[[#This Row],[05/05/25]])*'Avance 39'!Y64</f>
        <v>1</v>
      </c>
      <c r="BS110" s="127">
        <f>Real[[#This Row],[05/05/25]]+(1-Real[[#This Row],[05/05/25]])*'Avance 39'!Z64</f>
        <v>1</v>
      </c>
      <c r="BT110" s="127">
        <f>Real[[#This Row],[05/05/25]]+(1-Real[[#This Row],[05/05/25]])*'Avance 39'!AA64</f>
        <v>1</v>
      </c>
      <c r="BU110" s="127">
        <f>Real[[#This Row],[05/05/25]]+(1-Real[[#This Row],[05/05/25]])*'Avance 39'!AB64</f>
        <v>1</v>
      </c>
      <c r="BV110" s="127">
        <f>Real[[#This Row],[05/05/25]]+(1-Real[[#This Row],[05/05/25]])*'Avance 39'!AC64</f>
        <v>1</v>
      </c>
      <c r="BW110" s="127">
        <f>Real[[#This Row],[05/05/25]]+(1-Real[[#This Row],[05/05/25]])*'Avance 39'!AD64</f>
        <v>1</v>
      </c>
      <c r="BX110" s="127">
        <f>Real[[#This Row],[05/05/25]]+(1-Real[[#This Row],[05/05/25]])*'Avance 39'!AE64</f>
        <v>1</v>
      </c>
      <c r="BY110" s="127">
        <f>Real[[#This Row],[05/05/25]]+(1-Real[[#This Row],[05/05/25]])*'Avance 39'!AF64</f>
        <v>1</v>
      </c>
      <c r="BZ110" s="127">
        <f>Real[[#This Row],[05/05/25]]+(1-Real[[#This Row],[05/05/25]])*'Avance 39'!AG64</f>
        <v>1</v>
      </c>
      <c r="CA110" s="127">
        <f>Real[[#This Row],[05/05/25]]+(1-Real[[#This Row],[05/05/25]])*'Avance 39'!AH64</f>
        <v>1</v>
      </c>
      <c r="CB110" s="127">
        <f>Real[[#This Row],[05/05/25]]+(1-Real[[#This Row],[05/05/25]])*'Avance 39'!AI64</f>
        <v>1</v>
      </c>
      <c r="CC110" s="127">
        <f>Real[[#This Row],[05/05/25]]+(1-Real[[#This Row],[05/05/25]])*'Avance 39'!AJ64</f>
        <v>1</v>
      </c>
      <c r="CD110" s="127">
        <f>Real[[#This Row],[05/05/25]]+(1-Real[[#This Row],[05/05/25]])*'Avance 39'!AK64</f>
        <v>1</v>
      </c>
      <c r="CE110" s="127">
        <f>Real[[#This Row],[05/05/25]]+(1-Real[[#This Row],[05/05/25]])*'Avance 39'!AL64</f>
        <v>1</v>
      </c>
      <c r="CF110" s="127">
        <f>Real[[#This Row],[05/05/25]]+(1-Real[[#This Row],[05/05/25]])*'Avance 39'!AM64</f>
        <v>1</v>
      </c>
      <c r="CG110" s="127">
        <f>Real[[#This Row],[05/05/25]]+(1-Real[[#This Row],[05/05/25]])*'Avance 39'!AN64</f>
        <v>1</v>
      </c>
      <c r="CH110" s="127">
        <f>Real[[#This Row],[05/05/25]]+(1-Real[[#This Row],[05/05/25]])*'Avance 39'!AO64</f>
        <v>1</v>
      </c>
      <c r="CI110" s="127">
        <f>Real[[#This Row],[05/05/25]]+(1-Real[[#This Row],[05/05/25]])*'Avance 39'!AP64</f>
        <v>1</v>
      </c>
      <c r="CJ110" s="127">
        <f>Real[[#This Row],[05/05/25]]+(1-Real[[#This Row],[05/05/25]])*'Avance 39'!AQ64</f>
        <v>1</v>
      </c>
      <c r="CK110" s="127">
        <f>Real[[#This Row],[05/05/25]]+(1-Real[[#This Row],[05/05/25]])*'Avance 39'!AR64</f>
        <v>1</v>
      </c>
      <c r="CL110" s="127">
        <f>Real[[#This Row],[05/05/25]]+(1-Real[[#This Row],[05/05/25]])*'Avance 39'!AS64</f>
        <v>1</v>
      </c>
      <c r="CM110" s="127">
        <f>Real[[#This Row],[05/05/25]]+(1-Real[[#This Row],[05/05/25]])*'Avance 39'!AT64</f>
        <v>1</v>
      </c>
      <c r="CN110" s="127">
        <f>Real[[#This Row],[05/05/25]]+(1-Real[[#This Row],[05/05/25]])*'Avance 39'!AU64</f>
        <v>1</v>
      </c>
      <c r="CO110" s="127">
        <f>Real[[#This Row],[05/05/25]]+(1-Real[[#This Row],[05/05/25]])*'Avance 39'!AV64</f>
        <v>1</v>
      </c>
      <c r="CP110" s="127">
        <f>Real[[#This Row],[05/05/25]]+(1-Real[[#This Row],[05/05/25]])*'Avance 39'!AW64</f>
        <v>1</v>
      </c>
      <c r="CQ110" s="127">
        <f>Real[[#This Row],[05/05/25]]+(1-Real[[#This Row],[05/05/25]])*'Avance 39'!AX64</f>
        <v>1</v>
      </c>
      <c r="CR110" s="127">
        <f>Real[[#This Row],[05/05/25]]+(1-Real[[#This Row],[05/05/25]])*'Avance 39'!AY64</f>
        <v>1</v>
      </c>
      <c r="CS110" s="127">
        <f>Real[[#This Row],[05/05/25]]+(1-Real[[#This Row],[05/05/25]])*'Avance 39'!AZ64</f>
        <v>1</v>
      </c>
      <c r="CT110" s="127">
        <f>Real[[#This Row],[05/05/25]]+(1-Real[[#This Row],[05/05/25]])*'Avance 39'!BA64</f>
        <v>1</v>
      </c>
      <c r="CU110" s="127">
        <f>Real[[#This Row],[05/05/25]]+(1-Real[[#This Row],[05/05/25]])*'Avance 39'!BB64</f>
        <v>1</v>
      </c>
      <c r="CV110" s="127">
        <f>Real[[#This Row],[05/05/25]]+(1-Real[[#This Row],[05/05/25]])*'Avance 39'!BC64</f>
        <v>1</v>
      </c>
      <c r="CW110" s="127">
        <f>Real[[#This Row],[05/05/25]]+(1-Real[[#This Row],[05/05/25]])*'Avance 39'!BD64</f>
        <v>1</v>
      </c>
      <c r="CX110" s="127">
        <f>Real[[#This Row],[05/05/25]]+(1-Real[[#This Row],[05/05/25]])*'Avance 39'!BE64</f>
        <v>1</v>
      </c>
      <c r="CY110" s="127">
        <f>Real[[#This Row],[05/05/25]]+(1-Real[[#This Row],[05/05/25]])*'Avance 39'!BF64</f>
        <v>1</v>
      </c>
      <c r="CZ110" s="127">
        <f>Real[[#This Row],[05/05/25]]+(1-Real[[#This Row],[05/05/25]])*'Avance 39'!BG64</f>
        <v>1</v>
      </c>
      <c r="DA110" s="127">
        <f>Real[[#This Row],[05/05/25]]+(1-Real[[#This Row],[05/05/25]])*'Avance 39'!BH64</f>
        <v>1</v>
      </c>
      <c r="DB110" s="127">
        <f>Real[[#This Row],[05/05/25]]+(1-Real[[#This Row],[05/05/25]])*'Avance 39'!BI64</f>
        <v>1</v>
      </c>
      <c r="DC110" s="127">
        <f>Real[[#This Row],[05/05/25]]+(1-Real[[#This Row],[05/05/25]])*'Avance 39'!BJ64</f>
        <v>1</v>
      </c>
      <c r="DD110" s="127">
        <f>Real[[#This Row],[05/05/25]]+(1-Real[[#This Row],[05/05/25]])*'Avance 39'!BK64</f>
        <v>1</v>
      </c>
      <c r="DE110" s="127">
        <f>Real[[#This Row],[05/05/25]]+(1-Real[[#This Row],[05/05/25]])*'Avance 39'!BL64</f>
        <v>1</v>
      </c>
      <c r="DF110" s="127">
        <f>Real[[#This Row],[05/05/25]]+(1-Real[[#This Row],[05/05/25]])*'Avance 39'!BM64</f>
        <v>1</v>
      </c>
      <c r="DG110" s="127">
        <f>Real[[#This Row],[05/05/25]]+(1-Real[[#This Row],[05/05/25]])*'Avance 39'!BN64</f>
        <v>1</v>
      </c>
      <c r="DH110" s="127">
        <f>Real[[#This Row],[05/05/25]]+(1-Real[[#This Row],[05/05/25]])*'Avance 39'!BO64</f>
        <v>1</v>
      </c>
      <c r="DI110" s="127">
        <f>Real[[#This Row],[05/05/25]]+(1-Real[[#This Row],[05/05/25]])*'Avance 39'!BP64</f>
        <v>1</v>
      </c>
      <c r="DJ110" s="127">
        <f>Real[[#This Row],[05/05/25]]+(1-Real[[#This Row],[05/05/25]])*'Avance 39'!BQ64</f>
        <v>1</v>
      </c>
      <c r="DK110" s="127">
        <f>Real[[#This Row],[05/05/25]]+(1-Real[[#This Row],[05/05/25]])*'Avance 39'!BR64</f>
        <v>1</v>
      </c>
      <c r="DL110" s="127">
        <f>Real[[#This Row],[05/05/25]]+(1-Real[[#This Row],[05/05/25]])*'Avance 39'!BS64</f>
        <v>1</v>
      </c>
      <c r="DM110" s="127">
        <f>Real[[#This Row],[05/05/25]]+(1-Real[[#This Row],[05/05/25]])*'Avance 39'!BT64</f>
        <v>1</v>
      </c>
      <c r="DN110" s="127">
        <f>Real[[#This Row],[05/05/25]]+(1-Real[[#This Row],[05/05/25]])*'Avance 39'!BU64</f>
        <v>1</v>
      </c>
      <c r="DO110" s="127">
        <f>Real[[#This Row],[05/05/25]]+(1-Real[[#This Row],[05/05/25]])*'Avance 39'!BV64</f>
        <v>1</v>
      </c>
      <c r="DP110" s="127">
        <f>Real[[#This Row],[05/05/25]]+(1-Real[[#This Row],[05/05/25]])*'Avance 39'!BW64</f>
        <v>1</v>
      </c>
      <c r="DQ110" s="127">
        <f>Real[[#This Row],[05/05/25]]+(1-Real[[#This Row],[05/05/25]])*'Avance 39'!BX64</f>
        <v>1</v>
      </c>
      <c r="DR110" s="127">
        <f>Real[[#This Row],[05/05/25]]+(1-Real[[#This Row],[05/05/25]])*'Avance 39'!BY64</f>
        <v>1</v>
      </c>
      <c r="DS110" s="127">
        <f>Real[[#This Row],[05/05/25]]+(1-Real[[#This Row],[05/05/25]])*'Avance 39'!BZ64</f>
        <v>1</v>
      </c>
      <c r="DT110" s="127">
        <f>Real[[#This Row],[05/05/25]]+(1-Real[[#This Row],[05/05/25]])*'Avance 39'!CA64</f>
        <v>1</v>
      </c>
      <c r="DU110" s="127">
        <f>Real[[#This Row],[05/05/25]]+(1-Real[[#This Row],[05/05/25]])*'Avance 39'!CB64</f>
        <v>1</v>
      </c>
      <c r="DV110" s="127">
        <f>Real[[#This Row],[05/05/25]]+(1-Real[[#This Row],[05/05/25]])*'Avance 39'!CC64</f>
        <v>1</v>
      </c>
      <c r="DW110" s="127">
        <f>Real[[#This Row],[05/05/25]]+(1-Real[[#This Row],[05/05/25]])*'Avance 39'!CD64</f>
        <v>1</v>
      </c>
      <c r="DX110" s="127">
        <f>Real[[#This Row],[05/05/25]]+(1-Real[[#This Row],[05/05/25]])*'Avance 39'!CE64</f>
        <v>1</v>
      </c>
      <c r="DY110" s="127">
        <f>Real[[#This Row],[05/05/25]]+(1-Real[[#This Row],[05/05/25]])*'Avance 39'!CF64</f>
        <v>1</v>
      </c>
      <c r="DZ110" s="127">
        <f>Real[[#This Row],[05/05/25]]+(1-Real[[#This Row],[05/05/25]])*'Avance 39'!CG64</f>
        <v>1</v>
      </c>
      <c r="EA110" s="127">
        <f>Real[[#This Row],[05/05/25]]+(1-Real[[#This Row],[05/05/25]])*'Avance 39'!CH64</f>
        <v>1</v>
      </c>
      <c r="EB110" s="127">
        <f>Real[[#This Row],[05/05/25]]+(1-Real[[#This Row],[05/05/25]])*'Avance 39'!CI64</f>
        <v>1</v>
      </c>
      <c r="EC110" s="127">
        <f>Real[[#This Row],[05/05/25]]+(1-Real[[#This Row],[05/05/25]])*'Avance 39'!CJ64</f>
        <v>1</v>
      </c>
      <c r="ED110" s="127">
        <f>Real[[#This Row],[05/05/25]]+(1-Real[[#This Row],[05/05/25]])*'Avance 39'!CK64</f>
        <v>1</v>
      </c>
      <c r="EE110" s="127">
        <f>Real[[#This Row],[05/05/25]]+(1-Real[[#This Row],[05/05/25]])*'Avance 39'!CL64</f>
        <v>1</v>
      </c>
      <c r="EF110" s="127">
        <f>Real[[#This Row],[05/05/25]]+(1-Real[[#This Row],[05/05/25]])*'Avance 39'!CM64</f>
        <v>1</v>
      </c>
      <c r="EG110" s="127">
        <f>Real[[#This Row],[05/05/25]]+(1-Real[[#This Row],[05/05/25]])*'Avance 39'!CN64</f>
        <v>1</v>
      </c>
      <c r="EH110" s="127">
        <f>Real[[#This Row],[05/05/25]]+(1-Real[[#This Row],[05/05/25]])*'Avance 39'!CO64</f>
        <v>1</v>
      </c>
      <c r="EI110" s="127">
        <f>Real[[#This Row],[05/05/25]]+(1-Real[[#This Row],[05/05/25]])*'Avance 39'!CP64</f>
        <v>1</v>
      </c>
    </row>
    <row r="111" spans="2:139" hidden="1" outlineLevel="3" x14ac:dyDescent="0.3">
      <c r="B111" s="280"/>
      <c r="C111" s="281"/>
      <c r="D111" s="281"/>
      <c r="E111" s="282" t="s">
        <v>114</v>
      </c>
      <c r="F111" s="283">
        <v>40</v>
      </c>
      <c r="G111" s="284">
        <v>0.77800000000000002</v>
      </c>
      <c r="H111" s="162"/>
      <c r="I111" s="127">
        <v>0</v>
      </c>
      <c r="J111" s="127">
        <v>0</v>
      </c>
      <c r="K111" s="127">
        <v>0</v>
      </c>
      <c r="L111" s="127">
        <v>0</v>
      </c>
      <c r="M111" s="128">
        <v>0</v>
      </c>
      <c r="N111" s="128">
        <v>0</v>
      </c>
      <c r="O111" s="127">
        <v>0</v>
      </c>
      <c r="P111" s="127">
        <v>0</v>
      </c>
      <c r="Q111" s="127">
        <v>0</v>
      </c>
      <c r="R111" s="127">
        <v>0</v>
      </c>
      <c r="S111" s="127">
        <v>0</v>
      </c>
      <c r="T111" s="127">
        <v>0</v>
      </c>
      <c r="U111" s="127">
        <v>0</v>
      </c>
      <c r="V111" s="127">
        <v>0</v>
      </c>
      <c r="W111" s="127">
        <v>0</v>
      </c>
      <c r="X111" s="127">
        <v>0</v>
      </c>
      <c r="Y111" s="127">
        <v>0</v>
      </c>
      <c r="Z111" s="127">
        <v>0</v>
      </c>
      <c r="AA111" s="127">
        <v>0</v>
      </c>
      <c r="AB111" s="127">
        <v>0</v>
      </c>
      <c r="AC111" s="127">
        <v>0</v>
      </c>
      <c r="AD111" s="127">
        <v>0</v>
      </c>
      <c r="AE111" s="127">
        <v>0</v>
      </c>
      <c r="AF111" s="127">
        <v>0</v>
      </c>
      <c r="AG111" s="127">
        <v>0</v>
      </c>
      <c r="AH111" s="127">
        <v>0</v>
      </c>
      <c r="AI111" s="127">
        <v>0</v>
      </c>
      <c r="AJ111" s="127">
        <v>0</v>
      </c>
      <c r="AK111" s="127">
        <v>0</v>
      </c>
      <c r="AL111" s="127">
        <v>0</v>
      </c>
      <c r="AM111" s="127">
        <v>0</v>
      </c>
      <c r="AN111" s="127">
        <v>0</v>
      </c>
      <c r="AO111" s="127">
        <v>0</v>
      </c>
      <c r="AP111" s="127">
        <v>0</v>
      </c>
      <c r="AQ111" s="127">
        <v>0</v>
      </c>
      <c r="AR111" s="127">
        <v>0</v>
      </c>
      <c r="AS111" s="127">
        <v>0</v>
      </c>
      <c r="AT111" s="127">
        <v>0</v>
      </c>
      <c r="AU111" s="127">
        <v>0</v>
      </c>
      <c r="AV111" s="127">
        <v>0</v>
      </c>
      <c r="AW111" s="127">
        <v>0</v>
      </c>
      <c r="AX111" s="127">
        <v>0</v>
      </c>
      <c r="AY111" s="127">
        <v>0</v>
      </c>
      <c r="AZ111" s="127">
        <v>0</v>
      </c>
      <c r="BA111" s="127">
        <v>0</v>
      </c>
      <c r="BB111" s="127">
        <f>Real[[#This Row],[05/05/25]]+(1-Real[[#This Row],[05/05/25]])*'Avance 39'!I65</f>
        <v>0</v>
      </c>
      <c r="BC111" s="127">
        <f>Real[[#This Row],[05/05/25]]+(1-Real[[#This Row],[05/05/25]])*'Avance 39'!J65</f>
        <v>0</v>
      </c>
      <c r="BD111" s="127">
        <f>Real[[#This Row],[05/05/25]]+(1-Real[[#This Row],[05/05/25]])*'Avance 39'!K65</f>
        <v>0</v>
      </c>
      <c r="BE111" s="127">
        <f>Real[[#This Row],[05/05/25]]+(1-Real[[#This Row],[05/05/25]])*'Avance 39'!L65</f>
        <v>0</v>
      </c>
      <c r="BF111" s="127">
        <f>Real[[#This Row],[05/05/25]]+(1-Real[[#This Row],[05/05/25]])*'Avance 39'!M65</f>
        <v>0</v>
      </c>
      <c r="BG111" s="163">
        <f>Real[[#This Row],[05/05/25]]+(1-Real[[#This Row],[05/05/25]])*'Avance 39'!N65</f>
        <v>0</v>
      </c>
      <c r="BH111" s="163">
        <f>Real[[#This Row],[05/05/25]]+(1-Real[[#This Row],[05/05/25]])*'Avance 39'!O65</f>
        <v>0</v>
      </c>
      <c r="BI111" s="127">
        <f>Real[[#This Row],[05/05/25]]+(1-Real[[#This Row],[05/05/25]])*'Avance 39'!P65</f>
        <v>0</v>
      </c>
      <c r="BJ111" s="127">
        <f>Real[[#This Row],[05/05/25]]+(1-Real[[#This Row],[05/05/25]])*'Avance 39'!Q65</f>
        <v>0</v>
      </c>
      <c r="BK111" s="127">
        <f>Real[[#This Row],[05/05/25]]+(1-Real[[#This Row],[05/05/25]])*'Avance 39'!R65</f>
        <v>0</v>
      </c>
      <c r="BL111" s="127">
        <f>Real[[#This Row],[05/05/25]]+(1-Real[[#This Row],[05/05/25]])*'Avance 39'!S65</f>
        <v>0</v>
      </c>
      <c r="BM111" s="127">
        <f>Real[[#This Row],[05/05/25]]+(1-Real[[#This Row],[05/05/25]])*'Avance 39'!T65</f>
        <v>0</v>
      </c>
      <c r="BN111" s="127">
        <f>Real[[#This Row],[05/05/25]]+(1-Real[[#This Row],[05/05/25]])*'Avance 39'!U65</f>
        <v>0</v>
      </c>
      <c r="BO111" s="127">
        <f>Real[[#This Row],[05/05/25]]+(1-Real[[#This Row],[05/05/25]])*'Avance 39'!V65</f>
        <v>0</v>
      </c>
      <c r="BP111" s="127">
        <f>Real[[#This Row],[05/05/25]]+(1-Real[[#This Row],[05/05/25]])*'Avance 39'!W65</f>
        <v>0</v>
      </c>
      <c r="BQ111" s="127">
        <f>Real[[#This Row],[05/05/25]]+(1-Real[[#This Row],[05/05/25]])*'Avance 39'!X65</f>
        <v>0</v>
      </c>
      <c r="BR111" s="127">
        <f>Real[[#This Row],[05/05/25]]+(1-Real[[#This Row],[05/05/25]])*'Avance 39'!Y65</f>
        <v>0</v>
      </c>
      <c r="BS111" s="127">
        <f>Real[[#This Row],[05/05/25]]+(1-Real[[#This Row],[05/05/25]])*'Avance 39'!Z65</f>
        <v>0</v>
      </c>
      <c r="BT111" s="127">
        <f>Real[[#This Row],[05/05/25]]+(1-Real[[#This Row],[05/05/25]])*'Avance 39'!AA65</f>
        <v>0</v>
      </c>
      <c r="BU111" s="127">
        <f>Real[[#This Row],[05/05/25]]+(1-Real[[#This Row],[05/05/25]])*'Avance 39'!AB65</f>
        <v>0</v>
      </c>
      <c r="BV111" s="127">
        <f>Real[[#This Row],[05/05/25]]+(1-Real[[#This Row],[05/05/25]])*'Avance 39'!AC65</f>
        <v>0</v>
      </c>
      <c r="BW111" s="127">
        <f>Real[[#This Row],[05/05/25]]+(1-Real[[#This Row],[05/05/25]])*'Avance 39'!AD65</f>
        <v>0</v>
      </c>
      <c r="BX111" s="127">
        <f>Real[[#This Row],[05/05/25]]+(1-Real[[#This Row],[05/05/25]])*'Avance 39'!AE65</f>
        <v>0</v>
      </c>
      <c r="BY111" s="127">
        <f>Real[[#This Row],[05/05/25]]+(1-Real[[#This Row],[05/05/25]])*'Avance 39'!AF65</f>
        <v>0</v>
      </c>
      <c r="BZ111" s="127">
        <f>Real[[#This Row],[05/05/25]]+(1-Real[[#This Row],[05/05/25]])*'Avance 39'!AG65</f>
        <v>0</v>
      </c>
      <c r="CA111" s="127">
        <f>Real[[#This Row],[05/05/25]]+(1-Real[[#This Row],[05/05/25]])*'Avance 39'!AH65</f>
        <v>0</v>
      </c>
      <c r="CB111" s="127">
        <f>Real[[#This Row],[05/05/25]]+(1-Real[[#This Row],[05/05/25]])*'Avance 39'!AI65</f>
        <v>0</v>
      </c>
      <c r="CC111" s="127">
        <f>Real[[#This Row],[05/05/25]]+(1-Real[[#This Row],[05/05/25]])*'Avance 39'!AJ65</f>
        <v>0</v>
      </c>
      <c r="CD111" s="127">
        <f>Real[[#This Row],[05/05/25]]+(1-Real[[#This Row],[05/05/25]])*'Avance 39'!AK65</f>
        <v>0</v>
      </c>
      <c r="CE111" s="127">
        <f>Real[[#This Row],[05/05/25]]+(1-Real[[#This Row],[05/05/25]])*'Avance 39'!AL65</f>
        <v>0</v>
      </c>
      <c r="CF111" s="127">
        <f>Real[[#This Row],[05/05/25]]+(1-Real[[#This Row],[05/05/25]])*'Avance 39'!AM65</f>
        <v>0</v>
      </c>
      <c r="CG111" s="127">
        <f>Real[[#This Row],[05/05/25]]+(1-Real[[#This Row],[05/05/25]])*'Avance 39'!AN65</f>
        <v>0</v>
      </c>
      <c r="CH111" s="127">
        <f>Real[[#This Row],[05/05/25]]+(1-Real[[#This Row],[05/05/25]])*'Avance 39'!AO65</f>
        <v>0</v>
      </c>
      <c r="CI111" s="127">
        <f>Real[[#This Row],[05/05/25]]+(1-Real[[#This Row],[05/05/25]])*'Avance 39'!AP65</f>
        <v>0</v>
      </c>
      <c r="CJ111" s="127">
        <f>Real[[#This Row],[05/05/25]]+(1-Real[[#This Row],[05/05/25]])*'Avance 39'!AQ65</f>
        <v>0</v>
      </c>
      <c r="CK111" s="127">
        <f>Real[[#This Row],[05/05/25]]+(1-Real[[#This Row],[05/05/25]])*'Avance 39'!AR65</f>
        <v>0</v>
      </c>
      <c r="CL111" s="127">
        <f>Real[[#This Row],[05/05/25]]+(1-Real[[#This Row],[05/05/25]])*'Avance 39'!AS65</f>
        <v>0</v>
      </c>
      <c r="CM111" s="127">
        <f>Real[[#This Row],[05/05/25]]+(1-Real[[#This Row],[05/05/25]])*'Avance 39'!AT65</f>
        <v>0</v>
      </c>
      <c r="CN111" s="127">
        <f>Real[[#This Row],[05/05/25]]+(1-Real[[#This Row],[05/05/25]])*'Avance 39'!AU65</f>
        <v>0</v>
      </c>
      <c r="CO111" s="127">
        <f>Real[[#This Row],[05/05/25]]+(1-Real[[#This Row],[05/05/25]])*'Avance 39'!AV65</f>
        <v>0</v>
      </c>
      <c r="CP111" s="127">
        <f>Real[[#This Row],[05/05/25]]+(1-Real[[#This Row],[05/05/25]])*'Avance 39'!AW65</f>
        <v>0</v>
      </c>
      <c r="CQ111" s="127">
        <f>Real[[#This Row],[05/05/25]]+(1-Real[[#This Row],[05/05/25]])*'Avance 39'!AX65</f>
        <v>0</v>
      </c>
      <c r="CR111" s="127">
        <f>Real[[#This Row],[05/05/25]]+(1-Real[[#This Row],[05/05/25]])*'Avance 39'!AY65</f>
        <v>0</v>
      </c>
      <c r="CS111" s="127">
        <f>Real[[#This Row],[05/05/25]]+(1-Real[[#This Row],[05/05/25]])*'Avance 39'!AZ65</f>
        <v>0</v>
      </c>
      <c r="CT111" s="127">
        <f>Real[[#This Row],[05/05/25]]+(1-Real[[#This Row],[05/05/25]])*'Avance 39'!BA65</f>
        <v>0</v>
      </c>
      <c r="CU111" s="127">
        <f>Real[[#This Row],[05/05/25]]+(1-Real[[#This Row],[05/05/25]])*'Avance 39'!BB65</f>
        <v>0</v>
      </c>
      <c r="CV111" s="127">
        <f>Real[[#This Row],[05/05/25]]+(1-Real[[#This Row],[05/05/25]])*'Avance 39'!BC65</f>
        <v>0</v>
      </c>
      <c r="CW111" s="127">
        <f>Real[[#This Row],[05/05/25]]+(1-Real[[#This Row],[05/05/25]])*'Avance 39'!BD65</f>
        <v>0</v>
      </c>
      <c r="CX111" s="127">
        <f>Real[[#This Row],[05/05/25]]+(1-Real[[#This Row],[05/05/25]])*'Avance 39'!BE65</f>
        <v>0</v>
      </c>
      <c r="CY111" s="127">
        <f>Real[[#This Row],[05/05/25]]+(1-Real[[#This Row],[05/05/25]])*'Avance 39'!BF65</f>
        <v>0</v>
      </c>
      <c r="CZ111" s="127">
        <f>Real[[#This Row],[05/05/25]]+(1-Real[[#This Row],[05/05/25]])*'Avance 39'!BG65</f>
        <v>0</v>
      </c>
      <c r="DA111" s="127">
        <f>Real[[#This Row],[05/05/25]]+(1-Real[[#This Row],[05/05/25]])*'Avance 39'!BH65</f>
        <v>0</v>
      </c>
      <c r="DB111" s="127">
        <f>Real[[#This Row],[05/05/25]]+(1-Real[[#This Row],[05/05/25]])*'Avance 39'!BI65</f>
        <v>0</v>
      </c>
      <c r="DC111" s="127">
        <f>Real[[#This Row],[05/05/25]]+(1-Real[[#This Row],[05/05/25]])*'Avance 39'!BJ65</f>
        <v>0</v>
      </c>
      <c r="DD111" s="127">
        <f>Real[[#This Row],[05/05/25]]+(1-Real[[#This Row],[05/05/25]])*'Avance 39'!BK65</f>
        <v>0</v>
      </c>
      <c r="DE111" s="127">
        <f>Real[[#This Row],[05/05/25]]+(1-Real[[#This Row],[05/05/25]])*'Avance 39'!BL65</f>
        <v>0</v>
      </c>
      <c r="DF111" s="127">
        <f>Real[[#This Row],[05/05/25]]+(1-Real[[#This Row],[05/05/25]])*'Avance 39'!BM65</f>
        <v>0</v>
      </c>
      <c r="DG111" s="127">
        <f>Real[[#This Row],[05/05/25]]+(1-Real[[#This Row],[05/05/25]])*'Avance 39'!BN65</f>
        <v>0</v>
      </c>
      <c r="DH111" s="127">
        <f>Real[[#This Row],[05/05/25]]+(1-Real[[#This Row],[05/05/25]])*'Avance 39'!BO65</f>
        <v>0</v>
      </c>
      <c r="DI111" s="127">
        <f>Real[[#This Row],[05/05/25]]+(1-Real[[#This Row],[05/05/25]])*'Avance 39'!BP65</f>
        <v>0</v>
      </c>
      <c r="DJ111" s="127">
        <f>Real[[#This Row],[05/05/25]]+(1-Real[[#This Row],[05/05/25]])*'Avance 39'!BQ65</f>
        <v>0</v>
      </c>
      <c r="DK111" s="127">
        <f>Real[[#This Row],[05/05/25]]+(1-Real[[#This Row],[05/05/25]])*'Avance 39'!BR65</f>
        <v>0</v>
      </c>
      <c r="DL111" s="127">
        <f>Real[[#This Row],[05/05/25]]+(1-Real[[#This Row],[05/05/25]])*'Avance 39'!BS65</f>
        <v>0</v>
      </c>
      <c r="DM111" s="127">
        <f>Real[[#This Row],[05/05/25]]+(1-Real[[#This Row],[05/05/25]])*'Avance 39'!BT65</f>
        <v>0</v>
      </c>
      <c r="DN111" s="127">
        <f>Real[[#This Row],[05/05/25]]+(1-Real[[#This Row],[05/05/25]])*'Avance 39'!BU65</f>
        <v>0</v>
      </c>
      <c r="DO111" s="127">
        <f>Real[[#This Row],[05/05/25]]+(1-Real[[#This Row],[05/05/25]])*'Avance 39'!BV65</f>
        <v>0</v>
      </c>
      <c r="DP111" s="127">
        <f>Real[[#This Row],[05/05/25]]+(1-Real[[#This Row],[05/05/25]])*'Avance 39'!BW65</f>
        <v>0</v>
      </c>
      <c r="DQ111" s="127">
        <f>Real[[#This Row],[05/05/25]]+(1-Real[[#This Row],[05/05/25]])*'Avance 39'!BX65</f>
        <v>0</v>
      </c>
      <c r="DR111" s="127">
        <f>Real[[#This Row],[05/05/25]]+(1-Real[[#This Row],[05/05/25]])*'Avance 39'!BY65</f>
        <v>0</v>
      </c>
      <c r="DS111" s="127">
        <f>Real[[#This Row],[05/05/25]]+(1-Real[[#This Row],[05/05/25]])*'Avance 39'!BZ65</f>
        <v>0</v>
      </c>
      <c r="DT111" s="127">
        <f>Real[[#This Row],[05/05/25]]+(1-Real[[#This Row],[05/05/25]])*'Avance 39'!CA65</f>
        <v>0</v>
      </c>
      <c r="DU111" s="127">
        <f>Real[[#This Row],[05/05/25]]+(1-Real[[#This Row],[05/05/25]])*'Avance 39'!CB65</f>
        <v>0</v>
      </c>
      <c r="DV111" s="127">
        <f>Real[[#This Row],[05/05/25]]+(1-Real[[#This Row],[05/05/25]])*'Avance 39'!CC65</f>
        <v>0</v>
      </c>
      <c r="DW111" s="127">
        <f>Real[[#This Row],[05/05/25]]+(1-Real[[#This Row],[05/05/25]])*'Avance 39'!CD65</f>
        <v>0</v>
      </c>
      <c r="DX111" s="127">
        <f>Real[[#This Row],[05/05/25]]+(1-Real[[#This Row],[05/05/25]])*'Avance 39'!CE65</f>
        <v>0</v>
      </c>
      <c r="DY111" s="127">
        <f>Real[[#This Row],[05/05/25]]+(1-Real[[#This Row],[05/05/25]])*'Avance 39'!CF65</f>
        <v>0</v>
      </c>
      <c r="DZ111" s="127">
        <f>Real[[#This Row],[05/05/25]]+(1-Real[[#This Row],[05/05/25]])*'Avance 39'!CG65</f>
        <v>0</v>
      </c>
      <c r="EA111" s="127">
        <f>Real[[#This Row],[05/05/25]]+(1-Real[[#This Row],[05/05/25]])*'Avance 39'!CH65</f>
        <v>0</v>
      </c>
      <c r="EB111" s="127">
        <f>Real[[#This Row],[05/05/25]]+(1-Real[[#This Row],[05/05/25]])*'Avance 39'!CI65</f>
        <v>0</v>
      </c>
      <c r="EC111" s="127">
        <f>Real[[#This Row],[05/05/25]]+(1-Real[[#This Row],[05/05/25]])*'Avance 39'!CJ65</f>
        <v>0</v>
      </c>
      <c r="ED111" s="127">
        <f>Real[[#This Row],[05/05/25]]+(1-Real[[#This Row],[05/05/25]])*'Avance 39'!CK65</f>
        <v>0</v>
      </c>
      <c r="EE111" s="127">
        <f>Real[[#This Row],[05/05/25]]+(1-Real[[#This Row],[05/05/25]])*'Avance 39'!CL65</f>
        <v>0</v>
      </c>
      <c r="EF111" s="127">
        <f>Real[[#This Row],[05/05/25]]+(1-Real[[#This Row],[05/05/25]])*'Avance 39'!CM65</f>
        <v>0</v>
      </c>
      <c r="EG111" s="127">
        <f>Real[[#This Row],[05/05/25]]+(1-Real[[#This Row],[05/05/25]])*'Avance 39'!CN65</f>
        <v>0</v>
      </c>
      <c r="EH111" s="127">
        <f>Real[[#This Row],[05/05/25]]+(1-Real[[#This Row],[05/05/25]])*'Avance 39'!CO65</f>
        <v>0</v>
      </c>
      <c r="EI111" s="127">
        <f>Real[[#This Row],[05/05/25]]+(1-Real[[#This Row],[05/05/25]])*'Avance 39'!CP65</f>
        <v>0</v>
      </c>
    </row>
    <row r="112" spans="2:139" ht="15" outlineLevel="2" collapsed="1" x14ac:dyDescent="0.3">
      <c r="B112" s="22"/>
      <c r="C112" s="23"/>
      <c r="D112" s="23" t="s">
        <v>115</v>
      </c>
      <c r="E112" s="50"/>
      <c r="F112" s="26">
        <f>+SUM(F113:F114)</f>
        <v>40</v>
      </c>
      <c r="G112" s="28">
        <v>0.20879473036887999</v>
      </c>
      <c r="H112" s="160"/>
      <c r="I112" s="28">
        <f t="shared" ref="I112:BD112" si="676">+SUMPRODUCT($G$113:$G$114,I113:I114)</f>
        <v>0</v>
      </c>
      <c r="J112" s="28">
        <f t="shared" si="676"/>
        <v>0</v>
      </c>
      <c r="K112" s="28">
        <f t="shared" si="676"/>
        <v>0</v>
      </c>
      <c r="L112" s="28">
        <f t="shared" si="676"/>
        <v>0</v>
      </c>
      <c r="M112" s="64">
        <f t="shared" si="676"/>
        <v>0</v>
      </c>
      <c r="N112" s="64">
        <f t="shared" si="676"/>
        <v>0</v>
      </c>
      <c r="O112" s="28">
        <f t="shared" si="676"/>
        <v>0</v>
      </c>
      <c r="P112" s="28">
        <f t="shared" si="676"/>
        <v>0</v>
      </c>
      <c r="Q112" s="28">
        <f t="shared" si="676"/>
        <v>0</v>
      </c>
      <c r="R112" s="28">
        <f t="shared" si="676"/>
        <v>0</v>
      </c>
      <c r="S112" s="28">
        <f t="shared" si="676"/>
        <v>0</v>
      </c>
      <c r="T112" s="28">
        <f t="shared" si="676"/>
        <v>0</v>
      </c>
      <c r="U112" s="28">
        <f t="shared" si="676"/>
        <v>0</v>
      </c>
      <c r="V112" s="28">
        <f t="shared" si="676"/>
        <v>0</v>
      </c>
      <c r="W112" s="28">
        <f t="shared" si="676"/>
        <v>0</v>
      </c>
      <c r="X112" s="28">
        <f t="shared" si="676"/>
        <v>0</v>
      </c>
      <c r="Y112" s="28">
        <f t="shared" si="676"/>
        <v>0</v>
      </c>
      <c r="Z112" s="28">
        <f t="shared" si="676"/>
        <v>0</v>
      </c>
      <c r="AA112" s="28">
        <f t="shared" si="676"/>
        <v>0</v>
      </c>
      <c r="AB112" s="28">
        <f t="shared" si="676"/>
        <v>0</v>
      </c>
      <c r="AC112" s="28">
        <f t="shared" si="676"/>
        <v>0</v>
      </c>
      <c r="AD112" s="28">
        <f t="shared" si="676"/>
        <v>0</v>
      </c>
      <c r="AE112" s="28">
        <f t="shared" si="676"/>
        <v>0</v>
      </c>
      <c r="AF112" s="28">
        <f t="shared" si="676"/>
        <v>0</v>
      </c>
      <c r="AG112" s="28">
        <f t="shared" si="676"/>
        <v>0</v>
      </c>
      <c r="AH112" s="28">
        <f t="shared" si="676"/>
        <v>0</v>
      </c>
      <c r="AI112" s="28">
        <f t="shared" si="676"/>
        <v>0</v>
      </c>
      <c r="AJ112" s="28">
        <f t="shared" si="676"/>
        <v>0</v>
      </c>
      <c r="AK112" s="28">
        <f t="shared" si="676"/>
        <v>0</v>
      </c>
      <c r="AL112" s="28">
        <f t="shared" si="676"/>
        <v>0</v>
      </c>
      <c r="AM112" s="28">
        <f t="shared" si="676"/>
        <v>0</v>
      </c>
      <c r="AN112" s="28">
        <f t="shared" si="676"/>
        <v>0</v>
      </c>
      <c r="AO112" s="28">
        <f t="shared" si="676"/>
        <v>0</v>
      </c>
      <c r="AP112" s="28">
        <f t="shared" si="676"/>
        <v>0</v>
      </c>
      <c r="AQ112" s="28">
        <f t="shared" si="676"/>
        <v>0</v>
      </c>
      <c r="AR112" s="28">
        <f t="shared" si="676"/>
        <v>0</v>
      </c>
      <c r="AS112" s="28">
        <f t="shared" si="676"/>
        <v>0</v>
      </c>
      <c r="AT112" s="28">
        <f t="shared" si="676"/>
        <v>0</v>
      </c>
      <c r="AU112" s="28">
        <f t="shared" si="676"/>
        <v>0</v>
      </c>
      <c r="AV112" s="28">
        <f t="shared" si="676"/>
        <v>0</v>
      </c>
      <c r="AW112" s="28">
        <f t="shared" si="676"/>
        <v>0</v>
      </c>
      <c r="AX112" s="28">
        <f t="shared" si="676"/>
        <v>0</v>
      </c>
      <c r="AY112" s="28">
        <f t="shared" si="676"/>
        <v>0</v>
      </c>
      <c r="AZ112" s="28">
        <f t="shared" si="676"/>
        <v>0</v>
      </c>
      <c r="BA112" s="28">
        <f t="shared" si="676"/>
        <v>0</v>
      </c>
      <c r="BB112" s="28">
        <f t="shared" si="676"/>
        <v>0</v>
      </c>
      <c r="BC112" s="28">
        <f t="shared" si="676"/>
        <v>0</v>
      </c>
      <c r="BD112" s="28">
        <f t="shared" si="676"/>
        <v>0</v>
      </c>
      <c r="BE112" s="28">
        <f t="shared" ref="BE112:BF112" si="677">+SUMPRODUCT($G$113:$G$114,BE113:BE114)</f>
        <v>3.584358825743264E-2</v>
      </c>
      <c r="BF112" s="28">
        <f t="shared" si="677"/>
        <v>3.584358825743264E-2</v>
      </c>
      <c r="BG112" s="161">
        <f t="shared" ref="BG112:BH112" si="678">+SUMPRODUCT($G$113:$G$114,BG113:BG114)</f>
        <v>3.584358825743264E-2</v>
      </c>
      <c r="BH112" s="161">
        <f t="shared" si="678"/>
        <v>3.584358825743264E-2</v>
      </c>
      <c r="BI112" s="28">
        <f t="shared" ref="BI112:BJ112" si="679">+SUMPRODUCT($G$113:$G$114,BI113:BI114)</f>
        <v>3.584358825743264E-2</v>
      </c>
      <c r="BJ112" s="28">
        <f t="shared" si="679"/>
        <v>3.584358825743264E-2</v>
      </c>
      <c r="BK112" s="28">
        <f t="shared" ref="BK112:BL112" si="680">+SUMPRODUCT($G$113:$G$114,BK113:BK114)</f>
        <v>3.584358825743264E-2</v>
      </c>
      <c r="BL112" s="28">
        <f t="shared" si="680"/>
        <v>3.584358825743264E-2</v>
      </c>
      <c r="BM112" s="28">
        <f t="shared" ref="BM112:BN112" si="681">+SUMPRODUCT($G$113:$G$114,BM113:BM114)</f>
        <v>3.584358825743264E-2</v>
      </c>
      <c r="BN112" s="28">
        <f t="shared" si="681"/>
        <v>3.584358825743264E-2</v>
      </c>
      <c r="BO112" s="28">
        <f t="shared" ref="BO112:BP112" si="682">+SUMPRODUCT($G$113:$G$114,BO113:BO114)</f>
        <v>3.584358825743264E-2</v>
      </c>
      <c r="BP112" s="28">
        <f t="shared" si="682"/>
        <v>3.584358825743264E-2</v>
      </c>
      <c r="BQ112" s="28">
        <f t="shared" ref="BQ112:BR112" si="683">+SUMPRODUCT($G$113:$G$114,BQ113:BQ114)</f>
        <v>3.584358825743264E-2</v>
      </c>
      <c r="BR112" s="28">
        <f t="shared" si="683"/>
        <v>3.584358825743264E-2</v>
      </c>
      <c r="BS112" s="28">
        <f t="shared" ref="BS112:BT112" si="684">+SUMPRODUCT($G$113:$G$114,BS113:BS114)</f>
        <v>4.48044853217908E-2</v>
      </c>
      <c r="BT112" s="28">
        <f t="shared" si="684"/>
        <v>4.48044853217908E-2</v>
      </c>
      <c r="BU112" s="28">
        <f t="shared" ref="BU112:BV112" si="685">+SUMPRODUCT($G$113:$G$114,BU113:BU114)</f>
        <v>0.23253088300924177</v>
      </c>
      <c r="BV112" s="28">
        <f t="shared" si="685"/>
        <v>0.31317549180036885</v>
      </c>
      <c r="BW112" s="28">
        <f t="shared" ref="BW112:BX112" si="686">+SUMPRODUCT($G$113:$G$114,BW113:BW114)</f>
        <v>0.48094336347853439</v>
      </c>
      <c r="BX112" s="28">
        <f t="shared" si="686"/>
        <v>0.49737827840402871</v>
      </c>
      <c r="BY112" s="28">
        <f t="shared" ref="BY112:BZ112" si="687">+SUMPRODUCT($G$113:$G$114,BY113:BY114)</f>
        <v>0.49787589857771386</v>
      </c>
      <c r="BZ112" s="28">
        <f t="shared" si="687"/>
        <v>0.50119336640228174</v>
      </c>
      <c r="CA112" s="28">
        <f t="shared" ref="CA112:CB112" si="688">+SUMPRODUCT($G$113:$G$114,CA113:CA114)</f>
        <v>0.50119336640228174</v>
      </c>
      <c r="CB112" s="28">
        <f t="shared" si="688"/>
        <v>0.50119336640228174</v>
      </c>
      <c r="CC112" s="28">
        <f t="shared" ref="CC112:CD112" si="689">+SUMPRODUCT($G$113:$G$114,CC113:CC114)</f>
        <v>0.70007195607010608</v>
      </c>
      <c r="CD112" s="28">
        <f t="shared" si="689"/>
        <v>0.70742195607010605</v>
      </c>
      <c r="CE112" s="28">
        <f t="shared" ref="CE112" si="690">+SUMPRODUCT($G$113:$G$114,CE113:CE114)</f>
        <v>0.71057195607010604</v>
      </c>
      <c r="CF112" s="28">
        <f t="shared" ref="CF112" si="691">+SUMPRODUCT($G$113:$G$114,CF113:CF114)</f>
        <v>0.73566108491029969</v>
      </c>
      <c r="CG112" s="28">
        <f t="shared" ref="CG112" si="692">+SUMPRODUCT($G$113:$G$114,CG113:CG114)</f>
        <v>0.73793917321122382</v>
      </c>
      <c r="CH112" s="28">
        <f t="shared" ref="CH112" si="693">+SUMPRODUCT($G$113:$G$114,CH113:CH114)</f>
        <v>0.73793917321122382</v>
      </c>
      <c r="CI112" s="28">
        <f t="shared" ref="CI112" si="694">+SUMPRODUCT($G$113:$G$114,CI113:CI114)</f>
        <v>0.73793917321122382</v>
      </c>
      <c r="CJ112" s="28">
        <f t="shared" ref="CJ112:CK112" si="695">+SUMPRODUCT($G$113:$G$114,CJ113:CJ114)</f>
        <v>0.73793917321122382</v>
      </c>
      <c r="CK112" s="28">
        <f t="shared" si="695"/>
        <v>0.73793917321122382</v>
      </c>
      <c r="CL112" s="28">
        <f t="shared" ref="CL112:CV112" si="696">+SUMPRODUCT($G$113:$G$114,CL113:CL114)</f>
        <v>0.73793917321122382</v>
      </c>
      <c r="CM112" s="28">
        <f t="shared" si="696"/>
        <v>0.74991310458746263</v>
      </c>
      <c r="CN112" s="28">
        <f t="shared" si="696"/>
        <v>0.75655080611661685</v>
      </c>
      <c r="CO112" s="28">
        <f t="shared" si="696"/>
        <v>0.75655080611661685</v>
      </c>
      <c r="CP112" s="28">
        <f t="shared" si="696"/>
        <v>0.75655080611661685</v>
      </c>
      <c r="CQ112" s="28">
        <f t="shared" si="696"/>
        <v>0.75655080611661685</v>
      </c>
      <c r="CR112" s="28">
        <f t="shared" si="696"/>
        <v>0.77646391070407939</v>
      </c>
      <c r="CS112" s="28">
        <f t="shared" si="696"/>
        <v>0.77646391070407939</v>
      </c>
      <c r="CT112" s="28">
        <f t="shared" si="696"/>
        <v>0.77646391070407939</v>
      </c>
      <c r="CU112" s="28">
        <f t="shared" si="696"/>
        <v>0.77646391070407939</v>
      </c>
      <c r="CV112" s="28">
        <f t="shared" si="696"/>
        <v>0.77646391070407939</v>
      </c>
      <c r="CW112" s="28">
        <f t="shared" ref="CW112" si="697">+SUMPRODUCT($G$113:$G$114,CW113:CW114)</f>
        <v>0.77646391070407939</v>
      </c>
      <c r="CX112" s="28">
        <f t="shared" ref="CX112:CY112" si="698">+SUMPRODUCT($G$113:$G$114,CX113:CX114)</f>
        <v>0.77646391070407939</v>
      </c>
      <c r="CY112" s="28">
        <f t="shared" si="698"/>
        <v>0.77646391070407939</v>
      </c>
      <c r="CZ112" s="28">
        <f t="shared" ref="CZ112:DA112" si="699">+SUMPRODUCT($G$113:$G$114,CZ113:CZ114)</f>
        <v>0.77646391070407939</v>
      </c>
      <c r="DA112" s="28">
        <f t="shared" si="699"/>
        <v>0.77646391070407939</v>
      </c>
      <c r="DB112" s="28">
        <f t="shared" ref="DB112:DC112" si="700">+SUMPRODUCT($G$113:$G$114,DB113:DB114)</f>
        <v>0.77646391070407939</v>
      </c>
      <c r="DC112" s="28">
        <f t="shared" si="700"/>
        <v>0.77646391070407939</v>
      </c>
      <c r="DD112" s="28">
        <f t="shared" ref="DD112:DE112" si="701">+SUMPRODUCT($G$113:$G$114,DD113:DD114)</f>
        <v>0.77646391070407939</v>
      </c>
      <c r="DE112" s="28">
        <f t="shared" si="701"/>
        <v>0.96681149235422903</v>
      </c>
      <c r="DF112" s="28">
        <f t="shared" ref="DF112:EI112" si="702">+SUMPRODUCT($G$113:$G$114,DF113:DF114)</f>
        <v>0.96681149235422903</v>
      </c>
      <c r="DG112" s="28">
        <f t="shared" si="702"/>
        <v>0.96681149235422903</v>
      </c>
      <c r="DH112" s="28">
        <f t="shared" si="702"/>
        <v>0.96681149235422903</v>
      </c>
      <c r="DI112" s="28">
        <f t="shared" si="702"/>
        <v>0.96681149235422903</v>
      </c>
      <c r="DJ112" s="28">
        <f t="shared" si="702"/>
        <v>0.73793917321122382</v>
      </c>
      <c r="DK112" s="28">
        <f t="shared" si="702"/>
        <v>0.73793917321122382</v>
      </c>
      <c r="DL112" s="28">
        <f t="shared" si="702"/>
        <v>0.73793917321122382</v>
      </c>
      <c r="DM112" s="28">
        <f t="shared" si="702"/>
        <v>0.73793917321122382</v>
      </c>
      <c r="DN112" s="28">
        <f t="shared" si="702"/>
        <v>0.73793917321122382</v>
      </c>
      <c r="DO112" s="28">
        <f t="shared" si="702"/>
        <v>0.73793917321122382</v>
      </c>
      <c r="DP112" s="28">
        <f t="shared" si="702"/>
        <v>0.73793917321122382</v>
      </c>
      <c r="DQ112" s="28">
        <f t="shared" si="702"/>
        <v>0.73793917321122382</v>
      </c>
      <c r="DR112" s="28">
        <f t="shared" si="702"/>
        <v>0.73793917321122382</v>
      </c>
      <c r="DS112" s="28">
        <f t="shared" si="702"/>
        <v>0.73793917321122382</v>
      </c>
      <c r="DT112" s="28">
        <f t="shared" si="702"/>
        <v>0.73793917321122382</v>
      </c>
      <c r="DU112" s="28">
        <f t="shared" si="702"/>
        <v>0.73793917321122382</v>
      </c>
      <c r="DV112" s="28">
        <f t="shared" si="702"/>
        <v>0.73793917321122382</v>
      </c>
      <c r="DW112" s="28">
        <f t="shared" si="702"/>
        <v>0.73793917321122382</v>
      </c>
      <c r="DX112" s="28">
        <f t="shared" si="702"/>
        <v>0.73793917321122382</v>
      </c>
      <c r="DY112" s="28">
        <f t="shared" si="702"/>
        <v>0.73793917321122382</v>
      </c>
      <c r="DZ112" s="28">
        <f t="shared" si="702"/>
        <v>0.73793917321122382</v>
      </c>
      <c r="EA112" s="28">
        <f t="shared" si="702"/>
        <v>0.73793917321122382</v>
      </c>
      <c r="EB112" s="28">
        <f t="shared" si="702"/>
        <v>0.73793917321122382</v>
      </c>
      <c r="EC112" s="28">
        <f t="shared" si="702"/>
        <v>0.73793917321122382</v>
      </c>
      <c r="ED112" s="28">
        <f t="shared" si="702"/>
        <v>0.73793917321122382</v>
      </c>
      <c r="EE112" s="28">
        <f t="shared" si="702"/>
        <v>0.73793917321122382</v>
      </c>
      <c r="EF112" s="28">
        <f t="shared" si="702"/>
        <v>0.73793917321122382</v>
      </c>
      <c r="EG112" s="28">
        <f t="shared" si="702"/>
        <v>0.73793917321122382</v>
      </c>
      <c r="EH112" s="28">
        <f t="shared" si="702"/>
        <v>0.73793917321122382</v>
      </c>
      <c r="EI112" s="28">
        <f t="shared" si="702"/>
        <v>0.77646391070407939</v>
      </c>
    </row>
    <row r="113" spans="2:139" hidden="1" outlineLevel="3" x14ac:dyDescent="0.3">
      <c r="B113" s="280"/>
      <c r="C113" s="281"/>
      <c r="D113" s="281"/>
      <c r="E113" s="282" t="s">
        <v>116</v>
      </c>
      <c r="F113" s="283">
        <v>20</v>
      </c>
      <c r="G113" s="284">
        <v>0.66377015291541941</v>
      </c>
      <c r="H113" s="162"/>
      <c r="I113" s="127">
        <v>0</v>
      </c>
      <c r="J113" s="127">
        <v>0</v>
      </c>
      <c r="K113" s="127">
        <v>0</v>
      </c>
      <c r="L113" s="127">
        <v>0</v>
      </c>
      <c r="M113" s="128">
        <v>0</v>
      </c>
      <c r="N113" s="128">
        <v>0</v>
      </c>
      <c r="O113" s="127">
        <v>0</v>
      </c>
      <c r="P113" s="127">
        <v>0</v>
      </c>
      <c r="Q113" s="127">
        <v>0</v>
      </c>
      <c r="R113" s="127">
        <v>0</v>
      </c>
      <c r="S113" s="127">
        <v>0</v>
      </c>
      <c r="T113" s="127">
        <v>0</v>
      </c>
      <c r="U113" s="127">
        <v>0</v>
      </c>
      <c r="V113" s="127">
        <v>0</v>
      </c>
      <c r="W113" s="127">
        <v>0</v>
      </c>
      <c r="X113" s="127">
        <v>0</v>
      </c>
      <c r="Y113" s="127">
        <v>0</v>
      </c>
      <c r="Z113" s="127">
        <v>0</v>
      </c>
      <c r="AA113" s="127">
        <v>0</v>
      </c>
      <c r="AB113" s="127">
        <v>0</v>
      </c>
      <c r="AC113" s="127">
        <v>0</v>
      </c>
      <c r="AD113" s="127">
        <v>0</v>
      </c>
      <c r="AE113" s="127">
        <v>0</v>
      </c>
      <c r="AF113" s="127">
        <v>0</v>
      </c>
      <c r="AG113" s="127">
        <v>0</v>
      </c>
      <c r="AH113" s="127">
        <v>0</v>
      </c>
      <c r="AI113" s="127">
        <v>0</v>
      </c>
      <c r="AJ113" s="127">
        <v>0</v>
      </c>
      <c r="AK113" s="127">
        <v>0</v>
      </c>
      <c r="AL113" s="127">
        <v>0</v>
      </c>
      <c r="AM113" s="127">
        <v>0</v>
      </c>
      <c r="AN113" s="127">
        <v>0</v>
      </c>
      <c r="AO113" s="127">
        <v>0</v>
      </c>
      <c r="AP113" s="127">
        <v>0</v>
      </c>
      <c r="AQ113" s="127">
        <v>0</v>
      </c>
      <c r="AR113" s="127">
        <v>0</v>
      </c>
      <c r="AS113" s="127">
        <v>0</v>
      </c>
      <c r="AT113" s="127">
        <v>0</v>
      </c>
      <c r="AU113" s="127">
        <v>0</v>
      </c>
      <c r="AV113" s="127">
        <v>0</v>
      </c>
      <c r="AW113" s="127">
        <v>0</v>
      </c>
      <c r="AX113" s="127">
        <v>0</v>
      </c>
      <c r="AY113" s="127">
        <v>0</v>
      </c>
      <c r="AZ113" s="127">
        <v>0</v>
      </c>
      <c r="BA113" s="127">
        <v>0</v>
      </c>
      <c r="BB113" s="127">
        <f>Real[[#This Row],[05/05/25]]+(1-Real[[#This Row],[05/05/25]])*'Avance 39'!I67</f>
        <v>0</v>
      </c>
      <c r="BC113" s="127">
        <f>Real[[#This Row],[05/05/25]]+(1-Real[[#This Row],[05/05/25]])*'Avance 39'!J67</f>
        <v>0</v>
      </c>
      <c r="BD113" s="127">
        <f>Real[[#This Row],[05/05/25]]+(1-Real[[#This Row],[05/05/25]])*'Avance 39'!K67</f>
        <v>0</v>
      </c>
      <c r="BE113" s="127">
        <f>Real[[#This Row],[05/05/25]]+(1-Real[[#This Row],[05/05/25]])*'Avance 39'!L67</f>
        <v>5.3999999999999992E-2</v>
      </c>
      <c r="BF113" s="127">
        <f>Real[[#This Row],[05/05/25]]+(1-Real[[#This Row],[05/05/25]])*'Avance 39'!M67</f>
        <v>5.3999999999999992E-2</v>
      </c>
      <c r="BG113" s="163">
        <f>Real[[#This Row],[05/05/25]]+(1-Real[[#This Row],[05/05/25]])*'Avance 39'!N67</f>
        <v>5.3999999999999992E-2</v>
      </c>
      <c r="BH113" s="163">
        <f>Real[[#This Row],[05/05/25]]+(1-Real[[#This Row],[05/05/25]])*'Avance 39'!O67</f>
        <v>5.3999999999999992E-2</v>
      </c>
      <c r="BI113" s="127">
        <f>Real[[#This Row],[05/05/25]]+(1-Real[[#This Row],[05/05/25]])*'Avance 39'!P67</f>
        <v>5.3999999999999992E-2</v>
      </c>
      <c r="BJ113" s="127">
        <f>Real[[#This Row],[05/05/25]]+(1-Real[[#This Row],[05/05/25]])*'Avance 39'!Q67</f>
        <v>5.3999999999999992E-2</v>
      </c>
      <c r="BK113" s="127">
        <f>Real[[#This Row],[05/05/25]]+(1-Real[[#This Row],[05/05/25]])*'Avance 39'!R67</f>
        <v>5.3999999999999992E-2</v>
      </c>
      <c r="BL113" s="127">
        <f>Real[[#This Row],[05/05/25]]+(1-Real[[#This Row],[05/05/25]])*'Avance 39'!S67</f>
        <v>5.3999999999999992E-2</v>
      </c>
      <c r="BM113" s="127">
        <f>Real[[#This Row],[05/05/25]]+(1-Real[[#This Row],[05/05/25]])*'Avance 39'!T67</f>
        <v>5.3999999999999992E-2</v>
      </c>
      <c r="BN113" s="127">
        <f>Real[[#This Row],[05/05/25]]+(1-Real[[#This Row],[05/05/25]])*'Avance 39'!U67</f>
        <v>5.3999999999999992E-2</v>
      </c>
      <c r="BO113" s="127">
        <f>Real[[#This Row],[05/05/25]]+(1-Real[[#This Row],[05/05/25]])*'Avance 39'!V67</f>
        <v>5.3999999999999992E-2</v>
      </c>
      <c r="BP113" s="127">
        <f>Real[[#This Row],[05/05/25]]+(1-Real[[#This Row],[05/05/25]])*'Avance 39'!W67</f>
        <v>5.3999999999999992E-2</v>
      </c>
      <c r="BQ113" s="127">
        <f>Real[[#This Row],[05/05/25]]+(1-Real[[#This Row],[05/05/25]])*'Avance 39'!X67</f>
        <v>5.3999999999999992E-2</v>
      </c>
      <c r="BR113" s="127">
        <f>Real[[#This Row],[05/05/25]]+(1-Real[[#This Row],[05/05/25]])*'Avance 39'!Y67</f>
        <v>5.3999999999999992E-2</v>
      </c>
      <c r="BS113" s="127">
        <f>Real[[#This Row],[05/05/25]]+(1-Real[[#This Row],[05/05/25]])*'Avance 39'!Z67</f>
        <v>6.7499999999999991E-2</v>
      </c>
      <c r="BT113" s="127">
        <f>Real[[#This Row],[05/05/25]]+(1-Real[[#This Row],[05/05/25]])*'Avance 39'!AA67</f>
        <v>6.7499999999999991E-2</v>
      </c>
      <c r="BU113" s="127">
        <f>Real[[#This Row],[05/05/25]]+(1-Real[[#This Row],[05/05/25]])*'Avance 39'!AB67</f>
        <v>0.23475000000000001</v>
      </c>
      <c r="BV113" s="127">
        <f>Real[[#This Row],[05/05/25]]+(1-Real[[#This Row],[05/05/25]])*'Avance 39'!AC67</f>
        <v>0.31860000000000005</v>
      </c>
      <c r="BW113" s="127">
        <f>Real[[#This Row],[05/05/25]]+(1-Real[[#This Row],[05/05/25]])*'Avance 39'!AD67</f>
        <v>0.52260000000000006</v>
      </c>
      <c r="BX113" s="127">
        <f>Real[[#This Row],[05/05/25]]+(1-Real[[#This Row],[05/05/25]])*'Avance 39'!AE67</f>
        <v>0.52260000000000006</v>
      </c>
      <c r="BY113" s="127">
        <f>Real[[#This Row],[05/05/25]]+(1-Real[[#This Row],[05/05/25]])*'Avance 39'!AF67</f>
        <v>0.52260000000000006</v>
      </c>
      <c r="BZ113" s="127">
        <f>Real[[#This Row],[05/05/25]]+(1-Real[[#This Row],[05/05/25]])*'Avance 39'!AG67</f>
        <v>0.52260000000000006</v>
      </c>
      <c r="CA113" s="127">
        <f>Real[[#This Row],[05/05/25]]+(1-Real[[#This Row],[05/05/25]])*'Avance 39'!AH67</f>
        <v>0.52260000000000006</v>
      </c>
      <c r="CB113" s="127">
        <f>Real[[#This Row],[05/05/25]]+(1-Real[[#This Row],[05/05/25]])*'Avance 39'!AI67</f>
        <v>0.52260000000000006</v>
      </c>
      <c r="CC113" s="127">
        <f>Real[[#This Row],[05/05/25]]+(1-Real[[#This Row],[05/05/25]])*'Avance 39'!AJ67</f>
        <v>0.69920000000000015</v>
      </c>
      <c r="CD113" s="127">
        <f>Real[[#This Row],[05/05/25]]+(1-Real[[#This Row],[05/05/25]])*'Avance 39'!AK67</f>
        <v>0.70655000000000012</v>
      </c>
      <c r="CE113" s="127">
        <f>Real[[#This Row],[05/05/25]]+(1-Real[[#This Row],[05/05/25]])*'Avance 39'!AL67</f>
        <v>0.70970000000000011</v>
      </c>
      <c r="CF113" s="127">
        <f>Real[[#This Row],[05/05/25]]+(1-Real[[#This Row],[05/05/25]])*'Avance 39'!AM67</f>
        <v>0.74250000000000005</v>
      </c>
      <c r="CG113" s="127">
        <f>Real[[#This Row],[05/05/25]]+(1-Real[[#This Row],[05/05/25]])*'Avance 39'!AN67</f>
        <v>0.745</v>
      </c>
      <c r="CH113" s="127">
        <f>Real[[#This Row],[05/05/25]]+(1-Real[[#This Row],[05/05/25]])*'Avance 39'!AO67</f>
        <v>0.745</v>
      </c>
      <c r="CI113" s="127">
        <f>Real[[#This Row],[05/05/25]]+(1-Real[[#This Row],[05/05/25]])*'Avance 39'!AP67</f>
        <v>0.745</v>
      </c>
      <c r="CJ113" s="127">
        <f>Real[[#This Row],[05/05/25]]+(1-Real[[#This Row],[05/05/25]])*'Avance 39'!AQ67</f>
        <v>0.745</v>
      </c>
      <c r="CK113" s="127">
        <f>Real[[#This Row],[05/05/25]]+(1-Real[[#This Row],[05/05/25]])*'Avance 39'!AR67</f>
        <v>0.745</v>
      </c>
      <c r="CL113" s="127">
        <f>Real[[#This Row],[05/05/25]]+(1-Real[[#This Row],[05/05/25]])*'Avance 39'!AS67</f>
        <v>0.745</v>
      </c>
      <c r="CM113" s="127">
        <f>Real[[#This Row],[05/05/25]]+(1-Real[[#This Row],[05/05/25]])*'Avance 39'!AT67</f>
        <v>0.76</v>
      </c>
      <c r="CN113" s="127">
        <f>Real[[#This Row],[05/05/25]]+(1-Real[[#This Row],[05/05/25]])*'Avance 39'!AU67</f>
        <v>0.77</v>
      </c>
      <c r="CO113" s="127">
        <f>Real[[#This Row],[05/05/25]]+(1-Real[[#This Row],[05/05/25]])*'Avance 39'!AV67</f>
        <v>0.77</v>
      </c>
      <c r="CP113" s="127">
        <f>Real[[#This Row],[05/05/25]]+(1-Real[[#This Row],[05/05/25]])*'Avance 39'!AW67</f>
        <v>0.77</v>
      </c>
      <c r="CQ113" s="127">
        <f>Real[[#This Row],[05/05/25]]+(1-Real[[#This Row],[05/05/25]])*'Avance 39'!AX67</f>
        <v>0.77</v>
      </c>
      <c r="CR113" s="127">
        <f>Real[[#This Row],[05/05/25]]+(1-Real[[#This Row],[05/05/25]])*'Avance 39'!AY67</f>
        <v>0.8</v>
      </c>
      <c r="CS113" s="127">
        <f>Real[[#This Row],[05/05/25]]+(1-Real[[#This Row],[05/05/25]])*'Avance 39'!AZ67</f>
        <v>0.8</v>
      </c>
      <c r="CT113" s="127">
        <f>Real[[#This Row],[05/05/25]]+(1-Real[[#This Row],[05/05/25]])*'Avance 39'!BA67</f>
        <v>0.8</v>
      </c>
      <c r="CU113" s="127">
        <f>Real[[#This Row],[05/05/25]]+(1-Real[[#This Row],[05/05/25]])*'Avance 39'!BB67</f>
        <v>0.8</v>
      </c>
      <c r="CV113" s="127">
        <f>Real[[#This Row],[05/05/25]]+(1-Real[[#This Row],[05/05/25]])*'Avance 39'!BC67</f>
        <v>0.8</v>
      </c>
      <c r="CW113" s="127">
        <f>Real[[#This Row],[05/05/25]]+(1-Real[[#This Row],[05/05/25]])*'Avance 39'!BD67</f>
        <v>0.8</v>
      </c>
      <c r="CX113" s="127">
        <f>Real[[#This Row],[05/05/25]]+(1-Real[[#This Row],[05/05/25]])*'Avance 39'!BE67</f>
        <v>0.8</v>
      </c>
      <c r="CY113" s="127">
        <f>Real[[#This Row],[05/05/25]]+(1-Real[[#This Row],[05/05/25]])*'Avance 39'!BF67</f>
        <v>0.8</v>
      </c>
      <c r="CZ113" s="127">
        <f>Real[[#This Row],[05/05/25]]+(1-Real[[#This Row],[05/05/25]])*'Avance 39'!BG67</f>
        <v>0.8</v>
      </c>
      <c r="DA113" s="127">
        <f>Real[[#This Row],[05/05/25]]+(1-Real[[#This Row],[05/05/25]])*'Avance 39'!BH67</f>
        <v>0.8</v>
      </c>
      <c r="DB113" s="127">
        <f>Real[[#This Row],[05/05/25]]+(1-Real[[#This Row],[05/05/25]])*'Avance 39'!BI67</f>
        <v>0.8</v>
      </c>
      <c r="DC113" s="127">
        <f>Real[[#This Row],[05/05/25]]+(1-Real[[#This Row],[05/05/25]])*'Avance 39'!BJ67</f>
        <v>0.8</v>
      </c>
      <c r="DD113" s="127">
        <f>Real[[#This Row],[05/05/25]]+(1-Real[[#This Row],[05/05/25]])*'Avance 39'!BK67</f>
        <v>0.8</v>
      </c>
      <c r="DE113" s="127">
        <f>Real[[#This Row],[05/05/25]]+(1-Real[[#This Row],[05/05/25]])*'Avance 39'!BL67</f>
        <v>0.95</v>
      </c>
      <c r="DF113" s="127">
        <f>Real[[#This Row],[05/05/25]]+(1-Real[[#This Row],[05/05/25]])*'Avance 39'!BM67</f>
        <v>0.95</v>
      </c>
      <c r="DG113" s="127">
        <f>Real[[#This Row],[05/05/25]]+(1-Real[[#This Row],[05/05/25]])*'Avance 39'!BN67</f>
        <v>0.95</v>
      </c>
      <c r="DH113" s="127">
        <f>Real[[#This Row],[05/05/25]]+(1-Real[[#This Row],[05/05/25]])*'Avance 39'!BO67</f>
        <v>0.95</v>
      </c>
      <c r="DI113" s="127">
        <f>Real[[#This Row],[05/05/25]]+(1-Real[[#This Row],[05/05/25]])*'Avance 39'!BP67</f>
        <v>0.95</v>
      </c>
      <c r="DJ113" s="127">
        <f>Real[[#This Row],[05/05/25]]+(1-Real[[#This Row],[05/05/25]])*'Avance 39'!BQ67</f>
        <v>0.745</v>
      </c>
      <c r="DK113" s="127">
        <f>Real[[#This Row],[05/05/25]]+(1-Real[[#This Row],[05/05/25]])*'Avance 39'!BR67</f>
        <v>0.745</v>
      </c>
      <c r="DL113" s="127">
        <f>Real[[#This Row],[05/05/25]]+(1-Real[[#This Row],[05/05/25]])*'Avance 39'!BS67</f>
        <v>0.745</v>
      </c>
      <c r="DM113" s="127">
        <f>Real[[#This Row],[05/05/25]]+(1-Real[[#This Row],[05/05/25]])*'Avance 39'!BT67</f>
        <v>0.745</v>
      </c>
      <c r="DN113" s="127">
        <f>Real[[#This Row],[05/05/25]]+(1-Real[[#This Row],[05/05/25]])*'Avance 39'!BU67</f>
        <v>0.745</v>
      </c>
      <c r="DO113" s="127">
        <f>Real[[#This Row],[05/05/25]]+(1-Real[[#This Row],[05/05/25]])*'Avance 39'!BV67</f>
        <v>0.745</v>
      </c>
      <c r="DP113" s="127">
        <f>Real[[#This Row],[05/05/25]]+(1-Real[[#This Row],[05/05/25]])*'Avance 39'!BW67</f>
        <v>0.745</v>
      </c>
      <c r="DQ113" s="127">
        <f>Real[[#This Row],[05/05/25]]+(1-Real[[#This Row],[05/05/25]])*'Avance 39'!BX67</f>
        <v>0.745</v>
      </c>
      <c r="DR113" s="127">
        <f>Real[[#This Row],[05/05/25]]+(1-Real[[#This Row],[05/05/25]])*'Avance 39'!BY67</f>
        <v>0.745</v>
      </c>
      <c r="DS113" s="127">
        <f>Real[[#This Row],[05/05/25]]+(1-Real[[#This Row],[05/05/25]])*'Avance 39'!BZ67</f>
        <v>0.745</v>
      </c>
      <c r="DT113" s="127">
        <f>Real[[#This Row],[05/05/25]]+(1-Real[[#This Row],[05/05/25]])*'Avance 39'!CA67</f>
        <v>0.745</v>
      </c>
      <c r="DU113" s="127">
        <f>Real[[#This Row],[05/05/25]]+(1-Real[[#This Row],[05/05/25]])*'Avance 39'!CB67</f>
        <v>0.745</v>
      </c>
      <c r="DV113" s="127">
        <f>Real[[#This Row],[05/05/25]]+(1-Real[[#This Row],[05/05/25]])*'Avance 39'!CC67</f>
        <v>0.745</v>
      </c>
      <c r="DW113" s="127">
        <f>Real[[#This Row],[05/05/25]]+(1-Real[[#This Row],[05/05/25]])*'Avance 39'!CD67</f>
        <v>0.745</v>
      </c>
      <c r="DX113" s="127">
        <f>Real[[#This Row],[05/05/25]]+(1-Real[[#This Row],[05/05/25]])*'Avance 39'!CE67</f>
        <v>0.745</v>
      </c>
      <c r="DY113" s="127">
        <f>Real[[#This Row],[05/05/25]]+(1-Real[[#This Row],[05/05/25]])*'Avance 39'!CF67</f>
        <v>0.745</v>
      </c>
      <c r="DZ113" s="127">
        <f>Real[[#This Row],[05/05/25]]+(1-Real[[#This Row],[05/05/25]])*'Avance 39'!CG67</f>
        <v>0.745</v>
      </c>
      <c r="EA113" s="127">
        <f>Real[[#This Row],[05/05/25]]+(1-Real[[#This Row],[05/05/25]])*'Avance 39'!CH67</f>
        <v>0.745</v>
      </c>
      <c r="EB113" s="127">
        <f>Real[[#This Row],[05/05/25]]+(1-Real[[#This Row],[05/05/25]])*'Avance 39'!CI67</f>
        <v>0.745</v>
      </c>
      <c r="EC113" s="127">
        <f>Real[[#This Row],[05/05/25]]+(1-Real[[#This Row],[05/05/25]])*'Avance 39'!CJ67</f>
        <v>0.745</v>
      </c>
      <c r="ED113" s="127">
        <f>Real[[#This Row],[05/05/25]]+(1-Real[[#This Row],[05/05/25]])*'Avance 39'!CK67</f>
        <v>0.745</v>
      </c>
      <c r="EE113" s="127">
        <f>Real[[#This Row],[05/05/25]]+(1-Real[[#This Row],[05/05/25]])*'Avance 39'!CL67</f>
        <v>0.745</v>
      </c>
      <c r="EF113" s="127">
        <f>Real[[#This Row],[05/05/25]]+(1-Real[[#This Row],[05/05/25]])*'Avance 39'!CM67</f>
        <v>0.745</v>
      </c>
      <c r="EG113" s="127">
        <f>Real[[#This Row],[05/05/25]]+(1-Real[[#This Row],[05/05/25]])*'Avance 39'!CN67</f>
        <v>0.745</v>
      </c>
      <c r="EH113" s="127">
        <f>Real[[#This Row],[05/05/25]]+(1-Real[[#This Row],[05/05/25]])*'Avance 39'!CO67</f>
        <v>0.745</v>
      </c>
      <c r="EI113" s="127">
        <f>Real[[#This Row],[05/05/25]]+(1-Real[[#This Row],[05/05/25]])*'Avance 39'!CP67</f>
        <v>0.8</v>
      </c>
    </row>
    <row r="114" spans="2:139" hidden="1" outlineLevel="3" x14ac:dyDescent="0.3">
      <c r="B114" s="280"/>
      <c r="C114" s="281"/>
      <c r="D114" s="281"/>
      <c r="E114" s="282" t="s">
        <v>117</v>
      </c>
      <c r="F114" s="283">
        <v>20</v>
      </c>
      <c r="G114" s="284">
        <v>0.33622984708458059</v>
      </c>
      <c r="H114" s="162"/>
      <c r="I114" s="127">
        <v>0</v>
      </c>
      <c r="J114" s="127">
        <v>0</v>
      </c>
      <c r="K114" s="127">
        <v>0</v>
      </c>
      <c r="L114" s="127">
        <v>0</v>
      </c>
      <c r="M114" s="128">
        <v>0</v>
      </c>
      <c r="N114" s="128">
        <v>0</v>
      </c>
      <c r="O114" s="127">
        <v>0</v>
      </c>
      <c r="P114" s="127">
        <v>0</v>
      </c>
      <c r="Q114" s="127">
        <v>0</v>
      </c>
      <c r="R114" s="127">
        <v>0</v>
      </c>
      <c r="S114" s="127">
        <v>0</v>
      </c>
      <c r="T114" s="127">
        <v>0</v>
      </c>
      <c r="U114" s="127">
        <v>0</v>
      </c>
      <c r="V114" s="127">
        <v>0</v>
      </c>
      <c r="W114" s="127">
        <v>0</v>
      </c>
      <c r="X114" s="127">
        <v>0</v>
      </c>
      <c r="Y114" s="127">
        <v>0</v>
      </c>
      <c r="Z114" s="127">
        <v>0</v>
      </c>
      <c r="AA114" s="127">
        <v>0</v>
      </c>
      <c r="AB114" s="127">
        <v>0</v>
      </c>
      <c r="AC114" s="127">
        <v>0</v>
      </c>
      <c r="AD114" s="127">
        <v>0</v>
      </c>
      <c r="AE114" s="127">
        <v>0</v>
      </c>
      <c r="AF114" s="127">
        <v>0</v>
      </c>
      <c r="AG114" s="127">
        <v>0</v>
      </c>
      <c r="AH114" s="127">
        <v>0</v>
      </c>
      <c r="AI114" s="127">
        <v>0</v>
      </c>
      <c r="AJ114" s="127">
        <v>0</v>
      </c>
      <c r="AK114" s="127">
        <v>0</v>
      </c>
      <c r="AL114" s="127">
        <v>0</v>
      </c>
      <c r="AM114" s="127">
        <v>0</v>
      </c>
      <c r="AN114" s="127">
        <v>0</v>
      </c>
      <c r="AO114" s="127">
        <v>0</v>
      </c>
      <c r="AP114" s="127">
        <v>0</v>
      </c>
      <c r="AQ114" s="127">
        <v>0</v>
      </c>
      <c r="AR114" s="127">
        <v>0</v>
      </c>
      <c r="AS114" s="127">
        <v>0</v>
      </c>
      <c r="AT114" s="127">
        <v>0</v>
      </c>
      <c r="AU114" s="127">
        <v>0</v>
      </c>
      <c r="AV114" s="127">
        <v>0</v>
      </c>
      <c r="AW114" s="127">
        <v>0</v>
      </c>
      <c r="AX114" s="127">
        <v>0</v>
      </c>
      <c r="AY114" s="127">
        <v>0</v>
      </c>
      <c r="AZ114" s="127">
        <v>0</v>
      </c>
      <c r="BA114" s="127">
        <v>0</v>
      </c>
      <c r="BB114" s="127">
        <f>Real[[#This Row],[05/05/25]]+(1-Real[[#This Row],[05/05/25]])*'Avance 39'!I68</f>
        <v>0</v>
      </c>
      <c r="BC114" s="127">
        <f>Real[[#This Row],[05/05/25]]+(1-Real[[#This Row],[05/05/25]])*'Avance 39'!J68</f>
        <v>0</v>
      </c>
      <c r="BD114" s="127">
        <f>Real[[#This Row],[05/05/25]]+(1-Real[[#This Row],[05/05/25]])*'Avance 39'!K68</f>
        <v>0</v>
      </c>
      <c r="BE114" s="127">
        <f>Real[[#This Row],[05/05/25]]+(1-Real[[#This Row],[05/05/25]])*'Avance 39'!L68</f>
        <v>0</v>
      </c>
      <c r="BF114" s="127">
        <f>Real[[#This Row],[05/05/25]]+(1-Real[[#This Row],[05/05/25]])*'Avance 39'!M68</f>
        <v>0</v>
      </c>
      <c r="BG114" s="163">
        <f>Real[[#This Row],[05/05/25]]+(1-Real[[#This Row],[05/05/25]])*'Avance 39'!N68</f>
        <v>0</v>
      </c>
      <c r="BH114" s="163">
        <f>Real[[#This Row],[05/05/25]]+(1-Real[[#This Row],[05/05/25]])*'Avance 39'!O68</f>
        <v>0</v>
      </c>
      <c r="BI114" s="127">
        <f>Real[[#This Row],[05/05/25]]+(1-Real[[#This Row],[05/05/25]])*'Avance 39'!P68</f>
        <v>0</v>
      </c>
      <c r="BJ114" s="127">
        <f>Real[[#This Row],[05/05/25]]+(1-Real[[#This Row],[05/05/25]])*'Avance 39'!Q68</f>
        <v>0</v>
      </c>
      <c r="BK114" s="127">
        <f>Real[[#This Row],[05/05/25]]+(1-Real[[#This Row],[05/05/25]])*'Avance 39'!R68</f>
        <v>0</v>
      </c>
      <c r="BL114" s="127">
        <f>Real[[#This Row],[05/05/25]]+(1-Real[[#This Row],[05/05/25]])*'Avance 39'!S68</f>
        <v>0</v>
      </c>
      <c r="BM114" s="127">
        <f>Real[[#This Row],[05/05/25]]+(1-Real[[#This Row],[05/05/25]])*'Avance 39'!T68</f>
        <v>0</v>
      </c>
      <c r="BN114" s="127">
        <f>Real[[#This Row],[05/05/25]]+(1-Real[[#This Row],[05/05/25]])*'Avance 39'!U68</f>
        <v>0</v>
      </c>
      <c r="BO114" s="127">
        <f>Real[[#This Row],[05/05/25]]+(1-Real[[#This Row],[05/05/25]])*'Avance 39'!V68</f>
        <v>0</v>
      </c>
      <c r="BP114" s="127">
        <f>Real[[#This Row],[05/05/25]]+(1-Real[[#This Row],[05/05/25]])*'Avance 39'!W68</f>
        <v>0</v>
      </c>
      <c r="BQ114" s="127">
        <f>Real[[#This Row],[05/05/25]]+(1-Real[[#This Row],[05/05/25]])*'Avance 39'!X68</f>
        <v>0</v>
      </c>
      <c r="BR114" s="127">
        <f>Real[[#This Row],[05/05/25]]+(1-Real[[#This Row],[05/05/25]])*'Avance 39'!Y68</f>
        <v>0</v>
      </c>
      <c r="BS114" s="127">
        <f>Real[[#This Row],[05/05/25]]+(1-Real[[#This Row],[05/05/25]])*'Avance 39'!Z68</f>
        <v>0</v>
      </c>
      <c r="BT114" s="127">
        <f>Real[[#This Row],[05/05/25]]+(1-Real[[#This Row],[05/05/25]])*'Avance 39'!AA68</f>
        <v>0</v>
      </c>
      <c r="BU114" s="127">
        <f>Real[[#This Row],[05/05/25]]+(1-Real[[#This Row],[05/05/25]])*'Avance 39'!AB68</f>
        <v>0.22815000000000002</v>
      </c>
      <c r="BV114" s="127">
        <f>Real[[#This Row],[05/05/25]]+(1-Real[[#This Row],[05/05/25]])*'Avance 39'!AC68</f>
        <v>0.30246666666666672</v>
      </c>
      <c r="BW114" s="127">
        <f>Real[[#This Row],[05/05/25]]+(1-Real[[#This Row],[05/05/25]])*'Avance 39'!AD68</f>
        <v>0.39870666666666676</v>
      </c>
      <c r="BX114" s="127">
        <f>Real[[#This Row],[05/05/25]]+(1-Real[[#This Row],[05/05/25]])*'Avance 39'!AE68</f>
        <v>0.44758666666666674</v>
      </c>
      <c r="BY114" s="127">
        <f>Real[[#This Row],[05/05/25]]+(1-Real[[#This Row],[05/05/25]])*'Avance 39'!AF68</f>
        <v>0.44906666666666673</v>
      </c>
      <c r="BZ114" s="127">
        <f>Real[[#This Row],[05/05/25]]+(1-Real[[#This Row],[05/05/25]])*'Avance 39'!AG68</f>
        <v>0.45893333333333336</v>
      </c>
      <c r="CA114" s="127">
        <f>Real[[#This Row],[05/05/25]]+(1-Real[[#This Row],[05/05/25]])*'Avance 39'!AH68</f>
        <v>0.45893333333333336</v>
      </c>
      <c r="CB114" s="127">
        <f>Real[[#This Row],[05/05/25]]+(1-Real[[#This Row],[05/05/25]])*'Avance 39'!AI68</f>
        <v>0.45893333333333336</v>
      </c>
      <c r="CC114" s="127">
        <f>Real[[#This Row],[05/05/25]]+(1-Real[[#This Row],[05/05/25]])*'Avance 39'!AJ68</f>
        <v>0.70179333333333349</v>
      </c>
      <c r="CD114" s="127">
        <f>Real[[#This Row],[05/05/25]]+(1-Real[[#This Row],[05/05/25]])*'Avance 39'!AK68</f>
        <v>0.70914333333333346</v>
      </c>
      <c r="CE114" s="127">
        <f>Real[[#This Row],[05/05/25]]+(1-Real[[#This Row],[05/05/25]])*'Avance 39'!AL68</f>
        <v>0.71229333333333344</v>
      </c>
      <c r="CF114" s="127">
        <f>Real[[#This Row],[05/05/25]]+(1-Real[[#This Row],[05/05/25]])*'Avance 39'!AM68</f>
        <v>0.72216000000000014</v>
      </c>
      <c r="CG114" s="127">
        <f>Real[[#This Row],[05/05/25]]+(1-Real[[#This Row],[05/05/25]])*'Avance 39'!AN68</f>
        <v>0.72399999999999998</v>
      </c>
      <c r="CH114" s="127">
        <f>Real[[#This Row],[05/05/25]]+(1-Real[[#This Row],[05/05/25]])*'Avance 39'!AO68</f>
        <v>0.72399999999999998</v>
      </c>
      <c r="CI114" s="127">
        <f>Real[[#This Row],[05/05/25]]+(1-Real[[#This Row],[05/05/25]])*'Avance 39'!AP68</f>
        <v>0.72399999999999998</v>
      </c>
      <c r="CJ114" s="127">
        <f>Real[[#This Row],[05/05/25]]+(1-Real[[#This Row],[05/05/25]])*'Avance 39'!AQ68</f>
        <v>0.72399999999999998</v>
      </c>
      <c r="CK114" s="127">
        <f>Real[[#This Row],[05/05/25]]+(1-Real[[#This Row],[05/05/25]])*'Avance 39'!AR68</f>
        <v>0.72399999999999998</v>
      </c>
      <c r="CL114" s="127">
        <f>Real[[#This Row],[05/05/25]]+(1-Real[[#This Row],[05/05/25]])*'Avance 39'!AS68</f>
        <v>0.72399999999999998</v>
      </c>
      <c r="CM114" s="127">
        <f>Real[[#This Row],[05/05/25]]+(1-Real[[#This Row],[05/05/25]])*'Avance 39'!AT68</f>
        <v>0.73</v>
      </c>
      <c r="CN114" s="127">
        <f>Real[[#This Row],[05/05/25]]+(1-Real[[#This Row],[05/05/25]])*'Avance 39'!AU68</f>
        <v>0.73</v>
      </c>
      <c r="CO114" s="127">
        <f>Real[[#This Row],[05/05/25]]+(1-Real[[#This Row],[05/05/25]])*'Avance 39'!AV68</f>
        <v>0.73</v>
      </c>
      <c r="CP114" s="127">
        <f>Real[[#This Row],[05/05/25]]+(1-Real[[#This Row],[05/05/25]])*'Avance 39'!AW68</f>
        <v>0.73</v>
      </c>
      <c r="CQ114" s="127">
        <f>Real[[#This Row],[05/05/25]]+(1-Real[[#This Row],[05/05/25]])*'Avance 39'!AX68</f>
        <v>0.73</v>
      </c>
      <c r="CR114" s="127">
        <f>Real[[#This Row],[05/05/25]]+(1-Real[[#This Row],[05/05/25]])*'Avance 39'!AY68</f>
        <v>0.73</v>
      </c>
      <c r="CS114" s="127">
        <f>Real[[#This Row],[05/05/25]]+(1-Real[[#This Row],[05/05/25]])*'Avance 39'!AZ68</f>
        <v>0.73</v>
      </c>
      <c r="CT114" s="127">
        <f>Real[[#This Row],[05/05/25]]+(1-Real[[#This Row],[05/05/25]])*'Avance 39'!BA68</f>
        <v>0.73</v>
      </c>
      <c r="CU114" s="127">
        <f>Real[[#This Row],[05/05/25]]+(1-Real[[#This Row],[05/05/25]])*'Avance 39'!BB68</f>
        <v>0.73</v>
      </c>
      <c r="CV114" s="127">
        <f>Real[[#This Row],[05/05/25]]+(1-Real[[#This Row],[05/05/25]])*'Avance 39'!BC68</f>
        <v>0.73</v>
      </c>
      <c r="CW114" s="127">
        <f>Real[[#This Row],[05/05/25]]+(1-Real[[#This Row],[05/05/25]])*'Avance 39'!BD68</f>
        <v>0.73</v>
      </c>
      <c r="CX114" s="127">
        <f>Real[[#This Row],[05/05/25]]+(1-Real[[#This Row],[05/05/25]])*'Avance 39'!BE68</f>
        <v>0.73</v>
      </c>
      <c r="CY114" s="127">
        <f>Real[[#This Row],[05/05/25]]+(1-Real[[#This Row],[05/05/25]])*'Avance 39'!BF68</f>
        <v>0.73</v>
      </c>
      <c r="CZ114" s="127">
        <f>Real[[#This Row],[05/05/25]]+(1-Real[[#This Row],[05/05/25]])*'Avance 39'!BG68</f>
        <v>0.73</v>
      </c>
      <c r="DA114" s="127">
        <f>Real[[#This Row],[05/05/25]]+(1-Real[[#This Row],[05/05/25]])*'Avance 39'!BH68</f>
        <v>0.73</v>
      </c>
      <c r="DB114" s="127">
        <f>Real[[#This Row],[05/05/25]]+(1-Real[[#This Row],[05/05/25]])*'Avance 39'!BI68</f>
        <v>0.73</v>
      </c>
      <c r="DC114" s="127">
        <f>Real[[#This Row],[05/05/25]]+(1-Real[[#This Row],[05/05/25]])*'Avance 39'!BJ68</f>
        <v>0.73</v>
      </c>
      <c r="DD114" s="127">
        <f>Real[[#This Row],[05/05/25]]+(1-Real[[#This Row],[05/05/25]])*'Avance 39'!BK68</f>
        <v>0.73</v>
      </c>
      <c r="DE114" s="127">
        <f>Real[[#This Row],[05/05/25]]+(1-Real[[#This Row],[05/05/25]])*'Avance 39'!BL68</f>
        <v>1</v>
      </c>
      <c r="DF114" s="127">
        <f>Real[[#This Row],[05/05/25]]+(1-Real[[#This Row],[05/05/25]])*'Avance 39'!BM68</f>
        <v>1</v>
      </c>
      <c r="DG114" s="127">
        <f>Real[[#This Row],[05/05/25]]+(1-Real[[#This Row],[05/05/25]])*'Avance 39'!BN68</f>
        <v>1</v>
      </c>
      <c r="DH114" s="127">
        <f>Real[[#This Row],[05/05/25]]+(1-Real[[#This Row],[05/05/25]])*'Avance 39'!BO68</f>
        <v>1</v>
      </c>
      <c r="DI114" s="127">
        <f>Real[[#This Row],[05/05/25]]+(1-Real[[#This Row],[05/05/25]])*'Avance 39'!BP68</f>
        <v>1</v>
      </c>
      <c r="DJ114" s="127">
        <f>Real[[#This Row],[05/05/25]]+(1-Real[[#This Row],[05/05/25]])*'Avance 39'!BQ68</f>
        <v>0.72399999999999998</v>
      </c>
      <c r="DK114" s="127">
        <f>Real[[#This Row],[05/05/25]]+(1-Real[[#This Row],[05/05/25]])*'Avance 39'!BR68</f>
        <v>0.72399999999999998</v>
      </c>
      <c r="DL114" s="127">
        <f>Real[[#This Row],[05/05/25]]+(1-Real[[#This Row],[05/05/25]])*'Avance 39'!BS68</f>
        <v>0.72399999999999998</v>
      </c>
      <c r="DM114" s="127">
        <f>Real[[#This Row],[05/05/25]]+(1-Real[[#This Row],[05/05/25]])*'Avance 39'!BT68</f>
        <v>0.72399999999999998</v>
      </c>
      <c r="DN114" s="127">
        <f>Real[[#This Row],[05/05/25]]+(1-Real[[#This Row],[05/05/25]])*'Avance 39'!BU68</f>
        <v>0.72399999999999998</v>
      </c>
      <c r="DO114" s="127">
        <f>Real[[#This Row],[05/05/25]]+(1-Real[[#This Row],[05/05/25]])*'Avance 39'!BV68</f>
        <v>0.72399999999999998</v>
      </c>
      <c r="DP114" s="127">
        <f>Real[[#This Row],[05/05/25]]+(1-Real[[#This Row],[05/05/25]])*'Avance 39'!BW68</f>
        <v>0.72399999999999998</v>
      </c>
      <c r="DQ114" s="127">
        <f>Real[[#This Row],[05/05/25]]+(1-Real[[#This Row],[05/05/25]])*'Avance 39'!BX68</f>
        <v>0.72399999999999998</v>
      </c>
      <c r="DR114" s="127">
        <f>Real[[#This Row],[05/05/25]]+(1-Real[[#This Row],[05/05/25]])*'Avance 39'!BY68</f>
        <v>0.72399999999999998</v>
      </c>
      <c r="DS114" s="127">
        <f>Real[[#This Row],[05/05/25]]+(1-Real[[#This Row],[05/05/25]])*'Avance 39'!BZ68</f>
        <v>0.72399999999999998</v>
      </c>
      <c r="DT114" s="127">
        <f>Real[[#This Row],[05/05/25]]+(1-Real[[#This Row],[05/05/25]])*'Avance 39'!CA68</f>
        <v>0.72399999999999998</v>
      </c>
      <c r="DU114" s="127">
        <f>Real[[#This Row],[05/05/25]]+(1-Real[[#This Row],[05/05/25]])*'Avance 39'!CB68</f>
        <v>0.72399999999999998</v>
      </c>
      <c r="DV114" s="127">
        <f>Real[[#This Row],[05/05/25]]+(1-Real[[#This Row],[05/05/25]])*'Avance 39'!CC68</f>
        <v>0.72399999999999998</v>
      </c>
      <c r="DW114" s="127">
        <f>Real[[#This Row],[05/05/25]]+(1-Real[[#This Row],[05/05/25]])*'Avance 39'!CD68</f>
        <v>0.72399999999999998</v>
      </c>
      <c r="DX114" s="127">
        <f>Real[[#This Row],[05/05/25]]+(1-Real[[#This Row],[05/05/25]])*'Avance 39'!CE68</f>
        <v>0.72399999999999998</v>
      </c>
      <c r="DY114" s="127">
        <f>Real[[#This Row],[05/05/25]]+(1-Real[[#This Row],[05/05/25]])*'Avance 39'!CF68</f>
        <v>0.72399999999999998</v>
      </c>
      <c r="DZ114" s="127">
        <f>Real[[#This Row],[05/05/25]]+(1-Real[[#This Row],[05/05/25]])*'Avance 39'!CG68</f>
        <v>0.72399999999999998</v>
      </c>
      <c r="EA114" s="127">
        <f>Real[[#This Row],[05/05/25]]+(1-Real[[#This Row],[05/05/25]])*'Avance 39'!CH68</f>
        <v>0.72399999999999998</v>
      </c>
      <c r="EB114" s="127">
        <f>Real[[#This Row],[05/05/25]]+(1-Real[[#This Row],[05/05/25]])*'Avance 39'!CI68</f>
        <v>0.72399999999999998</v>
      </c>
      <c r="EC114" s="127">
        <f>Real[[#This Row],[05/05/25]]+(1-Real[[#This Row],[05/05/25]])*'Avance 39'!CJ68</f>
        <v>0.72399999999999998</v>
      </c>
      <c r="ED114" s="127">
        <f>Real[[#This Row],[05/05/25]]+(1-Real[[#This Row],[05/05/25]])*'Avance 39'!CK68</f>
        <v>0.72399999999999998</v>
      </c>
      <c r="EE114" s="127">
        <f>Real[[#This Row],[05/05/25]]+(1-Real[[#This Row],[05/05/25]])*'Avance 39'!CL68</f>
        <v>0.72399999999999998</v>
      </c>
      <c r="EF114" s="127">
        <f>Real[[#This Row],[05/05/25]]+(1-Real[[#This Row],[05/05/25]])*'Avance 39'!CM68</f>
        <v>0.72399999999999998</v>
      </c>
      <c r="EG114" s="127">
        <f>Real[[#This Row],[05/05/25]]+(1-Real[[#This Row],[05/05/25]])*'Avance 39'!CN68</f>
        <v>0.72399999999999998</v>
      </c>
      <c r="EH114" s="127">
        <f>Real[[#This Row],[05/05/25]]+(1-Real[[#This Row],[05/05/25]])*'Avance 39'!CO68</f>
        <v>0.72399999999999998</v>
      </c>
      <c r="EI114" s="127">
        <f>Real[[#This Row],[05/05/25]]+(1-Real[[#This Row],[05/05/25]])*'Avance 39'!CP68</f>
        <v>0.73</v>
      </c>
    </row>
    <row r="115" spans="2:139" ht="15" outlineLevel="2" collapsed="1" x14ac:dyDescent="0.3">
      <c r="B115" s="22"/>
      <c r="C115" s="23"/>
      <c r="D115" s="23" t="s">
        <v>118</v>
      </c>
      <c r="E115" s="50"/>
      <c r="F115" s="26">
        <f>+SUM(F118:F118)</f>
        <v>35</v>
      </c>
      <c r="G115" s="28">
        <v>4.974865389343934E-2</v>
      </c>
      <c r="H115" s="160"/>
      <c r="I115" s="28">
        <f t="shared" ref="I115:BD115" si="703">SUMPRODUCT(I116:I118,$G$116:$G$118)</f>
        <v>0</v>
      </c>
      <c r="J115" s="28">
        <f t="shared" si="703"/>
        <v>0</v>
      </c>
      <c r="K115" s="28">
        <f t="shared" si="703"/>
        <v>0</v>
      </c>
      <c r="L115" s="28">
        <f t="shared" si="703"/>
        <v>0</v>
      </c>
      <c r="M115" s="28">
        <f t="shared" si="703"/>
        <v>0</v>
      </c>
      <c r="N115" s="28">
        <f t="shared" si="703"/>
        <v>0</v>
      </c>
      <c r="O115" s="28">
        <f t="shared" si="703"/>
        <v>0</v>
      </c>
      <c r="P115" s="28">
        <f t="shared" si="703"/>
        <v>0</v>
      </c>
      <c r="Q115" s="28">
        <f t="shared" si="703"/>
        <v>0</v>
      </c>
      <c r="R115" s="28">
        <f t="shared" si="703"/>
        <v>0</v>
      </c>
      <c r="S115" s="28">
        <f t="shared" si="703"/>
        <v>0</v>
      </c>
      <c r="T115" s="28">
        <f t="shared" si="703"/>
        <v>0</v>
      </c>
      <c r="U115" s="28">
        <f t="shared" si="703"/>
        <v>0</v>
      </c>
      <c r="V115" s="28">
        <f t="shared" si="703"/>
        <v>0</v>
      </c>
      <c r="W115" s="28">
        <f t="shared" si="703"/>
        <v>0</v>
      </c>
      <c r="X115" s="28">
        <f t="shared" si="703"/>
        <v>0</v>
      </c>
      <c r="Y115" s="28">
        <f t="shared" si="703"/>
        <v>0</v>
      </c>
      <c r="Z115" s="28">
        <f t="shared" si="703"/>
        <v>0</v>
      </c>
      <c r="AA115" s="28">
        <f t="shared" si="703"/>
        <v>0</v>
      </c>
      <c r="AB115" s="28">
        <f t="shared" si="703"/>
        <v>0</v>
      </c>
      <c r="AC115" s="28">
        <f t="shared" si="703"/>
        <v>0</v>
      </c>
      <c r="AD115" s="28">
        <f t="shared" si="703"/>
        <v>0</v>
      </c>
      <c r="AE115" s="28">
        <f t="shared" si="703"/>
        <v>0</v>
      </c>
      <c r="AF115" s="28">
        <f t="shared" si="703"/>
        <v>0</v>
      </c>
      <c r="AG115" s="28">
        <f t="shared" si="703"/>
        <v>0</v>
      </c>
      <c r="AH115" s="28">
        <f t="shared" si="703"/>
        <v>0.12045263105500728</v>
      </c>
      <c r="AI115" s="28">
        <f t="shared" si="703"/>
        <v>0.12045263105500728</v>
      </c>
      <c r="AJ115" s="28">
        <f t="shared" si="703"/>
        <v>0.12045263105500728</v>
      </c>
      <c r="AK115" s="28">
        <f t="shared" si="703"/>
        <v>0.12045263105500728</v>
      </c>
      <c r="AL115" s="28">
        <f t="shared" si="703"/>
        <v>0.12045263105500728</v>
      </c>
      <c r="AM115" s="28">
        <f t="shared" si="703"/>
        <v>0.12045263105500728</v>
      </c>
      <c r="AN115" s="28">
        <f t="shared" si="703"/>
        <v>0.12045263105500728</v>
      </c>
      <c r="AO115" s="28">
        <f t="shared" si="703"/>
        <v>0.12045263105500728</v>
      </c>
      <c r="AP115" s="28">
        <f t="shared" si="703"/>
        <v>0.12045263105500728</v>
      </c>
      <c r="AQ115" s="28">
        <f t="shared" si="703"/>
        <v>0.12045263105500728</v>
      </c>
      <c r="AR115" s="28">
        <f t="shared" si="703"/>
        <v>0.12045263105500728</v>
      </c>
      <c r="AS115" s="28">
        <f t="shared" si="703"/>
        <v>0.12045263105500728</v>
      </c>
      <c r="AT115" s="28">
        <f t="shared" si="703"/>
        <v>0.12045263105500728</v>
      </c>
      <c r="AU115" s="28">
        <f t="shared" si="703"/>
        <v>0.12045263105500728</v>
      </c>
      <c r="AV115" s="28">
        <f t="shared" si="703"/>
        <v>0.12045263105500728</v>
      </c>
      <c r="AW115" s="28">
        <f t="shared" si="703"/>
        <v>0.12045263105500728</v>
      </c>
      <c r="AX115" s="28">
        <f t="shared" si="703"/>
        <v>0.12045263105500728</v>
      </c>
      <c r="AY115" s="28">
        <f t="shared" si="703"/>
        <v>0.12045263105500728</v>
      </c>
      <c r="AZ115" s="28">
        <f t="shared" si="703"/>
        <v>0.12045263105500728</v>
      </c>
      <c r="BA115" s="28">
        <f t="shared" si="703"/>
        <v>0.12045263105500728</v>
      </c>
      <c r="BB115" s="28">
        <f t="shared" si="703"/>
        <v>0.12045263105500728</v>
      </c>
      <c r="BC115" s="28">
        <f t="shared" si="703"/>
        <v>0.12045263105500728</v>
      </c>
      <c r="BD115" s="28">
        <f t="shared" si="703"/>
        <v>0.12045263105500728</v>
      </c>
      <c r="BE115" s="28">
        <f t="shared" ref="BE115:BF115" si="704">SUMPRODUCT(BE116:BE118,$G$116:$G$118)</f>
        <v>0.12045263105500728</v>
      </c>
      <c r="BF115" s="28">
        <f t="shared" si="704"/>
        <v>0.12045263105500728</v>
      </c>
      <c r="BG115" s="161">
        <f t="shared" ref="BG115:BH115" si="705">SUMPRODUCT(BG116:BG118,$G$116:$G$118)</f>
        <v>0.12045263105500728</v>
      </c>
      <c r="BH115" s="161">
        <f t="shared" si="705"/>
        <v>0.12045263105500728</v>
      </c>
      <c r="BI115" s="28">
        <f t="shared" ref="BI115:BJ115" si="706">SUMPRODUCT(BI116:BI118,$G$116:$G$118)</f>
        <v>0.12045263105500728</v>
      </c>
      <c r="BJ115" s="28">
        <f t="shared" si="706"/>
        <v>0.12045263105500728</v>
      </c>
      <c r="BK115" s="28">
        <f t="shared" ref="BK115:BL115" si="707">SUMPRODUCT(BK116:BK118,$G$116:$G$118)</f>
        <v>0.12045263105500728</v>
      </c>
      <c r="BL115" s="28">
        <f t="shared" si="707"/>
        <v>0.12045263105500728</v>
      </c>
      <c r="BM115" s="28">
        <f t="shared" ref="BM115:BN115" si="708">SUMPRODUCT(BM116:BM118,$G$116:$G$118)</f>
        <v>0.12045263105500728</v>
      </c>
      <c r="BN115" s="28">
        <f t="shared" si="708"/>
        <v>0.12045263105500728</v>
      </c>
      <c r="BO115" s="28">
        <f t="shared" ref="BO115:BP115" si="709">SUMPRODUCT(BO116:BO118,$G$116:$G$118)</f>
        <v>0.12045263105500728</v>
      </c>
      <c r="BP115" s="28">
        <f t="shared" si="709"/>
        <v>0.12045263105500728</v>
      </c>
      <c r="BQ115" s="28">
        <f t="shared" ref="BQ115:BR115" si="710">SUMPRODUCT(BQ116:BQ118,$G$116:$G$118)</f>
        <v>0.12045263105500728</v>
      </c>
      <c r="BR115" s="28">
        <f t="shared" si="710"/>
        <v>0.12045263105500728</v>
      </c>
      <c r="BS115" s="28">
        <f t="shared" ref="BS115:BT115" si="711">SUMPRODUCT(BS116:BS118,$G$116:$G$118)</f>
        <v>0.12045263105500728</v>
      </c>
      <c r="BT115" s="28">
        <f t="shared" si="711"/>
        <v>0.12045263105500728</v>
      </c>
      <c r="BU115" s="28">
        <f t="shared" ref="BU115:BV115" si="712">SUMPRODUCT(BU116:BU118,$G$116:$G$118)</f>
        <v>0.12045263105500728</v>
      </c>
      <c r="BV115" s="28">
        <f t="shared" si="712"/>
        <v>0.12045263105500728</v>
      </c>
      <c r="BW115" s="28">
        <f t="shared" ref="BW115:BX115" si="713">SUMPRODUCT(BW116:BW118,$G$116:$G$118)</f>
        <v>0.12045263105500728</v>
      </c>
      <c r="BX115" s="28">
        <f t="shared" si="713"/>
        <v>0.12045263105500728</v>
      </c>
      <c r="BY115" s="28">
        <f t="shared" ref="BY115:BZ115" si="714">SUMPRODUCT(BY116:BY118,$G$116:$G$118)</f>
        <v>0.12045263105500728</v>
      </c>
      <c r="BZ115" s="28">
        <f t="shared" si="714"/>
        <v>0.12045263105500728</v>
      </c>
      <c r="CA115" s="28">
        <f t="shared" ref="CA115:CB115" si="715">SUMPRODUCT(CA116:CA118,$G$116:$G$118)</f>
        <v>0.12045263105500728</v>
      </c>
      <c r="CB115" s="28">
        <f t="shared" si="715"/>
        <v>0.12045263105500728</v>
      </c>
      <c r="CC115" s="28">
        <f t="shared" ref="CC115:CD115" si="716">SUMPRODUCT(CC116:CC118,$G$116:$G$118)</f>
        <v>0.12045263105500728</v>
      </c>
      <c r="CD115" s="28">
        <f t="shared" si="716"/>
        <v>0.12045263105500728</v>
      </c>
      <c r="CE115" s="28">
        <f t="shared" ref="CE115" si="717">SUMPRODUCT(CE116:CE118,$G$116:$G$118)</f>
        <v>0.12045263105500728</v>
      </c>
      <c r="CF115" s="28">
        <f t="shared" ref="CF115" si="718">SUMPRODUCT(CF116:CF118,$G$116:$G$118)</f>
        <v>0.12045263105500728</v>
      </c>
      <c r="CG115" s="28">
        <f t="shared" ref="CG115" si="719">SUMPRODUCT(CG116:CG118,$G$116:$G$118)</f>
        <v>0.12045263105500728</v>
      </c>
      <c r="CH115" s="28">
        <f t="shared" ref="CH115" si="720">SUMPRODUCT(CH116:CH118,$G$116:$G$118)</f>
        <v>0.12045263105500728</v>
      </c>
      <c r="CI115" s="28">
        <f t="shared" ref="CI115" si="721">SUMPRODUCT(CI116:CI118,$G$116:$G$118)</f>
        <v>0.12045263105500728</v>
      </c>
      <c r="CJ115" s="28">
        <f t="shared" ref="CJ115:CK115" si="722">SUMPRODUCT(CJ116:CJ118,$G$116:$G$118)</f>
        <v>0.12045263105500728</v>
      </c>
      <c r="CK115" s="28">
        <f t="shared" si="722"/>
        <v>0.12045263105500728</v>
      </c>
      <c r="CL115" s="28">
        <f t="shared" ref="CL115:CV115" si="723">SUMPRODUCT(CL116:CL118,$G$116:$G$118)</f>
        <v>0.12045263105500728</v>
      </c>
      <c r="CM115" s="28">
        <f t="shared" si="723"/>
        <v>0.12045263105500728</v>
      </c>
      <c r="CN115" s="28">
        <f t="shared" si="723"/>
        <v>0.12045263105500728</v>
      </c>
      <c r="CO115" s="28">
        <f t="shared" si="723"/>
        <v>0.12045263105500728</v>
      </c>
      <c r="CP115" s="28">
        <f t="shared" si="723"/>
        <v>0.12045263105500728</v>
      </c>
      <c r="CQ115" s="28">
        <f t="shared" si="723"/>
        <v>0.12045263105500728</v>
      </c>
      <c r="CR115" s="28">
        <f t="shared" si="723"/>
        <v>0.12045263105500728</v>
      </c>
      <c r="CS115" s="28">
        <f t="shared" si="723"/>
        <v>0.12045263105500728</v>
      </c>
      <c r="CT115" s="28">
        <f t="shared" si="723"/>
        <v>0.12045263105500728</v>
      </c>
      <c r="CU115" s="28">
        <f t="shared" si="723"/>
        <v>0.12045263105500728</v>
      </c>
      <c r="CV115" s="28">
        <f t="shared" si="723"/>
        <v>0.12045263105500728</v>
      </c>
      <c r="CW115" s="28">
        <f t="shared" ref="CW115" si="724">SUMPRODUCT(CW116:CW118,$G$116:$G$118)</f>
        <v>0.12045263105500728</v>
      </c>
      <c r="CX115" s="28">
        <f t="shared" ref="CX115:CY115" si="725">SUMPRODUCT(CX116:CX118,$G$116:$G$118)</f>
        <v>0.12045263105500728</v>
      </c>
      <c r="CY115" s="28">
        <f t="shared" si="725"/>
        <v>0.12045263105500728</v>
      </c>
      <c r="CZ115" s="28">
        <f t="shared" ref="CZ115:DA115" si="726">SUMPRODUCT(CZ116:CZ118,$G$116:$G$118)</f>
        <v>0.12045263105500728</v>
      </c>
      <c r="DA115" s="28">
        <f t="shared" si="726"/>
        <v>0.12045263105500728</v>
      </c>
      <c r="DB115" s="28">
        <f t="shared" ref="DB115:DC115" si="727">SUMPRODUCT(DB116:DB118,$G$116:$G$118)</f>
        <v>0.12045263105500728</v>
      </c>
      <c r="DC115" s="28">
        <f t="shared" si="727"/>
        <v>0.12045263105500728</v>
      </c>
      <c r="DD115" s="28">
        <f t="shared" ref="DD115:DE115" si="728">SUMPRODUCT(DD116:DD118,$G$116:$G$118)</f>
        <v>0.12045263105500728</v>
      </c>
      <c r="DE115" s="28">
        <f t="shared" si="728"/>
        <v>0.12045263105500728</v>
      </c>
      <c r="DF115" s="28">
        <f t="shared" ref="DF115:EI115" si="729">SUMPRODUCT(DF116:DF118,$G$116:$G$118)</f>
        <v>0.12045263105500728</v>
      </c>
      <c r="DG115" s="28">
        <f t="shared" si="729"/>
        <v>0.12045263105500728</v>
      </c>
      <c r="DH115" s="28">
        <f t="shared" si="729"/>
        <v>0.12045263105500728</v>
      </c>
      <c r="DI115" s="28">
        <f t="shared" si="729"/>
        <v>0.12045263105500728</v>
      </c>
      <c r="DJ115" s="28">
        <f t="shared" si="729"/>
        <v>0.12045263105500728</v>
      </c>
      <c r="DK115" s="28">
        <f t="shared" si="729"/>
        <v>0.12045263105500728</v>
      </c>
      <c r="DL115" s="28">
        <f t="shared" si="729"/>
        <v>0.12045263105500728</v>
      </c>
      <c r="DM115" s="28">
        <f t="shared" si="729"/>
        <v>0.12045263105500728</v>
      </c>
      <c r="DN115" s="28">
        <f t="shared" si="729"/>
        <v>0.12045263105500728</v>
      </c>
      <c r="DO115" s="28">
        <f t="shared" si="729"/>
        <v>0.12045263105500728</v>
      </c>
      <c r="DP115" s="28">
        <f t="shared" si="729"/>
        <v>0.12045263105500728</v>
      </c>
      <c r="DQ115" s="28">
        <f t="shared" si="729"/>
        <v>0.12045263105500728</v>
      </c>
      <c r="DR115" s="28">
        <f t="shared" si="729"/>
        <v>0.12045263105500728</v>
      </c>
      <c r="DS115" s="28">
        <f t="shared" si="729"/>
        <v>0.12045263105500728</v>
      </c>
      <c r="DT115" s="28">
        <f t="shared" si="729"/>
        <v>0.12045263105500728</v>
      </c>
      <c r="DU115" s="28">
        <f t="shared" si="729"/>
        <v>0.12045263105500728</v>
      </c>
      <c r="DV115" s="28">
        <f t="shared" si="729"/>
        <v>0.12045263105500728</v>
      </c>
      <c r="DW115" s="28">
        <f t="shared" si="729"/>
        <v>0.12045263105500728</v>
      </c>
      <c r="DX115" s="28">
        <f t="shared" si="729"/>
        <v>0.12045263105500728</v>
      </c>
      <c r="DY115" s="28">
        <f t="shared" si="729"/>
        <v>0.12045263105500728</v>
      </c>
      <c r="DZ115" s="28">
        <f t="shared" si="729"/>
        <v>0.12045263105500728</v>
      </c>
      <c r="EA115" s="28">
        <f t="shared" si="729"/>
        <v>0.12045263105500728</v>
      </c>
      <c r="EB115" s="28">
        <f t="shared" si="729"/>
        <v>0.12045263105500728</v>
      </c>
      <c r="EC115" s="28">
        <f t="shared" si="729"/>
        <v>0.12045263105500728</v>
      </c>
      <c r="ED115" s="28">
        <f t="shared" si="729"/>
        <v>0.12045263105500728</v>
      </c>
      <c r="EE115" s="28">
        <f t="shared" si="729"/>
        <v>0.12045263105500728</v>
      </c>
      <c r="EF115" s="28">
        <f t="shared" si="729"/>
        <v>0.12045263105500728</v>
      </c>
      <c r="EG115" s="28">
        <f t="shared" si="729"/>
        <v>0.12045263105500728</v>
      </c>
      <c r="EH115" s="28">
        <f t="shared" si="729"/>
        <v>0.12045263105500728</v>
      </c>
      <c r="EI115" s="28">
        <f t="shared" si="729"/>
        <v>0.12045263105500728</v>
      </c>
    </row>
    <row r="116" spans="2:139" ht="15" hidden="1" outlineLevel="3" x14ac:dyDescent="0.3">
      <c r="B116" s="29"/>
      <c r="C116" s="30"/>
      <c r="D116" s="30"/>
      <c r="E116" s="30" t="s">
        <v>119</v>
      </c>
      <c r="F116" s="33">
        <v>35</v>
      </c>
      <c r="G116" s="35">
        <v>0.33333333333333331</v>
      </c>
      <c r="H116" s="249"/>
      <c r="I116" s="131">
        <v>0</v>
      </c>
      <c r="J116" s="131">
        <v>0</v>
      </c>
      <c r="K116" s="131">
        <v>0</v>
      </c>
      <c r="L116" s="131">
        <v>0</v>
      </c>
      <c r="M116" s="132">
        <v>0</v>
      </c>
      <c r="N116" s="132">
        <v>0</v>
      </c>
      <c r="O116" s="131">
        <v>0</v>
      </c>
      <c r="P116" s="131">
        <v>0</v>
      </c>
      <c r="Q116" s="131">
        <v>0</v>
      </c>
      <c r="R116" s="131">
        <v>0</v>
      </c>
      <c r="S116" s="131">
        <v>0</v>
      </c>
      <c r="T116" s="131">
        <v>0</v>
      </c>
      <c r="U116" s="131">
        <v>0</v>
      </c>
      <c r="V116" s="131">
        <v>0</v>
      </c>
      <c r="W116" s="131">
        <v>0</v>
      </c>
      <c r="X116" s="131">
        <v>0</v>
      </c>
      <c r="Y116" s="131">
        <v>0</v>
      </c>
      <c r="Z116" s="131">
        <v>0</v>
      </c>
      <c r="AA116" s="131">
        <v>0</v>
      </c>
      <c r="AB116" s="131">
        <v>0</v>
      </c>
      <c r="AC116" s="131">
        <v>0</v>
      </c>
      <c r="AD116" s="131">
        <v>0</v>
      </c>
      <c r="AE116" s="131">
        <v>0</v>
      </c>
      <c r="AF116" s="131">
        <v>0</v>
      </c>
      <c r="AG116" s="131">
        <v>0</v>
      </c>
      <c r="AH116" s="131">
        <v>0.12045263105500728</v>
      </c>
      <c r="AI116" s="131">
        <v>0.12045263105500728</v>
      </c>
      <c r="AJ116" s="131">
        <v>0.12045263105500728</v>
      </c>
      <c r="AK116" s="131">
        <v>0.12045263105500728</v>
      </c>
      <c r="AL116" s="131">
        <v>0.12045263105500728</v>
      </c>
      <c r="AM116" s="131">
        <v>0.12045263105500728</v>
      </c>
      <c r="AN116" s="131">
        <v>0.12045263105500728</v>
      </c>
      <c r="AO116" s="131">
        <v>0.12045263105500728</v>
      </c>
      <c r="AP116" s="131">
        <v>0.12045263105500728</v>
      </c>
      <c r="AQ116" s="131">
        <v>0.12045263105500728</v>
      </c>
      <c r="AR116" s="131">
        <v>0.12045263105500728</v>
      </c>
      <c r="AS116" s="131">
        <v>0.12045263105500728</v>
      </c>
      <c r="AT116" s="131">
        <v>0.12045263105500728</v>
      </c>
      <c r="AU116" s="131">
        <v>0.12045263105500728</v>
      </c>
      <c r="AV116" s="131">
        <v>0.12045263105500728</v>
      </c>
      <c r="AW116" s="131">
        <v>0.12045263105500728</v>
      </c>
      <c r="AX116" s="131">
        <v>0.12045263105500728</v>
      </c>
      <c r="AY116" s="131">
        <v>0.12045263105500728</v>
      </c>
      <c r="AZ116" s="131">
        <v>0.12045263105500728</v>
      </c>
      <c r="BA116" s="131">
        <v>0.12045263105500728</v>
      </c>
      <c r="BB116" s="127">
        <f>Real[[#This Row],[05/05/25]]+(1-Real[[#This Row],[05/05/25]])*'Avance 39'!I70</f>
        <v>0.12045263105500728</v>
      </c>
      <c r="BC116" s="127">
        <f>Real[[#This Row],[05/05/25]]+(1-Real[[#This Row],[05/05/25]])*'Avance 39'!J70</f>
        <v>0.12045263105500728</v>
      </c>
      <c r="BD116" s="127">
        <f>Real[[#This Row],[05/05/25]]+(1-Real[[#This Row],[05/05/25]])*'Avance 39'!K70</f>
        <v>0.12045263105500728</v>
      </c>
      <c r="BE116" s="127">
        <f>Real[[#This Row],[05/05/25]]+(1-Real[[#This Row],[05/05/25]])*'Avance 39'!L70</f>
        <v>0.12045263105500728</v>
      </c>
      <c r="BF116" s="127">
        <f>Real[[#This Row],[05/05/25]]+(1-Real[[#This Row],[05/05/25]])*'Avance 39'!M70</f>
        <v>0.12045263105500728</v>
      </c>
      <c r="BG116" s="163">
        <f>Real[[#This Row],[05/05/25]]+(1-Real[[#This Row],[05/05/25]])*'Avance 39'!N70</f>
        <v>0.12045263105500728</v>
      </c>
      <c r="BH116" s="163">
        <f>Real[[#This Row],[05/05/25]]+(1-Real[[#This Row],[05/05/25]])*'Avance 39'!O70</f>
        <v>0.12045263105500728</v>
      </c>
      <c r="BI116" s="127">
        <f>Real[[#This Row],[05/05/25]]+(1-Real[[#This Row],[05/05/25]])*'Avance 39'!P70</f>
        <v>0.12045263105500728</v>
      </c>
      <c r="BJ116" s="127">
        <f>Real[[#This Row],[05/05/25]]+(1-Real[[#This Row],[05/05/25]])*'Avance 39'!Q70</f>
        <v>0.12045263105500728</v>
      </c>
      <c r="BK116" s="127">
        <f>Real[[#This Row],[05/05/25]]+(1-Real[[#This Row],[05/05/25]])*'Avance 39'!R70</f>
        <v>0.12045263105500728</v>
      </c>
      <c r="BL116" s="127">
        <f>Real[[#This Row],[05/05/25]]+(1-Real[[#This Row],[05/05/25]])*'Avance 39'!S70</f>
        <v>0.12045263105500728</v>
      </c>
      <c r="BM116" s="127">
        <f>Real[[#This Row],[05/05/25]]+(1-Real[[#This Row],[05/05/25]])*'Avance 39'!T70</f>
        <v>0.12045263105500728</v>
      </c>
      <c r="BN116" s="127">
        <f>Real[[#This Row],[05/05/25]]+(1-Real[[#This Row],[05/05/25]])*'Avance 39'!U70</f>
        <v>0.12045263105500728</v>
      </c>
      <c r="BO116" s="127">
        <f>Real[[#This Row],[05/05/25]]+(1-Real[[#This Row],[05/05/25]])*'Avance 39'!V70</f>
        <v>0.12045263105500728</v>
      </c>
      <c r="BP116" s="127">
        <f>Real[[#This Row],[05/05/25]]+(1-Real[[#This Row],[05/05/25]])*'Avance 39'!W70</f>
        <v>0.12045263105500728</v>
      </c>
      <c r="BQ116" s="127">
        <f>Real[[#This Row],[05/05/25]]+(1-Real[[#This Row],[05/05/25]])*'Avance 39'!X70</f>
        <v>0.12045263105500728</v>
      </c>
      <c r="BR116" s="127">
        <f>Real[[#This Row],[05/05/25]]+(1-Real[[#This Row],[05/05/25]])*'Avance 39'!Y70</f>
        <v>0.12045263105500728</v>
      </c>
      <c r="BS116" s="127">
        <f>Real[[#This Row],[05/05/25]]+(1-Real[[#This Row],[05/05/25]])*'Avance 39'!Z70</f>
        <v>0.12045263105500728</v>
      </c>
      <c r="BT116" s="127">
        <f>Real[[#This Row],[05/05/25]]+(1-Real[[#This Row],[05/05/25]])*'Avance 39'!AA70</f>
        <v>0.12045263105500728</v>
      </c>
      <c r="BU116" s="127">
        <f>Real[[#This Row],[05/05/25]]+(1-Real[[#This Row],[05/05/25]])*'Avance 39'!AB70</f>
        <v>0.12045263105500728</v>
      </c>
      <c r="BV116" s="127">
        <f>Real[[#This Row],[05/05/25]]+(1-Real[[#This Row],[05/05/25]])*'Avance 39'!AC70</f>
        <v>0.12045263105500728</v>
      </c>
      <c r="BW116" s="127">
        <f>Real[[#This Row],[05/05/25]]+(1-Real[[#This Row],[05/05/25]])*'Avance 39'!AD70</f>
        <v>0.12045263105500728</v>
      </c>
      <c r="BX116" s="127">
        <f>Real[[#This Row],[05/05/25]]+(1-Real[[#This Row],[05/05/25]])*'Avance 39'!AE70</f>
        <v>0.12045263105500728</v>
      </c>
      <c r="BY116" s="127">
        <f>Real[[#This Row],[05/05/25]]+(1-Real[[#This Row],[05/05/25]])*'Avance 39'!AF70</f>
        <v>0.12045263105500728</v>
      </c>
      <c r="BZ116" s="127">
        <f>Real[[#This Row],[05/05/25]]+(1-Real[[#This Row],[05/05/25]])*'Avance 39'!AG70</f>
        <v>0.12045263105500728</v>
      </c>
      <c r="CA116" s="127">
        <f>Real[[#This Row],[05/05/25]]+(1-Real[[#This Row],[05/05/25]])*'Avance 39'!AH70</f>
        <v>0.12045263105500728</v>
      </c>
      <c r="CB116" s="127">
        <f>Real[[#This Row],[05/05/25]]+(1-Real[[#This Row],[05/05/25]])*'Avance 39'!AI70</f>
        <v>0.12045263105500728</v>
      </c>
      <c r="CC116" s="127">
        <f>Real[[#This Row],[05/05/25]]+(1-Real[[#This Row],[05/05/25]])*'Avance 39'!AJ70</f>
        <v>0.12045263105500728</v>
      </c>
      <c r="CD116" s="127">
        <f>Real[[#This Row],[05/05/25]]+(1-Real[[#This Row],[05/05/25]])*'Avance 39'!AK70</f>
        <v>0.12045263105500728</v>
      </c>
      <c r="CE116" s="127">
        <f>Real[[#This Row],[05/05/25]]+(1-Real[[#This Row],[05/05/25]])*'Avance 39'!AL70</f>
        <v>0.12045263105500728</v>
      </c>
      <c r="CF116" s="127">
        <f>Real[[#This Row],[05/05/25]]+(1-Real[[#This Row],[05/05/25]])*'Avance 39'!AM70</f>
        <v>0.12045263105500728</v>
      </c>
      <c r="CG116" s="127">
        <f>Real[[#This Row],[05/05/25]]+(1-Real[[#This Row],[05/05/25]])*'Avance 39'!AN70</f>
        <v>0.12045263105500728</v>
      </c>
      <c r="CH116" s="127">
        <f>Real[[#This Row],[05/05/25]]+(1-Real[[#This Row],[05/05/25]])*'Avance 39'!AO70</f>
        <v>0.12045263105500728</v>
      </c>
      <c r="CI116" s="127">
        <f>Real[[#This Row],[05/05/25]]+(1-Real[[#This Row],[05/05/25]])*'Avance 39'!AP70</f>
        <v>0.12045263105500728</v>
      </c>
      <c r="CJ116" s="127">
        <f>Real[[#This Row],[05/05/25]]+(1-Real[[#This Row],[05/05/25]])*'Avance 39'!AQ70</f>
        <v>0.12045263105500728</v>
      </c>
      <c r="CK116" s="127">
        <f>Real[[#This Row],[05/05/25]]+(1-Real[[#This Row],[05/05/25]])*'Avance 39'!AR70</f>
        <v>0.12045263105500728</v>
      </c>
      <c r="CL116" s="127">
        <f>Real[[#This Row],[05/05/25]]+(1-Real[[#This Row],[05/05/25]])*'Avance 39'!AS70</f>
        <v>0.12045263105500728</v>
      </c>
      <c r="CM116" s="127">
        <f>Real[[#This Row],[05/05/25]]+(1-Real[[#This Row],[05/05/25]])*'Avance 39'!AT70</f>
        <v>0.12045263105500728</v>
      </c>
      <c r="CN116" s="127">
        <f>Real[[#This Row],[05/05/25]]+(1-Real[[#This Row],[05/05/25]])*'Avance 39'!AU70</f>
        <v>0.12045263105500728</v>
      </c>
      <c r="CO116" s="127">
        <f>Real[[#This Row],[05/05/25]]+(1-Real[[#This Row],[05/05/25]])*'Avance 39'!AV70</f>
        <v>0.12045263105500728</v>
      </c>
      <c r="CP116" s="127">
        <f>Real[[#This Row],[05/05/25]]+(1-Real[[#This Row],[05/05/25]])*'Avance 39'!AW70</f>
        <v>0.12045263105500728</v>
      </c>
      <c r="CQ116" s="127">
        <f>Real[[#This Row],[05/05/25]]+(1-Real[[#This Row],[05/05/25]])*'Avance 39'!AX70</f>
        <v>0.12045263105500728</v>
      </c>
      <c r="CR116" s="127">
        <f>Real[[#This Row],[05/05/25]]+(1-Real[[#This Row],[05/05/25]])*'Avance 39'!AY70</f>
        <v>0.12045263105500728</v>
      </c>
      <c r="CS116" s="127">
        <f>Real[[#This Row],[05/05/25]]+(1-Real[[#This Row],[05/05/25]])*'Avance 39'!AZ70</f>
        <v>0.12045263105500728</v>
      </c>
      <c r="CT116" s="127">
        <f>Real[[#This Row],[05/05/25]]+(1-Real[[#This Row],[05/05/25]])*'Avance 39'!BA70</f>
        <v>0.12045263105500728</v>
      </c>
      <c r="CU116" s="127">
        <f>Real[[#This Row],[05/05/25]]+(1-Real[[#This Row],[05/05/25]])*'Avance 39'!BB70</f>
        <v>0.12045263105500728</v>
      </c>
      <c r="CV116" s="127">
        <f>Real[[#This Row],[05/05/25]]+(1-Real[[#This Row],[05/05/25]])*'Avance 39'!BC70</f>
        <v>0.12045263105500728</v>
      </c>
      <c r="CW116" s="127">
        <f>Real[[#This Row],[05/05/25]]+(1-Real[[#This Row],[05/05/25]])*'Avance 39'!BD70</f>
        <v>0.12045263105500728</v>
      </c>
      <c r="CX116" s="127">
        <f>Real[[#This Row],[05/05/25]]+(1-Real[[#This Row],[05/05/25]])*'Avance 39'!BE70</f>
        <v>0.12045263105500728</v>
      </c>
      <c r="CY116" s="127">
        <f>Real[[#This Row],[05/05/25]]+(1-Real[[#This Row],[05/05/25]])*'Avance 39'!BF70</f>
        <v>0.12045263105500728</v>
      </c>
      <c r="CZ116" s="127">
        <f>Real[[#This Row],[05/05/25]]+(1-Real[[#This Row],[05/05/25]])*'Avance 39'!BG70</f>
        <v>0.12045263105500728</v>
      </c>
      <c r="DA116" s="127">
        <f>Real[[#This Row],[05/05/25]]+(1-Real[[#This Row],[05/05/25]])*'Avance 39'!BH70</f>
        <v>0.12045263105500728</v>
      </c>
      <c r="DB116" s="127">
        <f>Real[[#This Row],[05/05/25]]+(1-Real[[#This Row],[05/05/25]])*'Avance 39'!BI70</f>
        <v>0.12045263105500728</v>
      </c>
      <c r="DC116" s="127">
        <f>Real[[#This Row],[05/05/25]]+(1-Real[[#This Row],[05/05/25]])*'Avance 39'!BJ70</f>
        <v>0.12045263105500728</v>
      </c>
      <c r="DD116" s="127">
        <f>Real[[#This Row],[05/05/25]]+(1-Real[[#This Row],[05/05/25]])*'Avance 39'!BK70</f>
        <v>0.12045263105500728</v>
      </c>
      <c r="DE116" s="127">
        <f>Real[[#This Row],[05/05/25]]+(1-Real[[#This Row],[05/05/25]])*'Avance 39'!BL70</f>
        <v>0.12045263105500728</v>
      </c>
      <c r="DF116" s="127">
        <f>Real[[#This Row],[05/05/25]]+(1-Real[[#This Row],[05/05/25]])*'Avance 39'!BM70</f>
        <v>0.12045263105500728</v>
      </c>
      <c r="DG116" s="127">
        <f>Real[[#This Row],[05/05/25]]+(1-Real[[#This Row],[05/05/25]])*'Avance 39'!BN70</f>
        <v>0.12045263105500728</v>
      </c>
      <c r="DH116" s="127">
        <f>Real[[#This Row],[05/05/25]]+(1-Real[[#This Row],[05/05/25]])*'Avance 39'!BO70</f>
        <v>0.12045263105500728</v>
      </c>
      <c r="DI116" s="127">
        <f>Real[[#This Row],[05/05/25]]+(1-Real[[#This Row],[05/05/25]])*'Avance 39'!BP70</f>
        <v>0.12045263105500728</v>
      </c>
      <c r="DJ116" s="127">
        <f>Real[[#This Row],[05/05/25]]+(1-Real[[#This Row],[05/05/25]])*'Avance 39'!BQ70</f>
        <v>0.12045263105500728</v>
      </c>
      <c r="DK116" s="127">
        <f>Real[[#This Row],[05/05/25]]+(1-Real[[#This Row],[05/05/25]])*'Avance 39'!BR70</f>
        <v>0.12045263105500728</v>
      </c>
      <c r="DL116" s="127">
        <f>Real[[#This Row],[05/05/25]]+(1-Real[[#This Row],[05/05/25]])*'Avance 39'!BS70</f>
        <v>0.12045263105500728</v>
      </c>
      <c r="DM116" s="127">
        <f>Real[[#This Row],[05/05/25]]+(1-Real[[#This Row],[05/05/25]])*'Avance 39'!BT70</f>
        <v>0.12045263105500728</v>
      </c>
      <c r="DN116" s="127">
        <f>Real[[#This Row],[05/05/25]]+(1-Real[[#This Row],[05/05/25]])*'Avance 39'!BU70</f>
        <v>0.12045263105500728</v>
      </c>
      <c r="DO116" s="127">
        <f>Real[[#This Row],[05/05/25]]+(1-Real[[#This Row],[05/05/25]])*'Avance 39'!BV70</f>
        <v>0.12045263105500728</v>
      </c>
      <c r="DP116" s="127">
        <f>Real[[#This Row],[05/05/25]]+(1-Real[[#This Row],[05/05/25]])*'Avance 39'!BW70</f>
        <v>0.12045263105500728</v>
      </c>
      <c r="DQ116" s="127">
        <f>Real[[#This Row],[05/05/25]]+(1-Real[[#This Row],[05/05/25]])*'Avance 39'!BX70</f>
        <v>0.12045263105500728</v>
      </c>
      <c r="DR116" s="127">
        <f>Real[[#This Row],[05/05/25]]+(1-Real[[#This Row],[05/05/25]])*'Avance 39'!BY70</f>
        <v>0.12045263105500728</v>
      </c>
      <c r="DS116" s="127">
        <f>Real[[#This Row],[05/05/25]]+(1-Real[[#This Row],[05/05/25]])*'Avance 39'!BZ70</f>
        <v>0.12045263105500728</v>
      </c>
      <c r="DT116" s="127">
        <f>Real[[#This Row],[05/05/25]]+(1-Real[[#This Row],[05/05/25]])*'Avance 39'!CA70</f>
        <v>0.12045263105500728</v>
      </c>
      <c r="DU116" s="127">
        <f>Real[[#This Row],[05/05/25]]+(1-Real[[#This Row],[05/05/25]])*'Avance 39'!CB70</f>
        <v>0.12045263105500728</v>
      </c>
      <c r="DV116" s="127">
        <f>Real[[#This Row],[05/05/25]]+(1-Real[[#This Row],[05/05/25]])*'Avance 39'!CC70</f>
        <v>0.12045263105500728</v>
      </c>
      <c r="DW116" s="127">
        <f>Real[[#This Row],[05/05/25]]+(1-Real[[#This Row],[05/05/25]])*'Avance 39'!CD70</f>
        <v>0.12045263105500728</v>
      </c>
      <c r="DX116" s="127">
        <f>Real[[#This Row],[05/05/25]]+(1-Real[[#This Row],[05/05/25]])*'Avance 39'!CE70</f>
        <v>0.12045263105500728</v>
      </c>
      <c r="DY116" s="127">
        <f>Real[[#This Row],[05/05/25]]+(1-Real[[#This Row],[05/05/25]])*'Avance 39'!CF70</f>
        <v>0.12045263105500728</v>
      </c>
      <c r="DZ116" s="127">
        <f>Real[[#This Row],[05/05/25]]+(1-Real[[#This Row],[05/05/25]])*'Avance 39'!CG70</f>
        <v>0.12045263105500728</v>
      </c>
      <c r="EA116" s="127">
        <f>Real[[#This Row],[05/05/25]]+(1-Real[[#This Row],[05/05/25]])*'Avance 39'!CH70</f>
        <v>0.12045263105500728</v>
      </c>
      <c r="EB116" s="127">
        <f>Real[[#This Row],[05/05/25]]+(1-Real[[#This Row],[05/05/25]])*'Avance 39'!CI70</f>
        <v>0.12045263105500728</v>
      </c>
      <c r="EC116" s="127">
        <f>Real[[#This Row],[05/05/25]]+(1-Real[[#This Row],[05/05/25]])*'Avance 39'!CJ70</f>
        <v>0.12045263105500728</v>
      </c>
      <c r="ED116" s="127">
        <f>Real[[#This Row],[05/05/25]]+(1-Real[[#This Row],[05/05/25]])*'Avance 39'!CK70</f>
        <v>0.12045263105500728</v>
      </c>
      <c r="EE116" s="127">
        <f>Real[[#This Row],[05/05/25]]+(1-Real[[#This Row],[05/05/25]])*'Avance 39'!CL70</f>
        <v>0.12045263105500728</v>
      </c>
      <c r="EF116" s="127">
        <f>Real[[#This Row],[05/05/25]]+(1-Real[[#This Row],[05/05/25]])*'Avance 39'!CM70</f>
        <v>0.12045263105500728</v>
      </c>
      <c r="EG116" s="127">
        <f>Real[[#This Row],[05/05/25]]+(1-Real[[#This Row],[05/05/25]])*'Avance 39'!CN70</f>
        <v>0.12045263105500728</v>
      </c>
      <c r="EH116" s="127">
        <f>Real[[#This Row],[05/05/25]]+(1-Real[[#This Row],[05/05/25]])*'Avance 39'!CO70</f>
        <v>0.12045263105500728</v>
      </c>
      <c r="EI116" s="127">
        <f>Real[[#This Row],[05/05/25]]+(1-Real[[#This Row],[05/05/25]])*'Avance 39'!CP70</f>
        <v>0.12045263105500728</v>
      </c>
    </row>
    <row r="117" spans="2:139" ht="15" hidden="1" outlineLevel="3" x14ac:dyDescent="0.3">
      <c r="B117" s="29"/>
      <c r="C117" s="30"/>
      <c r="D117" s="30"/>
      <c r="E117" s="40" t="s">
        <v>120</v>
      </c>
      <c r="F117" s="33">
        <v>35</v>
      </c>
      <c r="G117" s="35">
        <v>0.33333333333333331</v>
      </c>
      <c r="H117" s="249"/>
      <c r="I117" s="131">
        <v>0</v>
      </c>
      <c r="J117" s="131">
        <v>0</v>
      </c>
      <c r="K117" s="131">
        <v>0</v>
      </c>
      <c r="L117" s="131">
        <v>0</v>
      </c>
      <c r="M117" s="132">
        <v>0</v>
      </c>
      <c r="N117" s="132">
        <v>0</v>
      </c>
      <c r="O117" s="131">
        <v>0</v>
      </c>
      <c r="P117" s="131">
        <v>0</v>
      </c>
      <c r="Q117" s="131">
        <v>0</v>
      </c>
      <c r="R117" s="131">
        <v>0</v>
      </c>
      <c r="S117" s="131">
        <v>0</v>
      </c>
      <c r="T117" s="131">
        <v>0</v>
      </c>
      <c r="U117" s="131">
        <v>0</v>
      </c>
      <c r="V117" s="131">
        <v>0</v>
      </c>
      <c r="W117" s="131">
        <v>0</v>
      </c>
      <c r="X117" s="131">
        <v>0</v>
      </c>
      <c r="Y117" s="131">
        <v>0</v>
      </c>
      <c r="Z117" s="131">
        <v>0</v>
      </c>
      <c r="AA117" s="131">
        <v>0</v>
      </c>
      <c r="AB117" s="131">
        <v>0</v>
      </c>
      <c r="AC117" s="131">
        <v>0</v>
      </c>
      <c r="AD117" s="131">
        <v>0</v>
      </c>
      <c r="AE117" s="131">
        <v>0</v>
      </c>
      <c r="AF117" s="131">
        <v>0</v>
      </c>
      <c r="AG117" s="131">
        <v>0</v>
      </c>
      <c r="AH117" s="131">
        <v>0.12045263105500728</v>
      </c>
      <c r="AI117" s="131">
        <v>0.12045263105500728</v>
      </c>
      <c r="AJ117" s="131">
        <v>0.12045263105500728</v>
      </c>
      <c r="AK117" s="131">
        <v>0.12045263105500728</v>
      </c>
      <c r="AL117" s="131">
        <v>0.12045263105500728</v>
      </c>
      <c r="AM117" s="131">
        <v>0.12045263105500728</v>
      </c>
      <c r="AN117" s="131">
        <v>0.12045263105500728</v>
      </c>
      <c r="AO117" s="131">
        <v>0.12045263105500728</v>
      </c>
      <c r="AP117" s="131">
        <v>0.12045263105500728</v>
      </c>
      <c r="AQ117" s="131">
        <v>0.12045263105500728</v>
      </c>
      <c r="AR117" s="131">
        <v>0.12045263105500728</v>
      </c>
      <c r="AS117" s="131">
        <v>0.12045263105500728</v>
      </c>
      <c r="AT117" s="131">
        <v>0.12045263105500728</v>
      </c>
      <c r="AU117" s="131">
        <v>0.12045263105500728</v>
      </c>
      <c r="AV117" s="131">
        <v>0.12045263105500728</v>
      </c>
      <c r="AW117" s="131">
        <v>0.12045263105500728</v>
      </c>
      <c r="AX117" s="131">
        <v>0.12045263105500728</v>
      </c>
      <c r="AY117" s="131">
        <v>0.12045263105500728</v>
      </c>
      <c r="AZ117" s="131">
        <v>0.12045263105500728</v>
      </c>
      <c r="BA117" s="131">
        <v>0.12045263105500728</v>
      </c>
      <c r="BB117" s="127">
        <f>Real[[#This Row],[05/05/25]]+(1-Real[[#This Row],[05/05/25]])*'Avance 39'!I71</f>
        <v>0.12045263105500728</v>
      </c>
      <c r="BC117" s="127">
        <f>Real[[#This Row],[05/05/25]]+(1-Real[[#This Row],[05/05/25]])*'Avance 39'!J71</f>
        <v>0.12045263105500728</v>
      </c>
      <c r="BD117" s="127">
        <f>Real[[#This Row],[05/05/25]]+(1-Real[[#This Row],[05/05/25]])*'Avance 39'!K71</f>
        <v>0.12045263105500728</v>
      </c>
      <c r="BE117" s="127">
        <f>Real[[#This Row],[05/05/25]]+(1-Real[[#This Row],[05/05/25]])*'Avance 39'!L71</f>
        <v>0.12045263105500728</v>
      </c>
      <c r="BF117" s="127">
        <f>Real[[#This Row],[05/05/25]]+(1-Real[[#This Row],[05/05/25]])*'Avance 39'!M71</f>
        <v>0.12045263105500728</v>
      </c>
      <c r="BG117" s="163">
        <f>Real[[#This Row],[05/05/25]]+(1-Real[[#This Row],[05/05/25]])*'Avance 39'!N71</f>
        <v>0.12045263105500728</v>
      </c>
      <c r="BH117" s="163">
        <f>Real[[#This Row],[05/05/25]]+(1-Real[[#This Row],[05/05/25]])*'Avance 39'!O71</f>
        <v>0.12045263105500728</v>
      </c>
      <c r="BI117" s="127">
        <f>Real[[#This Row],[05/05/25]]+(1-Real[[#This Row],[05/05/25]])*'Avance 39'!P71</f>
        <v>0.12045263105500728</v>
      </c>
      <c r="BJ117" s="127">
        <f>Real[[#This Row],[05/05/25]]+(1-Real[[#This Row],[05/05/25]])*'Avance 39'!Q71</f>
        <v>0.12045263105500728</v>
      </c>
      <c r="BK117" s="127">
        <f>Real[[#This Row],[05/05/25]]+(1-Real[[#This Row],[05/05/25]])*'Avance 39'!R71</f>
        <v>0.12045263105500728</v>
      </c>
      <c r="BL117" s="127">
        <f>Real[[#This Row],[05/05/25]]+(1-Real[[#This Row],[05/05/25]])*'Avance 39'!S71</f>
        <v>0.12045263105500728</v>
      </c>
      <c r="BM117" s="127">
        <f>Real[[#This Row],[05/05/25]]+(1-Real[[#This Row],[05/05/25]])*'Avance 39'!T71</f>
        <v>0.12045263105500728</v>
      </c>
      <c r="BN117" s="127">
        <f>Real[[#This Row],[05/05/25]]+(1-Real[[#This Row],[05/05/25]])*'Avance 39'!U71</f>
        <v>0.12045263105500728</v>
      </c>
      <c r="BO117" s="127">
        <f>Real[[#This Row],[05/05/25]]+(1-Real[[#This Row],[05/05/25]])*'Avance 39'!V71</f>
        <v>0.12045263105500728</v>
      </c>
      <c r="BP117" s="127">
        <f>Real[[#This Row],[05/05/25]]+(1-Real[[#This Row],[05/05/25]])*'Avance 39'!W71</f>
        <v>0.12045263105500728</v>
      </c>
      <c r="BQ117" s="127">
        <f>Real[[#This Row],[05/05/25]]+(1-Real[[#This Row],[05/05/25]])*'Avance 39'!X71</f>
        <v>0.12045263105500728</v>
      </c>
      <c r="BR117" s="127">
        <f>Real[[#This Row],[05/05/25]]+(1-Real[[#This Row],[05/05/25]])*'Avance 39'!Y71</f>
        <v>0.12045263105500728</v>
      </c>
      <c r="BS117" s="127">
        <f>Real[[#This Row],[05/05/25]]+(1-Real[[#This Row],[05/05/25]])*'Avance 39'!Z71</f>
        <v>0.12045263105500728</v>
      </c>
      <c r="BT117" s="127">
        <f>Real[[#This Row],[05/05/25]]+(1-Real[[#This Row],[05/05/25]])*'Avance 39'!AA71</f>
        <v>0.12045263105500728</v>
      </c>
      <c r="BU117" s="127">
        <f>Real[[#This Row],[05/05/25]]+(1-Real[[#This Row],[05/05/25]])*'Avance 39'!AB71</f>
        <v>0.12045263105500728</v>
      </c>
      <c r="BV117" s="127">
        <f>Real[[#This Row],[05/05/25]]+(1-Real[[#This Row],[05/05/25]])*'Avance 39'!AC71</f>
        <v>0.12045263105500728</v>
      </c>
      <c r="BW117" s="127">
        <f>Real[[#This Row],[05/05/25]]+(1-Real[[#This Row],[05/05/25]])*'Avance 39'!AD71</f>
        <v>0.12045263105500728</v>
      </c>
      <c r="BX117" s="127">
        <f>Real[[#This Row],[05/05/25]]+(1-Real[[#This Row],[05/05/25]])*'Avance 39'!AE71</f>
        <v>0.12045263105500728</v>
      </c>
      <c r="BY117" s="127">
        <f>Real[[#This Row],[05/05/25]]+(1-Real[[#This Row],[05/05/25]])*'Avance 39'!AF71</f>
        <v>0.12045263105500728</v>
      </c>
      <c r="BZ117" s="127">
        <f>Real[[#This Row],[05/05/25]]+(1-Real[[#This Row],[05/05/25]])*'Avance 39'!AG71</f>
        <v>0.12045263105500728</v>
      </c>
      <c r="CA117" s="127">
        <f>Real[[#This Row],[05/05/25]]+(1-Real[[#This Row],[05/05/25]])*'Avance 39'!AH71</f>
        <v>0.12045263105500728</v>
      </c>
      <c r="CB117" s="127">
        <f>Real[[#This Row],[05/05/25]]+(1-Real[[#This Row],[05/05/25]])*'Avance 39'!AI71</f>
        <v>0.12045263105500728</v>
      </c>
      <c r="CC117" s="127">
        <f>Real[[#This Row],[05/05/25]]+(1-Real[[#This Row],[05/05/25]])*'Avance 39'!AJ71</f>
        <v>0.12045263105500728</v>
      </c>
      <c r="CD117" s="127">
        <f>Real[[#This Row],[05/05/25]]+(1-Real[[#This Row],[05/05/25]])*'Avance 39'!AK71</f>
        <v>0.12045263105500728</v>
      </c>
      <c r="CE117" s="127">
        <f>Real[[#This Row],[05/05/25]]+(1-Real[[#This Row],[05/05/25]])*'Avance 39'!AL71</f>
        <v>0.12045263105500728</v>
      </c>
      <c r="CF117" s="127">
        <f>Real[[#This Row],[05/05/25]]+(1-Real[[#This Row],[05/05/25]])*'Avance 39'!AM71</f>
        <v>0.12045263105500728</v>
      </c>
      <c r="CG117" s="127">
        <f>Real[[#This Row],[05/05/25]]+(1-Real[[#This Row],[05/05/25]])*'Avance 39'!AN71</f>
        <v>0.12045263105500728</v>
      </c>
      <c r="CH117" s="127">
        <f>Real[[#This Row],[05/05/25]]+(1-Real[[#This Row],[05/05/25]])*'Avance 39'!AO71</f>
        <v>0.12045263105500728</v>
      </c>
      <c r="CI117" s="127">
        <f>Real[[#This Row],[05/05/25]]+(1-Real[[#This Row],[05/05/25]])*'Avance 39'!AP71</f>
        <v>0.12045263105500728</v>
      </c>
      <c r="CJ117" s="127">
        <f>Real[[#This Row],[05/05/25]]+(1-Real[[#This Row],[05/05/25]])*'Avance 39'!AQ71</f>
        <v>0.12045263105500728</v>
      </c>
      <c r="CK117" s="127">
        <f>Real[[#This Row],[05/05/25]]+(1-Real[[#This Row],[05/05/25]])*'Avance 39'!AR71</f>
        <v>0.12045263105500728</v>
      </c>
      <c r="CL117" s="127">
        <f>Real[[#This Row],[05/05/25]]+(1-Real[[#This Row],[05/05/25]])*'Avance 39'!AS71</f>
        <v>0.12045263105500728</v>
      </c>
      <c r="CM117" s="127">
        <f>Real[[#This Row],[05/05/25]]+(1-Real[[#This Row],[05/05/25]])*'Avance 39'!AT71</f>
        <v>0.12045263105500728</v>
      </c>
      <c r="CN117" s="127">
        <f>Real[[#This Row],[05/05/25]]+(1-Real[[#This Row],[05/05/25]])*'Avance 39'!AU71</f>
        <v>0.12045263105500728</v>
      </c>
      <c r="CO117" s="127">
        <f>Real[[#This Row],[05/05/25]]+(1-Real[[#This Row],[05/05/25]])*'Avance 39'!AV71</f>
        <v>0.12045263105500728</v>
      </c>
      <c r="CP117" s="127">
        <f>Real[[#This Row],[05/05/25]]+(1-Real[[#This Row],[05/05/25]])*'Avance 39'!AW71</f>
        <v>0.12045263105500728</v>
      </c>
      <c r="CQ117" s="127">
        <f>Real[[#This Row],[05/05/25]]+(1-Real[[#This Row],[05/05/25]])*'Avance 39'!AX71</f>
        <v>0.12045263105500728</v>
      </c>
      <c r="CR117" s="127">
        <f>Real[[#This Row],[05/05/25]]+(1-Real[[#This Row],[05/05/25]])*'Avance 39'!AY71</f>
        <v>0.12045263105500728</v>
      </c>
      <c r="CS117" s="127">
        <f>Real[[#This Row],[05/05/25]]+(1-Real[[#This Row],[05/05/25]])*'Avance 39'!AZ71</f>
        <v>0.12045263105500728</v>
      </c>
      <c r="CT117" s="127">
        <f>Real[[#This Row],[05/05/25]]+(1-Real[[#This Row],[05/05/25]])*'Avance 39'!BA71</f>
        <v>0.12045263105500728</v>
      </c>
      <c r="CU117" s="127">
        <f>Real[[#This Row],[05/05/25]]+(1-Real[[#This Row],[05/05/25]])*'Avance 39'!BB71</f>
        <v>0.12045263105500728</v>
      </c>
      <c r="CV117" s="127">
        <f>Real[[#This Row],[05/05/25]]+(1-Real[[#This Row],[05/05/25]])*'Avance 39'!BC71</f>
        <v>0.12045263105500728</v>
      </c>
      <c r="CW117" s="127">
        <f>Real[[#This Row],[05/05/25]]+(1-Real[[#This Row],[05/05/25]])*'Avance 39'!BD71</f>
        <v>0.12045263105500728</v>
      </c>
      <c r="CX117" s="127">
        <f>Real[[#This Row],[05/05/25]]+(1-Real[[#This Row],[05/05/25]])*'Avance 39'!BE71</f>
        <v>0.12045263105500728</v>
      </c>
      <c r="CY117" s="127">
        <f>Real[[#This Row],[05/05/25]]+(1-Real[[#This Row],[05/05/25]])*'Avance 39'!BF71</f>
        <v>0.12045263105500728</v>
      </c>
      <c r="CZ117" s="127">
        <f>Real[[#This Row],[05/05/25]]+(1-Real[[#This Row],[05/05/25]])*'Avance 39'!BG71</f>
        <v>0.12045263105500728</v>
      </c>
      <c r="DA117" s="127">
        <f>Real[[#This Row],[05/05/25]]+(1-Real[[#This Row],[05/05/25]])*'Avance 39'!BH71</f>
        <v>0.12045263105500728</v>
      </c>
      <c r="DB117" s="127">
        <f>Real[[#This Row],[05/05/25]]+(1-Real[[#This Row],[05/05/25]])*'Avance 39'!BI71</f>
        <v>0.12045263105500728</v>
      </c>
      <c r="DC117" s="127">
        <f>Real[[#This Row],[05/05/25]]+(1-Real[[#This Row],[05/05/25]])*'Avance 39'!BJ71</f>
        <v>0.12045263105500728</v>
      </c>
      <c r="DD117" s="127">
        <f>Real[[#This Row],[05/05/25]]+(1-Real[[#This Row],[05/05/25]])*'Avance 39'!BK71</f>
        <v>0.12045263105500728</v>
      </c>
      <c r="DE117" s="127">
        <f>Real[[#This Row],[05/05/25]]+(1-Real[[#This Row],[05/05/25]])*'Avance 39'!BL71</f>
        <v>0.12045263105500728</v>
      </c>
      <c r="DF117" s="127">
        <f>Real[[#This Row],[05/05/25]]+(1-Real[[#This Row],[05/05/25]])*'Avance 39'!BM71</f>
        <v>0.12045263105500728</v>
      </c>
      <c r="DG117" s="127">
        <f>Real[[#This Row],[05/05/25]]+(1-Real[[#This Row],[05/05/25]])*'Avance 39'!BN71</f>
        <v>0.12045263105500728</v>
      </c>
      <c r="DH117" s="127">
        <f>Real[[#This Row],[05/05/25]]+(1-Real[[#This Row],[05/05/25]])*'Avance 39'!BO71</f>
        <v>0.12045263105500728</v>
      </c>
      <c r="DI117" s="127">
        <f>Real[[#This Row],[05/05/25]]+(1-Real[[#This Row],[05/05/25]])*'Avance 39'!BP71</f>
        <v>0.12045263105500728</v>
      </c>
      <c r="DJ117" s="127">
        <f>Real[[#This Row],[05/05/25]]+(1-Real[[#This Row],[05/05/25]])*'Avance 39'!BQ71</f>
        <v>0.12045263105500728</v>
      </c>
      <c r="DK117" s="127">
        <f>Real[[#This Row],[05/05/25]]+(1-Real[[#This Row],[05/05/25]])*'Avance 39'!BR71</f>
        <v>0.12045263105500728</v>
      </c>
      <c r="DL117" s="127">
        <f>Real[[#This Row],[05/05/25]]+(1-Real[[#This Row],[05/05/25]])*'Avance 39'!BS71</f>
        <v>0.12045263105500728</v>
      </c>
      <c r="DM117" s="127">
        <f>Real[[#This Row],[05/05/25]]+(1-Real[[#This Row],[05/05/25]])*'Avance 39'!BT71</f>
        <v>0.12045263105500728</v>
      </c>
      <c r="DN117" s="127">
        <f>Real[[#This Row],[05/05/25]]+(1-Real[[#This Row],[05/05/25]])*'Avance 39'!BU71</f>
        <v>0.12045263105500728</v>
      </c>
      <c r="DO117" s="127">
        <f>Real[[#This Row],[05/05/25]]+(1-Real[[#This Row],[05/05/25]])*'Avance 39'!BV71</f>
        <v>0.12045263105500728</v>
      </c>
      <c r="DP117" s="127">
        <f>Real[[#This Row],[05/05/25]]+(1-Real[[#This Row],[05/05/25]])*'Avance 39'!BW71</f>
        <v>0.12045263105500728</v>
      </c>
      <c r="DQ117" s="127">
        <f>Real[[#This Row],[05/05/25]]+(1-Real[[#This Row],[05/05/25]])*'Avance 39'!BX71</f>
        <v>0.12045263105500728</v>
      </c>
      <c r="DR117" s="127">
        <f>Real[[#This Row],[05/05/25]]+(1-Real[[#This Row],[05/05/25]])*'Avance 39'!BY71</f>
        <v>0.12045263105500728</v>
      </c>
      <c r="DS117" s="127">
        <f>Real[[#This Row],[05/05/25]]+(1-Real[[#This Row],[05/05/25]])*'Avance 39'!BZ71</f>
        <v>0.12045263105500728</v>
      </c>
      <c r="DT117" s="127">
        <f>Real[[#This Row],[05/05/25]]+(1-Real[[#This Row],[05/05/25]])*'Avance 39'!CA71</f>
        <v>0.12045263105500728</v>
      </c>
      <c r="DU117" s="127">
        <f>Real[[#This Row],[05/05/25]]+(1-Real[[#This Row],[05/05/25]])*'Avance 39'!CB71</f>
        <v>0.12045263105500728</v>
      </c>
      <c r="DV117" s="127">
        <f>Real[[#This Row],[05/05/25]]+(1-Real[[#This Row],[05/05/25]])*'Avance 39'!CC71</f>
        <v>0.12045263105500728</v>
      </c>
      <c r="DW117" s="127">
        <f>Real[[#This Row],[05/05/25]]+(1-Real[[#This Row],[05/05/25]])*'Avance 39'!CD71</f>
        <v>0.12045263105500728</v>
      </c>
      <c r="DX117" s="127">
        <f>Real[[#This Row],[05/05/25]]+(1-Real[[#This Row],[05/05/25]])*'Avance 39'!CE71</f>
        <v>0.12045263105500728</v>
      </c>
      <c r="DY117" s="127">
        <f>Real[[#This Row],[05/05/25]]+(1-Real[[#This Row],[05/05/25]])*'Avance 39'!CF71</f>
        <v>0.12045263105500728</v>
      </c>
      <c r="DZ117" s="127">
        <f>Real[[#This Row],[05/05/25]]+(1-Real[[#This Row],[05/05/25]])*'Avance 39'!CG71</f>
        <v>0.12045263105500728</v>
      </c>
      <c r="EA117" s="127">
        <f>Real[[#This Row],[05/05/25]]+(1-Real[[#This Row],[05/05/25]])*'Avance 39'!CH71</f>
        <v>0.12045263105500728</v>
      </c>
      <c r="EB117" s="127">
        <f>Real[[#This Row],[05/05/25]]+(1-Real[[#This Row],[05/05/25]])*'Avance 39'!CI71</f>
        <v>0.12045263105500728</v>
      </c>
      <c r="EC117" s="127">
        <f>Real[[#This Row],[05/05/25]]+(1-Real[[#This Row],[05/05/25]])*'Avance 39'!CJ71</f>
        <v>0.12045263105500728</v>
      </c>
      <c r="ED117" s="127">
        <f>Real[[#This Row],[05/05/25]]+(1-Real[[#This Row],[05/05/25]])*'Avance 39'!CK71</f>
        <v>0.12045263105500728</v>
      </c>
      <c r="EE117" s="127">
        <f>Real[[#This Row],[05/05/25]]+(1-Real[[#This Row],[05/05/25]])*'Avance 39'!CL71</f>
        <v>0.12045263105500728</v>
      </c>
      <c r="EF117" s="127">
        <f>Real[[#This Row],[05/05/25]]+(1-Real[[#This Row],[05/05/25]])*'Avance 39'!CM71</f>
        <v>0.12045263105500728</v>
      </c>
      <c r="EG117" s="127">
        <f>Real[[#This Row],[05/05/25]]+(1-Real[[#This Row],[05/05/25]])*'Avance 39'!CN71</f>
        <v>0.12045263105500728</v>
      </c>
      <c r="EH117" s="127">
        <f>Real[[#This Row],[05/05/25]]+(1-Real[[#This Row],[05/05/25]])*'Avance 39'!CO71</f>
        <v>0.12045263105500728</v>
      </c>
      <c r="EI117" s="127">
        <f>Real[[#This Row],[05/05/25]]+(1-Real[[#This Row],[05/05/25]])*'Avance 39'!CP71</f>
        <v>0.12045263105500728</v>
      </c>
    </row>
    <row r="118" spans="2:139" hidden="1" outlineLevel="3" x14ac:dyDescent="0.3">
      <c r="B118" s="29"/>
      <c r="C118" s="30"/>
      <c r="D118" s="30"/>
      <c r="E118" s="40" t="s">
        <v>121</v>
      </c>
      <c r="F118" s="33">
        <v>35</v>
      </c>
      <c r="G118" s="35">
        <v>0.33333333333333331</v>
      </c>
      <c r="H118" s="162"/>
      <c r="I118" s="134">
        <v>0</v>
      </c>
      <c r="J118" s="134">
        <v>0</v>
      </c>
      <c r="K118" s="134">
        <v>0</v>
      </c>
      <c r="L118" s="134">
        <v>0</v>
      </c>
      <c r="M118" s="135">
        <v>0</v>
      </c>
      <c r="N118" s="135">
        <v>0</v>
      </c>
      <c r="O118" s="134">
        <v>0</v>
      </c>
      <c r="P118" s="134">
        <v>0</v>
      </c>
      <c r="Q118" s="134">
        <v>0</v>
      </c>
      <c r="R118" s="134">
        <v>0</v>
      </c>
      <c r="S118" s="134">
        <v>0</v>
      </c>
      <c r="T118" s="134">
        <v>0</v>
      </c>
      <c r="U118" s="134">
        <v>0</v>
      </c>
      <c r="V118" s="134">
        <v>0</v>
      </c>
      <c r="W118" s="134">
        <v>0</v>
      </c>
      <c r="X118" s="134">
        <v>0</v>
      </c>
      <c r="Y118" s="134">
        <v>0</v>
      </c>
      <c r="Z118" s="134">
        <v>0</v>
      </c>
      <c r="AA118" s="127">
        <v>0</v>
      </c>
      <c r="AB118" s="127">
        <v>0</v>
      </c>
      <c r="AC118" s="127">
        <v>0</v>
      </c>
      <c r="AD118" s="127">
        <v>0</v>
      </c>
      <c r="AE118" s="127">
        <v>0</v>
      </c>
      <c r="AF118" s="127">
        <v>0</v>
      </c>
      <c r="AG118" s="127">
        <v>0</v>
      </c>
      <c r="AH118" s="127">
        <v>0.12045263105500728</v>
      </c>
      <c r="AI118" s="127">
        <v>0.12045263105500728</v>
      </c>
      <c r="AJ118" s="127">
        <v>0.12045263105500728</v>
      </c>
      <c r="AK118" s="127">
        <v>0.12045263105500728</v>
      </c>
      <c r="AL118" s="127">
        <v>0.12045263105500728</v>
      </c>
      <c r="AM118" s="127">
        <v>0.12045263105500728</v>
      </c>
      <c r="AN118" s="127">
        <v>0.12045263105500728</v>
      </c>
      <c r="AO118" s="127">
        <v>0.12045263105500728</v>
      </c>
      <c r="AP118" s="127">
        <v>0.12045263105500728</v>
      </c>
      <c r="AQ118" s="127">
        <v>0.12045263105500728</v>
      </c>
      <c r="AR118" s="127">
        <v>0.12045263105500728</v>
      </c>
      <c r="AS118" s="127">
        <v>0.12045263105500728</v>
      </c>
      <c r="AT118" s="127">
        <v>0.12045263105500728</v>
      </c>
      <c r="AU118" s="127">
        <v>0.12045263105500728</v>
      </c>
      <c r="AV118" s="127">
        <v>0.12045263105500728</v>
      </c>
      <c r="AW118" s="127">
        <v>0.12045263105500728</v>
      </c>
      <c r="AX118" s="127">
        <v>0.12045263105500728</v>
      </c>
      <c r="AY118" s="127">
        <v>0.12045263105500728</v>
      </c>
      <c r="AZ118" s="127">
        <v>0.12045263105500728</v>
      </c>
      <c r="BA118" s="127">
        <v>0.12045263105500728</v>
      </c>
      <c r="BB118" s="127">
        <f>Real[[#This Row],[05/05/25]]+(1-Real[[#This Row],[05/05/25]])*'Avance 39'!I72</f>
        <v>0.12045263105500728</v>
      </c>
      <c r="BC118" s="127">
        <f>Real[[#This Row],[05/05/25]]+(1-Real[[#This Row],[05/05/25]])*'Avance 39'!J72</f>
        <v>0.12045263105500728</v>
      </c>
      <c r="BD118" s="127">
        <f>Real[[#This Row],[05/05/25]]+(1-Real[[#This Row],[05/05/25]])*'Avance 39'!K72</f>
        <v>0.12045263105500728</v>
      </c>
      <c r="BE118" s="127">
        <f>Real[[#This Row],[05/05/25]]+(1-Real[[#This Row],[05/05/25]])*'Avance 39'!L72</f>
        <v>0.12045263105500728</v>
      </c>
      <c r="BF118" s="127">
        <f>Real[[#This Row],[05/05/25]]+(1-Real[[#This Row],[05/05/25]])*'Avance 39'!M72</f>
        <v>0.12045263105500728</v>
      </c>
      <c r="BG118" s="163">
        <f>Real[[#This Row],[05/05/25]]+(1-Real[[#This Row],[05/05/25]])*'Avance 39'!N72</f>
        <v>0.12045263105500728</v>
      </c>
      <c r="BH118" s="163">
        <f>Real[[#This Row],[05/05/25]]+(1-Real[[#This Row],[05/05/25]])*'Avance 39'!O72</f>
        <v>0.12045263105500728</v>
      </c>
      <c r="BI118" s="127">
        <f>Real[[#This Row],[05/05/25]]+(1-Real[[#This Row],[05/05/25]])*'Avance 39'!P72</f>
        <v>0.12045263105500728</v>
      </c>
      <c r="BJ118" s="127">
        <f>Real[[#This Row],[05/05/25]]+(1-Real[[#This Row],[05/05/25]])*'Avance 39'!Q72</f>
        <v>0.12045263105500728</v>
      </c>
      <c r="BK118" s="127">
        <f>Real[[#This Row],[05/05/25]]+(1-Real[[#This Row],[05/05/25]])*'Avance 39'!R72</f>
        <v>0.12045263105500728</v>
      </c>
      <c r="BL118" s="127">
        <f>Real[[#This Row],[05/05/25]]+(1-Real[[#This Row],[05/05/25]])*'Avance 39'!S72</f>
        <v>0.12045263105500728</v>
      </c>
      <c r="BM118" s="127">
        <f>Real[[#This Row],[05/05/25]]+(1-Real[[#This Row],[05/05/25]])*'Avance 39'!T72</f>
        <v>0.12045263105500728</v>
      </c>
      <c r="BN118" s="127">
        <f>Real[[#This Row],[05/05/25]]+(1-Real[[#This Row],[05/05/25]])*'Avance 39'!U72</f>
        <v>0.12045263105500728</v>
      </c>
      <c r="BO118" s="127">
        <f>Real[[#This Row],[05/05/25]]+(1-Real[[#This Row],[05/05/25]])*'Avance 39'!V72</f>
        <v>0.12045263105500728</v>
      </c>
      <c r="BP118" s="127">
        <f>Real[[#This Row],[05/05/25]]+(1-Real[[#This Row],[05/05/25]])*'Avance 39'!W72</f>
        <v>0.12045263105500728</v>
      </c>
      <c r="BQ118" s="127">
        <f>Real[[#This Row],[05/05/25]]+(1-Real[[#This Row],[05/05/25]])*'Avance 39'!X72</f>
        <v>0.12045263105500728</v>
      </c>
      <c r="BR118" s="127">
        <f>Real[[#This Row],[05/05/25]]+(1-Real[[#This Row],[05/05/25]])*'Avance 39'!Y72</f>
        <v>0.12045263105500728</v>
      </c>
      <c r="BS118" s="127">
        <f>Real[[#This Row],[05/05/25]]+(1-Real[[#This Row],[05/05/25]])*'Avance 39'!Z72</f>
        <v>0.12045263105500728</v>
      </c>
      <c r="BT118" s="127">
        <f>Real[[#This Row],[05/05/25]]+(1-Real[[#This Row],[05/05/25]])*'Avance 39'!AA72</f>
        <v>0.12045263105500728</v>
      </c>
      <c r="BU118" s="127">
        <f>Real[[#This Row],[05/05/25]]+(1-Real[[#This Row],[05/05/25]])*'Avance 39'!AB72</f>
        <v>0.12045263105500728</v>
      </c>
      <c r="BV118" s="127">
        <f>Real[[#This Row],[05/05/25]]+(1-Real[[#This Row],[05/05/25]])*'Avance 39'!AC72</f>
        <v>0.12045263105500728</v>
      </c>
      <c r="BW118" s="127">
        <f>Real[[#This Row],[05/05/25]]+(1-Real[[#This Row],[05/05/25]])*'Avance 39'!AD72</f>
        <v>0.12045263105500728</v>
      </c>
      <c r="BX118" s="127">
        <f>Real[[#This Row],[05/05/25]]+(1-Real[[#This Row],[05/05/25]])*'Avance 39'!AE72</f>
        <v>0.12045263105500728</v>
      </c>
      <c r="BY118" s="127">
        <f>Real[[#This Row],[05/05/25]]+(1-Real[[#This Row],[05/05/25]])*'Avance 39'!AF72</f>
        <v>0.12045263105500728</v>
      </c>
      <c r="BZ118" s="127">
        <f>Real[[#This Row],[05/05/25]]+(1-Real[[#This Row],[05/05/25]])*'Avance 39'!AG72</f>
        <v>0.12045263105500728</v>
      </c>
      <c r="CA118" s="127">
        <f>Real[[#This Row],[05/05/25]]+(1-Real[[#This Row],[05/05/25]])*'Avance 39'!AH72</f>
        <v>0.12045263105500728</v>
      </c>
      <c r="CB118" s="127">
        <f>Real[[#This Row],[05/05/25]]+(1-Real[[#This Row],[05/05/25]])*'Avance 39'!AI72</f>
        <v>0.12045263105500728</v>
      </c>
      <c r="CC118" s="127">
        <f>Real[[#This Row],[05/05/25]]+(1-Real[[#This Row],[05/05/25]])*'Avance 39'!AJ72</f>
        <v>0.12045263105500728</v>
      </c>
      <c r="CD118" s="127">
        <f>Real[[#This Row],[05/05/25]]+(1-Real[[#This Row],[05/05/25]])*'Avance 39'!AK72</f>
        <v>0.12045263105500728</v>
      </c>
      <c r="CE118" s="127">
        <f>Real[[#This Row],[05/05/25]]+(1-Real[[#This Row],[05/05/25]])*'Avance 39'!AL72</f>
        <v>0.12045263105500728</v>
      </c>
      <c r="CF118" s="127">
        <f>Real[[#This Row],[05/05/25]]+(1-Real[[#This Row],[05/05/25]])*'Avance 39'!AM72</f>
        <v>0.12045263105500728</v>
      </c>
      <c r="CG118" s="127">
        <f>Real[[#This Row],[05/05/25]]+(1-Real[[#This Row],[05/05/25]])*'Avance 39'!AN72</f>
        <v>0.12045263105500728</v>
      </c>
      <c r="CH118" s="127">
        <f>Real[[#This Row],[05/05/25]]+(1-Real[[#This Row],[05/05/25]])*'Avance 39'!AO72</f>
        <v>0.12045263105500728</v>
      </c>
      <c r="CI118" s="127">
        <f>Real[[#This Row],[05/05/25]]+(1-Real[[#This Row],[05/05/25]])*'Avance 39'!AP72</f>
        <v>0.12045263105500728</v>
      </c>
      <c r="CJ118" s="127">
        <f>Real[[#This Row],[05/05/25]]+(1-Real[[#This Row],[05/05/25]])*'Avance 39'!AQ72</f>
        <v>0.12045263105500728</v>
      </c>
      <c r="CK118" s="127">
        <f>Real[[#This Row],[05/05/25]]+(1-Real[[#This Row],[05/05/25]])*'Avance 39'!AR72</f>
        <v>0.12045263105500728</v>
      </c>
      <c r="CL118" s="127">
        <f>Real[[#This Row],[05/05/25]]+(1-Real[[#This Row],[05/05/25]])*'Avance 39'!AS72</f>
        <v>0.12045263105500728</v>
      </c>
      <c r="CM118" s="127">
        <f>Real[[#This Row],[05/05/25]]+(1-Real[[#This Row],[05/05/25]])*'Avance 39'!AT72</f>
        <v>0.12045263105500728</v>
      </c>
      <c r="CN118" s="127">
        <f>Real[[#This Row],[05/05/25]]+(1-Real[[#This Row],[05/05/25]])*'Avance 39'!AU72</f>
        <v>0.12045263105500728</v>
      </c>
      <c r="CO118" s="127">
        <f>Real[[#This Row],[05/05/25]]+(1-Real[[#This Row],[05/05/25]])*'Avance 39'!AV72</f>
        <v>0.12045263105500728</v>
      </c>
      <c r="CP118" s="127">
        <f>Real[[#This Row],[05/05/25]]+(1-Real[[#This Row],[05/05/25]])*'Avance 39'!AW72</f>
        <v>0.12045263105500728</v>
      </c>
      <c r="CQ118" s="127">
        <f>Real[[#This Row],[05/05/25]]+(1-Real[[#This Row],[05/05/25]])*'Avance 39'!AX72</f>
        <v>0.12045263105500728</v>
      </c>
      <c r="CR118" s="127">
        <f>Real[[#This Row],[05/05/25]]+(1-Real[[#This Row],[05/05/25]])*'Avance 39'!AY72</f>
        <v>0.12045263105500728</v>
      </c>
      <c r="CS118" s="127">
        <f>Real[[#This Row],[05/05/25]]+(1-Real[[#This Row],[05/05/25]])*'Avance 39'!AZ72</f>
        <v>0.12045263105500728</v>
      </c>
      <c r="CT118" s="127">
        <f>Real[[#This Row],[05/05/25]]+(1-Real[[#This Row],[05/05/25]])*'Avance 39'!BA72</f>
        <v>0.12045263105500728</v>
      </c>
      <c r="CU118" s="127">
        <f>Real[[#This Row],[05/05/25]]+(1-Real[[#This Row],[05/05/25]])*'Avance 39'!BB72</f>
        <v>0.12045263105500728</v>
      </c>
      <c r="CV118" s="127">
        <f>Real[[#This Row],[05/05/25]]+(1-Real[[#This Row],[05/05/25]])*'Avance 39'!BC72</f>
        <v>0.12045263105500728</v>
      </c>
      <c r="CW118" s="127">
        <f>Real[[#This Row],[05/05/25]]+(1-Real[[#This Row],[05/05/25]])*'Avance 39'!BD72</f>
        <v>0.12045263105500728</v>
      </c>
      <c r="CX118" s="127">
        <f>Real[[#This Row],[05/05/25]]+(1-Real[[#This Row],[05/05/25]])*'Avance 39'!BE72</f>
        <v>0.12045263105500728</v>
      </c>
      <c r="CY118" s="127">
        <f>Real[[#This Row],[05/05/25]]+(1-Real[[#This Row],[05/05/25]])*'Avance 39'!BF72</f>
        <v>0.12045263105500728</v>
      </c>
      <c r="CZ118" s="127">
        <f>Real[[#This Row],[05/05/25]]+(1-Real[[#This Row],[05/05/25]])*'Avance 39'!BG72</f>
        <v>0.12045263105500728</v>
      </c>
      <c r="DA118" s="127">
        <f>Real[[#This Row],[05/05/25]]+(1-Real[[#This Row],[05/05/25]])*'Avance 39'!BH72</f>
        <v>0.12045263105500728</v>
      </c>
      <c r="DB118" s="127">
        <f>Real[[#This Row],[05/05/25]]+(1-Real[[#This Row],[05/05/25]])*'Avance 39'!BI72</f>
        <v>0.12045263105500728</v>
      </c>
      <c r="DC118" s="127">
        <f>Real[[#This Row],[05/05/25]]+(1-Real[[#This Row],[05/05/25]])*'Avance 39'!BJ72</f>
        <v>0.12045263105500728</v>
      </c>
      <c r="DD118" s="127">
        <f>Real[[#This Row],[05/05/25]]+(1-Real[[#This Row],[05/05/25]])*'Avance 39'!BK72</f>
        <v>0.12045263105500728</v>
      </c>
      <c r="DE118" s="127">
        <f>Real[[#This Row],[05/05/25]]+(1-Real[[#This Row],[05/05/25]])*'Avance 39'!BL72</f>
        <v>0.12045263105500728</v>
      </c>
      <c r="DF118" s="127">
        <f>Real[[#This Row],[05/05/25]]+(1-Real[[#This Row],[05/05/25]])*'Avance 39'!BM72</f>
        <v>0.12045263105500728</v>
      </c>
      <c r="DG118" s="127">
        <f>Real[[#This Row],[05/05/25]]+(1-Real[[#This Row],[05/05/25]])*'Avance 39'!BN72</f>
        <v>0.12045263105500728</v>
      </c>
      <c r="DH118" s="127">
        <f>Real[[#This Row],[05/05/25]]+(1-Real[[#This Row],[05/05/25]])*'Avance 39'!BO72</f>
        <v>0.12045263105500728</v>
      </c>
      <c r="DI118" s="127">
        <f>Real[[#This Row],[05/05/25]]+(1-Real[[#This Row],[05/05/25]])*'Avance 39'!BP72</f>
        <v>0.12045263105500728</v>
      </c>
      <c r="DJ118" s="127">
        <f>Real[[#This Row],[05/05/25]]+(1-Real[[#This Row],[05/05/25]])*'Avance 39'!BQ72</f>
        <v>0.12045263105500728</v>
      </c>
      <c r="DK118" s="127">
        <f>Real[[#This Row],[05/05/25]]+(1-Real[[#This Row],[05/05/25]])*'Avance 39'!BR72</f>
        <v>0.12045263105500728</v>
      </c>
      <c r="DL118" s="127">
        <f>Real[[#This Row],[05/05/25]]+(1-Real[[#This Row],[05/05/25]])*'Avance 39'!BS72</f>
        <v>0.12045263105500728</v>
      </c>
      <c r="DM118" s="127">
        <f>Real[[#This Row],[05/05/25]]+(1-Real[[#This Row],[05/05/25]])*'Avance 39'!BT72</f>
        <v>0.12045263105500728</v>
      </c>
      <c r="DN118" s="127">
        <f>Real[[#This Row],[05/05/25]]+(1-Real[[#This Row],[05/05/25]])*'Avance 39'!BU72</f>
        <v>0.12045263105500728</v>
      </c>
      <c r="DO118" s="127">
        <f>Real[[#This Row],[05/05/25]]+(1-Real[[#This Row],[05/05/25]])*'Avance 39'!BV72</f>
        <v>0.12045263105500728</v>
      </c>
      <c r="DP118" s="127">
        <f>Real[[#This Row],[05/05/25]]+(1-Real[[#This Row],[05/05/25]])*'Avance 39'!BW72</f>
        <v>0.12045263105500728</v>
      </c>
      <c r="DQ118" s="127">
        <f>Real[[#This Row],[05/05/25]]+(1-Real[[#This Row],[05/05/25]])*'Avance 39'!BX72</f>
        <v>0.12045263105500728</v>
      </c>
      <c r="DR118" s="127">
        <f>Real[[#This Row],[05/05/25]]+(1-Real[[#This Row],[05/05/25]])*'Avance 39'!BY72</f>
        <v>0.12045263105500728</v>
      </c>
      <c r="DS118" s="127">
        <f>Real[[#This Row],[05/05/25]]+(1-Real[[#This Row],[05/05/25]])*'Avance 39'!BZ72</f>
        <v>0.12045263105500728</v>
      </c>
      <c r="DT118" s="127">
        <f>Real[[#This Row],[05/05/25]]+(1-Real[[#This Row],[05/05/25]])*'Avance 39'!CA72</f>
        <v>0.12045263105500728</v>
      </c>
      <c r="DU118" s="127">
        <f>Real[[#This Row],[05/05/25]]+(1-Real[[#This Row],[05/05/25]])*'Avance 39'!CB72</f>
        <v>0.12045263105500728</v>
      </c>
      <c r="DV118" s="127">
        <f>Real[[#This Row],[05/05/25]]+(1-Real[[#This Row],[05/05/25]])*'Avance 39'!CC72</f>
        <v>0.12045263105500728</v>
      </c>
      <c r="DW118" s="127">
        <f>Real[[#This Row],[05/05/25]]+(1-Real[[#This Row],[05/05/25]])*'Avance 39'!CD72</f>
        <v>0.12045263105500728</v>
      </c>
      <c r="DX118" s="127">
        <f>Real[[#This Row],[05/05/25]]+(1-Real[[#This Row],[05/05/25]])*'Avance 39'!CE72</f>
        <v>0.12045263105500728</v>
      </c>
      <c r="DY118" s="127">
        <f>Real[[#This Row],[05/05/25]]+(1-Real[[#This Row],[05/05/25]])*'Avance 39'!CF72</f>
        <v>0.12045263105500728</v>
      </c>
      <c r="DZ118" s="127">
        <f>Real[[#This Row],[05/05/25]]+(1-Real[[#This Row],[05/05/25]])*'Avance 39'!CG72</f>
        <v>0.12045263105500728</v>
      </c>
      <c r="EA118" s="127">
        <f>Real[[#This Row],[05/05/25]]+(1-Real[[#This Row],[05/05/25]])*'Avance 39'!CH72</f>
        <v>0.12045263105500728</v>
      </c>
      <c r="EB118" s="127">
        <f>Real[[#This Row],[05/05/25]]+(1-Real[[#This Row],[05/05/25]])*'Avance 39'!CI72</f>
        <v>0.12045263105500728</v>
      </c>
      <c r="EC118" s="127">
        <f>Real[[#This Row],[05/05/25]]+(1-Real[[#This Row],[05/05/25]])*'Avance 39'!CJ72</f>
        <v>0.12045263105500728</v>
      </c>
      <c r="ED118" s="127">
        <f>Real[[#This Row],[05/05/25]]+(1-Real[[#This Row],[05/05/25]])*'Avance 39'!CK72</f>
        <v>0.12045263105500728</v>
      </c>
      <c r="EE118" s="127">
        <f>Real[[#This Row],[05/05/25]]+(1-Real[[#This Row],[05/05/25]])*'Avance 39'!CL72</f>
        <v>0.12045263105500728</v>
      </c>
      <c r="EF118" s="127">
        <f>Real[[#This Row],[05/05/25]]+(1-Real[[#This Row],[05/05/25]])*'Avance 39'!CM72</f>
        <v>0.12045263105500728</v>
      </c>
      <c r="EG118" s="127">
        <f>Real[[#This Row],[05/05/25]]+(1-Real[[#This Row],[05/05/25]])*'Avance 39'!CN72</f>
        <v>0.12045263105500728</v>
      </c>
      <c r="EH118" s="127">
        <f>Real[[#This Row],[05/05/25]]+(1-Real[[#This Row],[05/05/25]])*'Avance 39'!CO72</f>
        <v>0.12045263105500728</v>
      </c>
      <c r="EI118" s="127">
        <f>Real[[#This Row],[05/05/25]]+(1-Real[[#This Row],[05/05/25]])*'Avance 39'!CP72</f>
        <v>0.12045263105500728</v>
      </c>
    </row>
    <row r="119" spans="2:139" ht="15" outlineLevel="2" collapsed="1" x14ac:dyDescent="0.3">
      <c r="B119" s="22"/>
      <c r="C119" s="23"/>
      <c r="D119" s="23" t="s">
        <v>122</v>
      </c>
      <c r="E119" s="50"/>
      <c r="F119" s="26">
        <f>+SUM(F120:F122)</f>
        <v>45</v>
      </c>
      <c r="G119" s="28">
        <v>2.9849192336063604E-2</v>
      </c>
      <c r="H119" s="160"/>
      <c r="I119" s="28">
        <f t="shared" ref="I119:BD119" si="730">+SUMPRODUCT($G$120:$G$122,I120:I122)</f>
        <v>0</v>
      </c>
      <c r="J119" s="28">
        <f t="shared" si="730"/>
        <v>0</v>
      </c>
      <c r="K119" s="28">
        <f t="shared" si="730"/>
        <v>0</v>
      </c>
      <c r="L119" s="28">
        <f t="shared" si="730"/>
        <v>0</v>
      </c>
      <c r="M119" s="64">
        <f t="shared" si="730"/>
        <v>0</v>
      </c>
      <c r="N119" s="64">
        <f t="shared" si="730"/>
        <v>0</v>
      </c>
      <c r="O119" s="28">
        <f t="shared" si="730"/>
        <v>0</v>
      </c>
      <c r="P119" s="28">
        <f t="shared" si="730"/>
        <v>0</v>
      </c>
      <c r="Q119" s="28">
        <f t="shared" si="730"/>
        <v>0</v>
      </c>
      <c r="R119" s="28">
        <f t="shared" si="730"/>
        <v>0</v>
      </c>
      <c r="S119" s="28">
        <f t="shared" si="730"/>
        <v>0</v>
      </c>
      <c r="T119" s="28">
        <f t="shared" si="730"/>
        <v>0</v>
      </c>
      <c r="U119" s="28">
        <f t="shared" si="730"/>
        <v>0</v>
      </c>
      <c r="V119" s="28">
        <f t="shared" si="730"/>
        <v>0</v>
      </c>
      <c r="W119" s="28">
        <f t="shared" si="730"/>
        <v>0</v>
      </c>
      <c r="X119" s="28">
        <f t="shared" si="730"/>
        <v>0</v>
      </c>
      <c r="Y119" s="28">
        <f t="shared" si="730"/>
        <v>0</v>
      </c>
      <c r="Z119" s="28">
        <f t="shared" si="730"/>
        <v>0</v>
      </c>
      <c r="AA119" s="28">
        <f t="shared" si="730"/>
        <v>0</v>
      </c>
      <c r="AB119" s="28">
        <f t="shared" si="730"/>
        <v>4.9999999999999992E-3</v>
      </c>
      <c r="AC119" s="28">
        <f t="shared" si="730"/>
        <v>1.4999999999999999E-2</v>
      </c>
      <c r="AD119" s="28">
        <f t="shared" si="730"/>
        <v>2.5374999999999998E-2</v>
      </c>
      <c r="AE119" s="28">
        <f t="shared" si="730"/>
        <v>6.3750000000000001E-2</v>
      </c>
      <c r="AF119" s="28">
        <f t="shared" si="730"/>
        <v>7.3999999999999996E-2</v>
      </c>
      <c r="AG119" s="28">
        <f t="shared" si="730"/>
        <v>0.15166666666666664</v>
      </c>
      <c r="AH119" s="28">
        <f t="shared" si="730"/>
        <v>0.15166666666666664</v>
      </c>
      <c r="AI119" s="28">
        <f t="shared" si="730"/>
        <v>0.15166666666666664</v>
      </c>
      <c r="AJ119" s="28">
        <f t="shared" si="730"/>
        <v>0.15166666666666664</v>
      </c>
      <c r="AK119" s="28">
        <f t="shared" si="730"/>
        <v>0.15166666666666664</v>
      </c>
      <c r="AL119" s="28">
        <f t="shared" si="730"/>
        <v>0.15333333333333332</v>
      </c>
      <c r="AM119" s="28">
        <f t="shared" si="730"/>
        <v>0.17968749999999997</v>
      </c>
      <c r="AN119" s="28">
        <f t="shared" si="730"/>
        <v>0.18039583333333331</v>
      </c>
      <c r="AO119" s="28">
        <f t="shared" si="730"/>
        <v>0.18374999999999997</v>
      </c>
      <c r="AP119" s="28">
        <f t="shared" si="730"/>
        <v>0.18374999999999997</v>
      </c>
      <c r="AQ119" s="28">
        <f t="shared" si="730"/>
        <v>0.18374999999999997</v>
      </c>
      <c r="AR119" s="28">
        <f t="shared" si="730"/>
        <v>0.18374999999999997</v>
      </c>
      <c r="AS119" s="28">
        <f t="shared" si="730"/>
        <v>0.18374999999999997</v>
      </c>
      <c r="AT119" s="28">
        <f t="shared" si="730"/>
        <v>0.18374999999999997</v>
      </c>
      <c r="AU119" s="28">
        <f t="shared" si="730"/>
        <v>0.18374999999999997</v>
      </c>
      <c r="AV119" s="28">
        <f t="shared" si="730"/>
        <v>0.18374999999999997</v>
      </c>
      <c r="AW119" s="28">
        <f t="shared" si="730"/>
        <v>0.18374999999999997</v>
      </c>
      <c r="AX119" s="28">
        <f t="shared" si="730"/>
        <v>0.18374999999999997</v>
      </c>
      <c r="AY119" s="28">
        <f t="shared" si="730"/>
        <v>0.18374999999999997</v>
      </c>
      <c r="AZ119" s="28">
        <f t="shared" si="730"/>
        <v>0.59478333333333333</v>
      </c>
      <c r="BA119" s="28">
        <f t="shared" si="730"/>
        <v>0.59478333333333333</v>
      </c>
      <c r="BB119" s="28">
        <f t="shared" si="730"/>
        <v>0.59478333333333333</v>
      </c>
      <c r="BC119" s="28">
        <f t="shared" si="730"/>
        <v>0.59478333333333333</v>
      </c>
      <c r="BD119" s="28">
        <f t="shared" si="730"/>
        <v>0.59478333333333333</v>
      </c>
      <c r="BE119" s="28">
        <f t="shared" ref="BE119:BF119" si="731">+SUMPRODUCT($G$120:$G$122,BE120:BE122)</f>
        <v>0.59478333333333333</v>
      </c>
      <c r="BF119" s="28">
        <f t="shared" si="731"/>
        <v>0.59478333333333333</v>
      </c>
      <c r="BG119" s="161">
        <f t="shared" ref="BG119:BH119" si="732">+SUMPRODUCT($G$120:$G$122,BG120:BG122)</f>
        <v>0.59478333333333333</v>
      </c>
      <c r="BH119" s="161">
        <f t="shared" si="732"/>
        <v>0.59478333333333333</v>
      </c>
      <c r="BI119" s="28">
        <f t="shared" ref="BI119:BJ119" si="733">+SUMPRODUCT($G$120:$G$122,BI120:BI122)</f>
        <v>0.59478333333333333</v>
      </c>
      <c r="BJ119" s="28">
        <f t="shared" si="733"/>
        <v>0.62709333333333328</v>
      </c>
      <c r="BK119" s="28">
        <f t="shared" ref="BK119:BL119" si="734">+SUMPRODUCT($G$120:$G$122,BK120:BK122)</f>
        <v>0.65940333333333334</v>
      </c>
      <c r="BL119" s="28">
        <f t="shared" si="734"/>
        <v>0.67050989583333331</v>
      </c>
      <c r="BM119" s="28">
        <f t="shared" ref="BM119:BN119" si="735">+SUMPRODUCT($G$120:$G$122,BM120:BM122)</f>
        <v>0.67656802083333334</v>
      </c>
      <c r="BN119" s="28">
        <f t="shared" si="735"/>
        <v>0.67656802083333334</v>
      </c>
      <c r="BO119" s="28">
        <f t="shared" ref="BO119:BP119" si="736">+SUMPRODUCT($G$120:$G$122,BO120:BO122)</f>
        <v>0.70988770833333326</v>
      </c>
      <c r="BP119" s="28">
        <f t="shared" si="736"/>
        <v>0.83076008333333329</v>
      </c>
      <c r="BQ119" s="28">
        <f t="shared" ref="BQ119:BR119" si="737">+SUMPRODUCT($G$120:$G$122,BQ120:BQ122)</f>
        <v>0.8761374999999999</v>
      </c>
      <c r="BR119" s="28">
        <f t="shared" si="737"/>
        <v>0.90628333333333322</v>
      </c>
      <c r="BS119" s="28">
        <f t="shared" ref="BS119:BT119" si="738">+SUMPRODUCT($G$120:$G$122,BS120:BS122)</f>
        <v>0.91909166666666664</v>
      </c>
      <c r="BT119" s="28">
        <f t="shared" si="738"/>
        <v>0.95838999999999996</v>
      </c>
      <c r="BU119" s="28">
        <f t="shared" ref="BU119:BV119" si="739">+SUMPRODUCT($G$120:$G$122,BU120:BU122)</f>
        <v>0.97688333333333333</v>
      </c>
      <c r="BV119" s="28">
        <f t="shared" si="739"/>
        <v>0.97803916666666657</v>
      </c>
      <c r="BW119" s="28">
        <f t="shared" ref="BW119:BX119" si="740">+SUMPRODUCT($G$120:$G$122,BW120:BW122)</f>
        <v>0.98266249999999999</v>
      </c>
      <c r="BX119" s="28">
        <f t="shared" si="740"/>
        <v>0.98266249999999999</v>
      </c>
      <c r="BY119" s="28">
        <f t="shared" ref="BY119:BZ119" si="741">+SUMPRODUCT($G$120:$G$122,BY120:BY122)</f>
        <v>0.98844166666666666</v>
      </c>
      <c r="BZ119" s="28">
        <f t="shared" si="741"/>
        <v>0.98844166666666666</v>
      </c>
      <c r="CA119" s="28">
        <f t="shared" ref="CA119:CB119" si="742">+SUMPRODUCT($G$120:$G$122,CA120:CA122)</f>
        <v>0.98844166666666666</v>
      </c>
      <c r="CB119" s="28">
        <f t="shared" si="742"/>
        <v>0.98844166666666666</v>
      </c>
      <c r="CC119" s="28">
        <f t="shared" ref="CC119:CD119" si="743">+SUMPRODUCT($G$120:$G$122,CC120:CC122)</f>
        <v>0.98844166666666666</v>
      </c>
      <c r="CD119" s="28">
        <f t="shared" si="743"/>
        <v>0.98844166666666666</v>
      </c>
      <c r="CE119" s="28">
        <f t="shared" ref="CE119" si="744">+SUMPRODUCT($G$120:$G$122,CE120:CE122)</f>
        <v>0.98844166666666666</v>
      </c>
      <c r="CF119" s="28">
        <f t="shared" ref="CF119" si="745">+SUMPRODUCT($G$120:$G$122,CF120:CF122)</f>
        <v>0.98844166666666666</v>
      </c>
      <c r="CG119" s="28">
        <f t="shared" ref="CG119" si="746">+SUMPRODUCT($G$120:$G$122,CG120:CG122)</f>
        <v>0.98844166666666666</v>
      </c>
      <c r="CH119" s="28">
        <f t="shared" ref="CH119" si="747">+SUMPRODUCT($G$120:$G$122,CH120:CH122)</f>
        <v>0.98844166666666666</v>
      </c>
      <c r="CI119" s="28">
        <f t="shared" ref="CI119" si="748">+SUMPRODUCT($G$120:$G$122,CI120:CI122)</f>
        <v>0.98844166666666666</v>
      </c>
      <c r="CJ119" s="28">
        <f t="shared" ref="CJ119:CK119" si="749">+SUMPRODUCT($G$120:$G$122,CJ120:CJ122)</f>
        <v>0.98844166666666666</v>
      </c>
      <c r="CK119" s="28">
        <f t="shared" si="749"/>
        <v>0.98844166666666666</v>
      </c>
      <c r="CL119" s="28">
        <f t="shared" ref="CL119:CV119" si="750">+SUMPRODUCT($G$120:$G$122,CL120:CL122)</f>
        <v>0.98844166666666666</v>
      </c>
      <c r="CM119" s="28">
        <f t="shared" si="750"/>
        <v>0.98844166666666666</v>
      </c>
      <c r="CN119" s="28">
        <f t="shared" si="750"/>
        <v>0.98844166666666666</v>
      </c>
      <c r="CO119" s="28">
        <f t="shared" si="750"/>
        <v>0.98844166666666666</v>
      </c>
      <c r="CP119" s="28">
        <f t="shared" si="750"/>
        <v>0.98844166666666666</v>
      </c>
      <c r="CQ119" s="28">
        <f t="shared" si="750"/>
        <v>0.98844166666666666</v>
      </c>
      <c r="CR119" s="28">
        <f t="shared" si="750"/>
        <v>0.98844166666666666</v>
      </c>
      <c r="CS119" s="28">
        <f t="shared" si="750"/>
        <v>0.98844166666666666</v>
      </c>
      <c r="CT119" s="28">
        <f t="shared" si="750"/>
        <v>0.98844166666666666</v>
      </c>
      <c r="CU119" s="28">
        <f t="shared" si="750"/>
        <v>0.98844166666666666</v>
      </c>
      <c r="CV119" s="28">
        <f t="shared" si="750"/>
        <v>0.98844166666666666</v>
      </c>
      <c r="CW119" s="28">
        <f t="shared" ref="CW119" si="751">+SUMPRODUCT($G$120:$G$122,CW120:CW122)</f>
        <v>0.98844166666666666</v>
      </c>
      <c r="CX119" s="28">
        <f t="shared" ref="CX119:CY119" si="752">+SUMPRODUCT($G$120:$G$122,CX120:CX122)</f>
        <v>0.98844166666666666</v>
      </c>
      <c r="CY119" s="28">
        <f t="shared" si="752"/>
        <v>0.98844166666666666</v>
      </c>
      <c r="CZ119" s="28">
        <f t="shared" ref="CZ119:DA119" si="753">+SUMPRODUCT($G$120:$G$122,CZ120:CZ122)</f>
        <v>0.98901958333333329</v>
      </c>
      <c r="DA119" s="28">
        <f t="shared" si="753"/>
        <v>0.98959749999999991</v>
      </c>
      <c r="DB119" s="28">
        <f t="shared" ref="DB119:DC119" si="754">+SUMPRODUCT($G$120:$G$122,DB120:DB122)</f>
        <v>0.98959749999999991</v>
      </c>
      <c r="DC119" s="28">
        <f t="shared" si="754"/>
        <v>0.98959749999999991</v>
      </c>
      <c r="DD119" s="28">
        <f t="shared" ref="DD119:DE119" si="755">+SUMPRODUCT($G$120:$G$122,DD120:DD122)</f>
        <v>0.98959749999999991</v>
      </c>
      <c r="DE119" s="28">
        <f t="shared" si="755"/>
        <v>1</v>
      </c>
      <c r="DF119" s="28">
        <f t="shared" ref="DF119:EI119" si="756">+SUMPRODUCT($G$120:$G$122,DF120:DF122)</f>
        <v>1</v>
      </c>
      <c r="DG119" s="28">
        <f t="shared" si="756"/>
        <v>1</v>
      </c>
      <c r="DH119" s="28">
        <f t="shared" si="756"/>
        <v>1</v>
      </c>
      <c r="DI119" s="28">
        <f t="shared" si="756"/>
        <v>1</v>
      </c>
      <c r="DJ119" s="28">
        <f t="shared" si="756"/>
        <v>0.98844166666666666</v>
      </c>
      <c r="DK119" s="28">
        <f t="shared" si="756"/>
        <v>0.98844166666666666</v>
      </c>
      <c r="DL119" s="28">
        <f t="shared" si="756"/>
        <v>0.98844166666666666</v>
      </c>
      <c r="DM119" s="28">
        <f t="shared" si="756"/>
        <v>0.98844166666666666</v>
      </c>
      <c r="DN119" s="28">
        <f t="shared" si="756"/>
        <v>0.98844166666666666</v>
      </c>
      <c r="DO119" s="28">
        <f t="shared" si="756"/>
        <v>0.98844166666666666</v>
      </c>
      <c r="DP119" s="28">
        <f t="shared" si="756"/>
        <v>0.98844166666666666</v>
      </c>
      <c r="DQ119" s="28">
        <f t="shared" si="756"/>
        <v>0.98844166666666666</v>
      </c>
      <c r="DR119" s="28">
        <f t="shared" si="756"/>
        <v>0.98844166666666666</v>
      </c>
      <c r="DS119" s="28">
        <f t="shared" si="756"/>
        <v>0.98844166666666666</v>
      </c>
      <c r="DT119" s="28">
        <f t="shared" si="756"/>
        <v>0.98844166666666666</v>
      </c>
      <c r="DU119" s="28">
        <f t="shared" si="756"/>
        <v>0.98844166666666666</v>
      </c>
      <c r="DV119" s="28">
        <f t="shared" si="756"/>
        <v>0.98844166666666666</v>
      </c>
      <c r="DW119" s="28">
        <f t="shared" si="756"/>
        <v>0.98844166666666666</v>
      </c>
      <c r="DX119" s="28">
        <f t="shared" si="756"/>
        <v>0.98844166666666666</v>
      </c>
      <c r="DY119" s="28">
        <f t="shared" si="756"/>
        <v>0.98844166666666666</v>
      </c>
      <c r="DZ119" s="28">
        <f t="shared" si="756"/>
        <v>0.98844166666666666</v>
      </c>
      <c r="EA119" s="28">
        <f t="shared" si="756"/>
        <v>0.98844166666666666</v>
      </c>
      <c r="EB119" s="28">
        <f t="shared" si="756"/>
        <v>0.98844166666666666</v>
      </c>
      <c r="EC119" s="28">
        <f t="shared" si="756"/>
        <v>0.98844166666666666</v>
      </c>
      <c r="ED119" s="28">
        <f t="shared" si="756"/>
        <v>0.98844166666666666</v>
      </c>
      <c r="EE119" s="28">
        <f t="shared" si="756"/>
        <v>0.98844166666666666</v>
      </c>
      <c r="EF119" s="28">
        <f t="shared" si="756"/>
        <v>0.98844166666666666</v>
      </c>
      <c r="EG119" s="28">
        <f t="shared" si="756"/>
        <v>0.98844166666666666</v>
      </c>
      <c r="EH119" s="28">
        <f t="shared" si="756"/>
        <v>0.98844166666666666</v>
      </c>
      <c r="EI119" s="28">
        <f t="shared" si="756"/>
        <v>0.98959749999999991</v>
      </c>
    </row>
    <row r="120" spans="2:139" hidden="1" outlineLevel="3" x14ac:dyDescent="0.3">
      <c r="B120" s="29"/>
      <c r="C120" s="30"/>
      <c r="D120" s="30"/>
      <c r="E120" s="52" t="s">
        <v>123</v>
      </c>
      <c r="F120" s="33">
        <v>15</v>
      </c>
      <c r="G120" s="35">
        <v>0.33333333333333331</v>
      </c>
      <c r="H120" s="162"/>
      <c r="I120" s="127">
        <v>0</v>
      </c>
      <c r="J120" s="127">
        <v>0</v>
      </c>
      <c r="K120" s="127">
        <v>0</v>
      </c>
      <c r="L120" s="127">
        <v>0</v>
      </c>
      <c r="M120" s="128">
        <v>0</v>
      </c>
      <c r="N120" s="128">
        <v>0</v>
      </c>
      <c r="O120" s="127">
        <v>0</v>
      </c>
      <c r="P120" s="127">
        <v>0</v>
      </c>
      <c r="Q120" s="127">
        <v>0</v>
      </c>
      <c r="R120" s="127">
        <v>0</v>
      </c>
      <c r="S120" s="127">
        <v>0</v>
      </c>
      <c r="T120" s="127">
        <v>0</v>
      </c>
      <c r="U120" s="127">
        <v>0</v>
      </c>
      <c r="V120" s="127">
        <v>0</v>
      </c>
      <c r="W120" s="127">
        <v>0</v>
      </c>
      <c r="X120" s="127">
        <v>0</v>
      </c>
      <c r="Y120" s="127">
        <v>0</v>
      </c>
      <c r="Z120" s="127">
        <v>0</v>
      </c>
      <c r="AA120" s="127">
        <v>0</v>
      </c>
      <c r="AB120" s="127">
        <v>0</v>
      </c>
      <c r="AC120" s="127">
        <v>0</v>
      </c>
      <c r="AD120" s="127">
        <v>7.5000000000000012E-4</v>
      </c>
      <c r="AE120" s="127">
        <v>3.0000000000000005E-3</v>
      </c>
      <c r="AF120" s="127">
        <v>2.7000000000000003E-2</v>
      </c>
      <c r="AG120" s="127">
        <v>0.15</v>
      </c>
      <c r="AH120" s="127">
        <v>0.15</v>
      </c>
      <c r="AI120" s="127">
        <v>0.15</v>
      </c>
      <c r="AJ120" s="127">
        <v>0.15</v>
      </c>
      <c r="AK120" s="127">
        <v>0.15</v>
      </c>
      <c r="AL120" s="127">
        <v>0.15</v>
      </c>
      <c r="AM120" s="127">
        <v>0.17499999999999999</v>
      </c>
      <c r="AN120" s="127">
        <v>0.17499999999999999</v>
      </c>
      <c r="AO120" s="127">
        <v>0.17499999999999999</v>
      </c>
      <c r="AP120" s="127">
        <v>0.17499999999999999</v>
      </c>
      <c r="AQ120" s="127">
        <v>0.17499999999999999</v>
      </c>
      <c r="AR120" s="127">
        <v>0.17499999999999999</v>
      </c>
      <c r="AS120" s="127">
        <v>0.17499999999999999</v>
      </c>
      <c r="AT120" s="127">
        <v>0.17499999999999999</v>
      </c>
      <c r="AU120" s="127">
        <v>0.17499999999999999</v>
      </c>
      <c r="AV120" s="127">
        <v>0.17499999999999999</v>
      </c>
      <c r="AW120" s="127">
        <v>0.17499999999999999</v>
      </c>
      <c r="AX120" s="127">
        <v>0.17499999999999999</v>
      </c>
      <c r="AY120" s="127">
        <v>0.17499999999999999</v>
      </c>
      <c r="AZ120" s="127">
        <v>0.61575000000000002</v>
      </c>
      <c r="BA120" s="127">
        <v>0.61575000000000002</v>
      </c>
      <c r="BB120" s="127">
        <f>Real[[#This Row],[05/05/25]]+(1-Real[[#This Row],[05/05/25]])*'Avance 39'!I74</f>
        <v>0.61575000000000002</v>
      </c>
      <c r="BC120" s="127">
        <f>Real[[#This Row],[05/05/25]]+(1-Real[[#This Row],[05/05/25]])*'Avance 39'!J74</f>
        <v>0.61575000000000002</v>
      </c>
      <c r="BD120" s="127">
        <f>Real[[#This Row],[05/05/25]]+(1-Real[[#This Row],[05/05/25]])*'Avance 39'!K74</f>
        <v>0.61575000000000002</v>
      </c>
      <c r="BE120" s="127">
        <f>Real[[#This Row],[05/05/25]]+(1-Real[[#This Row],[05/05/25]])*'Avance 39'!L74</f>
        <v>0.61575000000000002</v>
      </c>
      <c r="BF120" s="127">
        <f>Real[[#This Row],[05/05/25]]+(1-Real[[#This Row],[05/05/25]])*'Avance 39'!M74</f>
        <v>0.61575000000000002</v>
      </c>
      <c r="BG120" s="163">
        <f>Real[[#This Row],[05/05/25]]+(1-Real[[#This Row],[05/05/25]])*'Avance 39'!N74</f>
        <v>0.61575000000000002</v>
      </c>
      <c r="BH120" s="163">
        <f>Real[[#This Row],[05/05/25]]+(1-Real[[#This Row],[05/05/25]])*'Avance 39'!O74</f>
        <v>0.61575000000000002</v>
      </c>
      <c r="BI120" s="127">
        <f>Real[[#This Row],[05/05/25]]+(1-Real[[#This Row],[05/05/25]])*'Avance 39'!P74</f>
        <v>0.61575000000000002</v>
      </c>
      <c r="BJ120" s="127">
        <f>Real[[#This Row],[05/05/25]]+(1-Real[[#This Row],[05/05/25]])*'Avance 39'!Q74</f>
        <v>0.61575000000000002</v>
      </c>
      <c r="BK120" s="127">
        <f>Real[[#This Row],[05/05/25]]+(1-Real[[#This Row],[05/05/25]])*'Avance 39'!R74</f>
        <v>0.61575000000000002</v>
      </c>
      <c r="BL120" s="127">
        <f>Real[[#This Row],[05/05/25]]+(1-Real[[#This Row],[05/05/25]])*'Avance 39'!S74</f>
        <v>0.61575000000000002</v>
      </c>
      <c r="BM120" s="127">
        <f>Real[[#This Row],[05/05/25]]+(1-Real[[#This Row],[05/05/25]])*'Avance 39'!T74</f>
        <v>0.61575000000000002</v>
      </c>
      <c r="BN120" s="127">
        <f>Real[[#This Row],[05/05/25]]+(1-Real[[#This Row],[05/05/25]])*'Avance 39'!U74</f>
        <v>0.61575000000000002</v>
      </c>
      <c r="BO120" s="127">
        <f>Real[[#This Row],[05/05/25]]+(1-Real[[#This Row],[05/05/25]])*'Avance 39'!V74</f>
        <v>0.61575000000000002</v>
      </c>
      <c r="BP120" s="127">
        <f>Real[[#This Row],[05/05/25]]+(1-Real[[#This Row],[05/05/25]])*'Avance 39'!W74</f>
        <v>0.84630000000000005</v>
      </c>
      <c r="BQ120" s="127">
        <f>Real[[#This Row],[05/05/25]]+(1-Real[[#This Row],[05/05/25]])*'Avance 39'!X74</f>
        <v>0.92315000000000003</v>
      </c>
      <c r="BR120" s="127">
        <f>Real[[#This Row],[05/05/25]]+(1-Real[[#This Row],[05/05/25]])*'Avance 39'!Y74</f>
        <v>0.96157499999999996</v>
      </c>
      <c r="BS120" s="127">
        <f>Real[[#This Row],[05/05/25]]+(1-Real[[#This Row],[05/05/25]])*'Avance 39'!Z74</f>
        <v>1</v>
      </c>
      <c r="BT120" s="127">
        <f>Real[[#This Row],[05/05/25]]+(1-Real[[#This Row],[05/05/25]])*'Avance 39'!AA74</f>
        <v>1</v>
      </c>
      <c r="BU120" s="127">
        <f>Real[[#This Row],[05/05/25]]+(1-Real[[#This Row],[05/05/25]])*'Avance 39'!AB74</f>
        <v>1</v>
      </c>
      <c r="BV120" s="127">
        <f>Real[[#This Row],[05/05/25]]+(1-Real[[#This Row],[05/05/25]])*'Avance 39'!AC74</f>
        <v>1</v>
      </c>
      <c r="BW120" s="127">
        <f>Real[[#This Row],[05/05/25]]+(1-Real[[#This Row],[05/05/25]])*'Avance 39'!AD74</f>
        <v>1</v>
      </c>
      <c r="BX120" s="127">
        <f>Real[[#This Row],[05/05/25]]+(1-Real[[#This Row],[05/05/25]])*'Avance 39'!AE74</f>
        <v>1</v>
      </c>
      <c r="BY120" s="127">
        <f>Real[[#This Row],[05/05/25]]+(1-Real[[#This Row],[05/05/25]])*'Avance 39'!AF74</f>
        <v>1</v>
      </c>
      <c r="BZ120" s="127">
        <f>Real[[#This Row],[05/05/25]]+(1-Real[[#This Row],[05/05/25]])*'Avance 39'!AG74</f>
        <v>1</v>
      </c>
      <c r="CA120" s="127">
        <f>Real[[#This Row],[05/05/25]]+(1-Real[[#This Row],[05/05/25]])*'Avance 39'!AH74</f>
        <v>1</v>
      </c>
      <c r="CB120" s="127">
        <f>Real[[#This Row],[05/05/25]]+(1-Real[[#This Row],[05/05/25]])*'Avance 39'!AI74</f>
        <v>1</v>
      </c>
      <c r="CC120" s="127">
        <f>Real[[#This Row],[05/05/25]]+(1-Real[[#This Row],[05/05/25]])*'Avance 39'!AJ74</f>
        <v>1</v>
      </c>
      <c r="CD120" s="127">
        <f>Real[[#This Row],[05/05/25]]+(1-Real[[#This Row],[05/05/25]])*'Avance 39'!AK74</f>
        <v>1</v>
      </c>
      <c r="CE120" s="127">
        <f>Real[[#This Row],[05/05/25]]+(1-Real[[#This Row],[05/05/25]])*'Avance 39'!AL74</f>
        <v>1</v>
      </c>
      <c r="CF120" s="127">
        <f>Real[[#This Row],[05/05/25]]+(1-Real[[#This Row],[05/05/25]])*'Avance 39'!AM74</f>
        <v>1</v>
      </c>
      <c r="CG120" s="127">
        <f>Real[[#This Row],[05/05/25]]+(1-Real[[#This Row],[05/05/25]])*'Avance 39'!AN74</f>
        <v>1</v>
      </c>
      <c r="CH120" s="127">
        <f>Real[[#This Row],[05/05/25]]+(1-Real[[#This Row],[05/05/25]])*'Avance 39'!AO74</f>
        <v>1</v>
      </c>
      <c r="CI120" s="127">
        <f>Real[[#This Row],[05/05/25]]+(1-Real[[#This Row],[05/05/25]])*'Avance 39'!AP74</f>
        <v>1</v>
      </c>
      <c r="CJ120" s="127">
        <f>Real[[#This Row],[05/05/25]]+(1-Real[[#This Row],[05/05/25]])*'Avance 39'!AQ74</f>
        <v>1</v>
      </c>
      <c r="CK120" s="127">
        <f>Real[[#This Row],[05/05/25]]+(1-Real[[#This Row],[05/05/25]])*'Avance 39'!AR74</f>
        <v>1</v>
      </c>
      <c r="CL120" s="127">
        <f>Real[[#This Row],[05/05/25]]+(1-Real[[#This Row],[05/05/25]])*'Avance 39'!AS74</f>
        <v>1</v>
      </c>
      <c r="CM120" s="127">
        <f>Real[[#This Row],[05/05/25]]+(1-Real[[#This Row],[05/05/25]])*'Avance 39'!AT74</f>
        <v>1</v>
      </c>
      <c r="CN120" s="127">
        <f>Real[[#This Row],[05/05/25]]+(1-Real[[#This Row],[05/05/25]])*'Avance 39'!AU74</f>
        <v>1</v>
      </c>
      <c r="CO120" s="127">
        <f>Real[[#This Row],[05/05/25]]+(1-Real[[#This Row],[05/05/25]])*'Avance 39'!AV74</f>
        <v>1</v>
      </c>
      <c r="CP120" s="127">
        <f>Real[[#This Row],[05/05/25]]+(1-Real[[#This Row],[05/05/25]])*'Avance 39'!AW74</f>
        <v>1</v>
      </c>
      <c r="CQ120" s="127">
        <f>Real[[#This Row],[05/05/25]]+(1-Real[[#This Row],[05/05/25]])*'Avance 39'!AX74</f>
        <v>1</v>
      </c>
      <c r="CR120" s="127">
        <f>Real[[#This Row],[05/05/25]]+(1-Real[[#This Row],[05/05/25]])*'Avance 39'!AY74</f>
        <v>1</v>
      </c>
      <c r="CS120" s="127">
        <f>Real[[#This Row],[05/05/25]]+(1-Real[[#This Row],[05/05/25]])*'Avance 39'!AZ74</f>
        <v>1</v>
      </c>
      <c r="CT120" s="127">
        <f>Real[[#This Row],[05/05/25]]+(1-Real[[#This Row],[05/05/25]])*'Avance 39'!BA74</f>
        <v>1</v>
      </c>
      <c r="CU120" s="127">
        <f>Real[[#This Row],[05/05/25]]+(1-Real[[#This Row],[05/05/25]])*'Avance 39'!BB74</f>
        <v>1</v>
      </c>
      <c r="CV120" s="127">
        <f>Real[[#This Row],[05/05/25]]+(1-Real[[#This Row],[05/05/25]])*'Avance 39'!BC74</f>
        <v>1</v>
      </c>
      <c r="CW120" s="127">
        <f>Real[[#This Row],[05/05/25]]+(1-Real[[#This Row],[05/05/25]])*'Avance 39'!BD74</f>
        <v>1</v>
      </c>
      <c r="CX120" s="127">
        <f>Real[[#This Row],[05/05/25]]+(1-Real[[#This Row],[05/05/25]])*'Avance 39'!BE74</f>
        <v>1</v>
      </c>
      <c r="CY120" s="127">
        <f>Real[[#This Row],[05/05/25]]+(1-Real[[#This Row],[05/05/25]])*'Avance 39'!BF74</f>
        <v>1</v>
      </c>
      <c r="CZ120" s="127">
        <f>Real[[#This Row],[05/05/25]]+(1-Real[[#This Row],[05/05/25]])*'Avance 39'!BG74</f>
        <v>1</v>
      </c>
      <c r="DA120" s="127">
        <f>Real[[#This Row],[05/05/25]]+(1-Real[[#This Row],[05/05/25]])*'Avance 39'!BH74</f>
        <v>1</v>
      </c>
      <c r="DB120" s="127">
        <f>Real[[#This Row],[05/05/25]]+(1-Real[[#This Row],[05/05/25]])*'Avance 39'!BI74</f>
        <v>1</v>
      </c>
      <c r="DC120" s="127">
        <f>Real[[#This Row],[05/05/25]]+(1-Real[[#This Row],[05/05/25]])*'Avance 39'!BJ74</f>
        <v>1</v>
      </c>
      <c r="DD120" s="127">
        <f>Real[[#This Row],[05/05/25]]+(1-Real[[#This Row],[05/05/25]])*'Avance 39'!BK74</f>
        <v>1</v>
      </c>
      <c r="DE120" s="127">
        <f>Real[[#This Row],[05/05/25]]+(1-Real[[#This Row],[05/05/25]])*'Avance 39'!BL74</f>
        <v>1</v>
      </c>
      <c r="DF120" s="127">
        <f>Real[[#This Row],[05/05/25]]+(1-Real[[#This Row],[05/05/25]])*'Avance 39'!BM74</f>
        <v>1</v>
      </c>
      <c r="DG120" s="127">
        <f>Real[[#This Row],[05/05/25]]+(1-Real[[#This Row],[05/05/25]])*'Avance 39'!BN74</f>
        <v>1</v>
      </c>
      <c r="DH120" s="127">
        <f>Real[[#This Row],[05/05/25]]+(1-Real[[#This Row],[05/05/25]])*'Avance 39'!BO74</f>
        <v>1</v>
      </c>
      <c r="DI120" s="127">
        <f>Real[[#This Row],[05/05/25]]+(1-Real[[#This Row],[05/05/25]])*'Avance 39'!BP74</f>
        <v>1</v>
      </c>
      <c r="DJ120" s="127">
        <f>Real[[#This Row],[05/05/25]]+(1-Real[[#This Row],[05/05/25]])*'Avance 39'!BQ74</f>
        <v>1</v>
      </c>
      <c r="DK120" s="127">
        <f>Real[[#This Row],[05/05/25]]+(1-Real[[#This Row],[05/05/25]])*'Avance 39'!BR74</f>
        <v>1</v>
      </c>
      <c r="DL120" s="127">
        <f>Real[[#This Row],[05/05/25]]+(1-Real[[#This Row],[05/05/25]])*'Avance 39'!BS74</f>
        <v>1</v>
      </c>
      <c r="DM120" s="127">
        <f>Real[[#This Row],[05/05/25]]+(1-Real[[#This Row],[05/05/25]])*'Avance 39'!BT74</f>
        <v>1</v>
      </c>
      <c r="DN120" s="127">
        <f>Real[[#This Row],[05/05/25]]+(1-Real[[#This Row],[05/05/25]])*'Avance 39'!BU74</f>
        <v>1</v>
      </c>
      <c r="DO120" s="127">
        <f>Real[[#This Row],[05/05/25]]+(1-Real[[#This Row],[05/05/25]])*'Avance 39'!BV74</f>
        <v>1</v>
      </c>
      <c r="DP120" s="127">
        <f>Real[[#This Row],[05/05/25]]+(1-Real[[#This Row],[05/05/25]])*'Avance 39'!BW74</f>
        <v>1</v>
      </c>
      <c r="DQ120" s="127">
        <f>Real[[#This Row],[05/05/25]]+(1-Real[[#This Row],[05/05/25]])*'Avance 39'!BX74</f>
        <v>1</v>
      </c>
      <c r="DR120" s="127">
        <f>Real[[#This Row],[05/05/25]]+(1-Real[[#This Row],[05/05/25]])*'Avance 39'!BY74</f>
        <v>1</v>
      </c>
      <c r="DS120" s="127">
        <f>Real[[#This Row],[05/05/25]]+(1-Real[[#This Row],[05/05/25]])*'Avance 39'!BZ74</f>
        <v>1</v>
      </c>
      <c r="DT120" s="127">
        <f>Real[[#This Row],[05/05/25]]+(1-Real[[#This Row],[05/05/25]])*'Avance 39'!CA74</f>
        <v>1</v>
      </c>
      <c r="DU120" s="127">
        <f>Real[[#This Row],[05/05/25]]+(1-Real[[#This Row],[05/05/25]])*'Avance 39'!CB74</f>
        <v>1</v>
      </c>
      <c r="DV120" s="127">
        <f>Real[[#This Row],[05/05/25]]+(1-Real[[#This Row],[05/05/25]])*'Avance 39'!CC74</f>
        <v>1</v>
      </c>
      <c r="DW120" s="127">
        <f>Real[[#This Row],[05/05/25]]+(1-Real[[#This Row],[05/05/25]])*'Avance 39'!CD74</f>
        <v>1</v>
      </c>
      <c r="DX120" s="127">
        <f>Real[[#This Row],[05/05/25]]+(1-Real[[#This Row],[05/05/25]])*'Avance 39'!CE74</f>
        <v>1</v>
      </c>
      <c r="DY120" s="127">
        <f>Real[[#This Row],[05/05/25]]+(1-Real[[#This Row],[05/05/25]])*'Avance 39'!CF74</f>
        <v>1</v>
      </c>
      <c r="DZ120" s="127">
        <f>Real[[#This Row],[05/05/25]]+(1-Real[[#This Row],[05/05/25]])*'Avance 39'!CG74</f>
        <v>1</v>
      </c>
      <c r="EA120" s="127">
        <f>Real[[#This Row],[05/05/25]]+(1-Real[[#This Row],[05/05/25]])*'Avance 39'!CH74</f>
        <v>1</v>
      </c>
      <c r="EB120" s="127">
        <f>Real[[#This Row],[05/05/25]]+(1-Real[[#This Row],[05/05/25]])*'Avance 39'!CI74</f>
        <v>1</v>
      </c>
      <c r="EC120" s="127">
        <f>Real[[#This Row],[05/05/25]]+(1-Real[[#This Row],[05/05/25]])*'Avance 39'!CJ74</f>
        <v>1</v>
      </c>
      <c r="ED120" s="127">
        <f>Real[[#This Row],[05/05/25]]+(1-Real[[#This Row],[05/05/25]])*'Avance 39'!CK74</f>
        <v>1</v>
      </c>
      <c r="EE120" s="127">
        <f>Real[[#This Row],[05/05/25]]+(1-Real[[#This Row],[05/05/25]])*'Avance 39'!CL74</f>
        <v>1</v>
      </c>
      <c r="EF120" s="127">
        <f>Real[[#This Row],[05/05/25]]+(1-Real[[#This Row],[05/05/25]])*'Avance 39'!CM74</f>
        <v>1</v>
      </c>
      <c r="EG120" s="127">
        <f>Real[[#This Row],[05/05/25]]+(1-Real[[#This Row],[05/05/25]])*'Avance 39'!CN74</f>
        <v>1</v>
      </c>
      <c r="EH120" s="127">
        <f>Real[[#This Row],[05/05/25]]+(1-Real[[#This Row],[05/05/25]])*'Avance 39'!CO74</f>
        <v>1</v>
      </c>
      <c r="EI120" s="127">
        <f>Real[[#This Row],[05/05/25]]+(1-Real[[#This Row],[05/05/25]])*'Avance 39'!CP74</f>
        <v>1</v>
      </c>
    </row>
    <row r="121" spans="2:139" hidden="1" outlineLevel="3" x14ac:dyDescent="0.3">
      <c r="B121" s="29"/>
      <c r="C121" s="30"/>
      <c r="D121" s="30"/>
      <c r="E121" s="52" t="s">
        <v>124</v>
      </c>
      <c r="F121" s="33">
        <v>15</v>
      </c>
      <c r="G121" s="35">
        <v>0.33333333333333331</v>
      </c>
      <c r="H121" s="162"/>
      <c r="I121" s="127">
        <v>0</v>
      </c>
      <c r="J121" s="127">
        <v>0</v>
      </c>
      <c r="K121" s="127">
        <v>0</v>
      </c>
      <c r="L121" s="127">
        <v>0</v>
      </c>
      <c r="M121" s="128">
        <v>0</v>
      </c>
      <c r="N121" s="128">
        <v>0</v>
      </c>
      <c r="O121" s="127">
        <v>0</v>
      </c>
      <c r="P121" s="127">
        <v>0</v>
      </c>
      <c r="Q121" s="127">
        <v>0</v>
      </c>
      <c r="R121" s="127">
        <v>0</v>
      </c>
      <c r="S121" s="127">
        <v>0</v>
      </c>
      <c r="T121" s="127">
        <v>0</v>
      </c>
      <c r="U121" s="127">
        <v>0</v>
      </c>
      <c r="V121" s="127">
        <v>0</v>
      </c>
      <c r="W121" s="127">
        <v>0</v>
      </c>
      <c r="X121" s="127">
        <v>0</v>
      </c>
      <c r="Y121" s="127">
        <v>0</v>
      </c>
      <c r="Z121" s="127">
        <v>0</v>
      </c>
      <c r="AA121" s="127">
        <v>0</v>
      </c>
      <c r="AB121" s="127">
        <v>1.4999999999999999E-2</v>
      </c>
      <c r="AC121" s="127">
        <v>4.4999999999999998E-2</v>
      </c>
      <c r="AD121" s="127">
        <v>7.4999999999999997E-2</v>
      </c>
      <c r="AE121" s="127">
        <v>0.12</v>
      </c>
      <c r="AF121" s="127">
        <v>0.12</v>
      </c>
      <c r="AG121" s="127">
        <v>0.155</v>
      </c>
      <c r="AH121" s="127">
        <v>0.155</v>
      </c>
      <c r="AI121" s="127">
        <v>0.155</v>
      </c>
      <c r="AJ121" s="127">
        <v>0.155</v>
      </c>
      <c r="AK121" s="127">
        <v>0.155</v>
      </c>
      <c r="AL121" s="127">
        <v>0.155</v>
      </c>
      <c r="AM121" s="127">
        <v>0.18156249999999999</v>
      </c>
      <c r="AN121" s="127">
        <v>0.1824375</v>
      </c>
      <c r="AO121" s="127">
        <v>0.19249999999999998</v>
      </c>
      <c r="AP121" s="127">
        <v>0.19249999999999998</v>
      </c>
      <c r="AQ121" s="127">
        <v>0.19249999999999998</v>
      </c>
      <c r="AR121" s="127">
        <v>0.19249999999999998</v>
      </c>
      <c r="AS121" s="127">
        <v>0.19249999999999998</v>
      </c>
      <c r="AT121" s="127">
        <v>0.19249999999999998</v>
      </c>
      <c r="AU121" s="127">
        <v>0.19249999999999998</v>
      </c>
      <c r="AV121" s="127">
        <v>0.19249999999999998</v>
      </c>
      <c r="AW121" s="127">
        <v>0.19249999999999998</v>
      </c>
      <c r="AX121" s="127">
        <v>0.19249999999999998</v>
      </c>
      <c r="AY121" s="127">
        <v>0.19249999999999998</v>
      </c>
      <c r="AZ121" s="127">
        <v>0.51534999999999997</v>
      </c>
      <c r="BA121" s="127">
        <v>0.51534999999999997</v>
      </c>
      <c r="BB121" s="127">
        <f>Real[[#This Row],[05/05/25]]+(1-Real[[#This Row],[05/05/25]])*'Avance 39'!I75</f>
        <v>0.51534999999999997</v>
      </c>
      <c r="BC121" s="127">
        <f>Real[[#This Row],[05/05/25]]+(1-Real[[#This Row],[05/05/25]])*'Avance 39'!J75</f>
        <v>0.51534999999999997</v>
      </c>
      <c r="BD121" s="127">
        <f>Real[[#This Row],[05/05/25]]+(1-Real[[#This Row],[05/05/25]])*'Avance 39'!K75</f>
        <v>0.51534999999999997</v>
      </c>
      <c r="BE121" s="127">
        <f>Real[[#This Row],[05/05/25]]+(1-Real[[#This Row],[05/05/25]])*'Avance 39'!L75</f>
        <v>0.51534999999999997</v>
      </c>
      <c r="BF121" s="127">
        <f>Real[[#This Row],[05/05/25]]+(1-Real[[#This Row],[05/05/25]])*'Avance 39'!M75</f>
        <v>0.51534999999999997</v>
      </c>
      <c r="BG121" s="163">
        <f>Real[[#This Row],[05/05/25]]+(1-Real[[#This Row],[05/05/25]])*'Avance 39'!N75</f>
        <v>0.51534999999999997</v>
      </c>
      <c r="BH121" s="163">
        <f>Real[[#This Row],[05/05/25]]+(1-Real[[#This Row],[05/05/25]])*'Avance 39'!O75</f>
        <v>0.51534999999999997</v>
      </c>
      <c r="BI121" s="127">
        <f>Real[[#This Row],[05/05/25]]+(1-Real[[#This Row],[05/05/25]])*'Avance 39'!P75</f>
        <v>0.51534999999999997</v>
      </c>
      <c r="BJ121" s="127">
        <f>Real[[#This Row],[05/05/25]]+(1-Real[[#This Row],[05/05/25]])*'Avance 39'!Q75</f>
        <v>0.61227999999999994</v>
      </c>
      <c r="BK121" s="127">
        <f>Real[[#This Row],[05/05/25]]+(1-Real[[#This Row],[05/05/25]])*'Avance 39'!R75</f>
        <v>0.70921000000000001</v>
      </c>
      <c r="BL121" s="127">
        <f>Real[[#This Row],[05/05/25]]+(1-Real[[#This Row],[05/05/25]])*'Avance 39'!S75</f>
        <v>0.74252968749999992</v>
      </c>
      <c r="BM121" s="127">
        <f>Real[[#This Row],[05/05/25]]+(1-Real[[#This Row],[05/05/25]])*'Avance 39'!T75</f>
        <v>0.7607040625</v>
      </c>
      <c r="BN121" s="127">
        <f>Real[[#This Row],[05/05/25]]+(1-Real[[#This Row],[05/05/25]])*'Avance 39'!U75</f>
        <v>0.7607040625</v>
      </c>
      <c r="BO121" s="127">
        <f>Real[[#This Row],[05/05/25]]+(1-Real[[#This Row],[05/05/25]])*'Avance 39'!V75</f>
        <v>0.86066312499999997</v>
      </c>
      <c r="BP121" s="127">
        <f>Real[[#This Row],[05/05/25]]+(1-Real[[#This Row],[05/05/25]])*'Avance 39'!W75</f>
        <v>0.99273024999999993</v>
      </c>
      <c r="BQ121" s="127">
        <f>Real[[#This Row],[05/05/25]]+(1-Real[[#This Row],[05/05/25]])*'Avance 39'!X75</f>
        <v>1</v>
      </c>
      <c r="BR121" s="127">
        <f>Real[[#This Row],[05/05/25]]+(1-Real[[#This Row],[05/05/25]])*'Avance 39'!Y75</f>
        <v>1</v>
      </c>
      <c r="BS121" s="127">
        <f>Real[[#This Row],[05/05/25]]+(1-Real[[#This Row],[05/05/25]])*'Avance 39'!Z75</f>
        <v>1</v>
      </c>
      <c r="BT121" s="127">
        <f>Real[[#This Row],[05/05/25]]+(1-Real[[#This Row],[05/05/25]])*'Avance 39'!AA75</f>
        <v>1</v>
      </c>
      <c r="BU121" s="127">
        <f>Real[[#This Row],[05/05/25]]+(1-Real[[#This Row],[05/05/25]])*'Avance 39'!AB75</f>
        <v>1</v>
      </c>
      <c r="BV121" s="127">
        <f>Real[[#This Row],[05/05/25]]+(1-Real[[#This Row],[05/05/25]])*'Avance 39'!AC75</f>
        <v>1</v>
      </c>
      <c r="BW121" s="127">
        <f>Real[[#This Row],[05/05/25]]+(1-Real[[#This Row],[05/05/25]])*'Avance 39'!AD75</f>
        <v>1</v>
      </c>
      <c r="BX121" s="127">
        <f>Real[[#This Row],[05/05/25]]+(1-Real[[#This Row],[05/05/25]])*'Avance 39'!AE75</f>
        <v>1</v>
      </c>
      <c r="BY121" s="127">
        <f>Real[[#This Row],[05/05/25]]+(1-Real[[#This Row],[05/05/25]])*'Avance 39'!AF75</f>
        <v>1</v>
      </c>
      <c r="BZ121" s="127">
        <f>Real[[#This Row],[05/05/25]]+(1-Real[[#This Row],[05/05/25]])*'Avance 39'!AG75</f>
        <v>1</v>
      </c>
      <c r="CA121" s="127">
        <f>Real[[#This Row],[05/05/25]]+(1-Real[[#This Row],[05/05/25]])*'Avance 39'!AH75</f>
        <v>1</v>
      </c>
      <c r="CB121" s="127">
        <f>Real[[#This Row],[05/05/25]]+(1-Real[[#This Row],[05/05/25]])*'Avance 39'!AI75</f>
        <v>1</v>
      </c>
      <c r="CC121" s="127">
        <f>Real[[#This Row],[05/05/25]]+(1-Real[[#This Row],[05/05/25]])*'Avance 39'!AJ75</f>
        <v>1</v>
      </c>
      <c r="CD121" s="127">
        <f>Real[[#This Row],[05/05/25]]+(1-Real[[#This Row],[05/05/25]])*'Avance 39'!AK75</f>
        <v>1</v>
      </c>
      <c r="CE121" s="127">
        <f>Real[[#This Row],[05/05/25]]+(1-Real[[#This Row],[05/05/25]])*'Avance 39'!AL75</f>
        <v>1</v>
      </c>
      <c r="CF121" s="127">
        <f>Real[[#This Row],[05/05/25]]+(1-Real[[#This Row],[05/05/25]])*'Avance 39'!AM75</f>
        <v>1</v>
      </c>
      <c r="CG121" s="127">
        <f>Real[[#This Row],[05/05/25]]+(1-Real[[#This Row],[05/05/25]])*'Avance 39'!AN75</f>
        <v>1</v>
      </c>
      <c r="CH121" s="127">
        <f>Real[[#This Row],[05/05/25]]+(1-Real[[#This Row],[05/05/25]])*'Avance 39'!AO75</f>
        <v>1</v>
      </c>
      <c r="CI121" s="127">
        <f>Real[[#This Row],[05/05/25]]+(1-Real[[#This Row],[05/05/25]])*'Avance 39'!AP75</f>
        <v>1</v>
      </c>
      <c r="CJ121" s="127">
        <f>Real[[#This Row],[05/05/25]]+(1-Real[[#This Row],[05/05/25]])*'Avance 39'!AQ75</f>
        <v>1</v>
      </c>
      <c r="CK121" s="127">
        <f>Real[[#This Row],[05/05/25]]+(1-Real[[#This Row],[05/05/25]])*'Avance 39'!AR75</f>
        <v>1</v>
      </c>
      <c r="CL121" s="127">
        <f>Real[[#This Row],[05/05/25]]+(1-Real[[#This Row],[05/05/25]])*'Avance 39'!AS75</f>
        <v>1</v>
      </c>
      <c r="CM121" s="127">
        <f>Real[[#This Row],[05/05/25]]+(1-Real[[#This Row],[05/05/25]])*'Avance 39'!AT75</f>
        <v>1</v>
      </c>
      <c r="CN121" s="127">
        <f>Real[[#This Row],[05/05/25]]+(1-Real[[#This Row],[05/05/25]])*'Avance 39'!AU75</f>
        <v>1</v>
      </c>
      <c r="CO121" s="127">
        <f>Real[[#This Row],[05/05/25]]+(1-Real[[#This Row],[05/05/25]])*'Avance 39'!AV75</f>
        <v>1</v>
      </c>
      <c r="CP121" s="127">
        <f>Real[[#This Row],[05/05/25]]+(1-Real[[#This Row],[05/05/25]])*'Avance 39'!AW75</f>
        <v>1</v>
      </c>
      <c r="CQ121" s="127">
        <f>Real[[#This Row],[05/05/25]]+(1-Real[[#This Row],[05/05/25]])*'Avance 39'!AX75</f>
        <v>1</v>
      </c>
      <c r="CR121" s="127">
        <f>Real[[#This Row],[05/05/25]]+(1-Real[[#This Row],[05/05/25]])*'Avance 39'!AY75</f>
        <v>1</v>
      </c>
      <c r="CS121" s="127">
        <f>Real[[#This Row],[05/05/25]]+(1-Real[[#This Row],[05/05/25]])*'Avance 39'!AZ75</f>
        <v>1</v>
      </c>
      <c r="CT121" s="127">
        <f>Real[[#This Row],[05/05/25]]+(1-Real[[#This Row],[05/05/25]])*'Avance 39'!BA75</f>
        <v>1</v>
      </c>
      <c r="CU121" s="127">
        <f>Real[[#This Row],[05/05/25]]+(1-Real[[#This Row],[05/05/25]])*'Avance 39'!BB75</f>
        <v>1</v>
      </c>
      <c r="CV121" s="127">
        <f>Real[[#This Row],[05/05/25]]+(1-Real[[#This Row],[05/05/25]])*'Avance 39'!BC75</f>
        <v>1</v>
      </c>
      <c r="CW121" s="127">
        <f>Real[[#This Row],[05/05/25]]+(1-Real[[#This Row],[05/05/25]])*'Avance 39'!BD75</f>
        <v>1</v>
      </c>
      <c r="CX121" s="127">
        <f>Real[[#This Row],[05/05/25]]+(1-Real[[#This Row],[05/05/25]])*'Avance 39'!BE75</f>
        <v>1</v>
      </c>
      <c r="CY121" s="127">
        <f>Real[[#This Row],[05/05/25]]+(1-Real[[#This Row],[05/05/25]])*'Avance 39'!BF75</f>
        <v>1</v>
      </c>
      <c r="CZ121" s="127">
        <f>Real[[#This Row],[05/05/25]]+(1-Real[[#This Row],[05/05/25]])*'Avance 39'!BG75</f>
        <v>1</v>
      </c>
      <c r="DA121" s="127">
        <f>Real[[#This Row],[05/05/25]]+(1-Real[[#This Row],[05/05/25]])*'Avance 39'!BH75</f>
        <v>1</v>
      </c>
      <c r="DB121" s="127">
        <f>Real[[#This Row],[05/05/25]]+(1-Real[[#This Row],[05/05/25]])*'Avance 39'!BI75</f>
        <v>1</v>
      </c>
      <c r="DC121" s="127">
        <f>Real[[#This Row],[05/05/25]]+(1-Real[[#This Row],[05/05/25]])*'Avance 39'!BJ75</f>
        <v>1</v>
      </c>
      <c r="DD121" s="127">
        <f>Real[[#This Row],[05/05/25]]+(1-Real[[#This Row],[05/05/25]])*'Avance 39'!BK75</f>
        <v>1</v>
      </c>
      <c r="DE121" s="127">
        <f>Real[[#This Row],[05/05/25]]+(1-Real[[#This Row],[05/05/25]])*'Avance 39'!BL75</f>
        <v>1</v>
      </c>
      <c r="DF121" s="127">
        <f>Real[[#This Row],[05/05/25]]+(1-Real[[#This Row],[05/05/25]])*'Avance 39'!BM75</f>
        <v>1</v>
      </c>
      <c r="DG121" s="127">
        <f>Real[[#This Row],[05/05/25]]+(1-Real[[#This Row],[05/05/25]])*'Avance 39'!BN75</f>
        <v>1</v>
      </c>
      <c r="DH121" s="127">
        <f>Real[[#This Row],[05/05/25]]+(1-Real[[#This Row],[05/05/25]])*'Avance 39'!BO75</f>
        <v>1</v>
      </c>
      <c r="DI121" s="127">
        <f>Real[[#This Row],[05/05/25]]+(1-Real[[#This Row],[05/05/25]])*'Avance 39'!BP75</f>
        <v>1</v>
      </c>
      <c r="DJ121" s="127">
        <f>Real[[#This Row],[05/05/25]]+(1-Real[[#This Row],[05/05/25]])*'Avance 39'!BQ75</f>
        <v>1</v>
      </c>
      <c r="DK121" s="127">
        <f>Real[[#This Row],[05/05/25]]+(1-Real[[#This Row],[05/05/25]])*'Avance 39'!BR75</f>
        <v>1</v>
      </c>
      <c r="DL121" s="127">
        <f>Real[[#This Row],[05/05/25]]+(1-Real[[#This Row],[05/05/25]])*'Avance 39'!BS75</f>
        <v>1</v>
      </c>
      <c r="DM121" s="127">
        <f>Real[[#This Row],[05/05/25]]+(1-Real[[#This Row],[05/05/25]])*'Avance 39'!BT75</f>
        <v>1</v>
      </c>
      <c r="DN121" s="127">
        <f>Real[[#This Row],[05/05/25]]+(1-Real[[#This Row],[05/05/25]])*'Avance 39'!BU75</f>
        <v>1</v>
      </c>
      <c r="DO121" s="127">
        <f>Real[[#This Row],[05/05/25]]+(1-Real[[#This Row],[05/05/25]])*'Avance 39'!BV75</f>
        <v>1</v>
      </c>
      <c r="DP121" s="127">
        <f>Real[[#This Row],[05/05/25]]+(1-Real[[#This Row],[05/05/25]])*'Avance 39'!BW75</f>
        <v>1</v>
      </c>
      <c r="DQ121" s="127">
        <f>Real[[#This Row],[05/05/25]]+(1-Real[[#This Row],[05/05/25]])*'Avance 39'!BX75</f>
        <v>1</v>
      </c>
      <c r="DR121" s="127">
        <f>Real[[#This Row],[05/05/25]]+(1-Real[[#This Row],[05/05/25]])*'Avance 39'!BY75</f>
        <v>1</v>
      </c>
      <c r="DS121" s="127">
        <f>Real[[#This Row],[05/05/25]]+(1-Real[[#This Row],[05/05/25]])*'Avance 39'!BZ75</f>
        <v>1</v>
      </c>
      <c r="DT121" s="127">
        <f>Real[[#This Row],[05/05/25]]+(1-Real[[#This Row],[05/05/25]])*'Avance 39'!CA75</f>
        <v>1</v>
      </c>
      <c r="DU121" s="127">
        <f>Real[[#This Row],[05/05/25]]+(1-Real[[#This Row],[05/05/25]])*'Avance 39'!CB75</f>
        <v>1</v>
      </c>
      <c r="DV121" s="127">
        <f>Real[[#This Row],[05/05/25]]+(1-Real[[#This Row],[05/05/25]])*'Avance 39'!CC75</f>
        <v>1</v>
      </c>
      <c r="DW121" s="127">
        <f>Real[[#This Row],[05/05/25]]+(1-Real[[#This Row],[05/05/25]])*'Avance 39'!CD75</f>
        <v>1</v>
      </c>
      <c r="DX121" s="127">
        <f>Real[[#This Row],[05/05/25]]+(1-Real[[#This Row],[05/05/25]])*'Avance 39'!CE75</f>
        <v>1</v>
      </c>
      <c r="DY121" s="127">
        <f>Real[[#This Row],[05/05/25]]+(1-Real[[#This Row],[05/05/25]])*'Avance 39'!CF75</f>
        <v>1</v>
      </c>
      <c r="DZ121" s="127">
        <f>Real[[#This Row],[05/05/25]]+(1-Real[[#This Row],[05/05/25]])*'Avance 39'!CG75</f>
        <v>1</v>
      </c>
      <c r="EA121" s="127">
        <f>Real[[#This Row],[05/05/25]]+(1-Real[[#This Row],[05/05/25]])*'Avance 39'!CH75</f>
        <v>1</v>
      </c>
      <c r="EB121" s="127">
        <f>Real[[#This Row],[05/05/25]]+(1-Real[[#This Row],[05/05/25]])*'Avance 39'!CI75</f>
        <v>1</v>
      </c>
      <c r="EC121" s="127">
        <f>Real[[#This Row],[05/05/25]]+(1-Real[[#This Row],[05/05/25]])*'Avance 39'!CJ75</f>
        <v>1</v>
      </c>
      <c r="ED121" s="127">
        <f>Real[[#This Row],[05/05/25]]+(1-Real[[#This Row],[05/05/25]])*'Avance 39'!CK75</f>
        <v>1</v>
      </c>
      <c r="EE121" s="127">
        <f>Real[[#This Row],[05/05/25]]+(1-Real[[#This Row],[05/05/25]])*'Avance 39'!CL75</f>
        <v>1</v>
      </c>
      <c r="EF121" s="127">
        <f>Real[[#This Row],[05/05/25]]+(1-Real[[#This Row],[05/05/25]])*'Avance 39'!CM75</f>
        <v>1</v>
      </c>
      <c r="EG121" s="127">
        <f>Real[[#This Row],[05/05/25]]+(1-Real[[#This Row],[05/05/25]])*'Avance 39'!CN75</f>
        <v>1</v>
      </c>
      <c r="EH121" s="127">
        <f>Real[[#This Row],[05/05/25]]+(1-Real[[#This Row],[05/05/25]])*'Avance 39'!CO75</f>
        <v>1</v>
      </c>
      <c r="EI121" s="127">
        <f>Real[[#This Row],[05/05/25]]+(1-Real[[#This Row],[05/05/25]])*'Avance 39'!CP75</f>
        <v>1</v>
      </c>
    </row>
    <row r="122" spans="2:139" hidden="1" outlineLevel="3" x14ac:dyDescent="0.3">
      <c r="B122" s="280"/>
      <c r="C122" s="281"/>
      <c r="D122" s="281"/>
      <c r="E122" s="282" t="s">
        <v>125</v>
      </c>
      <c r="F122" s="283">
        <v>15</v>
      </c>
      <c r="G122" s="284">
        <v>0.33333333333333331</v>
      </c>
      <c r="H122" s="162"/>
      <c r="I122" s="127">
        <v>0</v>
      </c>
      <c r="J122" s="127">
        <v>0</v>
      </c>
      <c r="K122" s="127">
        <v>0</v>
      </c>
      <c r="L122" s="127">
        <v>0</v>
      </c>
      <c r="M122" s="128">
        <v>0</v>
      </c>
      <c r="N122" s="128">
        <v>0</v>
      </c>
      <c r="O122" s="127">
        <v>0</v>
      </c>
      <c r="P122" s="127">
        <v>0</v>
      </c>
      <c r="Q122" s="127">
        <v>0</v>
      </c>
      <c r="R122" s="127">
        <v>0</v>
      </c>
      <c r="S122" s="127">
        <v>0</v>
      </c>
      <c r="T122" s="127">
        <v>0</v>
      </c>
      <c r="U122" s="127">
        <v>0</v>
      </c>
      <c r="V122" s="127">
        <v>0</v>
      </c>
      <c r="W122" s="127">
        <v>0</v>
      </c>
      <c r="X122" s="127">
        <v>0</v>
      </c>
      <c r="Y122" s="127">
        <v>0</v>
      </c>
      <c r="Z122" s="127">
        <v>0</v>
      </c>
      <c r="AA122" s="127">
        <v>0</v>
      </c>
      <c r="AB122" s="127">
        <v>0</v>
      </c>
      <c r="AC122" s="127">
        <v>0</v>
      </c>
      <c r="AD122" s="127">
        <v>3.7500000000000006E-4</v>
      </c>
      <c r="AE122" s="127">
        <v>6.8250000000000005E-2</v>
      </c>
      <c r="AF122" s="127">
        <v>7.4999999999999997E-2</v>
      </c>
      <c r="AG122" s="127">
        <v>0.15</v>
      </c>
      <c r="AH122" s="127">
        <v>0.15</v>
      </c>
      <c r="AI122" s="127">
        <v>0.15</v>
      </c>
      <c r="AJ122" s="127">
        <v>0.15</v>
      </c>
      <c r="AK122" s="127">
        <v>0.15</v>
      </c>
      <c r="AL122" s="127">
        <v>0.155</v>
      </c>
      <c r="AM122" s="127">
        <v>0.1825</v>
      </c>
      <c r="AN122" s="127">
        <v>0.18375</v>
      </c>
      <c r="AO122" s="127">
        <v>0.18375</v>
      </c>
      <c r="AP122" s="127">
        <v>0.18375</v>
      </c>
      <c r="AQ122" s="127">
        <v>0.18375</v>
      </c>
      <c r="AR122" s="127">
        <v>0.18375</v>
      </c>
      <c r="AS122" s="127">
        <v>0.18375</v>
      </c>
      <c r="AT122" s="127">
        <v>0.18375</v>
      </c>
      <c r="AU122" s="127">
        <v>0.18375</v>
      </c>
      <c r="AV122" s="127">
        <v>0.18375</v>
      </c>
      <c r="AW122" s="127">
        <v>0.18375</v>
      </c>
      <c r="AX122" s="127">
        <v>0.18375</v>
      </c>
      <c r="AY122" s="127">
        <v>0.18375</v>
      </c>
      <c r="AZ122" s="127">
        <v>0.65325</v>
      </c>
      <c r="BA122" s="127">
        <v>0.65325</v>
      </c>
      <c r="BB122" s="127">
        <f>Real[[#This Row],[05/05/25]]+(1-Real[[#This Row],[05/05/25]])*'Avance 39'!I76</f>
        <v>0.65325</v>
      </c>
      <c r="BC122" s="127">
        <f>Real[[#This Row],[05/05/25]]+(1-Real[[#This Row],[05/05/25]])*'Avance 39'!J76</f>
        <v>0.65325</v>
      </c>
      <c r="BD122" s="127">
        <f>Real[[#This Row],[05/05/25]]+(1-Real[[#This Row],[05/05/25]])*'Avance 39'!K76</f>
        <v>0.65325</v>
      </c>
      <c r="BE122" s="127">
        <f>Real[[#This Row],[05/05/25]]+(1-Real[[#This Row],[05/05/25]])*'Avance 39'!L76</f>
        <v>0.65325</v>
      </c>
      <c r="BF122" s="127">
        <f>Real[[#This Row],[05/05/25]]+(1-Real[[#This Row],[05/05/25]])*'Avance 39'!M76</f>
        <v>0.65325</v>
      </c>
      <c r="BG122" s="163">
        <f>Real[[#This Row],[05/05/25]]+(1-Real[[#This Row],[05/05/25]])*'Avance 39'!N76</f>
        <v>0.65325</v>
      </c>
      <c r="BH122" s="163">
        <f>Real[[#This Row],[05/05/25]]+(1-Real[[#This Row],[05/05/25]])*'Avance 39'!O76</f>
        <v>0.65325</v>
      </c>
      <c r="BI122" s="127">
        <f>Real[[#This Row],[05/05/25]]+(1-Real[[#This Row],[05/05/25]])*'Avance 39'!P76</f>
        <v>0.65325</v>
      </c>
      <c r="BJ122" s="127">
        <f>Real[[#This Row],[05/05/25]]+(1-Real[[#This Row],[05/05/25]])*'Avance 39'!Q76</f>
        <v>0.65325</v>
      </c>
      <c r="BK122" s="127">
        <f>Real[[#This Row],[05/05/25]]+(1-Real[[#This Row],[05/05/25]])*'Avance 39'!R76</f>
        <v>0.65325</v>
      </c>
      <c r="BL122" s="127">
        <f>Real[[#This Row],[05/05/25]]+(1-Real[[#This Row],[05/05/25]])*'Avance 39'!S76</f>
        <v>0.65325</v>
      </c>
      <c r="BM122" s="127">
        <f>Real[[#This Row],[05/05/25]]+(1-Real[[#This Row],[05/05/25]])*'Avance 39'!T76</f>
        <v>0.65325</v>
      </c>
      <c r="BN122" s="127">
        <f>Real[[#This Row],[05/05/25]]+(1-Real[[#This Row],[05/05/25]])*'Avance 39'!U76</f>
        <v>0.65325</v>
      </c>
      <c r="BO122" s="127">
        <f>Real[[#This Row],[05/05/25]]+(1-Real[[#This Row],[05/05/25]])*'Avance 39'!V76</f>
        <v>0.65325</v>
      </c>
      <c r="BP122" s="127">
        <f>Real[[#This Row],[05/05/25]]+(1-Real[[#This Row],[05/05/25]])*'Avance 39'!W76</f>
        <v>0.65325</v>
      </c>
      <c r="BQ122" s="127">
        <f>Real[[#This Row],[05/05/25]]+(1-Real[[#This Row],[05/05/25]])*'Avance 39'!X76</f>
        <v>0.70526250000000001</v>
      </c>
      <c r="BR122" s="127">
        <f>Real[[#This Row],[05/05/25]]+(1-Real[[#This Row],[05/05/25]])*'Avance 39'!Y76</f>
        <v>0.75727500000000003</v>
      </c>
      <c r="BS122" s="127">
        <f>Real[[#This Row],[05/05/25]]+(1-Real[[#This Row],[05/05/25]])*'Avance 39'!Z76</f>
        <v>0.75727500000000003</v>
      </c>
      <c r="BT122" s="127">
        <f>Real[[#This Row],[05/05/25]]+(1-Real[[#This Row],[05/05/25]])*'Avance 39'!AA76</f>
        <v>0.87517</v>
      </c>
      <c r="BU122" s="127">
        <f>Real[[#This Row],[05/05/25]]+(1-Real[[#This Row],[05/05/25]])*'Avance 39'!AB76</f>
        <v>0.93064999999999998</v>
      </c>
      <c r="BV122" s="127">
        <f>Real[[#This Row],[05/05/25]]+(1-Real[[#This Row],[05/05/25]])*'Avance 39'!AC76</f>
        <v>0.93411749999999993</v>
      </c>
      <c r="BW122" s="127">
        <f>Real[[#This Row],[05/05/25]]+(1-Real[[#This Row],[05/05/25]])*'Avance 39'!AD76</f>
        <v>0.94798749999999998</v>
      </c>
      <c r="BX122" s="127">
        <f>Real[[#This Row],[05/05/25]]+(1-Real[[#This Row],[05/05/25]])*'Avance 39'!AE76</f>
        <v>0.94798749999999998</v>
      </c>
      <c r="BY122" s="127">
        <f>Real[[#This Row],[05/05/25]]+(1-Real[[#This Row],[05/05/25]])*'Avance 39'!AF76</f>
        <v>0.96532499999999999</v>
      </c>
      <c r="BZ122" s="127">
        <f>Real[[#This Row],[05/05/25]]+(1-Real[[#This Row],[05/05/25]])*'Avance 39'!AG76</f>
        <v>0.96532499999999999</v>
      </c>
      <c r="CA122" s="127">
        <f>Real[[#This Row],[05/05/25]]+(1-Real[[#This Row],[05/05/25]])*'Avance 39'!AH76</f>
        <v>0.96532499999999999</v>
      </c>
      <c r="CB122" s="127">
        <f>Real[[#This Row],[05/05/25]]+(1-Real[[#This Row],[05/05/25]])*'Avance 39'!AI76</f>
        <v>0.96532499999999999</v>
      </c>
      <c r="CC122" s="127">
        <f>Real[[#This Row],[05/05/25]]+(1-Real[[#This Row],[05/05/25]])*'Avance 39'!AJ76</f>
        <v>0.96532499999999999</v>
      </c>
      <c r="CD122" s="127">
        <f>Real[[#This Row],[05/05/25]]+(1-Real[[#This Row],[05/05/25]])*'Avance 39'!AK76</f>
        <v>0.96532499999999999</v>
      </c>
      <c r="CE122" s="127">
        <f>Real[[#This Row],[05/05/25]]+(1-Real[[#This Row],[05/05/25]])*'Avance 39'!AL76</f>
        <v>0.96532499999999999</v>
      </c>
      <c r="CF122" s="127">
        <f>Real[[#This Row],[05/05/25]]+(1-Real[[#This Row],[05/05/25]])*'Avance 39'!AM76</f>
        <v>0.96532499999999999</v>
      </c>
      <c r="CG122" s="127">
        <f>Real[[#This Row],[05/05/25]]+(1-Real[[#This Row],[05/05/25]])*'Avance 39'!AN76</f>
        <v>0.96532499999999999</v>
      </c>
      <c r="CH122" s="127">
        <f>Real[[#This Row],[05/05/25]]+(1-Real[[#This Row],[05/05/25]])*'Avance 39'!AO76</f>
        <v>0.96532499999999999</v>
      </c>
      <c r="CI122" s="127">
        <f>Real[[#This Row],[05/05/25]]+(1-Real[[#This Row],[05/05/25]])*'Avance 39'!AP76</f>
        <v>0.96532499999999999</v>
      </c>
      <c r="CJ122" s="127">
        <f>Real[[#This Row],[05/05/25]]+(1-Real[[#This Row],[05/05/25]])*'Avance 39'!AQ76</f>
        <v>0.96532499999999999</v>
      </c>
      <c r="CK122" s="127">
        <f>Real[[#This Row],[05/05/25]]+(1-Real[[#This Row],[05/05/25]])*'Avance 39'!AR76</f>
        <v>0.96532499999999999</v>
      </c>
      <c r="CL122" s="127">
        <f>Real[[#This Row],[05/05/25]]+(1-Real[[#This Row],[05/05/25]])*'Avance 39'!AS76</f>
        <v>0.96532499999999999</v>
      </c>
      <c r="CM122" s="127">
        <f>Real[[#This Row],[05/05/25]]+(1-Real[[#This Row],[05/05/25]])*'Avance 39'!AT76</f>
        <v>0.96532499999999999</v>
      </c>
      <c r="CN122" s="127">
        <f>Real[[#This Row],[05/05/25]]+(1-Real[[#This Row],[05/05/25]])*'Avance 39'!AU76</f>
        <v>0.96532499999999999</v>
      </c>
      <c r="CO122" s="127">
        <f>Real[[#This Row],[05/05/25]]+(1-Real[[#This Row],[05/05/25]])*'Avance 39'!AV76</f>
        <v>0.96532499999999999</v>
      </c>
      <c r="CP122" s="127">
        <f>Real[[#This Row],[05/05/25]]+(1-Real[[#This Row],[05/05/25]])*'Avance 39'!AW76</f>
        <v>0.96532499999999999</v>
      </c>
      <c r="CQ122" s="127">
        <f>Real[[#This Row],[05/05/25]]+(1-Real[[#This Row],[05/05/25]])*'Avance 39'!AX76</f>
        <v>0.96532499999999999</v>
      </c>
      <c r="CR122" s="127">
        <f>Real[[#This Row],[05/05/25]]+(1-Real[[#This Row],[05/05/25]])*'Avance 39'!AY76</f>
        <v>0.96532499999999999</v>
      </c>
      <c r="CS122" s="127">
        <f>Real[[#This Row],[05/05/25]]+(1-Real[[#This Row],[05/05/25]])*'Avance 39'!AZ76</f>
        <v>0.96532499999999999</v>
      </c>
      <c r="CT122" s="127">
        <f>Real[[#This Row],[05/05/25]]+(1-Real[[#This Row],[05/05/25]])*'Avance 39'!BA76</f>
        <v>0.96532499999999999</v>
      </c>
      <c r="CU122" s="127">
        <f>Real[[#This Row],[05/05/25]]+(1-Real[[#This Row],[05/05/25]])*'Avance 39'!BB76</f>
        <v>0.96532499999999999</v>
      </c>
      <c r="CV122" s="127">
        <f>Real[[#This Row],[05/05/25]]+(1-Real[[#This Row],[05/05/25]])*'Avance 39'!BC76</f>
        <v>0.96532499999999999</v>
      </c>
      <c r="CW122" s="127">
        <f>Real[[#This Row],[05/05/25]]+(1-Real[[#This Row],[05/05/25]])*'Avance 39'!BD76</f>
        <v>0.96532499999999999</v>
      </c>
      <c r="CX122" s="127">
        <f>Real[[#This Row],[05/05/25]]+(1-Real[[#This Row],[05/05/25]])*'Avance 39'!BE76</f>
        <v>0.96532499999999999</v>
      </c>
      <c r="CY122" s="127">
        <f>Real[[#This Row],[05/05/25]]+(1-Real[[#This Row],[05/05/25]])*'Avance 39'!BF76</f>
        <v>0.96532499999999999</v>
      </c>
      <c r="CZ122" s="127">
        <f>Real[[#This Row],[05/05/25]]+(1-Real[[#This Row],[05/05/25]])*'Avance 39'!BG76</f>
        <v>0.96705875000000008</v>
      </c>
      <c r="DA122" s="127">
        <f>Real[[#This Row],[05/05/25]]+(1-Real[[#This Row],[05/05/25]])*'Avance 39'!BH76</f>
        <v>0.96879249999999995</v>
      </c>
      <c r="DB122" s="127">
        <f>Real[[#This Row],[05/05/25]]+(1-Real[[#This Row],[05/05/25]])*'Avance 39'!BI76</f>
        <v>0.96879249999999995</v>
      </c>
      <c r="DC122" s="127">
        <f>Real[[#This Row],[05/05/25]]+(1-Real[[#This Row],[05/05/25]])*'Avance 39'!BJ76</f>
        <v>0.96879249999999995</v>
      </c>
      <c r="DD122" s="127">
        <f>Real[[#This Row],[05/05/25]]+(1-Real[[#This Row],[05/05/25]])*'Avance 39'!BK76</f>
        <v>0.96879249999999995</v>
      </c>
      <c r="DE122" s="127">
        <f>Real[[#This Row],[05/05/25]]+(1-Real[[#This Row],[05/05/25]])*'Avance 39'!BL76</f>
        <v>1</v>
      </c>
      <c r="DF122" s="127">
        <f>Real[[#This Row],[05/05/25]]+(1-Real[[#This Row],[05/05/25]])*'Avance 39'!BM76</f>
        <v>1</v>
      </c>
      <c r="DG122" s="127">
        <f>Real[[#This Row],[05/05/25]]+(1-Real[[#This Row],[05/05/25]])*'Avance 39'!BN76</f>
        <v>1</v>
      </c>
      <c r="DH122" s="127">
        <f>Real[[#This Row],[05/05/25]]+(1-Real[[#This Row],[05/05/25]])*'Avance 39'!BO76</f>
        <v>1</v>
      </c>
      <c r="DI122" s="127">
        <f>Real[[#This Row],[05/05/25]]+(1-Real[[#This Row],[05/05/25]])*'Avance 39'!BP76</f>
        <v>1</v>
      </c>
      <c r="DJ122" s="127">
        <f>Real[[#This Row],[05/05/25]]+(1-Real[[#This Row],[05/05/25]])*'Avance 39'!BQ76</f>
        <v>0.96532499999999999</v>
      </c>
      <c r="DK122" s="127">
        <f>Real[[#This Row],[05/05/25]]+(1-Real[[#This Row],[05/05/25]])*'Avance 39'!BR76</f>
        <v>0.96532499999999999</v>
      </c>
      <c r="DL122" s="127">
        <f>Real[[#This Row],[05/05/25]]+(1-Real[[#This Row],[05/05/25]])*'Avance 39'!BS76</f>
        <v>0.96532499999999999</v>
      </c>
      <c r="DM122" s="127">
        <f>Real[[#This Row],[05/05/25]]+(1-Real[[#This Row],[05/05/25]])*'Avance 39'!BT76</f>
        <v>0.96532499999999999</v>
      </c>
      <c r="DN122" s="127">
        <f>Real[[#This Row],[05/05/25]]+(1-Real[[#This Row],[05/05/25]])*'Avance 39'!BU76</f>
        <v>0.96532499999999999</v>
      </c>
      <c r="DO122" s="127">
        <f>Real[[#This Row],[05/05/25]]+(1-Real[[#This Row],[05/05/25]])*'Avance 39'!BV76</f>
        <v>0.96532499999999999</v>
      </c>
      <c r="DP122" s="127">
        <f>Real[[#This Row],[05/05/25]]+(1-Real[[#This Row],[05/05/25]])*'Avance 39'!BW76</f>
        <v>0.96532499999999999</v>
      </c>
      <c r="DQ122" s="127">
        <f>Real[[#This Row],[05/05/25]]+(1-Real[[#This Row],[05/05/25]])*'Avance 39'!BX76</f>
        <v>0.96532499999999999</v>
      </c>
      <c r="DR122" s="127">
        <f>Real[[#This Row],[05/05/25]]+(1-Real[[#This Row],[05/05/25]])*'Avance 39'!BY76</f>
        <v>0.96532499999999999</v>
      </c>
      <c r="DS122" s="127">
        <f>Real[[#This Row],[05/05/25]]+(1-Real[[#This Row],[05/05/25]])*'Avance 39'!BZ76</f>
        <v>0.96532499999999999</v>
      </c>
      <c r="DT122" s="127">
        <f>Real[[#This Row],[05/05/25]]+(1-Real[[#This Row],[05/05/25]])*'Avance 39'!CA76</f>
        <v>0.96532499999999999</v>
      </c>
      <c r="DU122" s="127">
        <f>Real[[#This Row],[05/05/25]]+(1-Real[[#This Row],[05/05/25]])*'Avance 39'!CB76</f>
        <v>0.96532499999999999</v>
      </c>
      <c r="DV122" s="127">
        <f>Real[[#This Row],[05/05/25]]+(1-Real[[#This Row],[05/05/25]])*'Avance 39'!CC76</f>
        <v>0.96532499999999999</v>
      </c>
      <c r="DW122" s="127">
        <f>Real[[#This Row],[05/05/25]]+(1-Real[[#This Row],[05/05/25]])*'Avance 39'!CD76</f>
        <v>0.96532499999999999</v>
      </c>
      <c r="DX122" s="127">
        <f>Real[[#This Row],[05/05/25]]+(1-Real[[#This Row],[05/05/25]])*'Avance 39'!CE76</f>
        <v>0.96532499999999999</v>
      </c>
      <c r="DY122" s="127">
        <f>Real[[#This Row],[05/05/25]]+(1-Real[[#This Row],[05/05/25]])*'Avance 39'!CF76</f>
        <v>0.96532499999999999</v>
      </c>
      <c r="DZ122" s="127">
        <f>Real[[#This Row],[05/05/25]]+(1-Real[[#This Row],[05/05/25]])*'Avance 39'!CG76</f>
        <v>0.96532499999999999</v>
      </c>
      <c r="EA122" s="127">
        <f>Real[[#This Row],[05/05/25]]+(1-Real[[#This Row],[05/05/25]])*'Avance 39'!CH76</f>
        <v>0.96532499999999999</v>
      </c>
      <c r="EB122" s="127">
        <f>Real[[#This Row],[05/05/25]]+(1-Real[[#This Row],[05/05/25]])*'Avance 39'!CI76</f>
        <v>0.96532499999999999</v>
      </c>
      <c r="EC122" s="127">
        <f>Real[[#This Row],[05/05/25]]+(1-Real[[#This Row],[05/05/25]])*'Avance 39'!CJ76</f>
        <v>0.96532499999999999</v>
      </c>
      <c r="ED122" s="127">
        <f>Real[[#This Row],[05/05/25]]+(1-Real[[#This Row],[05/05/25]])*'Avance 39'!CK76</f>
        <v>0.96532499999999999</v>
      </c>
      <c r="EE122" s="127">
        <f>Real[[#This Row],[05/05/25]]+(1-Real[[#This Row],[05/05/25]])*'Avance 39'!CL76</f>
        <v>0.96532499999999999</v>
      </c>
      <c r="EF122" s="127">
        <f>Real[[#This Row],[05/05/25]]+(1-Real[[#This Row],[05/05/25]])*'Avance 39'!CM76</f>
        <v>0.96532499999999999</v>
      </c>
      <c r="EG122" s="127">
        <f>Real[[#This Row],[05/05/25]]+(1-Real[[#This Row],[05/05/25]])*'Avance 39'!CN76</f>
        <v>0.96532499999999999</v>
      </c>
      <c r="EH122" s="127">
        <f>Real[[#This Row],[05/05/25]]+(1-Real[[#This Row],[05/05/25]])*'Avance 39'!CO76</f>
        <v>0.96532499999999999</v>
      </c>
      <c r="EI122" s="127">
        <f>Real[[#This Row],[05/05/25]]+(1-Real[[#This Row],[05/05/25]])*'Avance 39'!CP76</f>
        <v>0.96879249999999995</v>
      </c>
    </row>
    <row r="123" spans="2:139" ht="15" outlineLevel="2" collapsed="1" x14ac:dyDescent="0.3">
      <c r="B123" s="22"/>
      <c r="C123" s="23"/>
      <c r="D123" s="23" t="s">
        <v>126</v>
      </c>
      <c r="E123" s="50"/>
      <c r="F123" s="26">
        <f>+SUM(F124:F129)</f>
        <v>30</v>
      </c>
      <c r="G123" s="28">
        <v>6.9648115450815076E-2</v>
      </c>
      <c r="H123" s="160"/>
      <c r="I123" s="28">
        <f t="shared" ref="I123:BD123" si="757">+SUMPRODUCT($G$124:$G$129,I124:I129)</f>
        <v>0</v>
      </c>
      <c r="J123" s="28">
        <f t="shared" si="757"/>
        <v>0</v>
      </c>
      <c r="K123" s="28">
        <f t="shared" si="757"/>
        <v>0</v>
      </c>
      <c r="L123" s="28">
        <f t="shared" si="757"/>
        <v>0</v>
      </c>
      <c r="M123" s="64">
        <f t="shared" si="757"/>
        <v>0</v>
      </c>
      <c r="N123" s="64">
        <f t="shared" si="757"/>
        <v>0</v>
      </c>
      <c r="O123" s="28">
        <f t="shared" si="757"/>
        <v>0</v>
      </c>
      <c r="P123" s="28">
        <f t="shared" si="757"/>
        <v>0</v>
      </c>
      <c r="Q123" s="28">
        <f t="shared" si="757"/>
        <v>0</v>
      </c>
      <c r="R123" s="28">
        <f t="shared" si="757"/>
        <v>0</v>
      </c>
      <c r="S123" s="28">
        <f t="shared" si="757"/>
        <v>0</v>
      </c>
      <c r="T123" s="28">
        <f t="shared" si="757"/>
        <v>0</v>
      </c>
      <c r="U123" s="28">
        <f t="shared" si="757"/>
        <v>0</v>
      </c>
      <c r="V123" s="28">
        <f t="shared" si="757"/>
        <v>0</v>
      </c>
      <c r="W123" s="28">
        <f t="shared" si="757"/>
        <v>0</v>
      </c>
      <c r="X123" s="28">
        <f t="shared" si="757"/>
        <v>0</v>
      </c>
      <c r="Y123" s="28">
        <f t="shared" si="757"/>
        <v>0</v>
      </c>
      <c r="Z123" s="28">
        <f t="shared" si="757"/>
        <v>0</v>
      </c>
      <c r="AA123" s="28">
        <f t="shared" si="757"/>
        <v>0</v>
      </c>
      <c r="AB123" s="28">
        <f t="shared" si="757"/>
        <v>0</v>
      </c>
      <c r="AC123" s="28">
        <f t="shared" si="757"/>
        <v>9.5555555555555588E-2</v>
      </c>
      <c r="AD123" s="28">
        <f t="shared" si="757"/>
        <v>0.18666666666666673</v>
      </c>
      <c r="AE123" s="28">
        <f t="shared" si="757"/>
        <v>0.21844444444444452</v>
      </c>
      <c r="AF123" s="28">
        <f t="shared" si="757"/>
        <v>0.28066666666666673</v>
      </c>
      <c r="AG123" s="28">
        <f t="shared" si="757"/>
        <v>0.28066666666666673</v>
      </c>
      <c r="AH123" s="28">
        <f t="shared" si="757"/>
        <v>0.28066666666666673</v>
      </c>
      <c r="AI123" s="28">
        <f t="shared" si="757"/>
        <v>0.28066666666666673</v>
      </c>
      <c r="AJ123" s="28">
        <f t="shared" si="757"/>
        <v>0.28066666666666673</v>
      </c>
      <c r="AK123" s="28">
        <f t="shared" si="757"/>
        <v>0.28066666666666673</v>
      </c>
      <c r="AL123" s="28">
        <f t="shared" si="757"/>
        <v>0.28400000000000009</v>
      </c>
      <c r="AM123" s="28">
        <f t="shared" si="757"/>
        <v>0.28733333333333344</v>
      </c>
      <c r="AN123" s="28">
        <f t="shared" si="757"/>
        <v>0.40066666666666673</v>
      </c>
      <c r="AO123" s="28">
        <f t="shared" si="757"/>
        <v>0.43066666666666675</v>
      </c>
      <c r="AP123" s="28">
        <f t="shared" si="757"/>
        <v>0.67000000000000015</v>
      </c>
      <c r="AQ123" s="28">
        <f t="shared" si="757"/>
        <v>0.68333333333333357</v>
      </c>
      <c r="AR123" s="28">
        <f t="shared" si="757"/>
        <v>0.68666666666666698</v>
      </c>
      <c r="AS123" s="28">
        <f t="shared" si="757"/>
        <v>0.71000000000000019</v>
      </c>
      <c r="AT123" s="28">
        <f t="shared" si="757"/>
        <v>0.7166666666666669</v>
      </c>
      <c r="AU123" s="28">
        <f t="shared" si="757"/>
        <v>0.7166666666666669</v>
      </c>
      <c r="AV123" s="28">
        <f t="shared" si="757"/>
        <v>0.78888888888888908</v>
      </c>
      <c r="AW123" s="28">
        <f t="shared" si="757"/>
        <v>0.78888888888888908</v>
      </c>
      <c r="AX123" s="28">
        <f t="shared" si="757"/>
        <v>0.78888888888888908</v>
      </c>
      <c r="AY123" s="28">
        <f t="shared" si="757"/>
        <v>0.78888888888888908</v>
      </c>
      <c r="AZ123" s="28">
        <f t="shared" si="757"/>
        <v>0.78888888888888908</v>
      </c>
      <c r="BA123" s="28">
        <f t="shared" si="757"/>
        <v>0.78888888888888908</v>
      </c>
      <c r="BB123" s="28">
        <f t="shared" si="757"/>
        <v>0.78888888888888908</v>
      </c>
      <c r="BC123" s="28">
        <f t="shared" si="757"/>
        <v>0.78888888888888908</v>
      </c>
      <c r="BD123" s="28">
        <f t="shared" si="757"/>
        <v>0.78888888888888908</v>
      </c>
      <c r="BE123" s="28">
        <f t="shared" ref="BE123:BF123" si="758">+SUMPRODUCT($G$124:$G$129,BE124:BE129)</f>
        <v>0.78888888888888908</v>
      </c>
      <c r="BF123" s="28">
        <f t="shared" si="758"/>
        <v>0.78888888888888908</v>
      </c>
      <c r="BG123" s="161">
        <f t="shared" ref="BG123:BH123" si="759">+SUMPRODUCT($G$124:$G$129,BG124:BG129)</f>
        <v>0.78888888888888908</v>
      </c>
      <c r="BH123" s="161">
        <f t="shared" si="759"/>
        <v>0.78888888888888908</v>
      </c>
      <c r="BI123" s="28">
        <f t="shared" ref="BI123:BJ123" si="760">+SUMPRODUCT($G$124:$G$129,BI124:BI129)</f>
        <v>0.78888888888888908</v>
      </c>
      <c r="BJ123" s="28">
        <f t="shared" si="760"/>
        <v>0.78888888888888908</v>
      </c>
      <c r="BK123" s="28">
        <f t="shared" ref="BK123:BL123" si="761">+SUMPRODUCT($G$124:$G$129,BK124:BK129)</f>
        <v>0.78888888888888908</v>
      </c>
      <c r="BL123" s="28">
        <f t="shared" si="761"/>
        <v>0.78888888888888908</v>
      </c>
      <c r="BM123" s="28">
        <f t="shared" ref="BM123:BN123" si="762">+SUMPRODUCT($G$124:$G$129,BM124:BM129)</f>
        <v>0.78888888888888908</v>
      </c>
      <c r="BN123" s="28">
        <f t="shared" si="762"/>
        <v>0.78888888888888908</v>
      </c>
      <c r="BO123" s="28">
        <f t="shared" ref="BO123:BP123" si="763">+SUMPRODUCT($G$124:$G$129,BO124:BO129)</f>
        <v>0.78888888888888908</v>
      </c>
      <c r="BP123" s="28">
        <f t="shared" si="763"/>
        <v>0.78888888888888908</v>
      </c>
      <c r="BQ123" s="28">
        <f t="shared" ref="BQ123:BR123" si="764">+SUMPRODUCT($G$124:$G$129,BQ124:BQ129)</f>
        <v>0.78888888888888908</v>
      </c>
      <c r="BR123" s="28">
        <f t="shared" si="764"/>
        <v>0.78888888888888908</v>
      </c>
      <c r="BS123" s="28">
        <f t="shared" ref="BS123:BT123" si="765">+SUMPRODUCT($G$124:$G$129,BS124:BS129)</f>
        <v>0.78888888888888908</v>
      </c>
      <c r="BT123" s="28">
        <f t="shared" si="765"/>
        <v>0.78888888888888908</v>
      </c>
      <c r="BU123" s="28">
        <f t="shared" ref="BU123:BV123" si="766">+SUMPRODUCT($G$124:$G$129,BU124:BU129)</f>
        <v>0.78888888888888908</v>
      </c>
      <c r="BV123" s="28">
        <f t="shared" si="766"/>
        <v>0.78888888888888908</v>
      </c>
      <c r="BW123" s="28">
        <f t="shared" ref="BW123:BX123" si="767">+SUMPRODUCT($G$124:$G$129,BW124:BW129)</f>
        <v>0.78888888888888908</v>
      </c>
      <c r="BX123" s="28">
        <f t="shared" si="767"/>
        <v>0.78888888888888908</v>
      </c>
      <c r="BY123" s="28">
        <f t="shared" ref="BY123:BZ123" si="768">+SUMPRODUCT($G$124:$G$129,BY124:BY129)</f>
        <v>0.78888888888888908</v>
      </c>
      <c r="BZ123" s="28">
        <f t="shared" si="768"/>
        <v>0.80277777777777803</v>
      </c>
      <c r="CA123" s="28">
        <f t="shared" ref="CA123:CB123" si="769">+SUMPRODUCT($G$124:$G$129,CA124:CA129)</f>
        <v>0.80277777777777803</v>
      </c>
      <c r="CB123" s="28">
        <f t="shared" si="769"/>
        <v>0.80277777777777803</v>
      </c>
      <c r="CC123" s="28">
        <f t="shared" ref="CC123:CD123" si="770">+SUMPRODUCT($G$124:$G$129,CC124:CC129)</f>
        <v>0.80277777777777803</v>
      </c>
      <c r="CD123" s="28">
        <f t="shared" si="770"/>
        <v>0.80277777777777803</v>
      </c>
      <c r="CE123" s="28">
        <f t="shared" ref="CE123" si="771">+SUMPRODUCT($G$124:$G$129,CE124:CE129)</f>
        <v>0.80277777777777803</v>
      </c>
      <c r="CF123" s="28">
        <f t="shared" ref="CF123" si="772">+SUMPRODUCT($G$124:$G$129,CF124:CF129)</f>
        <v>0.80277777777777803</v>
      </c>
      <c r="CG123" s="28">
        <f t="shared" ref="CG123" si="773">+SUMPRODUCT($G$124:$G$129,CG124:CG129)</f>
        <v>0.80277777777777803</v>
      </c>
      <c r="CH123" s="28">
        <f t="shared" ref="CH123" si="774">+SUMPRODUCT($G$124:$G$129,CH124:CH129)</f>
        <v>0.80277777777777803</v>
      </c>
      <c r="CI123" s="28">
        <f t="shared" ref="CI123" si="775">+SUMPRODUCT($G$124:$G$129,CI124:CI129)</f>
        <v>0.80277777777777803</v>
      </c>
      <c r="CJ123" s="28">
        <f t="shared" ref="CJ123:CK123" si="776">+SUMPRODUCT($G$124:$G$129,CJ124:CJ129)</f>
        <v>0.80277777777777803</v>
      </c>
      <c r="CK123" s="28">
        <f t="shared" si="776"/>
        <v>0.80277777777777803</v>
      </c>
      <c r="CL123" s="28">
        <f t="shared" ref="CL123:CV123" si="777">+SUMPRODUCT($G$124:$G$129,CL124:CL129)</f>
        <v>0.80277777777777803</v>
      </c>
      <c r="CM123" s="28">
        <f t="shared" si="777"/>
        <v>0.80277777777777803</v>
      </c>
      <c r="CN123" s="28">
        <f t="shared" si="777"/>
        <v>0.80277777777777803</v>
      </c>
      <c r="CO123" s="28">
        <f t="shared" si="777"/>
        <v>0.80277777777777803</v>
      </c>
      <c r="CP123" s="28">
        <f t="shared" si="777"/>
        <v>0.80277777777777803</v>
      </c>
      <c r="CQ123" s="28">
        <f t="shared" si="777"/>
        <v>0.80277777777777803</v>
      </c>
      <c r="CR123" s="28">
        <f t="shared" si="777"/>
        <v>0.80277777777777803</v>
      </c>
      <c r="CS123" s="28">
        <f t="shared" si="777"/>
        <v>0.80277777777777803</v>
      </c>
      <c r="CT123" s="28">
        <f t="shared" si="777"/>
        <v>0.80277777777777803</v>
      </c>
      <c r="CU123" s="28">
        <f t="shared" si="777"/>
        <v>0.80277777777777803</v>
      </c>
      <c r="CV123" s="28">
        <f t="shared" si="777"/>
        <v>0.80277777777777803</v>
      </c>
      <c r="CW123" s="28">
        <f t="shared" ref="CW123" si="778">+SUMPRODUCT($G$124:$G$129,CW124:CW129)</f>
        <v>0.80277777777777803</v>
      </c>
      <c r="CX123" s="28">
        <f t="shared" ref="CX123:CY123" si="779">+SUMPRODUCT($G$124:$G$129,CX124:CX129)</f>
        <v>0.80277777777777803</v>
      </c>
      <c r="CY123" s="28">
        <f t="shared" si="779"/>
        <v>0.80277777777777803</v>
      </c>
      <c r="CZ123" s="28">
        <f t="shared" ref="CZ123:DA123" si="780">+SUMPRODUCT($G$124:$G$129,CZ124:CZ129)</f>
        <v>0.80277777777777803</v>
      </c>
      <c r="DA123" s="28">
        <f t="shared" si="780"/>
        <v>0.80277777777777803</v>
      </c>
      <c r="DB123" s="28">
        <f t="shared" ref="DB123:DC123" si="781">+SUMPRODUCT($G$124:$G$129,DB124:DB129)</f>
        <v>0.80277777777777803</v>
      </c>
      <c r="DC123" s="28">
        <f t="shared" si="781"/>
        <v>0.80277777777777803</v>
      </c>
      <c r="DD123" s="28">
        <f t="shared" ref="DD123:DE123" si="782">+SUMPRODUCT($G$124:$G$129,DD124:DD129)</f>
        <v>0.80277777777777803</v>
      </c>
      <c r="DE123" s="28">
        <f t="shared" si="782"/>
        <v>0.80277777777777803</v>
      </c>
      <c r="DF123" s="28">
        <f t="shared" ref="DF123:EI123" si="783">+SUMPRODUCT($G$124:$G$129,DF124:DF129)</f>
        <v>0.80277777777777803</v>
      </c>
      <c r="DG123" s="28">
        <f t="shared" si="783"/>
        <v>0.80277777777777803</v>
      </c>
      <c r="DH123" s="28">
        <f t="shared" si="783"/>
        <v>0.80277777777777803</v>
      </c>
      <c r="DI123" s="28">
        <f t="shared" si="783"/>
        <v>0.80277777777777803</v>
      </c>
      <c r="DJ123" s="28">
        <f t="shared" si="783"/>
        <v>0.80277777777777803</v>
      </c>
      <c r="DK123" s="28">
        <f t="shared" si="783"/>
        <v>0.80277777777777803</v>
      </c>
      <c r="DL123" s="28">
        <f t="shared" si="783"/>
        <v>0.80277777777777803</v>
      </c>
      <c r="DM123" s="28">
        <f t="shared" si="783"/>
        <v>0.80277777777777803</v>
      </c>
      <c r="DN123" s="28">
        <f t="shared" si="783"/>
        <v>0.80277777777777803</v>
      </c>
      <c r="DO123" s="28">
        <f t="shared" si="783"/>
        <v>0.80277777777777803</v>
      </c>
      <c r="DP123" s="28">
        <f t="shared" si="783"/>
        <v>0.80277777777777803</v>
      </c>
      <c r="DQ123" s="28">
        <f t="shared" si="783"/>
        <v>0.80277777777777803</v>
      </c>
      <c r="DR123" s="28">
        <f t="shared" si="783"/>
        <v>0.80277777777777803</v>
      </c>
      <c r="DS123" s="28">
        <f t="shared" si="783"/>
        <v>0.80277777777777803</v>
      </c>
      <c r="DT123" s="28">
        <f t="shared" si="783"/>
        <v>0.80277777777777803</v>
      </c>
      <c r="DU123" s="28">
        <f t="shared" si="783"/>
        <v>0.80277777777777803</v>
      </c>
      <c r="DV123" s="28">
        <f t="shared" si="783"/>
        <v>0.80277777777777803</v>
      </c>
      <c r="DW123" s="28">
        <f t="shared" si="783"/>
        <v>0.80277777777777803</v>
      </c>
      <c r="DX123" s="28">
        <f t="shared" si="783"/>
        <v>0.80277777777777803</v>
      </c>
      <c r="DY123" s="28">
        <f t="shared" si="783"/>
        <v>0.80277777777777803</v>
      </c>
      <c r="DZ123" s="28">
        <f t="shared" si="783"/>
        <v>0.80277777777777803</v>
      </c>
      <c r="EA123" s="28">
        <f t="shared" si="783"/>
        <v>0.80277777777777803</v>
      </c>
      <c r="EB123" s="28">
        <f t="shared" si="783"/>
        <v>0.80277777777777803</v>
      </c>
      <c r="EC123" s="28">
        <f t="shared" si="783"/>
        <v>0.80277777777777803</v>
      </c>
      <c r="ED123" s="28">
        <f t="shared" si="783"/>
        <v>0.80277777777777803</v>
      </c>
      <c r="EE123" s="28">
        <f t="shared" si="783"/>
        <v>0.80277777777777803</v>
      </c>
      <c r="EF123" s="28">
        <f t="shared" si="783"/>
        <v>0.80277777777777803</v>
      </c>
      <c r="EG123" s="28">
        <f t="shared" si="783"/>
        <v>0.80277777777777803</v>
      </c>
      <c r="EH123" s="28">
        <f t="shared" si="783"/>
        <v>0.80277777777777803</v>
      </c>
      <c r="EI123" s="28">
        <f t="shared" si="783"/>
        <v>0.80277777777777803</v>
      </c>
    </row>
    <row r="124" spans="2:139" ht="28.8" hidden="1" outlineLevel="3" x14ac:dyDescent="0.3">
      <c r="B124" s="29"/>
      <c r="C124" s="30"/>
      <c r="D124" s="30"/>
      <c r="E124" s="52" t="s">
        <v>127</v>
      </c>
      <c r="F124" s="33">
        <v>5</v>
      </c>
      <c r="G124" s="35">
        <v>0.22222222222222227</v>
      </c>
      <c r="H124" s="162"/>
      <c r="I124" s="127">
        <v>0</v>
      </c>
      <c r="J124" s="127">
        <v>0</v>
      </c>
      <c r="K124" s="127">
        <v>0</v>
      </c>
      <c r="L124" s="127">
        <v>0</v>
      </c>
      <c r="M124" s="128">
        <v>0</v>
      </c>
      <c r="N124" s="128">
        <v>0</v>
      </c>
      <c r="O124" s="127">
        <v>0</v>
      </c>
      <c r="P124" s="127">
        <v>0</v>
      </c>
      <c r="Q124" s="127">
        <v>0</v>
      </c>
      <c r="R124" s="127">
        <v>0</v>
      </c>
      <c r="S124" s="127">
        <v>0</v>
      </c>
      <c r="T124" s="127">
        <v>0</v>
      </c>
      <c r="U124" s="127">
        <v>0</v>
      </c>
      <c r="V124" s="127">
        <v>0</v>
      </c>
      <c r="W124" s="127">
        <v>0</v>
      </c>
      <c r="X124" s="127">
        <v>0</v>
      </c>
      <c r="Y124" s="127">
        <v>0</v>
      </c>
      <c r="Z124" s="127">
        <v>0</v>
      </c>
      <c r="AA124" s="127">
        <v>0</v>
      </c>
      <c r="AB124" s="127">
        <v>0</v>
      </c>
      <c r="AC124" s="127">
        <v>0.28000000000000003</v>
      </c>
      <c r="AD124" s="127">
        <v>0.28000000000000003</v>
      </c>
      <c r="AE124" s="127">
        <v>0.28000000000000003</v>
      </c>
      <c r="AF124" s="127">
        <v>0.28000000000000003</v>
      </c>
      <c r="AG124" s="127">
        <v>0.28000000000000003</v>
      </c>
      <c r="AH124" s="127">
        <v>0.28000000000000003</v>
      </c>
      <c r="AI124" s="127">
        <v>0.28000000000000003</v>
      </c>
      <c r="AJ124" s="127">
        <v>0.28000000000000003</v>
      </c>
      <c r="AK124" s="127">
        <v>0.28000000000000003</v>
      </c>
      <c r="AL124" s="127">
        <v>0.28000000000000003</v>
      </c>
      <c r="AM124" s="127">
        <v>0.28000000000000003</v>
      </c>
      <c r="AN124" s="127">
        <v>0.4</v>
      </c>
      <c r="AO124" s="127">
        <v>0.43</v>
      </c>
      <c r="AP124" s="127">
        <v>0.67</v>
      </c>
      <c r="AQ124" s="127">
        <v>0.70000000000000007</v>
      </c>
      <c r="AR124" s="127">
        <v>0.70000000000000007</v>
      </c>
      <c r="AS124" s="127">
        <v>0.70000000000000007</v>
      </c>
      <c r="AT124" s="127">
        <v>0.70000000000000007</v>
      </c>
      <c r="AU124" s="127">
        <v>0.70000000000000007</v>
      </c>
      <c r="AV124" s="127">
        <v>0.70000000000000007</v>
      </c>
      <c r="AW124" s="127">
        <v>0.70000000000000007</v>
      </c>
      <c r="AX124" s="127">
        <v>0.70000000000000007</v>
      </c>
      <c r="AY124" s="127">
        <v>0.70000000000000007</v>
      </c>
      <c r="AZ124" s="127">
        <v>0.70000000000000007</v>
      </c>
      <c r="BA124" s="127">
        <v>0.70000000000000007</v>
      </c>
      <c r="BB124" s="127">
        <f>Real[[#This Row],[05/05/25]]+(1-Real[[#This Row],[05/05/25]])*'Avance 39'!I78</f>
        <v>0.70000000000000007</v>
      </c>
      <c r="BC124" s="127">
        <f>Real[[#This Row],[05/05/25]]+(1-Real[[#This Row],[05/05/25]])*'Avance 39'!J78</f>
        <v>0.70000000000000007</v>
      </c>
      <c r="BD124" s="127">
        <f>Real[[#This Row],[05/05/25]]+(1-Real[[#This Row],[05/05/25]])*'Avance 39'!K78</f>
        <v>0.70000000000000007</v>
      </c>
      <c r="BE124" s="127">
        <f>Real[[#This Row],[05/05/25]]+(1-Real[[#This Row],[05/05/25]])*'Avance 39'!L78</f>
        <v>0.70000000000000007</v>
      </c>
      <c r="BF124" s="127">
        <f>Real[[#This Row],[05/05/25]]+(1-Real[[#This Row],[05/05/25]])*'Avance 39'!M78</f>
        <v>0.70000000000000007</v>
      </c>
      <c r="BG124" s="163">
        <f>Real[[#This Row],[05/05/25]]+(1-Real[[#This Row],[05/05/25]])*'Avance 39'!N78</f>
        <v>0.70000000000000007</v>
      </c>
      <c r="BH124" s="163">
        <f>Real[[#This Row],[05/05/25]]+(1-Real[[#This Row],[05/05/25]])*'Avance 39'!O78</f>
        <v>0.70000000000000007</v>
      </c>
      <c r="BI124" s="127">
        <f>Real[[#This Row],[05/05/25]]+(1-Real[[#This Row],[05/05/25]])*'Avance 39'!P78</f>
        <v>0.70000000000000007</v>
      </c>
      <c r="BJ124" s="127">
        <f>Real[[#This Row],[05/05/25]]+(1-Real[[#This Row],[05/05/25]])*'Avance 39'!Q78</f>
        <v>0.70000000000000007</v>
      </c>
      <c r="BK124" s="127">
        <f>Real[[#This Row],[05/05/25]]+(1-Real[[#This Row],[05/05/25]])*'Avance 39'!R78</f>
        <v>0.70000000000000007</v>
      </c>
      <c r="BL124" s="127">
        <f>Real[[#This Row],[05/05/25]]+(1-Real[[#This Row],[05/05/25]])*'Avance 39'!S78</f>
        <v>0.70000000000000007</v>
      </c>
      <c r="BM124" s="127">
        <f>Real[[#This Row],[05/05/25]]+(1-Real[[#This Row],[05/05/25]])*'Avance 39'!T78</f>
        <v>0.70000000000000007</v>
      </c>
      <c r="BN124" s="127">
        <f>Real[[#This Row],[05/05/25]]+(1-Real[[#This Row],[05/05/25]])*'Avance 39'!U78</f>
        <v>0.70000000000000007</v>
      </c>
      <c r="BO124" s="127">
        <f>Real[[#This Row],[05/05/25]]+(1-Real[[#This Row],[05/05/25]])*'Avance 39'!V78</f>
        <v>0.70000000000000007</v>
      </c>
      <c r="BP124" s="127">
        <f>Real[[#This Row],[05/05/25]]+(1-Real[[#This Row],[05/05/25]])*'Avance 39'!W78</f>
        <v>0.70000000000000007</v>
      </c>
      <c r="BQ124" s="127">
        <f>Real[[#This Row],[05/05/25]]+(1-Real[[#This Row],[05/05/25]])*'Avance 39'!X78</f>
        <v>0.70000000000000007</v>
      </c>
      <c r="BR124" s="127">
        <f>Real[[#This Row],[05/05/25]]+(1-Real[[#This Row],[05/05/25]])*'Avance 39'!Y78</f>
        <v>0.70000000000000007</v>
      </c>
      <c r="BS124" s="127">
        <f>Real[[#This Row],[05/05/25]]+(1-Real[[#This Row],[05/05/25]])*'Avance 39'!Z78</f>
        <v>0.70000000000000007</v>
      </c>
      <c r="BT124" s="127">
        <f>Real[[#This Row],[05/05/25]]+(1-Real[[#This Row],[05/05/25]])*'Avance 39'!AA78</f>
        <v>0.70000000000000007</v>
      </c>
      <c r="BU124" s="127">
        <f>Real[[#This Row],[05/05/25]]+(1-Real[[#This Row],[05/05/25]])*'Avance 39'!AB78</f>
        <v>0.70000000000000007</v>
      </c>
      <c r="BV124" s="127">
        <f>Real[[#This Row],[05/05/25]]+(1-Real[[#This Row],[05/05/25]])*'Avance 39'!AC78</f>
        <v>0.70000000000000007</v>
      </c>
      <c r="BW124" s="127">
        <f>Real[[#This Row],[05/05/25]]+(1-Real[[#This Row],[05/05/25]])*'Avance 39'!AD78</f>
        <v>0.70000000000000007</v>
      </c>
      <c r="BX124" s="127">
        <f>Real[[#This Row],[05/05/25]]+(1-Real[[#This Row],[05/05/25]])*'Avance 39'!AE78</f>
        <v>0.70000000000000007</v>
      </c>
      <c r="BY124" s="127">
        <f>Real[[#This Row],[05/05/25]]+(1-Real[[#This Row],[05/05/25]])*'Avance 39'!AF78</f>
        <v>0.70000000000000007</v>
      </c>
      <c r="BZ124" s="127">
        <f>Real[[#This Row],[05/05/25]]+(1-Real[[#This Row],[05/05/25]])*'Avance 39'!AG78</f>
        <v>0.70000000000000007</v>
      </c>
      <c r="CA124" s="127">
        <f>Real[[#This Row],[05/05/25]]+(1-Real[[#This Row],[05/05/25]])*'Avance 39'!AH78</f>
        <v>0.70000000000000007</v>
      </c>
      <c r="CB124" s="127">
        <f>Real[[#This Row],[05/05/25]]+(1-Real[[#This Row],[05/05/25]])*'Avance 39'!AI78</f>
        <v>0.70000000000000007</v>
      </c>
      <c r="CC124" s="127">
        <f>Real[[#This Row],[05/05/25]]+(1-Real[[#This Row],[05/05/25]])*'Avance 39'!AJ78</f>
        <v>0.70000000000000007</v>
      </c>
      <c r="CD124" s="127">
        <f>Real[[#This Row],[05/05/25]]+(1-Real[[#This Row],[05/05/25]])*'Avance 39'!AK78</f>
        <v>0.70000000000000007</v>
      </c>
      <c r="CE124" s="127">
        <f>Real[[#This Row],[05/05/25]]+(1-Real[[#This Row],[05/05/25]])*'Avance 39'!AL78</f>
        <v>0.70000000000000007</v>
      </c>
      <c r="CF124" s="127">
        <f>Real[[#This Row],[05/05/25]]+(1-Real[[#This Row],[05/05/25]])*'Avance 39'!AM78</f>
        <v>0.70000000000000007</v>
      </c>
      <c r="CG124" s="127">
        <f>Real[[#This Row],[05/05/25]]+(1-Real[[#This Row],[05/05/25]])*'Avance 39'!AN78</f>
        <v>0.70000000000000007</v>
      </c>
      <c r="CH124" s="127">
        <f>Real[[#This Row],[05/05/25]]+(1-Real[[#This Row],[05/05/25]])*'Avance 39'!AO78</f>
        <v>0.70000000000000007</v>
      </c>
      <c r="CI124" s="127">
        <f>Real[[#This Row],[05/05/25]]+(1-Real[[#This Row],[05/05/25]])*'Avance 39'!AP78</f>
        <v>0.70000000000000007</v>
      </c>
      <c r="CJ124" s="127">
        <f>Real[[#This Row],[05/05/25]]+(1-Real[[#This Row],[05/05/25]])*'Avance 39'!AQ78</f>
        <v>0.70000000000000007</v>
      </c>
      <c r="CK124" s="127">
        <f>Real[[#This Row],[05/05/25]]+(1-Real[[#This Row],[05/05/25]])*'Avance 39'!AR78</f>
        <v>0.70000000000000007</v>
      </c>
      <c r="CL124" s="127">
        <f>Real[[#This Row],[05/05/25]]+(1-Real[[#This Row],[05/05/25]])*'Avance 39'!AS78</f>
        <v>0.70000000000000007</v>
      </c>
      <c r="CM124" s="127">
        <f>Real[[#This Row],[05/05/25]]+(1-Real[[#This Row],[05/05/25]])*'Avance 39'!AT78</f>
        <v>0.70000000000000007</v>
      </c>
      <c r="CN124" s="127">
        <f>Real[[#This Row],[05/05/25]]+(1-Real[[#This Row],[05/05/25]])*'Avance 39'!AU78</f>
        <v>0.70000000000000007</v>
      </c>
      <c r="CO124" s="127">
        <f>Real[[#This Row],[05/05/25]]+(1-Real[[#This Row],[05/05/25]])*'Avance 39'!AV78</f>
        <v>0.70000000000000007</v>
      </c>
      <c r="CP124" s="127">
        <f>Real[[#This Row],[05/05/25]]+(1-Real[[#This Row],[05/05/25]])*'Avance 39'!AW78</f>
        <v>0.70000000000000007</v>
      </c>
      <c r="CQ124" s="127">
        <f>Real[[#This Row],[05/05/25]]+(1-Real[[#This Row],[05/05/25]])*'Avance 39'!AX78</f>
        <v>0.70000000000000007</v>
      </c>
      <c r="CR124" s="127">
        <f>Real[[#This Row],[05/05/25]]+(1-Real[[#This Row],[05/05/25]])*'Avance 39'!AY78</f>
        <v>0.70000000000000007</v>
      </c>
      <c r="CS124" s="127">
        <f>Real[[#This Row],[05/05/25]]+(1-Real[[#This Row],[05/05/25]])*'Avance 39'!AZ78</f>
        <v>0.70000000000000007</v>
      </c>
      <c r="CT124" s="127">
        <f>Real[[#This Row],[05/05/25]]+(1-Real[[#This Row],[05/05/25]])*'Avance 39'!BA78</f>
        <v>0.70000000000000007</v>
      </c>
      <c r="CU124" s="127">
        <f>Real[[#This Row],[05/05/25]]+(1-Real[[#This Row],[05/05/25]])*'Avance 39'!BB78</f>
        <v>0.70000000000000007</v>
      </c>
      <c r="CV124" s="127">
        <f>Real[[#This Row],[05/05/25]]+(1-Real[[#This Row],[05/05/25]])*'Avance 39'!BC78</f>
        <v>0.70000000000000007</v>
      </c>
      <c r="CW124" s="127">
        <f>Real[[#This Row],[05/05/25]]+(1-Real[[#This Row],[05/05/25]])*'Avance 39'!BD78</f>
        <v>0.70000000000000007</v>
      </c>
      <c r="CX124" s="127">
        <f>Real[[#This Row],[05/05/25]]+(1-Real[[#This Row],[05/05/25]])*'Avance 39'!BE78</f>
        <v>0.70000000000000007</v>
      </c>
      <c r="CY124" s="127">
        <f>Real[[#This Row],[05/05/25]]+(1-Real[[#This Row],[05/05/25]])*'Avance 39'!BF78</f>
        <v>0.70000000000000007</v>
      </c>
      <c r="CZ124" s="127">
        <f>Real[[#This Row],[05/05/25]]+(1-Real[[#This Row],[05/05/25]])*'Avance 39'!BG78</f>
        <v>0.70000000000000007</v>
      </c>
      <c r="DA124" s="127">
        <f>Real[[#This Row],[05/05/25]]+(1-Real[[#This Row],[05/05/25]])*'Avance 39'!BH78</f>
        <v>0.70000000000000007</v>
      </c>
      <c r="DB124" s="127">
        <f>Real[[#This Row],[05/05/25]]+(1-Real[[#This Row],[05/05/25]])*'Avance 39'!BI78</f>
        <v>0.70000000000000007</v>
      </c>
      <c r="DC124" s="127">
        <f>Real[[#This Row],[05/05/25]]+(1-Real[[#This Row],[05/05/25]])*'Avance 39'!BJ78</f>
        <v>0.70000000000000007</v>
      </c>
      <c r="DD124" s="127">
        <f>Real[[#This Row],[05/05/25]]+(1-Real[[#This Row],[05/05/25]])*'Avance 39'!BK78</f>
        <v>0.70000000000000007</v>
      </c>
      <c r="DE124" s="127">
        <f>Real[[#This Row],[05/05/25]]+(1-Real[[#This Row],[05/05/25]])*'Avance 39'!BL78</f>
        <v>0.70000000000000007</v>
      </c>
      <c r="DF124" s="127">
        <f>Real[[#This Row],[05/05/25]]+(1-Real[[#This Row],[05/05/25]])*'Avance 39'!BM78</f>
        <v>0.70000000000000007</v>
      </c>
      <c r="DG124" s="127">
        <f>Real[[#This Row],[05/05/25]]+(1-Real[[#This Row],[05/05/25]])*'Avance 39'!BN78</f>
        <v>0.70000000000000007</v>
      </c>
      <c r="DH124" s="127">
        <f>Real[[#This Row],[05/05/25]]+(1-Real[[#This Row],[05/05/25]])*'Avance 39'!BO78</f>
        <v>0.70000000000000007</v>
      </c>
      <c r="DI124" s="127">
        <f>Real[[#This Row],[05/05/25]]+(1-Real[[#This Row],[05/05/25]])*'Avance 39'!BP78</f>
        <v>0.70000000000000007</v>
      </c>
      <c r="DJ124" s="127">
        <f>Real[[#This Row],[05/05/25]]+(1-Real[[#This Row],[05/05/25]])*'Avance 39'!BQ78</f>
        <v>0.70000000000000007</v>
      </c>
      <c r="DK124" s="127">
        <f>Real[[#This Row],[05/05/25]]+(1-Real[[#This Row],[05/05/25]])*'Avance 39'!BR78</f>
        <v>0.70000000000000007</v>
      </c>
      <c r="DL124" s="127">
        <f>Real[[#This Row],[05/05/25]]+(1-Real[[#This Row],[05/05/25]])*'Avance 39'!BS78</f>
        <v>0.70000000000000007</v>
      </c>
      <c r="DM124" s="127">
        <f>Real[[#This Row],[05/05/25]]+(1-Real[[#This Row],[05/05/25]])*'Avance 39'!BT78</f>
        <v>0.70000000000000007</v>
      </c>
      <c r="DN124" s="127">
        <f>Real[[#This Row],[05/05/25]]+(1-Real[[#This Row],[05/05/25]])*'Avance 39'!BU78</f>
        <v>0.70000000000000007</v>
      </c>
      <c r="DO124" s="127">
        <f>Real[[#This Row],[05/05/25]]+(1-Real[[#This Row],[05/05/25]])*'Avance 39'!BV78</f>
        <v>0.70000000000000007</v>
      </c>
      <c r="DP124" s="127">
        <f>Real[[#This Row],[05/05/25]]+(1-Real[[#This Row],[05/05/25]])*'Avance 39'!BW78</f>
        <v>0.70000000000000007</v>
      </c>
      <c r="DQ124" s="127">
        <f>Real[[#This Row],[05/05/25]]+(1-Real[[#This Row],[05/05/25]])*'Avance 39'!BX78</f>
        <v>0.70000000000000007</v>
      </c>
      <c r="DR124" s="127">
        <f>Real[[#This Row],[05/05/25]]+(1-Real[[#This Row],[05/05/25]])*'Avance 39'!BY78</f>
        <v>0.70000000000000007</v>
      </c>
      <c r="DS124" s="127">
        <f>Real[[#This Row],[05/05/25]]+(1-Real[[#This Row],[05/05/25]])*'Avance 39'!BZ78</f>
        <v>0.70000000000000007</v>
      </c>
      <c r="DT124" s="127">
        <f>Real[[#This Row],[05/05/25]]+(1-Real[[#This Row],[05/05/25]])*'Avance 39'!CA78</f>
        <v>0.70000000000000007</v>
      </c>
      <c r="DU124" s="127">
        <f>Real[[#This Row],[05/05/25]]+(1-Real[[#This Row],[05/05/25]])*'Avance 39'!CB78</f>
        <v>0.70000000000000007</v>
      </c>
      <c r="DV124" s="127">
        <f>Real[[#This Row],[05/05/25]]+(1-Real[[#This Row],[05/05/25]])*'Avance 39'!CC78</f>
        <v>0.70000000000000007</v>
      </c>
      <c r="DW124" s="127">
        <f>Real[[#This Row],[05/05/25]]+(1-Real[[#This Row],[05/05/25]])*'Avance 39'!CD78</f>
        <v>0.70000000000000007</v>
      </c>
      <c r="DX124" s="127">
        <f>Real[[#This Row],[05/05/25]]+(1-Real[[#This Row],[05/05/25]])*'Avance 39'!CE78</f>
        <v>0.70000000000000007</v>
      </c>
      <c r="DY124" s="127">
        <f>Real[[#This Row],[05/05/25]]+(1-Real[[#This Row],[05/05/25]])*'Avance 39'!CF78</f>
        <v>0.70000000000000007</v>
      </c>
      <c r="DZ124" s="127">
        <f>Real[[#This Row],[05/05/25]]+(1-Real[[#This Row],[05/05/25]])*'Avance 39'!CG78</f>
        <v>0.70000000000000007</v>
      </c>
      <c r="EA124" s="127">
        <f>Real[[#This Row],[05/05/25]]+(1-Real[[#This Row],[05/05/25]])*'Avance 39'!CH78</f>
        <v>0.70000000000000007</v>
      </c>
      <c r="EB124" s="127">
        <f>Real[[#This Row],[05/05/25]]+(1-Real[[#This Row],[05/05/25]])*'Avance 39'!CI78</f>
        <v>0.70000000000000007</v>
      </c>
      <c r="EC124" s="127">
        <f>Real[[#This Row],[05/05/25]]+(1-Real[[#This Row],[05/05/25]])*'Avance 39'!CJ78</f>
        <v>0.70000000000000007</v>
      </c>
      <c r="ED124" s="127">
        <f>Real[[#This Row],[05/05/25]]+(1-Real[[#This Row],[05/05/25]])*'Avance 39'!CK78</f>
        <v>0.70000000000000007</v>
      </c>
      <c r="EE124" s="127">
        <f>Real[[#This Row],[05/05/25]]+(1-Real[[#This Row],[05/05/25]])*'Avance 39'!CL78</f>
        <v>0.70000000000000007</v>
      </c>
      <c r="EF124" s="127">
        <f>Real[[#This Row],[05/05/25]]+(1-Real[[#This Row],[05/05/25]])*'Avance 39'!CM78</f>
        <v>0.70000000000000007</v>
      </c>
      <c r="EG124" s="127">
        <f>Real[[#This Row],[05/05/25]]+(1-Real[[#This Row],[05/05/25]])*'Avance 39'!CN78</f>
        <v>0.70000000000000007</v>
      </c>
      <c r="EH124" s="127">
        <f>Real[[#This Row],[05/05/25]]+(1-Real[[#This Row],[05/05/25]])*'Avance 39'!CO78</f>
        <v>0.70000000000000007</v>
      </c>
      <c r="EI124" s="127">
        <f>Real[[#This Row],[05/05/25]]+(1-Real[[#This Row],[05/05/25]])*'Avance 39'!CP78</f>
        <v>0.70000000000000007</v>
      </c>
    </row>
    <row r="125" spans="2:139" ht="28.8" hidden="1" outlineLevel="3" x14ac:dyDescent="0.3">
      <c r="B125" s="29"/>
      <c r="C125" s="30"/>
      <c r="D125" s="30"/>
      <c r="E125" s="52" t="s">
        <v>128</v>
      </c>
      <c r="F125" s="33">
        <v>5</v>
      </c>
      <c r="G125" s="35">
        <v>0.11111111111111113</v>
      </c>
      <c r="H125" s="162"/>
      <c r="I125" s="127">
        <v>0</v>
      </c>
      <c r="J125" s="127">
        <v>0</v>
      </c>
      <c r="K125" s="127">
        <v>0</v>
      </c>
      <c r="L125" s="127">
        <v>0</v>
      </c>
      <c r="M125" s="128">
        <v>0</v>
      </c>
      <c r="N125" s="128">
        <v>0</v>
      </c>
      <c r="O125" s="127">
        <v>0</v>
      </c>
      <c r="P125" s="127">
        <v>0</v>
      </c>
      <c r="Q125" s="127">
        <v>0</v>
      </c>
      <c r="R125" s="127">
        <v>0</v>
      </c>
      <c r="S125" s="127">
        <v>0</v>
      </c>
      <c r="T125" s="127">
        <v>0</v>
      </c>
      <c r="U125" s="127">
        <v>0</v>
      </c>
      <c r="V125" s="127">
        <v>0</v>
      </c>
      <c r="W125" s="127">
        <v>0</v>
      </c>
      <c r="X125" s="127">
        <v>0</v>
      </c>
      <c r="Y125" s="127">
        <v>0</v>
      </c>
      <c r="Z125" s="127">
        <v>0</v>
      </c>
      <c r="AA125" s="127">
        <v>0</v>
      </c>
      <c r="AB125" s="127">
        <v>0</v>
      </c>
      <c r="AC125" s="127">
        <v>0.15</v>
      </c>
      <c r="AD125" s="127">
        <v>0.28000000000000003</v>
      </c>
      <c r="AE125" s="127">
        <v>0.28000000000000003</v>
      </c>
      <c r="AF125" s="127">
        <v>0.28000000000000003</v>
      </c>
      <c r="AG125" s="127">
        <v>0.28000000000000003</v>
      </c>
      <c r="AH125" s="127">
        <v>0.28000000000000003</v>
      </c>
      <c r="AI125" s="127">
        <v>0.28000000000000003</v>
      </c>
      <c r="AJ125" s="127">
        <v>0.28000000000000003</v>
      </c>
      <c r="AK125" s="127">
        <v>0.28000000000000003</v>
      </c>
      <c r="AL125" s="127">
        <v>0.28000000000000003</v>
      </c>
      <c r="AM125" s="127">
        <v>0.28000000000000003</v>
      </c>
      <c r="AN125" s="127">
        <v>0.4</v>
      </c>
      <c r="AO125" s="127">
        <v>0.43</v>
      </c>
      <c r="AP125" s="127">
        <v>0.67</v>
      </c>
      <c r="AQ125" s="127">
        <v>0.67</v>
      </c>
      <c r="AR125" s="127">
        <v>0.67</v>
      </c>
      <c r="AS125" s="127">
        <v>0.73000000000000009</v>
      </c>
      <c r="AT125" s="127">
        <v>0.73000000000000009</v>
      </c>
      <c r="AU125" s="127">
        <v>0.73000000000000009</v>
      </c>
      <c r="AV125" s="127">
        <v>0.875</v>
      </c>
      <c r="AW125" s="127">
        <v>0.875</v>
      </c>
      <c r="AX125" s="127">
        <v>0.875</v>
      </c>
      <c r="AY125" s="127">
        <v>0.875</v>
      </c>
      <c r="AZ125" s="127">
        <v>0.875</v>
      </c>
      <c r="BA125" s="127">
        <v>0.875</v>
      </c>
      <c r="BB125" s="127">
        <f>Real[[#This Row],[05/05/25]]+(1-Real[[#This Row],[05/05/25]])*'Avance 39'!I79</f>
        <v>0.875</v>
      </c>
      <c r="BC125" s="127">
        <f>Real[[#This Row],[05/05/25]]+(1-Real[[#This Row],[05/05/25]])*'Avance 39'!J79</f>
        <v>0.875</v>
      </c>
      <c r="BD125" s="127">
        <f>Real[[#This Row],[05/05/25]]+(1-Real[[#This Row],[05/05/25]])*'Avance 39'!K79</f>
        <v>0.875</v>
      </c>
      <c r="BE125" s="127">
        <f>Real[[#This Row],[05/05/25]]+(1-Real[[#This Row],[05/05/25]])*'Avance 39'!L79</f>
        <v>0.875</v>
      </c>
      <c r="BF125" s="127">
        <f>Real[[#This Row],[05/05/25]]+(1-Real[[#This Row],[05/05/25]])*'Avance 39'!M79</f>
        <v>0.875</v>
      </c>
      <c r="BG125" s="163">
        <f>Real[[#This Row],[05/05/25]]+(1-Real[[#This Row],[05/05/25]])*'Avance 39'!N79</f>
        <v>0.875</v>
      </c>
      <c r="BH125" s="163">
        <f>Real[[#This Row],[05/05/25]]+(1-Real[[#This Row],[05/05/25]])*'Avance 39'!O79</f>
        <v>0.875</v>
      </c>
      <c r="BI125" s="127">
        <f>Real[[#This Row],[05/05/25]]+(1-Real[[#This Row],[05/05/25]])*'Avance 39'!P79</f>
        <v>0.875</v>
      </c>
      <c r="BJ125" s="127">
        <f>Real[[#This Row],[05/05/25]]+(1-Real[[#This Row],[05/05/25]])*'Avance 39'!Q79</f>
        <v>0.875</v>
      </c>
      <c r="BK125" s="127">
        <f>Real[[#This Row],[05/05/25]]+(1-Real[[#This Row],[05/05/25]])*'Avance 39'!R79</f>
        <v>0.875</v>
      </c>
      <c r="BL125" s="127">
        <f>Real[[#This Row],[05/05/25]]+(1-Real[[#This Row],[05/05/25]])*'Avance 39'!S79</f>
        <v>0.875</v>
      </c>
      <c r="BM125" s="127">
        <f>Real[[#This Row],[05/05/25]]+(1-Real[[#This Row],[05/05/25]])*'Avance 39'!T79</f>
        <v>0.875</v>
      </c>
      <c r="BN125" s="127">
        <f>Real[[#This Row],[05/05/25]]+(1-Real[[#This Row],[05/05/25]])*'Avance 39'!U79</f>
        <v>0.875</v>
      </c>
      <c r="BO125" s="127">
        <f>Real[[#This Row],[05/05/25]]+(1-Real[[#This Row],[05/05/25]])*'Avance 39'!V79</f>
        <v>0.875</v>
      </c>
      <c r="BP125" s="127">
        <f>Real[[#This Row],[05/05/25]]+(1-Real[[#This Row],[05/05/25]])*'Avance 39'!W79</f>
        <v>0.875</v>
      </c>
      <c r="BQ125" s="127">
        <f>Real[[#This Row],[05/05/25]]+(1-Real[[#This Row],[05/05/25]])*'Avance 39'!X79</f>
        <v>0.875</v>
      </c>
      <c r="BR125" s="127">
        <f>Real[[#This Row],[05/05/25]]+(1-Real[[#This Row],[05/05/25]])*'Avance 39'!Y79</f>
        <v>0.875</v>
      </c>
      <c r="BS125" s="127">
        <f>Real[[#This Row],[05/05/25]]+(1-Real[[#This Row],[05/05/25]])*'Avance 39'!Z79</f>
        <v>0.875</v>
      </c>
      <c r="BT125" s="127">
        <f>Real[[#This Row],[05/05/25]]+(1-Real[[#This Row],[05/05/25]])*'Avance 39'!AA79</f>
        <v>0.875</v>
      </c>
      <c r="BU125" s="127">
        <f>Real[[#This Row],[05/05/25]]+(1-Real[[#This Row],[05/05/25]])*'Avance 39'!AB79</f>
        <v>0.875</v>
      </c>
      <c r="BV125" s="127">
        <f>Real[[#This Row],[05/05/25]]+(1-Real[[#This Row],[05/05/25]])*'Avance 39'!AC79</f>
        <v>0.875</v>
      </c>
      <c r="BW125" s="127">
        <f>Real[[#This Row],[05/05/25]]+(1-Real[[#This Row],[05/05/25]])*'Avance 39'!AD79</f>
        <v>0.875</v>
      </c>
      <c r="BX125" s="127">
        <f>Real[[#This Row],[05/05/25]]+(1-Real[[#This Row],[05/05/25]])*'Avance 39'!AE79</f>
        <v>0.875</v>
      </c>
      <c r="BY125" s="127">
        <f>Real[[#This Row],[05/05/25]]+(1-Real[[#This Row],[05/05/25]])*'Avance 39'!AF79</f>
        <v>0.875</v>
      </c>
      <c r="BZ125" s="127">
        <f>Real[[#This Row],[05/05/25]]+(1-Real[[#This Row],[05/05/25]])*'Avance 39'!AG79</f>
        <v>0.875</v>
      </c>
      <c r="CA125" s="127">
        <f>Real[[#This Row],[05/05/25]]+(1-Real[[#This Row],[05/05/25]])*'Avance 39'!AH79</f>
        <v>0.875</v>
      </c>
      <c r="CB125" s="127">
        <f>Real[[#This Row],[05/05/25]]+(1-Real[[#This Row],[05/05/25]])*'Avance 39'!AI79</f>
        <v>0.875</v>
      </c>
      <c r="CC125" s="127">
        <f>Real[[#This Row],[05/05/25]]+(1-Real[[#This Row],[05/05/25]])*'Avance 39'!AJ79</f>
        <v>0.875</v>
      </c>
      <c r="CD125" s="127">
        <f>Real[[#This Row],[05/05/25]]+(1-Real[[#This Row],[05/05/25]])*'Avance 39'!AK79</f>
        <v>0.875</v>
      </c>
      <c r="CE125" s="127">
        <f>Real[[#This Row],[05/05/25]]+(1-Real[[#This Row],[05/05/25]])*'Avance 39'!AL79</f>
        <v>0.875</v>
      </c>
      <c r="CF125" s="127">
        <f>Real[[#This Row],[05/05/25]]+(1-Real[[#This Row],[05/05/25]])*'Avance 39'!AM79</f>
        <v>0.875</v>
      </c>
      <c r="CG125" s="127">
        <f>Real[[#This Row],[05/05/25]]+(1-Real[[#This Row],[05/05/25]])*'Avance 39'!AN79</f>
        <v>0.875</v>
      </c>
      <c r="CH125" s="127">
        <f>Real[[#This Row],[05/05/25]]+(1-Real[[#This Row],[05/05/25]])*'Avance 39'!AO79</f>
        <v>0.875</v>
      </c>
      <c r="CI125" s="127">
        <f>Real[[#This Row],[05/05/25]]+(1-Real[[#This Row],[05/05/25]])*'Avance 39'!AP79</f>
        <v>0.875</v>
      </c>
      <c r="CJ125" s="127">
        <f>Real[[#This Row],[05/05/25]]+(1-Real[[#This Row],[05/05/25]])*'Avance 39'!AQ79</f>
        <v>0.875</v>
      </c>
      <c r="CK125" s="127">
        <f>Real[[#This Row],[05/05/25]]+(1-Real[[#This Row],[05/05/25]])*'Avance 39'!AR79</f>
        <v>0.875</v>
      </c>
      <c r="CL125" s="127">
        <f>Real[[#This Row],[05/05/25]]+(1-Real[[#This Row],[05/05/25]])*'Avance 39'!AS79</f>
        <v>0.875</v>
      </c>
      <c r="CM125" s="127">
        <f>Real[[#This Row],[05/05/25]]+(1-Real[[#This Row],[05/05/25]])*'Avance 39'!AT79</f>
        <v>0.875</v>
      </c>
      <c r="CN125" s="127">
        <f>Real[[#This Row],[05/05/25]]+(1-Real[[#This Row],[05/05/25]])*'Avance 39'!AU79</f>
        <v>0.875</v>
      </c>
      <c r="CO125" s="127">
        <f>Real[[#This Row],[05/05/25]]+(1-Real[[#This Row],[05/05/25]])*'Avance 39'!AV79</f>
        <v>0.875</v>
      </c>
      <c r="CP125" s="127">
        <f>Real[[#This Row],[05/05/25]]+(1-Real[[#This Row],[05/05/25]])*'Avance 39'!AW79</f>
        <v>0.875</v>
      </c>
      <c r="CQ125" s="127">
        <f>Real[[#This Row],[05/05/25]]+(1-Real[[#This Row],[05/05/25]])*'Avance 39'!AX79</f>
        <v>0.875</v>
      </c>
      <c r="CR125" s="127">
        <f>Real[[#This Row],[05/05/25]]+(1-Real[[#This Row],[05/05/25]])*'Avance 39'!AY79</f>
        <v>0.875</v>
      </c>
      <c r="CS125" s="127">
        <f>Real[[#This Row],[05/05/25]]+(1-Real[[#This Row],[05/05/25]])*'Avance 39'!AZ79</f>
        <v>0.875</v>
      </c>
      <c r="CT125" s="127">
        <f>Real[[#This Row],[05/05/25]]+(1-Real[[#This Row],[05/05/25]])*'Avance 39'!BA79</f>
        <v>0.875</v>
      </c>
      <c r="CU125" s="127">
        <f>Real[[#This Row],[05/05/25]]+(1-Real[[#This Row],[05/05/25]])*'Avance 39'!BB79</f>
        <v>0.875</v>
      </c>
      <c r="CV125" s="127">
        <f>Real[[#This Row],[05/05/25]]+(1-Real[[#This Row],[05/05/25]])*'Avance 39'!BC79</f>
        <v>0.875</v>
      </c>
      <c r="CW125" s="127">
        <f>Real[[#This Row],[05/05/25]]+(1-Real[[#This Row],[05/05/25]])*'Avance 39'!BD79</f>
        <v>0.875</v>
      </c>
      <c r="CX125" s="127">
        <f>Real[[#This Row],[05/05/25]]+(1-Real[[#This Row],[05/05/25]])*'Avance 39'!BE79</f>
        <v>0.875</v>
      </c>
      <c r="CY125" s="127">
        <f>Real[[#This Row],[05/05/25]]+(1-Real[[#This Row],[05/05/25]])*'Avance 39'!BF79</f>
        <v>0.875</v>
      </c>
      <c r="CZ125" s="127">
        <f>Real[[#This Row],[05/05/25]]+(1-Real[[#This Row],[05/05/25]])*'Avance 39'!BG79</f>
        <v>0.875</v>
      </c>
      <c r="DA125" s="127">
        <f>Real[[#This Row],[05/05/25]]+(1-Real[[#This Row],[05/05/25]])*'Avance 39'!BH79</f>
        <v>0.875</v>
      </c>
      <c r="DB125" s="127">
        <f>Real[[#This Row],[05/05/25]]+(1-Real[[#This Row],[05/05/25]])*'Avance 39'!BI79</f>
        <v>0.875</v>
      </c>
      <c r="DC125" s="127">
        <f>Real[[#This Row],[05/05/25]]+(1-Real[[#This Row],[05/05/25]])*'Avance 39'!BJ79</f>
        <v>0.875</v>
      </c>
      <c r="DD125" s="127">
        <f>Real[[#This Row],[05/05/25]]+(1-Real[[#This Row],[05/05/25]])*'Avance 39'!BK79</f>
        <v>0.875</v>
      </c>
      <c r="DE125" s="127">
        <f>Real[[#This Row],[05/05/25]]+(1-Real[[#This Row],[05/05/25]])*'Avance 39'!BL79</f>
        <v>0.875</v>
      </c>
      <c r="DF125" s="127">
        <f>Real[[#This Row],[05/05/25]]+(1-Real[[#This Row],[05/05/25]])*'Avance 39'!BM79</f>
        <v>0.875</v>
      </c>
      <c r="DG125" s="127">
        <f>Real[[#This Row],[05/05/25]]+(1-Real[[#This Row],[05/05/25]])*'Avance 39'!BN79</f>
        <v>0.875</v>
      </c>
      <c r="DH125" s="127">
        <f>Real[[#This Row],[05/05/25]]+(1-Real[[#This Row],[05/05/25]])*'Avance 39'!BO79</f>
        <v>0.875</v>
      </c>
      <c r="DI125" s="127">
        <f>Real[[#This Row],[05/05/25]]+(1-Real[[#This Row],[05/05/25]])*'Avance 39'!BP79</f>
        <v>0.875</v>
      </c>
      <c r="DJ125" s="127">
        <f>Real[[#This Row],[05/05/25]]+(1-Real[[#This Row],[05/05/25]])*'Avance 39'!BQ79</f>
        <v>0.875</v>
      </c>
      <c r="DK125" s="127">
        <f>Real[[#This Row],[05/05/25]]+(1-Real[[#This Row],[05/05/25]])*'Avance 39'!BR79</f>
        <v>0.875</v>
      </c>
      <c r="DL125" s="127">
        <f>Real[[#This Row],[05/05/25]]+(1-Real[[#This Row],[05/05/25]])*'Avance 39'!BS79</f>
        <v>0.875</v>
      </c>
      <c r="DM125" s="127">
        <f>Real[[#This Row],[05/05/25]]+(1-Real[[#This Row],[05/05/25]])*'Avance 39'!BT79</f>
        <v>0.875</v>
      </c>
      <c r="DN125" s="127">
        <f>Real[[#This Row],[05/05/25]]+(1-Real[[#This Row],[05/05/25]])*'Avance 39'!BU79</f>
        <v>0.875</v>
      </c>
      <c r="DO125" s="127">
        <f>Real[[#This Row],[05/05/25]]+(1-Real[[#This Row],[05/05/25]])*'Avance 39'!BV79</f>
        <v>0.875</v>
      </c>
      <c r="DP125" s="127">
        <f>Real[[#This Row],[05/05/25]]+(1-Real[[#This Row],[05/05/25]])*'Avance 39'!BW79</f>
        <v>0.875</v>
      </c>
      <c r="DQ125" s="127">
        <f>Real[[#This Row],[05/05/25]]+(1-Real[[#This Row],[05/05/25]])*'Avance 39'!BX79</f>
        <v>0.875</v>
      </c>
      <c r="DR125" s="127">
        <f>Real[[#This Row],[05/05/25]]+(1-Real[[#This Row],[05/05/25]])*'Avance 39'!BY79</f>
        <v>0.875</v>
      </c>
      <c r="DS125" s="127">
        <f>Real[[#This Row],[05/05/25]]+(1-Real[[#This Row],[05/05/25]])*'Avance 39'!BZ79</f>
        <v>0.875</v>
      </c>
      <c r="DT125" s="127">
        <f>Real[[#This Row],[05/05/25]]+(1-Real[[#This Row],[05/05/25]])*'Avance 39'!CA79</f>
        <v>0.875</v>
      </c>
      <c r="DU125" s="127">
        <f>Real[[#This Row],[05/05/25]]+(1-Real[[#This Row],[05/05/25]])*'Avance 39'!CB79</f>
        <v>0.875</v>
      </c>
      <c r="DV125" s="127">
        <f>Real[[#This Row],[05/05/25]]+(1-Real[[#This Row],[05/05/25]])*'Avance 39'!CC79</f>
        <v>0.875</v>
      </c>
      <c r="DW125" s="127">
        <f>Real[[#This Row],[05/05/25]]+(1-Real[[#This Row],[05/05/25]])*'Avance 39'!CD79</f>
        <v>0.875</v>
      </c>
      <c r="DX125" s="127">
        <f>Real[[#This Row],[05/05/25]]+(1-Real[[#This Row],[05/05/25]])*'Avance 39'!CE79</f>
        <v>0.875</v>
      </c>
      <c r="DY125" s="127">
        <f>Real[[#This Row],[05/05/25]]+(1-Real[[#This Row],[05/05/25]])*'Avance 39'!CF79</f>
        <v>0.875</v>
      </c>
      <c r="DZ125" s="127">
        <f>Real[[#This Row],[05/05/25]]+(1-Real[[#This Row],[05/05/25]])*'Avance 39'!CG79</f>
        <v>0.875</v>
      </c>
      <c r="EA125" s="127">
        <f>Real[[#This Row],[05/05/25]]+(1-Real[[#This Row],[05/05/25]])*'Avance 39'!CH79</f>
        <v>0.875</v>
      </c>
      <c r="EB125" s="127">
        <f>Real[[#This Row],[05/05/25]]+(1-Real[[#This Row],[05/05/25]])*'Avance 39'!CI79</f>
        <v>0.875</v>
      </c>
      <c r="EC125" s="127">
        <f>Real[[#This Row],[05/05/25]]+(1-Real[[#This Row],[05/05/25]])*'Avance 39'!CJ79</f>
        <v>0.875</v>
      </c>
      <c r="ED125" s="127">
        <f>Real[[#This Row],[05/05/25]]+(1-Real[[#This Row],[05/05/25]])*'Avance 39'!CK79</f>
        <v>0.875</v>
      </c>
      <c r="EE125" s="127">
        <f>Real[[#This Row],[05/05/25]]+(1-Real[[#This Row],[05/05/25]])*'Avance 39'!CL79</f>
        <v>0.875</v>
      </c>
      <c r="EF125" s="127">
        <f>Real[[#This Row],[05/05/25]]+(1-Real[[#This Row],[05/05/25]])*'Avance 39'!CM79</f>
        <v>0.875</v>
      </c>
      <c r="EG125" s="127">
        <f>Real[[#This Row],[05/05/25]]+(1-Real[[#This Row],[05/05/25]])*'Avance 39'!CN79</f>
        <v>0.875</v>
      </c>
      <c r="EH125" s="127">
        <f>Real[[#This Row],[05/05/25]]+(1-Real[[#This Row],[05/05/25]])*'Avance 39'!CO79</f>
        <v>0.875</v>
      </c>
      <c r="EI125" s="127">
        <f>Real[[#This Row],[05/05/25]]+(1-Real[[#This Row],[05/05/25]])*'Avance 39'!CP79</f>
        <v>0.875</v>
      </c>
    </row>
    <row r="126" spans="2:139" hidden="1" outlineLevel="3" x14ac:dyDescent="0.3">
      <c r="B126" s="29"/>
      <c r="C126" s="30"/>
      <c r="D126" s="30"/>
      <c r="E126" s="52" t="s">
        <v>129</v>
      </c>
      <c r="F126" s="33">
        <v>5</v>
      </c>
      <c r="G126" s="35">
        <v>0.11111111111111113</v>
      </c>
      <c r="H126" s="162"/>
      <c r="I126" s="127">
        <v>0</v>
      </c>
      <c r="J126" s="127">
        <v>0</v>
      </c>
      <c r="K126" s="127">
        <v>0</v>
      </c>
      <c r="L126" s="127">
        <v>0</v>
      </c>
      <c r="M126" s="128">
        <v>0</v>
      </c>
      <c r="N126" s="128">
        <v>0</v>
      </c>
      <c r="O126" s="127">
        <v>0</v>
      </c>
      <c r="P126" s="127">
        <v>0</v>
      </c>
      <c r="Q126" s="127">
        <v>0</v>
      </c>
      <c r="R126" s="127">
        <v>0</v>
      </c>
      <c r="S126" s="127">
        <v>0</v>
      </c>
      <c r="T126" s="127">
        <v>0</v>
      </c>
      <c r="U126" s="127">
        <v>0</v>
      </c>
      <c r="V126" s="127">
        <v>0</v>
      </c>
      <c r="W126" s="127">
        <v>0</v>
      </c>
      <c r="X126" s="127">
        <v>0</v>
      </c>
      <c r="Y126" s="127">
        <v>0</v>
      </c>
      <c r="Z126" s="127">
        <v>0</v>
      </c>
      <c r="AA126" s="127">
        <v>0</v>
      </c>
      <c r="AB126" s="127">
        <v>0</v>
      </c>
      <c r="AC126" s="127">
        <v>0.15</v>
      </c>
      <c r="AD126" s="127">
        <v>0.28000000000000003</v>
      </c>
      <c r="AE126" s="127">
        <v>0.28000000000000003</v>
      </c>
      <c r="AF126" s="127">
        <v>0.28000000000000003</v>
      </c>
      <c r="AG126" s="127">
        <v>0.28000000000000003</v>
      </c>
      <c r="AH126" s="127">
        <v>0.28000000000000003</v>
      </c>
      <c r="AI126" s="127">
        <v>0.28000000000000003</v>
      </c>
      <c r="AJ126" s="127">
        <v>0.28000000000000003</v>
      </c>
      <c r="AK126" s="127">
        <v>0.28000000000000003</v>
      </c>
      <c r="AL126" s="127">
        <v>0.31</v>
      </c>
      <c r="AM126" s="127">
        <v>0.34</v>
      </c>
      <c r="AN126" s="127">
        <v>0.4</v>
      </c>
      <c r="AO126" s="127">
        <v>0.43</v>
      </c>
      <c r="AP126" s="127">
        <v>0.67</v>
      </c>
      <c r="AQ126" s="127">
        <v>0.67</v>
      </c>
      <c r="AR126" s="127">
        <v>0.70000000000000007</v>
      </c>
      <c r="AS126" s="127">
        <v>0.73000000000000009</v>
      </c>
      <c r="AT126" s="127">
        <v>0.73000000000000009</v>
      </c>
      <c r="AU126" s="127">
        <v>0.73000000000000009</v>
      </c>
      <c r="AV126" s="127">
        <v>0.83000000000000007</v>
      </c>
      <c r="AW126" s="127">
        <v>0.83000000000000007</v>
      </c>
      <c r="AX126" s="127">
        <v>0.83000000000000007</v>
      </c>
      <c r="AY126" s="127">
        <v>0.83000000000000007</v>
      </c>
      <c r="AZ126" s="127">
        <v>0.83000000000000007</v>
      </c>
      <c r="BA126" s="127">
        <v>0.83000000000000007</v>
      </c>
      <c r="BB126" s="127">
        <f>Real[[#This Row],[05/05/25]]+(1-Real[[#This Row],[05/05/25]])*'Avance 39'!I80</f>
        <v>0.83000000000000007</v>
      </c>
      <c r="BC126" s="127">
        <f>Real[[#This Row],[05/05/25]]+(1-Real[[#This Row],[05/05/25]])*'Avance 39'!J80</f>
        <v>0.83000000000000007</v>
      </c>
      <c r="BD126" s="127">
        <f>Real[[#This Row],[05/05/25]]+(1-Real[[#This Row],[05/05/25]])*'Avance 39'!K80</f>
        <v>0.83000000000000007</v>
      </c>
      <c r="BE126" s="127">
        <f>Real[[#This Row],[05/05/25]]+(1-Real[[#This Row],[05/05/25]])*'Avance 39'!L80</f>
        <v>0.83000000000000007</v>
      </c>
      <c r="BF126" s="127">
        <f>Real[[#This Row],[05/05/25]]+(1-Real[[#This Row],[05/05/25]])*'Avance 39'!M80</f>
        <v>0.83000000000000007</v>
      </c>
      <c r="BG126" s="163">
        <f>Real[[#This Row],[05/05/25]]+(1-Real[[#This Row],[05/05/25]])*'Avance 39'!N80</f>
        <v>0.83000000000000007</v>
      </c>
      <c r="BH126" s="163">
        <f>Real[[#This Row],[05/05/25]]+(1-Real[[#This Row],[05/05/25]])*'Avance 39'!O80</f>
        <v>0.83000000000000007</v>
      </c>
      <c r="BI126" s="127">
        <f>Real[[#This Row],[05/05/25]]+(1-Real[[#This Row],[05/05/25]])*'Avance 39'!P80</f>
        <v>0.83000000000000007</v>
      </c>
      <c r="BJ126" s="127">
        <f>Real[[#This Row],[05/05/25]]+(1-Real[[#This Row],[05/05/25]])*'Avance 39'!Q80</f>
        <v>0.83000000000000007</v>
      </c>
      <c r="BK126" s="127">
        <f>Real[[#This Row],[05/05/25]]+(1-Real[[#This Row],[05/05/25]])*'Avance 39'!R80</f>
        <v>0.83000000000000007</v>
      </c>
      <c r="BL126" s="127">
        <f>Real[[#This Row],[05/05/25]]+(1-Real[[#This Row],[05/05/25]])*'Avance 39'!S80</f>
        <v>0.83000000000000007</v>
      </c>
      <c r="BM126" s="127">
        <f>Real[[#This Row],[05/05/25]]+(1-Real[[#This Row],[05/05/25]])*'Avance 39'!T80</f>
        <v>0.83000000000000007</v>
      </c>
      <c r="BN126" s="127">
        <f>Real[[#This Row],[05/05/25]]+(1-Real[[#This Row],[05/05/25]])*'Avance 39'!U80</f>
        <v>0.83000000000000007</v>
      </c>
      <c r="BO126" s="127">
        <f>Real[[#This Row],[05/05/25]]+(1-Real[[#This Row],[05/05/25]])*'Avance 39'!V80</f>
        <v>0.83000000000000007</v>
      </c>
      <c r="BP126" s="127">
        <f>Real[[#This Row],[05/05/25]]+(1-Real[[#This Row],[05/05/25]])*'Avance 39'!W80</f>
        <v>0.83000000000000007</v>
      </c>
      <c r="BQ126" s="127">
        <f>Real[[#This Row],[05/05/25]]+(1-Real[[#This Row],[05/05/25]])*'Avance 39'!X80</f>
        <v>0.83000000000000007</v>
      </c>
      <c r="BR126" s="127">
        <f>Real[[#This Row],[05/05/25]]+(1-Real[[#This Row],[05/05/25]])*'Avance 39'!Y80</f>
        <v>0.83000000000000007</v>
      </c>
      <c r="BS126" s="127">
        <f>Real[[#This Row],[05/05/25]]+(1-Real[[#This Row],[05/05/25]])*'Avance 39'!Z80</f>
        <v>0.83000000000000007</v>
      </c>
      <c r="BT126" s="127">
        <f>Real[[#This Row],[05/05/25]]+(1-Real[[#This Row],[05/05/25]])*'Avance 39'!AA80</f>
        <v>0.83000000000000007</v>
      </c>
      <c r="BU126" s="127">
        <f>Real[[#This Row],[05/05/25]]+(1-Real[[#This Row],[05/05/25]])*'Avance 39'!AB80</f>
        <v>0.83000000000000007</v>
      </c>
      <c r="BV126" s="127">
        <f>Real[[#This Row],[05/05/25]]+(1-Real[[#This Row],[05/05/25]])*'Avance 39'!AC80</f>
        <v>0.83000000000000007</v>
      </c>
      <c r="BW126" s="127">
        <f>Real[[#This Row],[05/05/25]]+(1-Real[[#This Row],[05/05/25]])*'Avance 39'!AD80</f>
        <v>0.83000000000000007</v>
      </c>
      <c r="BX126" s="127">
        <f>Real[[#This Row],[05/05/25]]+(1-Real[[#This Row],[05/05/25]])*'Avance 39'!AE80</f>
        <v>0.83000000000000007</v>
      </c>
      <c r="BY126" s="127">
        <f>Real[[#This Row],[05/05/25]]+(1-Real[[#This Row],[05/05/25]])*'Avance 39'!AF80</f>
        <v>0.83000000000000007</v>
      </c>
      <c r="BZ126" s="127">
        <f>Real[[#This Row],[05/05/25]]+(1-Real[[#This Row],[05/05/25]])*'Avance 39'!AG80</f>
        <v>0.83000000000000007</v>
      </c>
      <c r="CA126" s="127">
        <f>Real[[#This Row],[05/05/25]]+(1-Real[[#This Row],[05/05/25]])*'Avance 39'!AH80</f>
        <v>0.83000000000000007</v>
      </c>
      <c r="CB126" s="127">
        <f>Real[[#This Row],[05/05/25]]+(1-Real[[#This Row],[05/05/25]])*'Avance 39'!AI80</f>
        <v>0.83000000000000007</v>
      </c>
      <c r="CC126" s="127">
        <f>Real[[#This Row],[05/05/25]]+(1-Real[[#This Row],[05/05/25]])*'Avance 39'!AJ80</f>
        <v>0.83000000000000007</v>
      </c>
      <c r="CD126" s="127">
        <f>Real[[#This Row],[05/05/25]]+(1-Real[[#This Row],[05/05/25]])*'Avance 39'!AK80</f>
        <v>0.83000000000000007</v>
      </c>
      <c r="CE126" s="127">
        <f>Real[[#This Row],[05/05/25]]+(1-Real[[#This Row],[05/05/25]])*'Avance 39'!AL80</f>
        <v>0.83000000000000007</v>
      </c>
      <c r="CF126" s="127">
        <f>Real[[#This Row],[05/05/25]]+(1-Real[[#This Row],[05/05/25]])*'Avance 39'!AM80</f>
        <v>0.83000000000000007</v>
      </c>
      <c r="CG126" s="127">
        <f>Real[[#This Row],[05/05/25]]+(1-Real[[#This Row],[05/05/25]])*'Avance 39'!AN80</f>
        <v>0.83000000000000007</v>
      </c>
      <c r="CH126" s="127">
        <f>Real[[#This Row],[05/05/25]]+(1-Real[[#This Row],[05/05/25]])*'Avance 39'!AO80</f>
        <v>0.83000000000000007</v>
      </c>
      <c r="CI126" s="127">
        <f>Real[[#This Row],[05/05/25]]+(1-Real[[#This Row],[05/05/25]])*'Avance 39'!AP80</f>
        <v>0.83000000000000007</v>
      </c>
      <c r="CJ126" s="127">
        <f>Real[[#This Row],[05/05/25]]+(1-Real[[#This Row],[05/05/25]])*'Avance 39'!AQ80</f>
        <v>0.83000000000000007</v>
      </c>
      <c r="CK126" s="127">
        <f>Real[[#This Row],[05/05/25]]+(1-Real[[#This Row],[05/05/25]])*'Avance 39'!AR80</f>
        <v>0.83000000000000007</v>
      </c>
      <c r="CL126" s="127">
        <f>Real[[#This Row],[05/05/25]]+(1-Real[[#This Row],[05/05/25]])*'Avance 39'!AS80</f>
        <v>0.83000000000000007</v>
      </c>
      <c r="CM126" s="127">
        <f>Real[[#This Row],[05/05/25]]+(1-Real[[#This Row],[05/05/25]])*'Avance 39'!AT80</f>
        <v>0.83000000000000007</v>
      </c>
      <c r="CN126" s="127">
        <f>Real[[#This Row],[05/05/25]]+(1-Real[[#This Row],[05/05/25]])*'Avance 39'!AU80</f>
        <v>0.83000000000000007</v>
      </c>
      <c r="CO126" s="127">
        <f>Real[[#This Row],[05/05/25]]+(1-Real[[#This Row],[05/05/25]])*'Avance 39'!AV80</f>
        <v>0.83000000000000007</v>
      </c>
      <c r="CP126" s="127">
        <f>Real[[#This Row],[05/05/25]]+(1-Real[[#This Row],[05/05/25]])*'Avance 39'!AW80</f>
        <v>0.83000000000000007</v>
      </c>
      <c r="CQ126" s="127">
        <f>Real[[#This Row],[05/05/25]]+(1-Real[[#This Row],[05/05/25]])*'Avance 39'!AX80</f>
        <v>0.83000000000000007</v>
      </c>
      <c r="CR126" s="127">
        <f>Real[[#This Row],[05/05/25]]+(1-Real[[#This Row],[05/05/25]])*'Avance 39'!AY80</f>
        <v>0.83000000000000007</v>
      </c>
      <c r="CS126" s="127">
        <f>Real[[#This Row],[05/05/25]]+(1-Real[[#This Row],[05/05/25]])*'Avance 39'!AZ80</f>
        <v>0.83000000000000007</v>
      </c>
      <c r="CT126" s="127">
        <f>Real[[#This Row],[05/05/25]]+(1-Real[[#This Row],[05/05/25]])*'Avance 39'!BA80</f>
        <v>0.83000000000000007</v>
      </c>
      <c r="CU126" s="127">
        <f>Real[[#This Row],[05/05/25]]+(1-Real[[#This Row],[05/05/25]])*'Avance 39'!BB80</f>
        <v>0.83000000000000007</v>
      </c>
      <c r="CV126" s="127">
        <f>Real[[#This Row],[05/05/25]]+(1-Real[[#This Row],[05/05/25]])*'Avance 39'!BC80</f>
        <v>0.83000000000000007</v>
      </c>
      <c r="CW126" s="127">
        <f>Real[[#This Row],[05/05/25]]+(1-Real[[#This Row],[05/05/25]])*'Avance 39'!BD80</f>
        <v>0.83000000000000007</v>
      </c>
      <c r="CX126" s="127">
        <f>Real[[#This Row],[05/05/25]]+(1-Real[[#This Row],[05/05/25]])*'Avance 39'!BE80</f>
        <v>0.83000000000000007</v>
      </c>
      <c r="CY126" s="127">
        <f>Real[[#This Row],[05/05/25]]+(1-Real[[#This Row],[05/05/25]])*'Avance 39'!BF80</f>
        <v>0.83000000000000007</v>
      </c>
      <c r="CZ126" s="127">
        <f>Real[[#This Row],[05/05/25]]+(1-Real[[#This Row],[05/05/25]])*'Avance 39'!BG80</f>
        <v>0.83000000000000007</v>
      </c>
      <c r="DA126" s="127">
        <f>Real[[#This Row],[05/05/25]]+(1-Real[[#This Row],[05/05/25]])*'Avance 39'!BH80</f>
        <v>0.83000000000000007</v>
      </c>
      <c r="DB126" s="127">
        <f>Real[[#This Row],[05/05/25]]+(1-Real[[#This Row],[05/05/25]])*'Avance 39'!BI80</f>
        <v>0.83000000000000007</v>
      </c>
      <c r="DC126" s="127">
        <f>Real[[#This Row],[05/05/25]]+(1-Real[[#This Row],[05/05/25]])*'Avance 39'!BJ80</f>
        <v>0.83000000000000007</v>
      </c>
      <c r="DD126" s="127">
        <f>Real[[#This Row],[05/05/25]]+(1-Real[[#This Row],[05/05/25]])*'Avance 39'!BK80</f>
        <v>0.83000000000000007</v>
      </c>
      <c r="DE126" s="127">
        <f>Real[[#This Row],[05/05/25]]+(1-Real[[#This Row],[05/05/25]])*'Avance 39'!BL80</f>
        <v>0.83000000000000007</v>
      </c>
      <c r="DF126" s="127">
        <f>Real[[#This Row],[05/05/25]]+(1-Real[[#This Row],[05/05/25]])*'Avance 39'!BM80</f>
        <v>0.83000000000000007</v>
      </c>
      <c r="DG126" s="127">
        <f>Real[[#This Row],[05/05/25]]+(1-Real[[#This Row],[05/05/25]])*'Avance 39'!BN80</f>
        <v>0.83000000000000007</v>
      </c>
      <c r="DH126" s="127">
        <f>Real[[#This Row],[05/05/25]]+(1-Real[[#This Row],[05/05/25]])*'Avance 39'!BO80</f>
        <v>0.83000000000000007</v>
      </c>
      <c r="DI126" s="127">
        <f>Real[[#This Row],[05/05/25]]+(1-Real[[#This Row],[05/05/25]])*'Avance 39'!BP80</f>
        <v>0.83000000000000007</v>
      </c>
      <c r="DJ126" s="127">
        <f>Real[[#This Row],[05/05/25]]+(1-Real[[#This Row],[05/05/25]])*'Avance 39'!BQ80</f>
        <v>0.83000000000000007</v>
      </c>
      <c r="DK126" s="127">
        <f>Real[[#This Row],[05/05/25]]+(1-Real[[#This Row],[05/05/25]])*'Avance 39'!BR80</f>
        <v>0.83000000000000007</v>
      </c>
      <c r="DL126" s="127">
        <f>Real[[#This Row],[05/05/25]]+(1-Real[[#This Row],[05/05/25]])*'Avance 39'!BS80</f>
        <v>0.83000000000000007</v>
      </c>
      <c r="DM126" s="127">
        <f>Real[[#This Row],[05/05/25]]+(1-Real[[#This Row],[05/05/25]])*'Avance 39'!BT80</f>
        <v>0.83000000000000007</v>
      </c>
      <c r="DN126" s="127">
        <f>Real[[#This Row],[05/05/25]]+(1-Real[[#This Row],[05/05/25]])*'Avance 39'!BU80</f>
        <v>0.83000000000000007</v>
      </c>
      <c r="DO126" s="127">
        <f>Real[[#This Row],[05/05/25]]+(1-Real[[#This Row],[05/05/25]])*'Avance 39'!BV80</f>
        <v>0.83000000000000007</v>
      </c>
      <c r="DP126" s="127">
        <f>Real[[#This Row],[05/05/25]]+(1-Real[[#This Row],[05/05/25]])*'Avance 39'!BW80</f>
        <v>0.83000000000000007</v>
      </c>
      <c r="DQ126" s="127">
        <f>Real[[#This Row],[05/05/25]]+(1-Real[[#This Row],[05/05/25]])*'Avance 39'!BX80</f>
        <v>0.83000000000000007</v>
      </c>
      <c r="DR126" s="127">
        <f>Real[[#This Row],[05/05/25]]+(1-Real[[#This Row],[05/05/25]])*'Avance 39'!BY80</f>
        <v>0.83000000000000007</v>
      </c>
      <c r="DS126" s="127">
        <f>Real[[#This Row],[05/05/25]]+(1-Real[[#This Row],[05/05/25]])*'Avance 39'!BZ80</f>
        <v>0.83000000000000007</v>
      </c>
      <c r="DT126" s="127">
        <f>Real[[#This Row],[05/05/25]]+(1-Real[[#This Row],[05/05/25]])*'Avance 39'!CA80</f>
        <v>0.83000000000000007</v>
      </c>
      <c r="DU126" s="127">
        <f>Real[[#This Row],[05/05/25]]+(1-Real[[#This Row],[05/05/25]])*'Avance 39'!CB80</f>
        <v>0.83000000000000007</v>
      </c>
      <c r="DV126" s="127">
        <f>Real[[#This Row],[05/05/25]]+(1-Real[[#This Row],[05/05/25]])*'Avance 39'!CC80</f>
        <v>0.83000000000000007</v>
      </c>
      <c r="DW126" s="127">
        <f>Real[[#This Row],[05/05/25]]+(1-Real[[#This Row],[05/05/25]])*'Avance 39'!CD80</f>
        <v>0.83000000000000007</v>
      </c>
      <c r="DX126" s="127">
        <f>Real[[#This Row],[05/05/25]]+(1-Real[[#This Row],[05/05/25]])*'Avance 39'!CE80</f>
        <v>0.83000000000000007</v>
      </c>
      <c r="DY126" s="127">
        <f>Real[[#This Row],[05/05/25]]+(1-Real[[#This Row],[05/05/25]])*'Avance 39'!CF80</f>
        <v>0.83000000000000007</v>
      </c>
      <c r="DZ126" s="127">
        <f>Real[[#This Row],[05/05/25]]+(1-Real[[#This Row],[05/05/25]])*'Avance 39'!CG80</f>
        <v>0.83000000000000007</v>
      </c>
      <c r="EA126" s="127">
        <f>Real[[#This Row],[05/05/25]]+(1-Real[[#This Row],[05/05/25]])*'Avance 39'!CH80</f>
        <v>0.83000000000000007</v>
      </c>
      <c r="EB126" s="127">
        <f>Real[[#This Row],[05/05/25]]+(1-Real[[#This Row],[05/05/25]])*'Avance 39'!CI80</f>
        <v>0.83000000000000007</v>
      </c>
      <c r="EC126" s="127">
        <f>Real[[#This Row],[05/05/25]]+(1-Real[[#This Row],[05/05/25]])*'Avance 39'!CJ80</f>
        <v>0.83000000000000007</v>
      </c>
      <c r="ED126" s="127">
        <f>Real[[#This Row],[05/05/25]]+(1-Real[[#This Row],[05/05/25]])*'Avance 39'!CK80</f>
        <v>0.83000000000000007</v>
      </c>
      <c r="EE126" s="127">
        <f>Real[[#This Row],[05/05/25]]+(1-Real[[#This Row],[05/05/25]])*'Avance 39'!CL80</f>
        <v>0.83000000000000007</v>
      </c>
      <c r="EF126" s="127">
        <f>Real[[#This Row],[05/05/25]]+(1-Real[[#This Row],[05/05/25]])*'Avance 39'!CM80</f>
        <v>0.83000000000000007</v>
      </c>
      <c r="EG126" s="127">
        <f>Real[[#This Row],[05/05/25]]+(1-Real[[#This Row],[05/05/25]])*'Avance 39'!CN80</f>
        <v>0.83000000000000007</v>
      </c>
      <c r="EH126" s="127">
        <f>Real[[#This Row],[05/05/25]]+(1-Real[[#This Row],[05/05/25]])*'Avance 39'!CO80</f>
        <v>0.83000000000000007</v>
      </c>
      <c r="EI126" s="127">
        <f>Real[[#This Row],[05/05/25]]+(1-Real[[#This Row],[05/05/25]])*'Avance 39'!CP80</f>
        <v>0.83000000000000007</v>
      </c>
    </row>
    <row r="127" spans="2:139" ht="28.8" hidden="1" outlineLevel="3" x14ac:dyDescent="0.3">
      <c r="B127" s="29"/>
      <c r="C127" s="30"/>
      <c r="D127" s="30"/>
      <c r="E127" s="52" t="s">
        <v>130</v>
      </c>
      <c r="F127" s="33">
        <v>5</v>
      </c>
      <c r="G127" s="35">
        <v>0.22222222222222227</v>
      </c>
      <c r="H127" s="162"/>
      <c r="I127" s="127">
        <v>0</v>
      </c>
      <c r="J127" s="127">
        <v>0</v>
      </c>
      <c r="K127" s="127">
        <v>0</v>
      </c>
      <c r="L127" s="127">
        <v>0</v>
      </c>
      <c r="M127" s="128">
        <v>0</v>
      </c>
      <c r="N127" s="128">
        <v>0</v>
      </c>
      <c r="O127" s="127">
        <v>0</v>
      </c>
      <c r="P127" s="127">
        <v>0</v>
      </c>
      <c r="Q127" s="127">
        <v>0</v>
      </c>
      <c r="R127" s="127">
        <v>0</v>
      </c>
      <c r="S127" s="127">
        <v>0</v>
      </c>
      <c r="T127" s="127">
        <v>0</v>
      </c>
      <c r="U127" s="127">
        <v>0</v>
      </c>
      <c r="V127" s="127">
        <v>0</v>
      </c>
      <c r="W127" s="127">
        <v>0</v>
      </c>
      <c r="X127" s="127">
        <v>0</v>
      </c>
      <c r="Y127" s="127">
        <v>0</v>
      </c>
      <c r="Z127" s="127">
        <v>0</v>
      </c>
      <c r="AA127" s="127">
        <v>0</v>
      </c>
      <c r="AB127" s="127">
        <v>0</v>
      </c>
      <c r="AC127" s="127">
        <v>0</v>
      </c>
      <c r="AD127" s="127">
        <v>0</v>
      </c>
      <c r="AE127" s="127">
        <v>0</v>
      </c>
      <c r="AF127" s="127">
        <v>0.28000000000000003</v>
      </c>
      <c r="AG127" s="127">
        <v>0.28000000000000003</v>
      </c>
      <c r="AH127" s="127">
        <v>0.28000000000000003</v>
      </c>
      <c r="AI127" s="127">
        <v>0.28000000000000003</v>
      </c>
      <c r="AJ127" s="127">
        <v>0.28000000000000003</v>
      </c>
      <c r="AK127" s="127">
        <v>0.28000000000000003</v>
      </c>
      <c r="AL127" s="127">
        <v>0.28000000000000003</v>
      </c>
      <c r="AM127" s="127">
        <v>0.28000000000000003</v>
      </c>
      <c r="AN127" s="127">
        <v>0.4</v>
      </c>
      <c r="AO127" s="127">
        <v>0.43</v>
      </c>
      <c r="AP127" s="127">
        <v>0.67</v>
      </c>
      <c r="AQ127" s="127">
        <v>0.67</v>
      </c>
      <c r="AR127" s="127">
        <v>0.67</v>
      </c>
      <c r="AS127" s="127">
        <v>0.73000000000000009</v>
      </c>
      <c r="AT127" s="127">
        <v>0.73000000000000009</v>
      </c>
      <c r="AU127" s="127">
        <v>0.73000000000000009</v>
      </c>
      <c r="AV127" s="127">
        <v>0.83000000000000007</v>
      </c>
      <c r="AW127" s="127">
        <v>0.83000000000000007</v>
      </c>
      <c r="AX127" s="127">
        <v>0.83000000000000007</v>
      </c>
      <c r="AY127" s="127">
        <v>0.83000000000000007</v>
      </c>
      <c r="AZ127" s="127">
        <v>0.83000000000000007</v>
      </c>
      <c r="BA127" s="127">
        <v>0.83000000000000007</v>
      </c>
      <c r="BB127" s="127">
        <f>Real[[#This Row],[05/05/25]]+(1-Real[[#This Row],[05/05/25]])*'Avance 39'!I81</f>
        <v>0.83000000000000007</v>
      </c>
      <c r="BC127" s="127">
        <f>Real[[#This Row],[05/05/25]]+(1-Real[[#This Row],[05/05/25]])*'Avance 39'!J81</f>
        <v>0.83000000000000007</v>
      </c>
      <c r="BD127" s="127">
        <f>Real[[#This Row],[05/05/25]]+(1-Real[[#This Row],[05/05/25]])*'Avance 39'!K81</f>
        <v>0.83000000000000007</v>
      </c>
      <c r="BE127" s="127">
        <f>Real[[#This Row],[05/05/25]]+(1-Real[[#This Row],[05/05/25]])*'Avance 39'!L81</f>
        <v>0.83000000000000007</v>
      </c>
      <c r="BF127" s="127">
        <f>Real[[#This Row],[05/05/25]]+(1-Real[[#This Row],[05/05/25]])*'Avance 39'!M81</f>
        <v>0.83000000000000007</v>
      </c>
      <c r="BG127" s="163">
        <f>Real[[#This Row],[05/05/25]]+(1-Real[[#This Row],[05/05/25]])*'Avance 39'!N81</f>
        <v>0.83000000000000007</v>
      </c>
      <c r="BH127" s="163">
        <f>Real[[#This Row],[05/05/25]]+(1-Real[[#This Row],[05/05/25]])*'Avance 39'!O81</f>
        <v>0.83000000000000007</v>
      </c>
      <c r="BI127" s="127">
        <f>Real[[#This Row],[05/05/25]]+(1-Real[[#This Row],[05/05/25]])*'Avance 39'!P81</f>
        <v>0.83000000000000007</v>
      </c>
      <c r="BJ127" s="127">
        <f>Real[[#This Row],[05/05/25]]+(1-Real[[#This Row],[05/05/25]])*'Avance 39'!Q81</f>
        <v>0.83000000000000007</v>
      </c>
      <c r="BK127" s="127">
        <f>Real[[#This Row],[05/05/25]]+(1-Real[[#This Row],[05/05/25]])*'Avance 39'!R81</f>
        <v>0.83000000000000007</v>
      </c>
      <c r="BL127" s="127">
        <f>Real[[#This Row],[05/05/25]]+(1-Real[[#This Row],[05/05/25]])*'Avance 39'!S81</f>
        <v>0.83000000000000007</v>
      </c>
      <c r="BM127" s="127">
        <f>Real[[#This Row],[05/05/25]]+(1-Real[[#This Row],[05/05/25]])*'Avance 39'!T81</f>
        <v>0.83000000000000007</v>
      </c>
      <c r="BN127" s="127">
        <f>Real[[#This Row],[05/05/25]]+(1-Real[[#This Row],[05/05/25]])*'Avance 39'!U81</f>
        <v>0.83000000000000007</v>
      </c>
      <c r="BO127" s="127">
        <f>Real[[#This Row],[05/05/25]]+(1-Real[[#This Row],[05/05/25]])*'Avance 39'!V81</f>
        <v>0.83000000000000007</v>
      </c>
      <c r="BP127" s="127">
        <f>Real[[#This Row],[05/05/25]]+(1-Real[[#This Row],[05/05/25]])*'Avance 39'!W81</f>
        <v>0.83000000000000007</v>
      </c>
      <c r="BQ127" s="127">
        <f>Real[[#This Row],[05/05/25]]+(1-Real[[#This Row],[05/05/25]])*'Avance 39'!X81</f>
        <v>0.83000000000000007</v>
      </c>
      <c r="BR127" s="127">
        <f>Real[[#This Row],[05/05/25]]+(1-Real[[#This Row],[05/05/25]])*'Avance 39'!Y81</f>
        <v>0.83000000000000007</v>
      </c>
      <c r="BS127" s="127">
        <f>Real[[#This Row],[05/05/25]]+(1-Real[[#This Row],[05/05/25]])*'Avance 39'!Z81</f>
        <v>0.83000000000000007</v>
      </c>
      <c r="BT127" s="127">
        <f>Real[[#This Row],[05/05/25]]+(1-Real[[#This Row],[05/05/25]])*'Avance 39'!AA81</f>
        <v>0.83000000000000007</v>
      </c>
      <c r="BU127" s="127">
        <f>Real[[#This Row],[05/05/25]]+(1-Real[[#This Row],[05/05/25]])*'Avance 39'!AB81</f>
        <v>0.83000000000000007</v>
      </c>
      <c r="BV127" s="127">
        <f>Real[[#This Row],[05/05/25]]+(1-Real[[#This Row],[05/05/25]])*'Avance 39'!AC81</f>
        <v>0.83000000000000007</v>
      </c>
      <c r="BW127" s="127">
        <f>Real[[#This Row],[05/05/25]]+(1-Real[[#This Row],[05/05/25]])*'Avance 39'!AD81</f>
        <v>0.83000000000000007</v>
      </c>
      <c r="BX127" s="127">
        <f>Real[[#This Row],[05/05/25]]+(1-Real[[#This Row],[05/05/25]])*'Avance 39'!AE81</f>
        <v>0.83000000000000007</v>
      </c>
      <c r="BY127" s="127">
        <f>Real[[#This Row],[05/05/25]]+(1-Real[[#This Row],[05/05/25]])*'Avance 39'!AF81</f>
        <v>0.83000000000000007</v>
      </c>
      <c r="BZ127" s="127">
        <f>Real[[#This Row],[05/05/25]]+(1-Real[[#This Row],[05/05/25]])*'Avance 39'!AG81</f>
        <v>0.83000000000000007</v>
      </c>
      <c r="CA127" s="127">
        <f>Real[[#This Row],[05/05/25]]+(1-Real[[#This Row],[05/05/25]])*'Avance 39'!AH81</f>
        <v>0.83000000000000007</v>
      </c>
      <c r="CB127" s="127">
        <f>Real[[#This Row],[05/05/25]]+(1-Real[[#This Row],[05/05/25]])*'Avance 39'!AI81</f>
        <v>0.83000000000000007</v>
      </c>
      <c r="CC127" s="127">
        <f>Real[[#This Row],[05/05/25]]+(1-Real[[#This Row],[05/05/25]])*'Avance 39'!AJ81</f>
        <v>0.83000000000000007</v>
      </c>
      <c r="CD127" s="127">
        <f>Real[[#This Row],[05/05/25]]+(1-Real[[#This Row],[05/05/25]])*'Avance 39'!AK81</f>
        <v>0.83000000000000007</v>
      </c>
      <c r="CE127" s="127">
        <f>Real[[#This Row],[05/05/25]]+(1-Real[[#This Row],[05/05/25]])*'Avance 39'!AL81</f>
        <v>0.83000000000000007</v>
      </c>
      <c r="CF127" s="127">
        <f>Real[[#This Row],[05/05/25]]+(1-Real[[#This Row],[05/05/25]])*'Avance 39'!AM81</f>
        <v>0.83000000000000007</v>
      </c>
      <c r="CG127" s="127">
        <f>Real[[#This Row],[05/05/25]]+(1-Real[[#This Row],[05/05/25]])*'Avance 39'!AN81</f>
        <v>0.83000000000000007</v>
      </c>
      <c r="CH127" s="127">
        <f>Real[[#This Row],[05/05/25]]+(1-Real[[#This Row],[05/05/25]])*'Avance 39'!AO81</f>
        <v>0.83000000000000007</v>
      </c>
      <c r="CI127" s="127">
        <f>Real[[#This Row],[05/05/25]]+(1-Real[[#This Row],[05/05/25]])*'Avance 39'!AP81</f>
        <v>0.83000000000000007</v>
      </c>
      <c r="CJ127" s="127">
        <f>Real[[#This Row],[05/05/25]]+(1-Real[[#This Row],[05/05/25]])*'Avance 39'!AQ81</f>
        <v>0.83000000000000007</v>
      </c>
      <c r="CK127" s="127">
        <f>Real[[#This Row],[05/05/25]]+(1-Real[[#This Row],[05/05/25]])*'Avance 39'!AR81</f>
        <v>0.83000000000000007</v>
      </c>
      <c r="CL127" s="127">
        <f>Real[[#This Row],[05/05/25]]+(1-Real[[#This Row],[05/05/25]])*'Avance 39'!AS81</f>
        <v>0.83000000000000007</v>
      </c>
      <c r="CM127" s="127">
        <f>Real[[#This Row],[05/05/25]]+(1-Real[[#This Row],[05/05/25]])*'Avance 39'!AT81</f>
        <v>0.83000000000000007</v>
      </c>
      <c r="CN127" s="127">
        <f>Real[[#This Row],[05/05/25]]+(1-Real[[#This Row],[05/05/25]])*'Avance 39'!AU81</f>
        <v>0.83000000000000007</v>
      </c>
      <c r="CO127" s="127">
        <f>Real[[#This Row],[05/05/25]]+(1-Real[[#This Row],[05/05/25]])*'Avance 39'!AV81</f>
        <v>0.83000000000000007</v>
      </c>
      <c r="CP127" s="127">
        <f>Real[[#This Row],[05/05/25]]+(1-Real[[#This Row],[05/05/25]])*'Avance 39'!AW81</f>
        <v>0.83000000000000007</v>
      </c>
      <c r="CQ127" s="127">
        <f>Real[[#This Row],[05/05/25]]+(1-Real[[#This Row],[05/05/25]])*'Avance 39'!AX81</f>
        <v>0.83000000000000007</v>
      </c>
      <c r="CR127" s="127">
        <f>Real[[#This Row],[05/05/25]]+(1-Real[[#This Row],[05/05/25]])*'Avance 39'!AY81</f>
        <v>0.83000000000000007</v>
      </c>
      <c r="CS127" s="127">
        <f>Real[[#This Row],[05/05/25]]+(1-Real[[#This Row],[05/05/25]])*'Avance 39'!AZ81</f>
        <v>0.83000000000000007</v>
      </c>
      <c r="CT127" s="127">
        <f>Real[[#This Row],[05/05/25]]+(1-Real[[#This Row],[05/05/25]])*'Avance 39'!BA81</f>
        <v>0.83000000000000007</v>
      </c>
      <c r="CU127" s="127">
        <f>Real[[#This Row],[05/05/25]]+(1-Real[[#This Row],[05/05/25]])*'Avance 39'!BB81</f>
        <v>0.83000000000000007</v>
      </c>
      <c r="CV127" s="127">
        <f>Real[[#This Row],[05/05/25]]+(1-Real[[#This Row],[05/05/25]])*'Avance 39'!BC81</f>
        <v>0.83000000000000007</v>
      </c>
      <c r="CW127" s="127">
        <f>Real[[#This Row],[05/05/25]]+(1-Real[[#This Row],[05/05/25]])*'Avance 39'!BD81</f>
        <v>0.83000000000000007</v>
      </c>
      <c r="CX127" s="127">
        <f>Real[[#This Row],[05/05/25]]+(1-Real[[#This Row],[05/05/25]])*'Avance 39'!BE81</f>
        <v>0.83000000000000007</v>
      </c>
      <c r="CY127" s="127">
        <f>Real[[#This Row],[05/05/25]]+(1-Real[[#This Row],[05/05/25]])*'Avance 39'!BF81</f>
        <v>0.83000000000000007</v>
      </c>
      <c r="CZ127" s="127">
        <f>Real[[#This Row],[05/05/25]]+(1-Real[[#This Row],[05/05/25]])*'Avance 39'!BG81</f>
        <v>0.83000000000000007</v>
      </c>
      <c r="DA127" s="127">
        <f>Real[[#This Row],[05/05/25]]+(1-Real[[#This Row],[05/05/25]])*'Avance 39'!BH81</f>
        <v>0.83000000000000007</v>
      </c>
      <c r="DB127" s="127">
        <f>Real[[#This Row],[05/05/25]]+(1-Real[[#This Row],[05/05/25]])*'Avance 39'!BI81</f>
        <v>0.83000000000000007</v>
      </c>
      <c r="DC127" s="127">
        <f>Real[[#This Row],[05/05/25]]+(1-Real[[#This Row],[05/05/25]])*'Avance 39'!BJ81</f>
        <v>0.83000000000000007</v>
      </c>
      <c r="DD127" s="127">
        <f>Real[[#This Row],[05/05/25]]+(1-Real[[#This Row],[05/05/25]])*'Avance 39'!BK81</f>
        <v>0.83000000000000007</v>
      </c>
      <c r="DE127" s="127">
        <f>Real[[#This Row],[05/05/25]]+(1-Real[[#This Row],[05/05/25]])*'Avance 39'!BL81</f>
        <v>0.83000000000000007</v>
      </c>
      <c r="DF127" s="127">
        <f>Real[[#This Row],[05/05/25]]+(1-Real[[#This Row],[05/05/25]])*'Avance 39'!BM81</f>
        <v>0.83000000000000007</v>
      </c>
      <c r="DG127" s="127">
        <f>Real[[#This Row],[05/05/25]]+(1-Real[[#This Row],[05/05/25]])*'Avance 39'!BN81</f>
        <v>0.83000000000000007</v>
      </c>
      <c r="DH127" s="127">
        <f>Real[[#This Row],[05/05/25]]+(1-Real[[#This Row],[05/05/25]])*'Avance 39'!BO81</f>
        <v>0.83000000000000007</v>
      </c>
      <c r="DI127" s="127">
        <f>Real[[#This Row],[05/05/25]]+(1-Real[[#This Row],[05/05/25]])*'Avance 39'!BP81</f>
        <v>0.83000000000000007</v>
      </c>
      <c r="DJ127" s="127">
        <f>Real[[#This Row],[05/05/25]]+(1-Real[[#This Row],[05/05/25]])*'Avance 39'!BQ81</f>
        <v>0.83000000000000007</v>
      </c>
      <c r="DK127" s="127">
        <f>Real[[#This Row],[05/05/25]]+(1-Real[[#This Row],[05/05/25]])*'Avance 39'!BR81</f>
        <v>0.83000000000000007</v>
      </c>
      <c r="DL127" s="127">
        <f>Real[[#This Row],[05/05/25]]+(1-Real[[#This Row],[05/05/25]])*'Avance 39'!BS81</f>
        <v>0.83000000000000007</v>
      </c>
      <c r="DM127" s="127">
        <f>Real[[#This Row],[05/05/25]]+(1-Real[[#This Row],[05/05/25]])*'Avance 39'!BT81</f>
        <v>0.83000000000000007</v>
      </c>
      <c r="DN127" s="127">
        <f>Real[[#This Row],[05/05/25]]+(1-Real[[#This Row],[05/05/25]])*'Avance 39'!BU81</f>
        <v>0.83000000000000007</v>
      </c>
      <c r="DO127" s="127">
        <f>Real[[#This Row],[05/05/25]]+(1-Real[[#This Row],[05/05/25]])*'Avance 39'!BV81</f>
        <v>0.83000000000000007</v>
      </c>
      <c r="DP127" s="127">
        <f>Real[[#This Row],[05/05/25]]+(1-Real[[#This Row],[05/05/25]])*'Avance 39'!BW81</f>
        <v>0.83000000000000007</v>
      </c>
      <c r="DQ127" s="127">
        <f>Real[[#This Row],[05/05/25]]+(1-Real[[#This Row],[05/05/25]])*'Avance 39'!BX81</f>
        <v>0.83000000000000007</v>
      </c>
      <c r="DR127" s="127">
        <f>Real[[#This Row],[05/05/25]]+(1-Real[[#This Row],[05/05/25]])*'Avance 39'!BY81</f>
        <v>0.83000000000000007</v>
      </c>
      <c r="DS127" s="127">
        <f>Real[[#This Row],[05/05/25]]+(1-Real[[#This Row],[05/05/25]])*'Avance 39'!BZ81</f>
        <v>0.83000000000000007</v>
      </c>
      <c r="DT127" s="127">
        <f>Real[[#This Row],[05/05/25]]+(1-Real[[#This Row],[05/05/25]])*'Avance 39'!CA81</f>
        <v>0.83000000000000007</v>
      </c>
      <c r="DU127" s="127">
        <f>Real[[#This Row],[05/05/25]]+(1-Real[[#This Row],[05/05/25]])*'Avance 39'!CB81</f>
        <v>0.83000000000000007</v>
      </c>
      <c r="DV127" s="127">
        <f>Real[[#This Row],[05/05/25]]+(1-Real[[#This Row],[05/05/25]])*'Avance 39'!CC81</f>
        <v>0.83000000000000007</v>
      </c>
      <c r="DW127" s="127">
        <f>Real[[#This Row],[05/05/25]]+(1-Real[[#This Row],[05/05/25]])*'Avance 39'!CD81</f>
        <v>0.83000000000000007</v>
      </c>
      <c r="DX127" s="127">
        <f>Real[[#This Row],[05/05/25]]+(1-Real[[#This Row],[05/05/25]])*'Avance 39'!CE81</f>
        <v>0.83000000000000007</v>
      </c>
      <c r="DY127" s="127">
        <f>Real[[#This Row],[05/05/25]]+(1-Real[[#This Row],[05/05/25]])*'Avance 39'!CF81</f>
        <v>0.83000000000000007</v>
      </c>
      <c r="DZ127" s="127">
        <f>Real[[#This Row],[05/05/25]]+(1-Real[[#This Row],[05/05/25]])*'Avance 39'!CG81</f>
        <v>0.83000000000000007</v>
      </c>
      <c r="EA127" s="127">
        <f>Real[[#This Row],[05/05/25]]+(1-Real[[#This Row],[05/05/25]])*'Avance 39'!CH81</f>
        <v>0.83000000000000007</v>
      </c>
      <c r="EB127" s="127">
        <f>Real[[#This Row],[05/05/25]]+(1-Real[[#This Row],[05/05/25]])*'Avance 39'!CI81</f>
        <v>0.83000000000000007</v>
      </c>
      <c r="EC127" s="127">
        <f>Real[[#This Row],[05/05/25]]+(1-Real[[#This Row],[05/05/25]])*'Avance 39'!CJ81</f>
        <v>0.83000000000000007</v>
      </c>
      <c r="ED127" s="127">
        <f>Real[[#This Row],[05/05/25]]+(1-Real[[#This Row],[05/05/25]])*'Avance 39'!CK81</f>
        <v>0.83000000000000007</v>
      </c>
      <c r="EE127" s="127">
        <f>Real[[#This Row],[05/05/25]]+(1-Real[[#This Row],[05/05/25]])*'Avance 39'!CL81</f>
        <v>0.83000000000000007</v>
      </c>
      <c r="EF127" s="127">
        <f>Real[[#This Row],[05/05/25]]+(1-Real[[#This Row],[05/05/25]])*'Avance 39'!CM81</f>
        <v>0.83000000000000007</v>
      </c>
      <c r="EG127" s="127">
        <f>Real[[#This Row],[05/05/25]]+(1-Real[[#This Row],[05/05/25]])*'Avance 39'!CN81</f>
        <v>0.83000000000000007</v>
      </c>
      <c r="EH127" s="127">
        <f>Real[[#This Row],[05/05/25]]+(1-Real[[#This Row],[05/05/25]])*'Avance 39'!CO81</f>
        <v>0.83000000000000007</v>
      </c>
      <c r="EI127" s="127">
        <f>Real[[#This Row],[05/05/25]]+(1-Real[[#This Row],[05/05/25]])*'Avance 39'!CP81</f>
        <v>0.83000000000000007</v>
      </c>
    </row>
    <row r="128" spans="2:139" hidden="1" outlineLevel="3" x14ac:dyDescent="0.3">
      <c r="B128" s="29"/>
      <c r="C128" s="30"/>
      <c r="D128" s="30"/>
      <c r="E128" s="52" t="s">
        <v>131</v>
      </c>
      <c r="F128" s="33">
        <v>5</v>
      </c>
      <c r="G128" s="35">
        <v>0.11111111111111113</v>
      </c>
      <c r="H128" s="162"/>
      <c r="I128" s="127">
        <v>0</v>
      </c>
      <c r="J128" s="127">
        <v>0</v>
      </c>
      <c r="K128" s="127">
        <v>0</v>
      </c>
      <c r="L128" s="127">
        <v>0</v>
      </c>
      <c r="M128" s="128">
        <v>0</v>
      </c>
      <c r="N128" s="128">
        <v>0</v>
      </c>
      <c r="O128" s="127">
        <v>0</v>
      </c>
      <c r="P128" s="127">
        <v>0</v>
      </c>
      <c r="Q128" s="127">
        <v>0</v>
      </c>
      <c r="R128" s="127">
        <v>0</v>
      </c>
      <c r="S128" s="127">
        <v>0</v>
      </c>
      <c r="T128" s="127">
        <v>0</v>
      </c>
      <c r="U128" s="127">
        <v>0</v>
      </c>
      <c r="V128" s="127">
        <v>0</v>
      </c>
      <c r="W128" s="127">
        <v>0</v>
      </c>
      <c r="X128" s="127">
        <v>0</v>
      </c>
      <c r="Y128" s="127">
        <v>0</v>
      </c>
      <c r="Z128" s="127">
        <v>0</v>
      </c>
      <c r="AA128" s="127">
        <v>0</v>
      </c>
      <c r="AB128" s="127">
        <v>0</v>
      </c>
      <c r="AC128" s="127">
        <v>0</v>
      </c>
      <c r="AD128" s="127">
        <v>0</v>
      </c>
      <c r="AE128" s="127">
        <v>0.28000000000000003</v>
      </c>
      <c r="AF128" s="127">
        <v>0.28000000000000003</v>
      </c>
      <c r="AG128" s="127">
        <v>0.28000000000000003</v>
      </c>
      <c r="AH128" s="127">
        <v>0.28000000000000003</v>
      </c>
      <c r="AI128" s="127">
        <v>0.28000000000000003</v>
      </c>
      <c r="AJ128" s="127">
        <v>0.28000000000000003</v>
      </c>
      <c r="AK128" s="127">
        <v>0.28000000000000003</v>
      </c>
      <c r="AL128" s="127">
        <v>0.28000000000000003</v>
      </c>
      <c r="AM128" s="127">
        <v>0.28000000000000003</v>
      </c>
      <c r="AN128" s="127">
        <v>0.4</v>
      </c>
      <c r="AO128" s="127">
        <v>0.43</v>
      </c>
      <c r="AP128" s="127">
        <v>0.67</v>
      </c>
      <c r="AQ128" s="127">
        <v>0.67</v>
      </c>
      <c r="AR128" s="127">
        <v>0.67</v>
      </c>
      <c r="AS128" s="127">
        <v>0.67</v>
      </c>
      <c r="AT128" s="127">
        <v>0.67</v>
      </c>
      <c r="AU128" s="127">
        <v>0.67</v>
      </c>
      <c r="AV128" s="127">
        <v>0.875</v>
      </c>
      <c r="AW128" s="127">
        <v>0.875</v>
      </c>
      <c r="AX128" s="127">
        <v>0.875</v>
      </c>
      <c r="AY128" s="127">
        <v>0.875</v>
      </c>
      <c r="AZ128" s="127">
        <v>0.875</v>
      </c>
      <c r="BA128" s="127">
        <v>0.875</v>
      </c>
      <c r="BB128" s="127">
        <f>Real[[#This Row],[05/05/25]]+(1-Real[[#This Row],[05/05/25]])*'Avance 39'!I82</f>
        <v>0.875</v>
      </c>
      <c r="BC128" s="127">
        <f>Real[[#This Row],[05/05/25]]+(1-Real[[#This Row],[05/05/25]])*'Avance 39'!J82</f>
        <v>0.875</v>
      </c>
      <c r="BD128" s="127">
        <f>Real[[#This Row],[05/05/25]]+(1-Real[[#This Row],[05/05/25]])*'Avance 39'!K82</f>
        <v>0.875</v>
      </c>
      <c r="BE128" s="127">
        <f>Real[[#This Row],[05/05/25]]+(1-Real[[#This Row],[05/05/25]])*'Avance 39'!L82</f>
        <v>0.875</v>
      </c>
      <c r="BF128" s="127">
        <f>Real[[#This Row],[05/05/25]]+(1-Real[[#This Row],[05/05/25]])*'Avance 39'!M82</f>
        <v>0.875</v>
      </c>
      <c r="BG128" s="163">
        <f>Real[[#This Row],[05/05/25]]+(1-Real[[#This Row],[05/05/25]])*'Avance 39'!N82</f>
        <v>0.875</v>
      </c>
      <c r="BH128" s="163">
        <f>Real[[#This Row],[05/05/25]]+(1-Real[[#This Row],[05/05/25]])*'Avance 39'!O82</f>
        <v>0.875</v>
      </c>
      <c r="BI128" s="127">
        <f>Real[[#This Row],[05/05/25]]+(1-Real[[#This Row],[05/05/25]])*'Avance 39'!P82</f>
        <v>0.875</v>
      </c>
      <c r="BJ128" s="127">
        <f>Real[[#This Row],[05/05/25]]+(1-Real[[#This Row],[05/05/25]])*'Avance 39'!Q82</f>
        <v>0.875</v>
      </c>
      <c r="BK128" s="127">
        <f>Real[[#This Row],[05/05/25]]+(1-Real[[#This Row],[05/05/25]])*'Avance 39'!R82</f>
        <v>0.875</v>
      </c>
      <c r="BL128" s="127">
        <f>Real[[#This Row],[05/05/25]]+(1-Real[[#This Row],[05/05/25]])*'Avance 39'!S82</f>
        <v>0.875</v>
      </c>
      <c r="BM128" s="127">
        <f>Real[[#This Row],[05/05/25]]+(1-Real[[#This Row],[05/05/25]])*'Avance 39'!T82</f>
        <v>0.875</v>
      </c>
      <c r="BN128" s="127">
        <f>Real[[#This Row],[05/05/25]]+(1-Real[[#This Row],[05/05/25]])*'Avance 39'!U82</f>
        <v>0.875</v>
      </c>
      <c r="BO128" s="127">
        <f>Real[[#This Row],[05/05/25]]+(1-Real[[#This Row],[05/05/25]])*'Avance 39'!V82</f>
        <v>0.875</v>
      </c>
      <c r="BP128" s="127">
        <f>Real[[#This Row],[05/05/25]]+(1-Real[[#This Row],[05/05/25]])*'Avance 39'!W82</f>
        <v>0.875</v>
      </c>
      <c r="BQ128" s="127">
        <f>Real[[#This Row],[05/05/25]]+(1-Real[[#This Row],[05/05/25]])*'Avance 39'!X82</f>
        <v>0.875</v>
      </c>
      <c r="BR128" s="127">
        <f>Real[[#This Row],[05/05/25]]+(1-Real[[#This Row],[05/05/25]])*'Avance 39'!Y82</f>
        <v>0.875</v>
      </c>
      <c r="BS128" s="127">
        <f>Real[[#This Row],[05/05/25]]+(1-Real[[#This Row],[05/05/25]])*'Avance 39'!Z82</f>
        <v>0.875</v>
      </c>
      <c r="BT128" s="127">
        <f>Real[[#This Row],[05/05/25]]+(1-Real[[#This Row],[05/05/25]])*'Avance 39'!AA82</f>
        <v>0.875</v>
      </c>
      <c r="BU128" s="127">
        <f>Real[[#This Row],[05/05/25]]+(1-Real[[#This Row],[05/05/25]])*'Avance 39'!AB82</f>
        <v>0.875</v>
      </c>
      <c r="BV128" s="127">
        <f>Real[[#This Row],[05/05/25]]+(1-Real[[#This Row],[05/05/25]])*'Avance 39'!AC82</f>
        <v>0.875</v>
      </c>
      <c r="BW128" s="127">
        <f>Real[[#This Row],[05/05/25]]+(1-Real[[#This Row],[05/05/25]])*'Avance 39'!AD82</f>
        <v>0.875</v>
      </c>
      <c r="BX128" s="127">
        <f>Real[[#This Row],[05/05/25]]+(1-Real[[#This Row],[05/05/25]])*'Avance 39'!AE82</f>
        <v>0.875</v>
      </c>
      <c r="BY128" s="127">
        <f>Real[[#This Row],[05/05/25]]+(1-Real[[#This Row],[05/05/25]])*'Avance 39'!AF82</f>
        <v>0.875</v>
      </c>
      <c r="BZ128" s="127">
        <f>Real[[#This Row],[05/05/25]]+(1-Real[[#This Row],[05/05/25]])*'Avance 39'!AG82</f>
        <v>1</v>
      </c>
      <c r="CA128" s="127">
        <f>Real[[#This Row],[05/05/25]]+(1-Real[[#This Row],[05/05/25]])*'Avance 39'!AH82</f>
        <v>1</v>
      </c>
      <c r="CB128" s="127">
        <f>Real[[#This Row],[05/05/25]]+(1-Real[[#This Row],[05/05/25]])*'Avance 39'!AI82</f>
        <v>1</v>
      </c>
      <c r="CC128" s="127">
        <f>Real[[#This Row],[05/05/25]]+(1-Real[[#This Row],[05/05/25]])*'Avance 39'!AJ82</f>
        <v>1</v>
      </c>
      <c r="CD128" s="127">
        <f>Real[[#This Row],[05/05/25]]+(1-Real[[#This Row],[05/05/25]])*'Avance 39'!AK82</f>
        <v>1</v>
      </c>
      <c r="CE128" s="127">
        <f>Real[[#This Row],[05/05/25]]+(1-Real[[#This Row],[05/05/25]])*'Avance 39'!AL82</f>
        <v>1</v>
      </c>
      <c r="CF128" s="127">
        <f>Real[[#This Row],[05/05/25]]+(1-Real[[#This Row],[05/05/25]])*'Avance 39'!AM82</f>
        <v>1</v>
      </c>
      <c r="CG128" s="127">
        <f>Real[[#This Row],[05/05/25]]+(1-Real[[#This Row],[05/05/25]])*'Avance 39'!AN82</f>
        <v>1</v>
      </c>
      <c r="CH128" s="127">
        <f>Real[[#This Row],[05/05/25]]+(1-Real[[#This Row],[05/05/25]])*'Avance 39'!AO82</f>
        <v>1</v>
      </c>
      <c r="CI128" s="127">
        <f>Real[[#This Row],[05/05/25]]+(1-Real[[#This Row],[05/05/25]])*'Avance 39'!AP82</f>
        <v>1</v>
      </c>
      <c r="CJ128" s="127">
        <f>Real[[#This Row],[05/05/25]]+(1-Real[[#This Row],[05/05/25]])*'Avance 39'!AQ82</f>
        <v>1</v>
      </c>
      <c r="CK128" s="127">
        <f>Real[[#This Row],[05/05/25]]+(1-Real[[#This Row],[05/05/25]])*'Avance 39'!AR82</f>
        <v>1</v>
      </c>
      <c r="CL128" s="127">
        <f>Real[[#This Row],[05/05/25]]+(1-Real[[#This Row],[05/05/25]])*'Avance 39'!AS82</f>
        <v>1</v>
      </c>
      <c r="CM128" s="127">
        <f>Real[[#This Row],[05/05/25]]+(1-Real[[#This Row],[05/05/25]])*'Avance 39'!AT82</f>
        <v>1</v>
      </c>
      <c r="CN128" s="127">
        <f>Real[[#This Row],[05/05/25]]+(1-Real[[#This Row],[05/05/25]])*'Avance 39'!AU82</f>
        <v>1</v>
      </c>
      <c r="CO128" s="127">
        <f>Real[[#This Row],[05/05/25]]+(1-Real[[#This Row],[05/05/25]])*'Avance 39'!AV82</f>
        <v>1</v>
      </c>
      <c r="CP128" s="127">
        <f>Real[[#This Row],[05/05/25]]+(1-Real[[#This Row],[05/05/25]])*'Avance 39'!AW82</f>
        <v>1</v>
      </c>
      <c r="CQ128" s="127">
        <f>Real[[#This Row],[05/05/25]]+(1-Real[[#This Row],[05/05/25]])*'Avance 39'!AX82</f>
        <v>1</v>
      </c>
      <c r="CR128" s="127">
        <f>Real[[#This Row],[05/05/25]]+(1-Real[[#This Row],[05/05/25]])*'Avance 39'!AY82</f>
        <v>1</v>
      </c>
      <c r="CS128" s="127">
        <f>Real[[#This Row],[05/05/25]]+(1-Real[[#This Row],[05/05/25]])*'Avance 39'!AZ82</f>
        <v>1</v>
      </c>
      <c r="CT128" s="127">
        <f>Real[[#This Row],[05/05/25]]+(1-Real[[#This Row],[05/05/25]])*'Avance 39'!BA82</f>
        <v>1</v>
      </c>
      <c r="CU128" s="127">
        <f>Real[[#This Row],[05/05/25]]+(1-Real[[#This Row],[05/05/25]])*'Avance 39'!BB82</f>
        <v>1</v>
      </c>
      <c r="CV128" s="127">
        <f>Real[[#This Row],[05/05/25]]+(1-Real[[#This Row],[05/05/25]])*'Avance 39'!BC82</f>
        <v>1</v>
      </c>
      <c r="CW128" s="127">
        <f>Real[[#This Row],[05/05/25]]+(1-Real[[#This Row],[05/05/25]])*'Avance 39'!BD82</f>
        <v>1</v>
      </c>
      <c r="CX128" s="127">
        <f>Real[[#This Row],[05/05/25]]+(1-Real[[#This Row],[05/05/25]])*'Avance 39'!BE82</f>
        <v>1</v>
      </c>
      <c r="CY128" s="127">
        <f>Real[[#This Row],[05/05/25]]+(1-Real[[#This Row],[05/05/25]])*'Avance 39'!BF82</f>
        <v>1</v>
      </c>
      <c r="CZ128" s="127">
        <f>Real[[#This Row],[05/05/25]]+(1-Real[[#This Row],[05/05/25]])*'Avance 39'!BG82</f>
        <v>1</v>
      </c>
      <c r="DA128" s="127">
        <f>Real[[#This Row],[05/05/25]]+(1-Real[[#This Row],[05/05/25]])*'Avance 39'!BH82</f>
        <v>1</v>
      </c>
      <c r="DB128" s="127">
        <f>Real[[#This Row],[05/05/25]]+(1-Real[[#This Row],[05/05/25]])*'Avance 39'!BI82</f>
        <v>1</v>
      </c>
      <c r="DC128" s="127">
        <f>Real[[#This Row],[05/05/25]]+(1-Real[[#This Row],[05/05/25]])*'Avance 39'!BJ82</f>
        <v>1</v>
      </c>
      <c r="DD128" s="127">
        <f>Real[[#This Row],[05/05/25]]+(1-Real[[#This Row],[05/05/25]])*'Avance 39'!BK82</f>
        <v>1</v>
      </c>
      <c r="DE128" s="127">
        <f>Real[[#This Row],[05/05/25]]+(1-Real[[#This Row],[05/05/25]])*'Avance 39'!BL82</f>
        <v>1</v>
      </c>
      <c r="DF128" s="127">
        <f>Real[[#This Row],[05/05/25]]+(1-Real[[#This Row],[05/05/25]])*'Avance 39'!BM82</f>
        <v>1</v>
      </c>
      <c r="DG128" s="127">
        <f>Real[[#This Row],[05/05/25]]+(1-Real[[#This Row],[05/05/25]])*'Avance 39'!BN82</f>
        <v>1</v>
      </c>
      <c r="DH128" s="127">
        <f>Real[[#This Row],[05/05/25]]+(1-Real[[#This Row],[05/05/25]])*'Avance 39'!BO82</f>
        <v>1</v>
      </c>
      <c r="DI128" s="127">
        <f>Real[[#This Row],[05/05/25]]+(1-Real[[#This Row],[05/05/25]])*'Avance 39'!BP82</f>
        <v>1</v>
      </c>
      <c r="DJ128" s="127">
        <f>Real[[#This Row],[05/05/25]]+(1-Real[[#This Row],[05/05/25]])*'Avance 39'!BQ82</f>
        <v>1</v>
      </c>
      <c r="DK128" s="127">
        <f>Real[[#This Row],[05/05/25]]+(1-Real[[#This Row],[05/05/25]])*'Avance 39'!BR82</f>
        <v>1</v>
      </c>
      <c r="DL128" s="127">
        <f>Real[[#This Row],[05/05/25]]+(1-Real[[#This Row],[05/05/25]])*'Avance 39'!BS82</f>
        <v>1</v>
      </c>
      <c r="DM128" s="127">
        <f>Real[[#This Row],[05/05/25]]+(1-Real[[#This Row],[05/05/25]])*'Avance 39'!BT82</f>
        <v>1</v>
      </c>
      <c r="DN128" s="127">
        <f>Real[[#This Row],[05/05/25]]+(1-Real[[#This Row],[05/05/25]])*'Avance 39'!BU82</f>
        <v>1</v>
      </c>
      <c r="DO128" s="127">
        <f>Real[[#This Row],[05/05/25]]+(1-Real[[#This Row],[05/05/25]])*'Avance 39'!BV82</f>
        <v>1</v>
      </c>
      <c r="DP128" s="127">
        <f>Real[[#This Row],[05/05/25]]+(1-Real[[#This Row],[05/05/25]])*'Avance 39'!BW82</f>
        <v>1</v>
      </c>
      <c r="DQ128" s="127">
        <f>Real[[#This Row],[05/05/25]]+(1-Real[[#This Row],[05/05/25]])*'Avance 39'!BX82</f>
        <v>1</v>
      </c>
      <c r="DR128" s="127">
        <f>Real[[#This Row],[05/05/25]]+(1-Real[[#This Row],[05/05/25]])*'Avance 39'!BY82</f>
        <v>1</v>
      </c>
      <c r="DS128" s="127">
        <f>Real[[#This Row],[05/05/25]]+(1-Real[[#This Row],[05/05/25]])*'Avance 39'!BZ82</f>
        <v>1</v>
      </c>
      <c r="DT128" s="127">
        <f>Real[[#This Row],[05/05/25]]+(1-Real[[#This Row],[05/05/25]])*'Avance 39'!CA82</f>
        <v>1</v>
      </c>
      <c r="DU128" s="127">
        <f>Real[[#This Row],[05/05/25]]+(1-Real[[#This Row],[05/05/25]])*'Avance 39'!CB82</f>
        <v>1</v>
      </c>
      <c r="DV128" s="127">
        <f>Real[[#This Row],[05/05/25]]+(1-Real[[#This Row],[05/05/25]])*'Avance 39'!CC82</f>
        <v>1</v>
      </c>
      <c r="DW128" s="127">
        <f>Real[[#This Row],[05/05/25]]+(1-Real[[#This Row],[05/05/25]])*'Avance 39'!CD82</f>
        <v>1</v>
      </c>
      <c r="DX128" s="127">
        <f>Real[[#This Row],[05/05/25]]+(1-Real[[#This Row],[05/05/25]])*'Avance 39'!CE82</f>
        <v>1</v>
      </c>
      <c r="DY128" s="127">
        <f>Real[[#This Row],[05/05/25]]+(1-Real[[#This Row],[05/05/25]])*'Avance 39'!CF82</f>
        <v>1</v>
      </c>
      <c r="DZ128" s="127">
        <f>Real[[#This Row],[05/05/25]]+(1-Real[[#This Row],[05/05/25]])*'Avance 39'!CG82</f>
        <v>1</v>
      </c>
      <c r="EA128" s="127">
        <f>Real[[#This Row],[05/05/25]]+(1-Real[[#This Row],[05/05/25]])*'Avance 39'!CH82</f>
        <v>1</v>
      </c>
      <c r="EB128" s="127">
        <f>Real[[#This Row],[05/05/25]]+(1-Real[[#This Row],[05/05/25]])*'Avance 39'!CI82</f>
        <v>1</v>
      </c>
      <c r="EC128" s="127">
        <f>Real[[#This Row],[05/05/25]]+(1-Real[[#This Row],[05/05/25]])*'Avance 39'!CJ82</f>
        <v>1</v>
      </c>
      <c r="ED128" s="127">
        <f>Real[[#This Row],[05/05/25]]+(1-Real[[#This Row],[05/05/25]])*'Avance 39'!CK82</f>
        <v>1</v>
      </c>
      <c r="EE128" s="127">
        <f>Real[[#This Row],[05/05/25]]+(1-Real[[#This Row],[05/05/25]])*'Avance 39'!CL82</f>
        <v>1</v>
      </c>
      <c r="EF128" s="127">
        <f>Real[[#This Row],[05/05/25]]+(1-Real[[#This Row],[05/05/25]])*'Avance 39'!CM82</f>
        <v>1</v>
      </c>
      <c r="EG128" s="127">
        <f>Real[[#This Row],[05/05/25]]+(1-Real[[#This Row],[05/05/25]])*'Avance 39'!CN82</f>
        <v>1</v>
      </c>
      <c r="EH128" s="127">
        <f>Real[[#This Row],[05/05/25]]+(1-Real[[#This Row],[05/05/25]])*'Avance 39'!CO82</f>
        <v>1</v>
      </c>
      <c r="EI128" s="127">
        <f>Real[[#This Row],[05/05/25]]+(1-Real[[#This Row],[05/05/25]])*'Avance 39'!CP82</f>
        <v>1</v>
      </c>
    </row>
    <row r="129" spans="2:142" ht="28.8" hidden="1" outlineLevel="3" x14ac:dyDescent="0.3">
      <c r="B129" s="29"/>
      <c r="C129" s="30"/>
      <c r="D129" s="30"/>
      <c r="E129" s="52" t="s">
        <v>132</v>
      </c>
      <c r="F129" s="33">
        <v>5</v>
      </c>
      <c r="G129" s="35">
        <v>0.22222222222222227</v>
      </c>
      <c r="H129" s="162"/>
      <c r="I129" s="127">
        <v>0</v>
      </c>
      <c r="J129" s="127">
        <v>0</v>
      </c>
      <c r="K129" s="127">
        <v>0</v>
      </c>
      <c r="L129" s="127">
        <v>0</v>
      </c>
      <c r="M129" s="128">
        <v>0</v>
      </c>
      <c r="N129" s="128">
        <v>0</v>
      </c>
      <c r="O129" s="127">
        <v>0</v>
      </c>
      <c r="P129" s="127">
        <v>0</v>
      </c>
      <c r="Q129" s="127">
        <v>0</v>
      </c>
      <c r="R129" s="127">
        <v>0</v>
      </c>
      <c r="S129" s="127">
        <v>0</v>
      </c>
      <c r="T129" s="127">
        <v>0</v>
      </c>
      <c r="U129" s="127">
        <v>0</v>
      </c>
      <c r="V129" s="127">
        <v>0</v>
      </c>
      <c r="W129" s="127">
        <v>0</v>
      </c>
      <c r="X129" s="127">
        <v>0</v>
      </c>
      <c r="Y129" s="127">
        <v>0</v>
      </c>
      <c r="Z129" s="127">
        <v>0</v>
      </c>
      <c r="AA129" s="127">
        <v>0</v>
      </c>
      <c r="AB129" s="127">
        <v>0</v>
      </c>
      <c r="AC129" s="127">
        <v>0</v>
      </c>
      <c r="AD129" s="127">
        <v>0.28000000000000003</v>
      </c>
      <c r="AE129" s="127">
        <v>0.28300000000000003</v>
      </c>
      <c r="AF129" s="127">
        <v>0.28300000000000003</v>
      </c>
      <c r="AG129" s="127">
        <v>0.28300000000000003</v>
      </c>
      <c r="AH129" s="127">
        <v>0.28300000000000003</v>
      </c>
      <c r="AI129" s="127">
        <v>0.28300000000000003</v>
      </c>
      <c r="AJ129" s="127">
        <v>0.28300000000000003</v>
      </c>
      <c r="AK129" s="127">
        <v>0.28300000000000003</v>
      </c>
      <c r="AL129" s="127">
        <v>0.28300000000000003</v>
      </c>
      <c r="AM129" s="127">
        <v>0.28300000000000003</v>
      </c>
      <c r="AN129" s="127">
        <v>0.40300000000000002</v>
      </c>
      <c r="AO129" s="127">
        <v>0.433</v>
      </c>
      <c r="AP129" s="127">
        <v>0.67</v>
      </c>
      <c r="AQ129" s="127">
        <v>0.70000000000000007</v>
      </c>
      <c r="AR129" s="127">
        <v>0.70000000000000007</v>
      </c>
      <c r="AS129" s="127">
        <v>0.70000000000000007</v>
      </c>
      <c r="AT129" s="127">
        <v>0.73000000000000009</v>
      </c>
      <c r="AU129" s="127">
        <v>0.73000000000000009</v>
      </c>
      <c r="AV129" s="127">
        <v>0.73000000000000009</v>
      </c>
      <c r="AW129" s="127">
        <v>0.73000000000000009</v>
      </c>
      <c r="AX129" s="127">
        <v>0.73000000000000009</v>
      </c>
      <c r="AY129" s="127">
        <v>0.73000000000000009</v>
      </c>
      <c r="AZ129" s="127">
        <v>0.73000000000000009</v>
      </c>
      <c r="BA129" s="127">
        <v>0.73000000000000009</v>
      </c>
      <c r="BB129" s="127">
        <f>Real[[#This Row],[05/05/25]]+(1-Real[[#This Row],[05/05/25]])*'Avance 39'!I83</f>
        <v>0.73000000000000009</v>
      </c>
      <c r="BC129" s="127">
        <f>Real[[#This Row],[05/05/25]]+(1-Real[[#This Row],[05/05/25]])*'Avance 39'!J83</f>
        <v>0.73000000000000009</v>
      </c>
      <c r="BD129" s="127">
        <f>Real[[#This Row],[05/05/25]]+(1-Real[[#This Row],[05/05/25]])*'Avance 39'!K83</f>
        <v>0.73000000000000009</v>
      </c>
      <c r="BE129" s="127">
        <f>Real[[#This Row],[05/05/25]]+(1-Real[[#This Row],[05/05/25]])*'Avance 39'!L83</f>
        <v>0.73000000000000009</v>
      </c>
      <c r="BF129" s="127">
        <f>Real[[#This Row],[05/05/25]]+(1-Real[[#This Row],[05/05/25]])*'Avance 39'!M83</f>
        <v>0.73000000000000009</v>
      </c>
      <c r="BG129" s="163">
        <f>Real[[#This Row],[05/05/25]]+(1-Real[[#This Row],[05/05/25]])*'Avance 39'!N83</f>
        <v>0.73000000000000009</v>
      </c>
      <c r="BH129" s="163">
        <f>Real[[#This Row],[05/05/25]]+(1-Real[[#This Row],[05/05/25]])*'Avance 39'!O83</f>
        <v>0.73000000000000009</v>
      </c>
      <c r="BI129" s="127">
        <f>Real[[#This Row],[05/05/25]]+(1-Real[[#This Row],[05/05/25]])*'Avance 39'!P83</f>
        <v>0.73000000000000009</v>
      </c>
      <c r="BJ129" s="127">
        <f>Real[[#This Row],[05/05/25]]+(1-Real[[#This Row],[05/05/25]])*'Avance 39'!Q83</f>
        <v>0.73000000000000009</v>
      </c>
      <c r="BK129" s="127">
        <f>Real[[#This Row],[05/05/25]]+(1-Real[[#This Row],[05/05/25]])*'Avance 39'!R83</f>
        <v>0.73000000000000009</v>
      </c>
      <c r="BL129" s="127">
        <f>Real[[#This Row],[05/05/25]]+(1-Real[[#This Row],[05/05/25]])*'Avance 39'!S83</f>
        <v>0.73000000000000009</v>
      </c>
      <c r="BM129" s="127">
        <f>Real[[#This Row],[05/05/25]]+(1-Real[[#This Row],[05/05/25]])*'Avance 39'!T83</f>
        <v>0.73000000000000009</v>
      </c>
      <c r="BN129" s="127">
        <f>Real[[#This Row],[05/05/25]]+(1-Real[[#This Row],[05/05/25]])*'Avance 39'!U83</f>
        <v>0.73000000000000009</v>
      </c>
      <c r="BO129" s="127">
        <f>Real[[#This Row],[05/05/25]]+(1-Real[[#This Row],[05/05/25]])*'Avance 39'!V83</f>
        <v>0.73000000000000009</v>
      </c>
      <c r="BP129" s="127">
        <f>Real[[#This Row],[05/05/25]]+(1-Real[[#This Row],[05/05/25]])*'Avance 39'!W83</f>
        <v>0.73000000000000009</v>
      </c>
      <c r="BQ129" s="127">
        <f>Real[[#This Row],[05/05/25]]+(1-Real[[#This Row],[05/05/25]])*'Avance 39'!X83</f>
        <v>0.73000000000000009</v>
      </c>
      <c r="BR129" s="127">
        <f>Real[[#This Row],[05/05/25]]+(1-Real[[#This Row],[05/05/25]])*'Avance 39'!Y83</f>
        <v>0.73000000000000009</v>
      </c>
      <c r="BS129" s="127">
        <f>Real[[#This Row],[05/05/25]]+(1-Real[[#This Row],[05/05/25]])*'Avance 39'!Z83</f>
        <v>0.73000000000000009</v>
      </c>
      <c r="BT129" s="127">
        <f>Real[[#This Row],[05/05/25]]+(1-Real[[#This Row],[05/05/25]])*'Avance 39'!AA83</f>
        <v>0.73000000000000009</v>
      </c>
      <c r="BU129" s="127">
        <f>Real[[#This Row],[05/05/25]]+(1-Real[[#This Row],[05/05/25]])*'Avance 39'!AB83</f>
        <v>0.73000000000000009</v>
      </c>
      <c r="BV129" s="127">
        <f>Real[[#This Row],[05/05/25]]+(1-Real[[#This Row],[05/05/25]])*'Avance 39'!AC83</f>
        <v>0.73000000000000009</v>
      </c>
      <c r="BW129" s="127">
        <f>Real[[#This Row],[05/05/25]]+(1-Real[[#This Row],[05/05/25]])*'Avance 39'!AD83</f>
        <v>0.73000000000000009</v>
      </c>
      <c r="BX129" s="127">
        <f>Real[[#This Row],[05/05/25]]+(1-Real[[#This Row],[05/05/25]])*'Avance 39'!AE83</f>
        <v>0.73000000000000009</v>
      </c>
      <c r="BY129" s="127">
        <f>Real[[#This Row],[05/05/25]]+(1-Real[[#This Row],[05/05/25]])*'Avance 39'!AF83</f>
        <v>0.73000000000000009</v>
      </c>
      <c r="BZ129" s="127">
        <f>Real[[#This Row],[05/05/25]]+(1-Real[[#This Row],[05/05/25]])*'Avance 39'!AG83</f>
        <v>0.73000000000000009</v>
      </c>
      <c r="CA129" s="127">
        <f>Real[[#This Row],[05/05/25]]+(1-Real[[#This Row],[05/05/25]])*'Avance 39'!AH83</f>
        <v>0.73000000000000009</v>
      </c>
      <c r="CB129" s="127">
        <f>Real[[#This Row],[05/05/25]]+(1-Real[[#This Row],[05/05/25]])*'Avance 39'!AI83</f>
        <v>0.73000000000000009</v>
      </c>
      <c r="CC129" s="127">
        <f>Real[[#This Row],[05/05/25]]+(1-Real[[#This Row],[05/05/25]])*'Avance 39'!AJ83</f>
        <v>0.73000000000000009</v>
      </c>
      <c r="CD129" s="127">
        <f>Real[[#This Row],[05/05/25]]+(1-Real[[#This Row],[05/05/25]])*'Avance 39'!AK83</f>
        <v>0.73000000000000009</v>
      </c>
      <c r="CE129" s="127">
        <f>Real[[#This Row],[05/05/25]]+(1-Real[[#This Row],[05/05/25]])*'Avance 39'!AL83</f>
        <v>0.73000000000000009</v>
      </c>
      <c r="CF129" s="127">
        <f>Real[[#This Row],[05/05/25]]+(1-Real[[#This Row],[05/05/25]])*'Avance 39'!AM83</f>
        <v>0.73000000000000009</v>
      </c>
      <c r="CG129" s="127">
        <f>Real[[#This Row],[05/05/25]]+(1-Real[[#This Row],[05/05/25]])*'Avance 39'!AN83</f>
        <v>0.73000000000000009</v>
      </c>
      <c r="CH129" s="127">
        <f>Real[[#This Row],[05/05/25]]+(1-Real[[#This Row],[05/05/25]])*'Avance 39'!AO83</f>
        <v>0.73000000000000009</v>
      </c>
      <c r="CI129" s="127">
        <f>Real[[#This Row],[05/05/25]]+(1-Real[[#This Row],[05/05/25]])*'Avance 39'!AP83</f>
        <v>0.73000000000000009</v>
      </c>
      <c r="CJ129" s="127">
        <f>Real[[#This Row],[05/05/25]]+(1-Real[[#This Row],[05/05/25]])*'Avance 39'!AQ83</f>
        <v>0.73000000000000009</v>
      </c>
      <c r="CK129" s="127">
        <f>Real[[#This Row],[05/05/25]]+(1-Real[[#This Row],[05/05/25]])*'Avance 39'!AR83</f>
        <v>0.73000000000000009</v>
      </c>
      <c r="CL129" s="127">
        <f>Real[[#This Row],[05/05/25]]+(1-Real[[#This Row],[05/05/25]])*'Avance 39'!AS83</f>
        <v>0.73000000000000009</v>
      </c>
      <c r="CM129" s="127">
        <f>Real[[#This Row],[05/05/25]]+(1-Real[[#This Row],[05/05/25]])*'Avance 39'!AT83</f>
        <v>0.73000000000000009</v>
      </c>
      <c r="CN129" s="127">
        <f>Real[[#This Row],[05/05/25]]+(1-Real[[#This Row],[05/05/25]])*'Avance 39'!AU83</f>
        <v>0.73000000000000009</v>
      </c>
      <c r="CO129" s="127">
        <f>Real[[#This Row],[05/05/25]]+(1-Real[[#This Row],[05/05/25]])*'Avance 39'!AV83</f>
        <v>0.73000000000000009</v>
      </c>
      <c r="CP129" s="127">
        <f>Real[[#This Row],[05/05/25]]+(1-Real[[#This Row],[05/05/25]])*'Avance 39'!AW83</f>
        <v>0.73000000000000009</v>
      </c>
      <c r="CQ129" s="127">
        <f>Real[[#This Row],[05/05/25]]+(1-Real[[#This Row],[05/05/25]])*'Avance 39'!AX83</f>
        <v>0.73000000000000009</v>
      </c>
      <c r="CR129" s="127">
        <f>Real[[#This Row],[05/05/25]]+(1-Real[[#This Row],[05/05/25]])*'Avance 39'!AY83</f>
        <v>0.73000000000000009</v>
      </c>
      <c r="CS129" s="127">
        <f>Real[[#This Row],[05/05/25]]+(1-Real[[#This Row],[05/05/25]])*'Avance 39'!AZ83</f>
        <v>0.73000000000000009</v>
      </c>
      <c r="CT129" s="127">
        <f>Real[[#This Row],[05/05/25]]+(1-Real[[#This Row],[05/05/25]])*'Avance 39'!BA83</f>
        <v>0.73000000000000009</v>
      </c>
      <c r="CU129" s="127">
        <f>Real[[#This Row],[05/05/25]]+(1-Real[[#This Row],[05/05/25]])*'Avance 39'!BB83</f>
        <v>0.73000000000000009</v>
      </c>
      <c r="CV129" s="127">
        <f>Real[[#This Row],[05/05/25]]+(1-Real[[#This Row],[05/05/25]])*'Avance 39'!BC83</f>
        <v>0.73000000000000009</v>
      </c>
      <c r="CW129" s="127">
        <f>Real[[#This Row],[05/05/25]]+(1-Real[[#This Row],[05/05/25]])*'Avance 39'!BD83</f>
        <v>0.73000000000000009</v>
      </c>
      <c r="CX129" s="127">
        <f>Real[[#This Row],[05/05/25]]+(1-Real[[#This Row],[05/05/25]])*'Avance 39'!BE83</f>
        <v>0.73000000000000009</v>
      </c>
      <c r="CY129" s="127">
        <f>Real[[#This Row],[05/05/25]]+(1-Real[[#This Row],[05/05/25]])*'Avance 39'!BF83</f>
        <v>0.73000000000000009</v>
      </c>
      <c r="CZ129" s="127">
        <f>Real[[#This Row],[05/05/25]]+(1-Real[[#This Row],[05/05/25]])*'Avance 39'!BG83</f>
        <v>0.73000000000000009</v>
      </c>
      <c r="DA129" s="127">
        <f>Real[[#This Row],[05/05/25]]+(1-Real[[#This Row],[05/05/25]])*'Avance 39'!BH83</f>
        <v>0.73000000000000009</v>
      </c>
      <c r="DB129" s="127">
        <f>Real[[#This Row],[05/05/25]]+(1-Real[[#This Row],[05/05/25]])*'Avance 39'!BI83</f>
        <v>0.73000000000000009</v>
      </c>
      <c r="DC129" s="127">
        <f>Real[[#This Row],[05/05/25]]+(1-Real[[#This Row],[05/05/25]])*'Avance 39'!BJ83</f>
        <v>0.73000000000000009</v>
      </c>
      <c r="DD129" s="127">
        <f>Real[[#This Row],[05/05/25]]+(1-Real[[#This Row],[05/05/25]])*'Avance 39'!BK83</f>
        <v>0.73000000000000009</v>
      </c>
      <c r="DE129" s="127">
        <f>Real[[#This Row],[05/05/25]]+(1-Real[[#This Row],[05/05/25]])*'Avance 39'!BL83</f>
        <v>0.73000000000000009</v>
      </c>
      <c r="DF129" s="127">
        <f>Real[[#This Row],[05/05/25]]+(1-Real[[#This Row],[05/05/25]])*'Avance 39'!BM83</f>
        <v>0.73000000000000009</v>
      </c>
      <c r="DG129" s="127">
        <f>Real[[#This Row],[05/05/25]]+(1-Real[[#This Row],[05/05/25]])*'Avance 39'!BN83</f>
        <v>0.73000000000000009</v>
      </c>
      <c r="DH129" s="127">
        <f>Real[[#This Row],[05/05/25]]+(1-Real[[#This Row],[05/05/25]])*'Avance 39'!BO83</f>
        <v>0.73000000000000009</v>
      </c>
      <c r="DI129" s="127">
        <f>Real[[#This Row],[05/05/25]]+(1-Real[[#This Row],[05/05/25]])*'Avance 39'!BP83</f>
        <v>0.73000000000000009</v>
      </c>
      <c r="DJ129" s="127">
        <f>Real[[#This Row],[05/05/25]]+(1-Real[[#This Row],[05/05/25]])*'Avance 39'!BQ83</f>
        <v>0.73000000000000009</v>
      </c>
      <c r="DK129" s="127">
        <f>Real[[#This Row],[05/05/25]]+(1-Real[[#This Row],[05/05/25]])*'Avance 39'!BR83</f>
        <v>0.73000000000000009</v>
      </c>
      <c r="DL129" s="127">
        <f>Real[[#This Row],[05/05/25]]+(1-Real[[#This Row],[05/05/25]])*'Avance 39'!BS83</f>
        <v>0.73000000000000009</v>
      </c>
      <c r="DM129" s="127">
        <f>Real[[#This Row],[05/05/25]]+(1-Real[[#This Row],[05/05/25]])*'Avance 39'!BT83</f>
        <v>0.73000000000000009</v>
      </c>
      <c r="DN129" s="127">
        <f>Real[[#This Row],[05/05/25]]+(1-Real[[#This Row],[05/05/25]])*'Avance 39'!BU83</f>
        <v>0.73000000000000009</v>
      </c>
      <c r="DO129" s="127">
        <f>Real[[#This Row],[05/05/25]]+(1-Real[[#This Row],[05/05/25]])*'Avance 39'!BV83</f>
        <v>0.73000000000000009</v>
      </c>
      <c r="DP129" s="127">
        <f>Real[[#This Row],[05/05/25]]+(1-Real[[#This Row],[05/05/25]])*'Avance 39'!BW83</f>
        <v>0.73000000000000009</v>
      </c>
      <c r="DQ129" s="127">
        <f>Real[[#This Row],[05/05/25]]+(1-Real[[#This Row],[05/05/25]])*'Avance 39'!BX83</f>
        <v>0.73000000000000009</v>
      </c>
      <c r="DR129" s="127">
        <f>Real[[#This Row],[05/05/25]]+(1-Real[[#This Row],[05/05/25]])*'Avance 39'!BY83</f>
        <v>0.73000000000000009</v>
      </c>
      <c r="DS129" s="127">
        <f>Real[[#This Row],[05/05/25]]+(1-Real[[#This Row],[05/05/25]])*'Avance 39'!BZ83</f>
        <v>0.73000000000000009</v>
      </c>
      <c r="DT129" s="127">
        <f>Real[[#This Row],[05/05/25]]+(1-Real[[#This Row],[05/05/25]])*'Avance 39'!CA83</f>
        <v>0.73000000000000009</v>
      </c>
      <c r="DU129" s="127">
        <f>Real[[#This Row],[05/05/25]]+(1-Real[[#This Row],[05/05/25]])*'Avance 39'!CB83</f>
        <v>0.73000000000000009</v>
      </c>
      <c r="DV129" s="127">
        <f>Real[[#This Row],[05/05/25]]+(1-Real[[#This Row],[05/05/25]])*'Avance 39'!CC83</f>
        <v>0.73000000000000009</v>
      </c>
      <c r="DW129" s="127">
        <f>Real[[#This Row],[05/05/25]]+(1-Real[[#This Row],[05/05/25]])*'Avance 39'!CD83</f>
        <v>0.73000000000000009</v>
      </c>
      <c r="DX129" s="127">
        <f>Real[[#This Row],[05/05/25]]+(1-Real[[#This Row],[05/05/25]])*'Avance 39'!CE83</f>
        <v>0.73000000000000009</v>
      </c>
      <c r="DY129" s="127">
        <f>Real[[#This Row],[05/05/25]]+(1-Real[[#This Row],[05/05/25]])*'Avance 39'!CF83</f>
        <v>0.73000000000000009</v>
      </c>
      <c r="DZ129" s="127">
        <f>Real[[#This Row],[05/05/25]]+(1-Real[[#This Row],[05/05/25]])*'Avance 39'!CG83</f>
        <v>0.73000000000000009</v>
      </c>
      <c r="EA129" s="127">
        <f>Real[[#This Row],[05/05/25]]+(1-Real[[#This Row],[05/05/25]])*'Avance 39'!CH83</f>
        <v>0.73000000000000009</v>
      </c>
      <c r="EB129" s="127">
        <f>Real[[#This Row],[05/05/25]]+(1-Real[[#This Row],[05/05/25]])*'Avance 39'!CI83</f>
        <v>0.73000000000000009</v>
      </c>
      <c r="EC129" s="127">
        <f>Real[[#This Row],[05/05/25]]+(1-Real[[#This Row],[05/05/25]])*'Avance 39'!CJ83</f>
        <v>0.73000000000000009</v>
      </c>
      <c r="ED129" s="127">
        <f>Real[[#This Row],[05/05/25]]+(1-Real[[#This Row],[05/05/25]])*'Avance 39'!CK83</f>
        <v>0.73000000000000009</v>
      </c>
      <c r="EE129" s="127">
        <f>Real[[#This Row],[05/05/25]]+(1-Real[[#This Row],[05/05/25]])*'Avance 39'!CL83</f>
        <v>0.73000000000000009</v>
      </c>
      <c r="EF129" s="127">
        <f>Real[[#This Row],[05/05/25]]+(1-Real[[#This Row],[05/05/25]])*'Avance 39'!CM83</f>
        <v>0.73000000000000009</v>
      </c>
      <c r="EG129" s="127">
        <f>Real[[#This Row],[05/05/25]]+(1-Real[[#This Row],[05/05/25]])*'Avance 39'!CN83</f>
        <v>0.73000000000000009</v>
      </c>
      <c r="EH129" s="127">
        <f>Real[[#This Row],[05/05/25]]+(1-Real[[#This Row],[05/05/25]])*'Avance 39'!CO83</f>
        <v>0.73000000000000009</v>
      </c>
      <c r="EI129" s="127">
        <f>Real[[#This Row],[05/05/25]]+(1-Real[[#This Row],[05/05/25]])*'Avance 39'!CP83</f>
        <v>0.73000000000000009</v>
      </c>
    </row>
    <row r="130" spans="2:142" ht="15" outlineLevel="2" collapsed="1" x14ac:dyDescent="0.3">
      <c r="B130" s="22"/>
      <c r="C130" s="23"/>
      <c r="D130" s="23" t="s">
        <v>133</v>
      </c>
      <c r="E130" s="50"/>
      <c r="F130" s="26">
        <f>+SUM(F131:F133)</f>
        <v>60</v>
      </c>
      <c r="G130" s="28">
        <v>6.964811545081509E-2</v>
      </c>
      <c r="H130" s="160"/>
      <c r="I130" s="28">
        <f t="shared" ref="I130:BD130" si="784">+SUMPRODUCT($G$131:$G$133,I131:I133)</f>
        <v>0</v>
      </c>
      <c r="J130" s="28">
        <f t="shared" si="784"/>
        <v>0</v>
      </c>
      <c r="K130" s="28">
        <f t="shared" si="784"/>
        <v>0</v>
      </c>
      <c r="L130" s="28">
        <f t="shared" si="784"/>
        <v>0</v>
      </c>
      <c r="M130" s="64">
        <f t="shared" si="784"/>
        <v>0</v>
      </c>
      <c r="N130" s="64">
        <f t="shared" si="784"/>
        <v>0</v>
      </c>
      <c r="O130" s="28">
        <f t="shared" si="784"/>
        <v>0</v>
      </c>
      <c r="P130" s="28">
        <f t="shared" si="784"/>
        <v>0</v>
      </c>
      <c r="Q130" s="28">
        <f t="shared" si="784"/>
        <v>0</v>
      </c>
      <c r="R130" s="28">
        <f t="shared" si="784"/>
        <v>0</v>
      </c>
      <c r="S130" s="28">
        <f t="shared" si="784"/>
        <v>0</v>
      </c>
      <c r="T130" s="28">
        <f t="shared" si="784"/>
        <v>0</v>
      </c>
      <c r="U130" s="28">
        <f t="shared" si="784"/>
        <v>0</v>
      </c>
      <c r="V130" s="28">
        <f t="shared" si="784"/>
        <v>0</v>
      </c>
      <c r="W130" s="28">
        <f t="shared" si="784"/>
        <v>0</v>
      </c>
      <c r="X130" s="28">
        <f t="shared" si="784"/>
        <v>0</v>
      </c>
      <c r="Y130" s="28">
        <f t="shared" si="784"/>
        <v>0</v>
      </c>
      <c r="Z130" s="28">
        <f t="shared" si="784"/>
        <v>0</v>
      </c>
      <c r="AA130" s="28">
        <f t="shared" si="784"/>
        <v>0</v>
      </c>
      <c r="AB130" s="28">
        <f t="shared" si="784"/>
        <v>0</v>
      </c>
      <c r="AC130" s="28">
        <f t="shared" si="784"/>
        <v>0</v>
      </c>
      <c r="AD130" s="28">
        <f t="shared" si="784"/>
        <v>0</v>
      </c>
      <c r="AE130" s="28">
        <f t="shared" si="784"/>
        <v>0</v>
      </c>
      <c r="AF130" s="28">
        <f t="shared" si="784"/>
        <v>0</v>
      </c>
      <c r="AG130" s="28">
        <f t="shared" si="784"/>
        <v>0</v>
      </c>
      <c r="AH130" s="28">
        <f t="shared" si="784"/>
        <v>8.2240484094211613E-2</v>
      </c>
      <c r="AI130" s="28">
        <f t="shared" si="784"/>
        <v>8.2240484094211613E-2</v>
      </c>
      <c r="AJ130" s="28">
        <f t="shared" si="784"/>
        <v>8.2240484094211613E-2</v>
      </c>
      <c r="AK130" s="28">
        <f t="shared" si="784"/>
        <v>9.3340484094211612E-2</v>
      </c>
      <c r="AL130" s="28">
        <f t="shared" si="784"/>
        <v>0.10444048409421161</v>
      </c>
      <c r="AM130" s="28">
        <f t="shared" si="784"/>
        <v>0.10444048409421161</v>
      </c>
      <c r="AN130" s="28">
        <f t="shared" si="784"/>
        <v>0.11554048409421162</v>
      </c>
      <c r="AO130" s="28">
        <f t="shared" si="784"/>
        <v>0.11998048409421162</v>
      </c>
      <c r="AP130" s="28">
        <f t="shared" si="784"/>
        <v>0.12442048409421162</v>
      </c>
      <c r="AQ130" s="28">
        <f t="shared" si="784"/>
        <v>0.12442048409421162</v>
      </c>
      <c r="AR130" s="28">
        <f t="shared" si="784"/>
        <v>0.12442048409421162</v>
      </c>
      <c r="AS130" s="28">
        <f t="shared" si="784"/>
        <v>0.12442048409421162</v>
      </c>
      <c r="AT130" s="28">
        <f t="shared" si="784"/>
        <v>0.12442048409421162</v>
      </c>
      <c r="AU130" s="28">
        <f t="shared" si="784"/>
        <v>0.12442048409421162</v>
      </c>
      <c r="AV130" s="28">
        <f t="shared" si="784"/>
        <v>0.12664048409421161</v>
      </c>
      <c r="AW130" s="28">
        <f t="shared" si="784"/>
        <v>0.12664048409421161</v>
      </c>
      <c r="AX130" s="28">
        <f t="shared" si="784"/>
        <v>0.12664048409421161</v>
      </c>
      <c r="AY130" s="28">
        <f t="shared" si="784"/>
        <v>0.12664048409421161</v>
      </c>
      <c r="AZ130" s="28">
        <f t="shared" si="784"/>
        <v>0.12664048409421161</v>
      </c>
      <c r="BA130" s="28">
        <f t="shared" si="784"/>
        <v>0.12664048409421161</v>
      </c>
      <c r="BB130" s="28">
        <f t="shared" si="784"/>
        <v>0.12664048409421161</v>
      </c>
      <c r="BC130" s="28">
        <f t="shared" si="784"/>
        <v>0.12664048409421161</v>
      </c>
      <c r="BD130" s="28">
        <f t="shared" si="784"/>
        <v>0.12664048409421161</v>
      </c>
      <c r="BE130" s="28">
        <f t="shared" ref="BE130:BF130" si="785">+SUMPRODUCT($G$131:$G$133,BE131:BE133)</f>
        <v>0.12664048409421161</v>
      </c>
      <c r="BF130" s="28">
        <f t="shared" si="785"/>
        <v>0.12664048409421161</v>
      </c>
      <c r="BG130" s="161">
        <f t="shared" ref="BG130:BH130" si="786">+SUMPRODUCT($G$131:$G$133,BG131:BG133)</f>
        <v>0.12664048409421161</v>
      </c>
      <c r="BH130" s="161">
        <f t="shared" si="786"/>
        <v>0.12664048409421161</v>
      </c>
      <c r="BI130" s="28">
        <f t="shared" ref="BI130:BJ130" si="787">+SUMPRODUCT($G$131:$G$133,BI131:BI133)</f>
        <v>0.12664048409421161</v>
      </c>
      <c r="BJ130" s="28">
        <f t="shared" si="787"/>
        <v>0.12664048409421161</v>
      </c>
      <c r="BK130" s="28">
        <f t="shared" ref="BK130:BL130" si="788">+SUMPRODUCT($G$131:$G$133,BK131:BK133)</f>
        <v>0.12664048409421161</v>
      </c>
      <c r="BL130" s="28">
        <f t="shared" si="788"/>
        <v>0.12664048409421161</v>
      </c>
      <c r="BM130" s="28">
        <f t="shared" ref="BM130:BN130" si="789">+SUMPRODUCT($G$131:$G$133,BM131:BM133)</f>
        <v>0.12664048409421161</v>
      </c>
      <c r="BN130" s="28">
        <f t="shared" si="789"/>
        <v>0.12664048409421161</v>
      </c>
      <c r="BO130" s="28">
        <f t="shared" ref="BO130:BP130" si="790">+SUMPRODUCT($G$131:$G$133,BO131:BO133)</f>
        <v>0.12664048409421161</v>
      </c>
      <c r="BP130" s="28">
        <f t="shared" si="790"/>
        <v>0.12664048409421161</v>
      </c>
      <c r="BQ130" s="28">
        <f t="shared" ref="BQ130:BR130" si="791">+SUMPRODUCT($G$131:$G$133,BQ131:BQ133)</f>
        <v>0.12664048409421161</v>
      </c>
      <c r="BR130" s="28">
        <f t="shared" si="791"/>
        <v>0.12664048409421161</v>
      </c>
      <c r="BS130" s="28">
        <f t="shared" ref="BS130:BT130" si="792">+SUMPRODUCT($G$131:$G$133,BS131:BS133)</f>
        <v>0.12664048409421161</v>
      </c>
      <c r="BT130" s="28">
        <f t="shared" si="792"/>
        <v>0.12664048409421161</v>
      </c>
      <c r="BU130" s="28">
        <f t="shared" ref="BU130:BV130" si="793">+SUMPRODUCT($G$131:$G$133,BU131:BU133)</f>
        <v>0.12664048409421161</v>
      </c>
      <c r="BV130" s="28">
        <f t="shared" si="793"/>
        <v>0.15842885113580757</v>
      </c>
      <c r="BW130" s="28">
        <f t="shared" ref="BW130:BX130" si="794">+SUMPRODUCT($G$131:$G$133,BW131:BW133)</f>
        <v>0.15842885113580757</v>
      </c>
      <c r="BX130" s="28">
        <f t="shared" si="794"/>
        <v>0.15842885113580757</v>
      </c>
      <c r="BY130" s="28">
        <f t="shared" ref="BY130:BZ130" si="795">+SUMPRODUCT($G$131:$G$133,BY131:BY133)</f>
        <v>0.16079207694225917</v>
      </c>
      <c r="BZ130" s="28">
        <f t="shared" si="795"/>
        <v>0.16079207694225917</v>
      </c>
      <c r="CA130" s="28">
        <f t="shared" ref="CA130:CB130" si="796">+SUMPRODUCT($G$131:$G$133,CA131:CA133)</f>
        <v>0.16079207694225917</v>
      </c>
      <c r="CB130" s="28">
        <f t="shared" si="796"/>
        <v>0.16079207694225917</v>
      </c>
      <c r="CC130" s="28">
        <f t="shared" ref="CC130:CD130" si="797">+SUMPRODUCT($G$131:$G$133,CC131:CC133)</f>
        <v>0.16079207694225917</v>
      </c>
      <c r="CD130" s="28">
        <f t="shared" si="797"/>
        <v>0.16079207694225917</v>
      </c>
      <c r="CE130" s="28">
        <f t="shared" ref="CE130" si="798">+SUMPRODUCT($G$131:$G$133,CE131:CE133)</f>
        <v>0.16079207694225917</v>
      </c>
      <c r="CF130" s="28">
        <f t="shared" ref="CF130" si="799">+SUMPRODUCT($G$131:$G$133,CF131:CF133)</f>
        <v>0.16079207694225917</v>
      </c>
      <c r="CG130" s="28">
        <f t="shared" ref="CG130" si="800">+SUMPRODUCT($G$131:$G$133,CG131:CG133)</f>
        <v>0.16079207694225917</v>
      </c>
      <c r="CH130" s="28">
        <f t="shared" ref="CH130" si="801">+SUMPRODUCT($G$131:$G$133,CH131:CH133)</f>
        <v>0.16079207694225917</v>
      </c>
      <c r="CI130" s="28">
        <f t="shared" ref="CI130" si="802">+SUMPRODUCT($G$131:$G$133,CI131:CI133)</f>
        <v>0.16079207694225917</v>
      </c>
      <c r="CJ130" s="28">
        <f t="shared" ref="CJ130:CK130" si="803">+SUMPRODUCT($G$131:$G$133,CJ131:CJ133)</f>
        <v>0.16079207694225917</v>
      </c>
      <c r="CK130" s="28">
        <f t="shared" si="803"/>
        <v>0.16079207694225917</v>
      </c>
      <c r="CL130" s="28">
        <f t="shared" ref="CL130:CV130" si="804">+SUMPRODUCT($G$131:$G$133,CL131:CL133)</f>
        <v>0.16079207694225917</v>
      </c>
      <c r="CM130" s="28">
        <f t="shared" si="804"/>
        <v>0.16079207694225917</v>
      </c>
      <c r="CN130" s="28">
        <f t="shared" si="804"/>
        <v>0.16079207694225917</v>
      </c>
      <c r="CO130" s="28">
        <f t="shared" si="804"/>
        <v>0.16079207694225917</v>
      </c>
      <c r="CP130" s="28">
        <f t="shared" si="804"/>
        <v>0.16079207694225917</v>
      </c>
      <c r="CQ130" s="28">
        <f t="shared" si="804"/>
        <v>0.16079207694225917</v>
      </c>
      <c r="CR130" s="28">
        <f t="shared" si="804"/>
        <v>0.23405833886594815</v>
      </c>
      <c r="CS130" s="28">
        <f t="shared" si="804"/>
        <v>0.23405833886594815</v>
      </c>
      <c r="CT130" s="28">
        <f t="shared" si="804"/>
        <v>0.23991612434312179</v>
      </c>
      <c r="CU130" s="28">
        <f t="shared" si="804"/>
        <v>0.24382131466123758</v>
      </c>
      <c r="CV130" s="28">
        <f t="shared" si="804"/>
        <v>0.24577390982029546</v>
      </c>
      <c r="CW130" s="28">
        <f t="shared" ref="CW130" si="805">+SUMPRODUCT($G$131:$G$133,CW131:CW133)</f>
        <v>0.24577390982029546</v>
      </c>
      <c r="CX130" s="28">
        <f t="shared" ref="CX130:CY130" si="806">+SUMPRODUCT($G$131:$G$133,CX131:CX133)</f>
        <v>0.25163169529746909</v>
      </c>
      <c r="CY130" s="28">
        <f t="shared" si="806"/>
        <v>0.25553688561558485</v>
      </c>
      <c r="CZ130" s="28">
        <f t="shared" ref="CZ130:DA130" si="807">+SUMPRODUCT($G$131:$G$133,CZ131:CZ133)</f>
        <v>0.25553688561558485</v>
      </c>
      <c r="DA130" s="28">
        <f t="shared" si="807"/>
        <v>0.25553688561558485</v>
      </c>
      <c r="DB130" s="28">
        <f t="shared" ref="DB130:DC130" si="808">+SUMPRODUCT($G$131:$G$133,DB131:DB133)</f>
        <v>0.25553688561558485</v>
      </c>
      <c r="DC130" s="28">
        <f t="shared" si="808"/>
        <v>0.25553688561558485</v>
      </c>
      <c r="DD130" s="28">
        <f t="shared" ref="DD130:DE130" si="809">+SUMPRODUCT($G$131:$G$133,DD131:DD133)</f>
        <v>0.25553688561558485</v>
      </c>
      <c r="DE130" s="28">
        <f t="shared" si="809"/>
        <v>0.25553688561558485</v>
      </c>
      <c r="DF130" s="28">
        <f t="shared" ref="DF130:EI130" si="810">+SUMPRODUCT($G$131:$G$133,DF131:DF133)</f>
        <v>0.25553688561558485</v>
      </c>
      <c r="DG130" s="28">
        <f t="shared" si="810"/>
        <v>0.25553688561558485</v>
      </c>
      <c r="DH130" s="28">
        <f t="shared" si="810"/>
        <v>0.25553688561558485</v>
      </c>
      <c r="DI130" s="28">
        <f t="shared" si="810"/>
        <v>0.25553688561558485</v>
      </c>
      <c r="DJ130" s="28">
        <f t="shared" si="810"/>
        <v>0.16079207694225917</v>
      </c>
      <c r="DK130" s="28">
        <f t="shared" si="810"/>
        <v>0.16079207694225917</v>
      </c>
      <c r="DL130" s="28">
        <f t="shared" si="810"/>
        <v>0.16079207694225917</v>
      </c>
      <c r="DM130" s="28">
        <f t="shared" si="810"/>
        <v>0.16079207694225917</v>
      </c>
      <c r="DN130" s="28">
        <f t="shared" si="810"/>
        <v>0.16079207694225917</v>
      </c>
      <c r="DO130" s="28">
        <f t="shared" si="810"/>
        <v>0.16079207694225917</v>
      </c>
      <c r="DP130" s="28">
        <f t="shared" si="810"/>
        <v>0.16079207694225917</v>
      </c>
      <c r="DQ130" s="28">
        <f t="shared" si="810"/>
        <v>0.16079207694225917</v>
      </c>
      <c r="DR130" s="28">
        <f t="shared" si="810"/>
        <v>0.16079207694225917</v>
      </c>
      <c r="DS130" s="28">
        <f t="shared" si="810"/>
        <v>0.16079207694225917</v>
      </c>
      <c r="DT130" s="28">
        <f t="shared" si="810"/>
        <v>0.16079207694225917</v>
      </c>
      <c r="DU130" s="28">
        <f t="shared" si="810"/>
        <v>0.16079207694225917</v>
      </c>
      <c r="DV130" s="28">
        <f t="shared" si="810"/>
        <v>0.16079207694225917</v>
      </c>
      <c r="DW130" s="28">
        <f t="shared" si="810"/>
        <v>0.16079207694225917</v>
      </c>
      <c r="DX130" s="28">
        <f t="shared" si="810"/>
        <v>0.16079207694225917</v>
      </c>
      <c r="DY130" s="28">
        <f t="shared" si="810"/>
        <v>0.16079207694225917</v>
      </c>
      <c r="DZ130" s="28">
        <f t="shared" si="810"/>
        <v>0.16079207694225917</v>
      </c>
      <c r="EA130" s="28">
        <f t="shared" si="810"/>
        <v>0.16079207694225917</v>
      </c>
      <c r="EB130" s="28">
        <f t="shared" si="810"/>
        <v>0.16079207694225917</v>
      </c>
      <c r="EC130" s="28">
        <f t="shared" si="810"/>
        <v>0.16079207694225917</v>
      </c>
      <c r="ED130" s="28">
        <f t="shared" si="810"/>
        <v>0.16079207694225917</v>
      </c>
      <c r="EE130" s="28">
        <f t="shared" si="810"/>
        <v>0.16079207694225917</v>
      </c>
      <c r="EF130" s="28">
        <f t="shared" si="810"/>
        <v>0.16079207694225917</v>
      </c>
      <c r="EG130" s="28">
        <f t="shared" si="810"/>
        <v>0.16079207694225917</v>
      </c>
      <c r="EH130" s="28">
        <f t="shared" si="810"/>
        <v>0.16079207694225917</v>
      </c>
      <c r="EI130" s="28">
        <f t="shared" si="810"/>
        <v>0.25553688561558485</v>
      </c>
    </row>
    <row r="131" spans="2:142" hidden="1" outlineLevel="3" x14ac:dyDescent="0.3">
      <c r="B131" s="29"/>
      <c r="C131" s="30"/>
      <c r="D131" s="30"/>
      <c r="E131" s="52" t="s">
        <v>134</v>
      </c>
      <c r="F131" s="33">
        <v>15</v>
      </c>
      <c r="G131" s="35">
        <v>0.222</v>
      </c>
      <c r="H131" s="162"/>
      <c r="I131" s="127">
        <v>0</v>
      </c>
      <c r="J131" s="127">
        <v>0</v>
      </c>
      <c r="K131" s="127">
        <v>0</v>
      </c>
      <c r="L131" s="127">
        <v>0</v>
      </c>
      <c r="M131" s="128">
        <v>0</v>
      </c>
      <c r="N131" s="128">
        <v>0</v>
      </c>
      <c r="O131" s="127">
        <v>0</v>
      </c>
      <c r="P131" s="127">
        <v>0</v>
      </c>
      <c r="Q131" s="127">
        <v>0</v>
      </c>
      <c r="R131" s="127">
        <v>0</v>
      </c>
      <c r="S131" s="127">
        <v>0</v>
      </c>
      <c r="T131" s="127">
        <v>0</v>
      </c>
      <c r="U131" s="127">
        <v>0</v>
      </c>
      <c r="V131" s="127">
        <v>0</v>
      </c>
      <c r="W131" s="127">
        <v>0</v>
      </c>
      <c r="X131" s="127">
        <v>0</v>
      </c>
      <c r="Y131" s="127">
        <v>0</v>
      </c>
      <c r="Z131" s="127">
        <v>0</v>
      </c>
      <c r="AA131" s="127">
        <v>0</v>
      </c>
      <c r="AB131" s="127">
        <v>0</v>
      </c>
      <c r="AC131" s="127">
        <v>0</v>
      </c>
      <c r="AD131" s="127">
        <v>0</v>
      </c>
      <c r="AE131" s="127">
        <v>0</v>
      </c>
      <c r="AF131" s="127">
        <v>0</v>
      </c>
      <c r="AG131" s="127">
        <v>0</v>
      </c>
      <c r="AH131" s="127">
        <v>0.25</v>
      </c>
      <c r="AI131" s="127">
        <v>0.25</v>
      </c>
      <c r="AJ131" s="127">
        <v>0.25</v>
      </c>
      <c r="AK131" s="127">
        <v>0.3</v>
      </c>
      <c r="AL131" s="127">
        <v>0.35</v>
      </c>
      <c r="AM131" s="127">
        <v>0.35</v>
      </c>
      <c r="AN131" s="127">
        <v>0.4</v>
      </c>
      <c r="AO131" s="127">
        <v>0.42</v>
      </c>
      <c r="AP131" s="127">
        <v>0.44</v>
      </c>
      <c r="AQ131" s="127">
        <v>0.44</v>
      </c>
      <c r="AR131" s="127">
        <v>0.44</v>
      </c>
      <c r="AS131" s="127">
        <v>0.44</v>
      </c>
      <c r="AT131" s="127">
        <v>0.44</v>
      </c>
      <c r="AU131" s="127">
        <v>0.44</v>
      </c>
      <c r="AV131" s="127">
        <v>0.45</v>
      </c>
      <c r="AW131" s="127">
        <v>0.45</v>
      </c>
      <c r="AX131" s="127">
        <v>0.45</v>
      </c>
      <c r="AY131" s="127">
        <v>0.45</v>
      </c>
      <c r="AZ131" s="127">
        <v>0.45</v>
      </c>
      <c r="BA131" s="127">
        <v>0.45</v>
      </c>
      <c r="BB131" s="127">
        <f>Real[[#This Row],[05/05/25]]+(1-Real[[#This Row],[05/05/25]])*'Avance 39'!I85</f>
        <v>0.45</v>
      </c>
      <c r="BC131" s="127">
        <f>Real[[#This Row],[05/05/25]]+(1-Real[[#This Row],[05/05/25]])*'Avance 39'!J85</f>
        <v>0.45</v>
      </c>
      <c r="BD131" s="127">
        <f>Real[[#This Row],[05/05/25]]+(1-Real[[#This Row],[05/05/25]])*'Avance 39'!K85</f>
        <v>0.45</v>
      </c>
      <c r="BE131" s="127">
        <f>Real[[#This Row],[05/05/25]]+(1-Real[[#This Row],[05/05/25]])*'Avance 39'!L85</f>
        <v>0.45</v>
      </c>
      <c r="BF131" s="127">
        <f>Real[[#This Row],[05/05/25]]+(1-Real[[#This Row],[05/05/25]])*'Avance 39'!M85</f>
        <v>0.45</v>
      </c>
      <c r="BG131" s="163">
        <f>Real[[#This Row],[05/05/25]]+(1-Real[[#This Row],[05/05/25]])*'Avance 39'!N85</f>
        <v>0.45</v>
      </c>
      <c r="BH131" s="163">
        <f>Real[[#This Row],[05/05/25]]+(1-Real[[#This Row],[05/05/25]])*'Avance 39'!O85</f>
        <v>0.45</v>
      </c>
      <c r="BI131" s="127">
        <f>Real[[#This Row],[05/05/25]]+(1-Real[[#This Row],[05/05/25]])*'Avance 39'!P85</f>
        <v>0.45</v>
      </c>
      <c r="BJ131" s="127">
        <f>Real[[#This Row],[05/05/25]]+(1-Real[[#This Row],[05/05/25]])*'Avance 39'!Q85</f>
        <v>0.45</v>
      </c>
      <c r="BK131" s="127">
        <f>Real[[#This Row],[05/05/25]]+(1-Real[[#This Row],[05/05/25]])*'Avance 39'!R85</f>
        <v>0.45</v>
      </c>
      <c r="BL131" s="127">
        <f>Real[[#This Row],[05/05/25]]+(1-Real[[#This Row],[05/05/25]])*'Avance 39'!S85</f>
        <v>0.45</v>
      </c>
      <c r="BM131" s="127">
        <f>Real[[#This Row],[05/05/25]]+(1-Real[[#This Row],[05/05/25]])*'Avance 39'!T85</f>
        <v>0.45</v>
      </c>
      <c r="BN131" s="127">
        <f>Real[[#This Row],[05/05/25]]+(1-Real[[#This Row],[05/05/25]])*'Avance 39'!U85</f>
        <v>0.45</v>
      </c>
      <c r="BO131" s="127">
        <f>Real[[#This Row],[05/05/25]]+(1-Real[[#This Row],[05/05/25]])*'Avance 39'!V85</f>
        <v>0.45</v>
      </c>
      <c r="BP131" s="127">
        <f>Real[[#This Row],[05/05/25]]+(1-Real[[#This Row],[05/05/25]])*'Avance 39'!W85</f>
        <v>0.45</v>
      </c>
      <c r="BQ131" s="127">
        <f>Real[[#This Row],[05/05/25]]+(1-Real[[#This Row],[05/05/25]])*'Avance 39'!X85</f>
        <v>0.45</v>
      </c>
      <c r="BR131" s="127">
        <f>Real[[#This Row],[05/05/25]]+(1-Real[[#This Row],[05/05/25]])*'Avance 39'!Y85</f>
        <v>0.45</v>
      </c>
      <c r="BS131" s="127">
        <f>Real[[#This Row],[05/05/25]]+(1-Real[[#This Row],[05/05/25]])*'Avance 39'!Z85</f>
        <v>0.45</v>
      </c>
      <c r="BT131" s="127">
        <f>Real[[#This Row],[05/05/25]]+(1-Real[[#This Row],[05/05/25]])*'Avance 39'!AA85</f>
        <v>0.45</v>
      </c>
      <c r="BU131" s="127">
        <f>Real[[#This Row],[05/05/25]]+(1-Real[[#This Row],[05/05/25]])*'Avance 39'!AB85</f>
        <v>0.45</v>
      </c>
      <c r="BV131" s="127">
        <f>Real[[#This Row],[05/05/25]]+(1-Real[[#This Row],[05/05/25]])*'Avance 39'!AC85</f>
        <v>0.59319084252971144</v>
      </c>
      <c r="BW131" s="127">
        <f>Real[[#This Row],[05/05/25]]+(1-Real[[#This Row],[05/05/25]])*'Avance 39'!AD85</f>
        <v>0.59319084252971144</v>
      </c>
      <c r="BX131" s="127">
        <f>Real[[#This Row],[05/05/25]]+(1-Real[[#This Row],[05/05/25]])*'Avance 39'!AE85</f>
        <v>0.59319084252971144</v>
      </c>
      <c r="BY131" s="127">
        <f>Real[[#This Row],[05/05/25]]+(1-Real[[#This Row],[05/05/25]])*'Avance 39'!AF85</f>
        <v>0.603836003820034</v>
      </c>
      <c r="BZ131" s="127">
        <f>Real[[#This Row],[05/05/25]]+(1-Real[[#This Row],[05/05/25]])*'Avance 39'!AG85</f>
        <v>0.603836003820034</v>
      </c>
      <c r="CA131" s="127">
        <f>Real[[#This Row],[05/05/25]]+(1-Real[[#This Row],[05/05/25]])*'Avance 39'!AH85</f>
        <v>0.603836003820034</v>
      </c>
      <c r="CB131" s="127">
        <f>Real[[#This Row],[05/05/25]]+(1-Real[[#This Row],[05/05/25]])*'Avance 39'!AI85</f>
        <v>0.603836003820034</v>
      </c>
      <c r="CC131" s="127">
        <f>Real[[#This Row],[05/05/25]]+(1-Real[[#This Row],[05/05/25]])*'Avance 39'!AJ85</f>
        <v>0.603836003820034</v>
      </c>
      <c r="CD131" s="127">
        <f>Real[[#This Row],[05/05/25]]+(1-Real[[#This Row],[05/05/25]])*'Avance 39'!AK85</f>
        <v>0.603836003820034</v>
      </c>
      <c r="CE131" s="127">
        <f>Real[[#This Row],[05/05/25]]+(1-Real[[#This Row],[05/05/25]])*'Avance 39'!AL85</f>
        <v>0.603836003820034</v>
      </c>
      <c r="CF131" s="127">
        <f>Real[[#This Row],[05/05/25]]+(1-Real[[#This Row],[05/05/25]])*'Avance 39'!AM85</f>
        <v>0.603836003820034</v>
      </c>
      <c r="CG131" s="127">
        <f>Real[[#This Row],[05/05/25]]+(1-Real[[#This Row],[05/05/25]])*'Avance 39'!AN85</f>
        <v>0.603836003820034</v>
      </c>
      <c r="CH131" s="127">
        <f>Real[[#This Row],[05/05/25]]+(1-Real[[#This Row],[05/05/25]])*'Avance 39'!AO85</f>
        <v>0.603836003820034</v>
      </c>
      <c r="CI131" s="127">
        <f>Real[[#This Row],[05/05/25]]+(1-Real[[#This Row],[05/05/25]])*'Avance 39'!AP85</f>
        <v>0.603836003820034</v>
      </c>
      <c r="CJ131" s="127">
        <f>Real[[#This Row],[05/05/25]]+(1-Real[[#This Row],[05/05/25]])*'Avance 39'!AQ85</f>
        <v>0.603836003820034</v>
      </c>
      <c r="CK131" s="127">
        <f>Real[[#This Row],[05/05/25]]+(1-Real[[#This Row],[05/05/25]])*'Avance 39'!AR85</f>
        <v>0.603836003820034</v>
      </c>
      <c r="CL131" s="127">
        <f>Real[[#This Row],[05/05/25]]+(1-Real[[#This Row],[05/05/25]])*'Avance 39'!AS85</f>
        <v>0.603836003820034</v>
      </c>
      <c r="CM131" s="127">
        <f>Real[[#This Row],[05/05/25]]+(1-Real[[#This Row],[05/05/25]])*'Avance 39'!AT85</f>
        <v>0.603836003820034</v>
      </c>
      <c r="CN131" s="127">
        <f>Real[[#This Row],[05/05/25]]+(1-Real[[#This Row],[05/05/25]])*'Avance 39'!AU85</f>
        <v>0.603836003820034</v>
      </c>
      <c r="CO131" s="127">
        <f>Real[[#This Row],[05/05/25]]+(1-Real[[#This Row],[05/05/25]])*'Avance 39'!AV85</f>
        <v>0.603836003820034</v>
      </c>
      <c r="CP131" s="127">
        <f>Real[[#This Row],[05/05/25]]+(1-Real[[#This Row],[05/05/25]])*'Avance 39'!AW85</f>
        <v>0.603836003820034</v>
      </c>
      <c r="CQ131" s="127">
        <f>Real[[#This Row],[05/05/25]]+(1-Real[[#This Row],[05/05/25]])*'Avance 39'!AX85</f>
        <v>0.603836003820034</v>
      </c>
      <c r="CR131" s="127">
        <f>Real[[#This Row],[05/05/25]]+(1-Real[[#This Row],[05/05/25]])*'Avance 39'!AY85</f>
        <v>0.67</v>
      </c>
      <c r="CS131" s="127">
        <f>Real[[#This Row],[05/05/25]]+(1-Real[[#This Row],[05/05/25]])*'Avance 39'!AZ85</f>
        <v>0.67</v>
      </c>
      <c r="CT131" s="127">
        <f>Real[[#This Row],[05/05/25]]+(1-Real[[#This Row],[05/05/25]])*'Avance 39'!BA85</f>
        <v>0.67</v>
      </c>
      <c r="CU131" s="127">
        <f>Real[[#This Row],[05/05/25]]+(1-Real[[#This Row],[05/05/25]])*'Avance 39'!BB85</f>
        <v>0.67</v>
      </c>
      <c r="CV131" s="127">
        <f>Real[[#This Row],[05/05/25]]+(1-Real[[#This Row],[05/05/25]])*'Avance 39'!BC85</f>
        <v>0.67</v>
      </c>
      <c r="CW131" s="127">
        <f>Real[[#This Row],[05/05/25]]+(1-Real[[#This Row],[05/05/25]])*'Avance 39'!BD85</f>
        <v>0.67</v>
      </c>
      <c r="CX131" s="127">
        <f>Real[[#This Row],[05/05/25]]+(1-Real[[#This Row],[05/05/25]])*'Avance 39'!BE85</f>
        <v>0.67</v>
      </c>
      <c r="CY131" s="127">
        <f>Real[[#This Row],[05/05/25]]+(1-Real[[#This Row],[05/05/25]])*'Avance 39'!BF85</f>
        <v>0.67</v>
      </c>
      <c r="CZ131" s="127">
        <f>Real[[#This Row],[05/05/25]]+(1-Real[[#This Row],[05/05/25]])*'Avance 39'!BG85</f>
        <v>0.67</v>
      </c>
      <c r="DA131" s="127">
        <f>Real[[#This Row],[05/05/25]]+(1-Real[[#This Row],[05/05/25]])*'Avance 39'!BH85</f>
        <v>0.67</v>
      </c>
      <c r="DB131" s="127">
        <f>Real[[#This Row],[05/05/25]]+(1-Real[[#This Row],[05/05/25]])*'Avance 39'!BI85</f>
        <v>0.67</v>
      </c>
      <c r="DC131" s="127">
        <f>Real[[#This Row],[05/05/25]]+(1-Real[[#This Row],[05/05/25]])*'Avance 39'!BJ85</f>
        <v>0.67</v>
      </c>
      <c r="DD131" s="127">
        <f>Real[[#This Row],[05/05/25]]+(1-Real[[#This Row],[05/05/25]])*'Avance 39'!BK85</f>
        <v>0.67</v>
      </c>
      <c r="DE131" s="127">
        <f>Real[[#This Row],[05/05/25]]+(1-Real[[#This Row],[05/05/25]])*'Avance 39'!BL85</f>
        <v>0.67</v>
      </c>
      <c r="DF131" s="127">
        <f>Real[[#This Row],[05/05/25]]+(1-Real[[#This Row],[05/05/25]])*'Avance 39'!BM85</f>
        <v>0.67</v>
      </c>
      <c r="DG131" s="127">
        <f>Real[[#This Row],[05/05/25]]+(1-Real[[#This Row],[05/05/25]])*'Avance 39'!BN85</f>
        <v>0.67</v>
      </c>
      <c r="DH131" s="127">
        <f>Real[[#This Row],[05/05/25]]+(1-Real[[#This Row],[05/05/25]])*'Avance 39'!BO85</f>
        <v>0.67</v>
      </c>
      <c r="DI131" s="127">
        <f>Real[[#This Row],[05/05/25]]+(1-Real[[#This Row],[05/05/25]])*'Avance 39'!BP85</f>
        <v>0.67</v>
      </c>
      <c r="DJ131" s="127">
        <f>Real[[#This Row],[05/05/25]]+(1-Real[[#This Row],[05/05/25]])*'Avance 39'!BQ85</f>
        <v>0.603836003820034</v>
      </c>
      <c r="DK131" s="127">
        <f>Real[[#This Row],[05/05/25]]+(1-Real[[#This Row],[05/05/25]])*'Avance 39'!BR85</f>
        <v>0.603836003820034</v>
      </c>
      <c r="DL131" s="127">
        <f>Real[[#This Row],[05/05/25]]+(1-Real[[#This Row],[05/05/25]])*'Avance 39'!BS85</f>
        <v>0.603836003820034</v>
      </c>
      <c r="DM131" s="127">
        <f>Real[[#This Row],[05/05/25]]+(1-Real[[#This Row],[05/05/25]])*'Avance 39'!BT85</f>
        <v>0.603836003820034</v>
      </c>
      <c r="DN131" s="127">
        <f>Real[[#This Row],[05/05/25]]+(1-Real[[#This Row],[05/05/25]])*'Avance 39'!BU85</f>
        <v>0.603836003820034</v>
      </c>
      <c r="DO131" s="127">
        <f>Real[[#This Row],[05/05/25]]+(1-Real[[#This Row],[05/05/25]])*'Avance 39'!BV85</f>
        <v>0.603836003820034</v>
      </c>
      <c r="DP131" s="127">
        <f>Real[[#This Row],[05/05/25]]+(1-Real[[#This Row],[05/05/25]])*'Avance 39'!BW85</f>
        <v>0.603836003820034</v>
      </c>
      <c r="DQ131" s="127">
        <f>Real[[#This Row],[05/05/25]]+(1-Real[[#This Row],[05/05/25]])*'Avance 39'!BX85</f>
        <v>0.603836003820034</v>
      </c>
      <c r="DR131" s="127">
        <f>Real[[#This Row],[05/05/25]]+(1-Real[[#This Row],[05/05/25]])*'Avance 39'!BY85</f>
        <v>0.603836003820034</v>
      </c>
      <c r="DS131" s="127">
        <f>Real[[#This Row],[05/05/25]]+(1-Real[[#This Row],[05/05/25]])*'Avance 39'!BZ85</f>
        <v>0.603836003820034</v>
      </c>
      <c r="DT131" s="127">
        <f>Real[[#This Row],[05/05/25]]+(1-Real[[#This Row],[05/05/25]])*'Avance 39'!CA85</f>
        <v>0.603836003820034</v>
      </c>
      <c r="DU131" s="127">
        <f>Real[[#This Row],[05/05/25]]+(1-Real[[#This Row],[05/05/25]])*'Avance 39'!CB85</f>
        <v>0.603836003820034</v>
      </c>
      <c r="DV131" s="127">
        <f>Real[[#This Row],[05/05/25]]+(1-Real[[#This Row],[05/05/25]])*'Avance 39'!CC85</f>
        <v>0.603836003820034</v>
      </c>
      <c r="DW131" s="127">
        <f>Real[[#This Row],[05/05/25]]+(1-Real[[#This Row],[05/05/25]])*'Avance 39'!CD85</f>
        <v>0.603836003820034</v>
      </c>
      <c r="DX131" s="127">
        <f>Real[[#This Row],[05/05/25]]+(1-Real[[#This Row],[05/05/25]])*'Avance 39'!CE85</f>
        <v>0.603836003820034</v>
      </c>
      <c r="DY131" s="127">
        <f>Real[[#This Row],[05/05/25]]+(1-Real[[#This Row],[05/05/25]])*'Avance 39'!CF85</f>
        <v>0.603836003820034</v>
      </c>
      <c r="DZ131" s="127">
        <f>Real[[#This Row],[05/05/25]]+(1-Real[[#This Row],[05/05/25]])*'Avance 39'!CG85</f>
        <v>0.603836003820034</v>
      </c>
      <c r="EA131" s="127">
        <f>Real[[#This Row],[05/05/25]]+(1-Real[[#This Row],[05/05/25]])*'Avance 39'!CH85</f>
        <v>0.603836003820034</v>
      </c>
      <c r="EB131" s="127">
        <f>Real[[#This Row],[05/05/25]]+(1-Real[[#This Row],[05/05/25]])*'Avance 39'!CI85</f>
        <v>0.603836003820034</v>
      </c>
      <c r="EC131" s="127">
        <f>Real[[#This Row],[05/05/25]]+(1-Real[[#This Row],[05/05/25]])*'Avance 39'!CJ85</f>
        <v>0.603836003820034</v>
      </c>
      <c r="ED131" s="127">
        <f>Real[[#This Row],[05/05/25]]+(1-Real[[#This Row],[05/05/25]])*'Avance 39'!CK85</f>
        <v>0.603836003820034</v>
      </c>
      <c r="EE131" s="127">
        <f>Real[[#This Row],[05/05/25]]+(1-Real[[#This Row],[05/05/25]])*'Avance 39'!CL85</f>
        <v>0.603836003820034</v>
      </c>
      <c r="EF131" s="127">
        <f>Real[[#This Row],[05/05/25]]+(1-Real[[#This Row],[05/05/25]])*'Avance 39'!CM85</f>
        <v>0.603836003820034</v>
      </c>
      <c r="EG131" s="127">
        <f>Real[[#This Row],[05/05/25]]+(1-Real[[#This Row],[05/05/25]])*'Avance 39'!CN85</f>
        <v>0.603836003820034</v>
      </c>
      <c r="EH131" s="127">
        <f>Real[[#This Row],[05/05/25]]+(1-Real[[#This Row],[05/05/25]])*'Avance 39'!CO85</f>
        <v>0.603836003820034</v>
      </c>
      <c r="EI131" s="127">
        <f>Real[[#This Row],[05/05/25]]+(1-Real[[#This Row],[05/05/25]])*'Avance 39'!CP85</f>
        <v>0.67</v>
      </c>
    </row>
    <row r="132" spans="2:142" ht="15" hidden="1" outlineLevel="3" x14ac:dyDescent="0.3">
      <c r="B132" s="29"/>
      <c r="C132" s="30"/>
      <c r="D132" s="30"/>
      <c r="E132" s="52" t="s">
        <v>135</v>
      </c>
      <c r="F132" s="33">
        <v>30</v>
      </c>
      <c r="G132" s="35">
        <v>0.222</v>
      </c>
      <c r="H132" s="162"/>
      <c r="I132" s="127">
        <v>0</v>
      </c>
      <c r="J132" s="127">
        <v>0</v>
      </c>
      <c r="K132" s="127">
        <v>0</v>
      </c>
      <c r="L132" s="127">
        <v>0</v>
      </c>
      <c r="M132" s="128">
        <v>0</v>
      </c>
      <c r="N132" s="128">
        <v>0</v>
      </c>
      <c r="O132" s="127">
        <v>0</v>
      </c>
      <c r="P132" s="127">
        <v>0</v>
      </c>
      <c r="Q132" s="127">
        <v>0</v>
      </c>
      <c r="R132" s="127">
        <v>0</v>
      </c>
      <c r="S132" s="127">
        <v>0</v>
      </c>
      <c r="T132" s="127">
        <v>0</v>
      </c>
      <c r="U132" s="127">
        <v>0</v>
      </c>
      <c r="V132" s="127">
        <v>0</v>
      </c>
      <c r="W132" s="127">
        <v>0</v>
      </c>
      <c r="X132" s="127">
        <v>0</v>
      </c>
      <c r="Y132" s="127">
        <v>0</v>
      </c>
      <c r="Z132" s="127">
        <v>0</v>
      </c>
      <c r="AA132" s="127">
        <v>0</v>
      </c>
      <c r="AB132" s="127">
        <v>0</v>
      </c>
      <c r="AC132" s="127">
        <v>0</v>
      </c>
      <c r="AD132" s="127">
        <v>0</v>
      </c>
      <c r="AE132" s="127">
        <v>0</v>
      </c>
      <c r="AF132" s="127">
        <v>0</v>
      </c>
      <c r="AG132" s="127">
        <v>0</v>
      </c>
      <c r="AH132" s="131">
        <v>0.12045263105500728</v>
      </c>
      <c r="AI132" s="131">
        <v>0.12045263105500728</v>
      </c>
      <c r="AJ132" s="131">
        <v>0.12045263105500728</v>
      </c>
      <c r="AK132" s="131">
        <v>0.12045263105500728</v>
      </c>
      <c r="AL132" s="131">
        <v>0.12045263105500728</v>
      </c>
      <c r="AM132" s="131">
        <v>0.12045263105500728</v>
      </c>
      <c r="AN132" s="131">
        <v>0.12045263105500728</v>
      </c>
      <c r="AO132" s="131">
        <v>0.12045263105500728</v>
      </c>
      <c r="AP132" s="131">
        <v>0.12045263105500728</v>
      </c>
      <c r="AQ132" s="131">
        <v>0.12045263105500728</v>
      </c>
      <c r="AR132" s="131">
        <v>0.12045263105500728</v>
      </c>
      <c r="AS132" s="131">
        <v>0.12045263105500728</v>
      </c>
      <c r="AT132" s="131">
        <v>0.12045263105500728</v>
      </c>
      <c r="AU132" s="131">
        <v>0.12045263105500728</v>
      </c>
      <c r="AV132" s="131">
        <v>0.12045263105500728</v>
      </c>
      <c r="AW132" s="131">
        <v>0.12045263105500728</v>
      </c>
      <c r="AX132" s="131">
        <v>0.12045263105500728</v>
      </c>
      <c r="AY132" s="131">
        <v>0.12045263105500728</v>
      </c>
      <c r="AZ132" s="131">
        <v>0.12045263105500728</v>
      </c>
      <c r="BA132" s="131">
        <v>0.12045263105500728</v>
      </c>
      <c r="BB132" s="127">
        <f>Real[[#This Row],[05/05/25]]+(1-Real[[#This Row],[05/05/25]])*'Avance 39'!I86</f>
        <v>0.12045263105500728</v>
      </c>
      <c r="BC132" s="127">
        <f>Real[[#This Row],[05/05/25]]+(1-Real[[#This Row],[05/05/25]])*'Avance 39'!J86</f>
        <v>0.12045263105500728</v>
      </c>
      <c r="BD132" s="127">
        <f>Real[[#This Row],[05/05/25]]+(1-Real[[#This Row],[05/05/25]])*'Avance 39'!K86</f>
        <v>0.12045263105500728</v>
      </c>
      <c r="BE132" s="127">
        <f>Real[[#This Row],[05/05/25]]+(1-Real[[#This Row],[05/05/25]])*'Avance 39'!L86</f>
        <v>0.12045263105500728</v>
      </c>
      <c r="BF132" s="127">
        <f>Real[[#This Row],[05/05/25]]+(1-Real[[#This Row],[05/05/25]])*'Avance 39'!M86</f>
        <v>0.12045263105500728</v>
      </c>
      <c r="BG132" s="163">
        <f>Real[[#This Row],[05/05/25]]+(1-Real[[#This Row],[05/05/25]])*'Avance 39'!N86</f>
        <v>0.12045263105500728</v>
      </c>
      <c r="BH132" s="163">
        <f>Real[[#This Row],[05/05/25]]+(1-Real[[#This Row],[05/05/25]])*'Avance 39'!O86</f>
        <v>0.12045263105500728</v>
      </c>
      <c r="BI132" s="127">
        <f>Real[[#This Row],[05/05/25]]+(1-Real[[#This Row],[05/05/25]])*'Avance 39'!P86</f>
        <v>0.12045263105500728</v>
      </c>
      <c r="BJ132" s="127">
        <f>Real[[#This Row],[05/05/25]]+(1-Real[[#This Row],[05/05/25]])*'Avance 39'!Q86</f>
        <v>0.12045263105500728</v>
      </c>
      <c r="BK132" s="127">
        <f>Real[[#This Row],[05/05/25]]+(1-Real[[#This Row],[05/05/25]])*'Avance 39'!R86</f>
        <v>0.12045263105500728</v>
      </c>
      <c r="BL132" s="127">
        <f>Real[[#This Row],[05/05/25]]+(1-Real[[#This Row],[05/05/25]])*'Avance 39'!S86</f>
        <v>0.12045263105500728</v>
      </c>
      <c r="BM132" s="127">
        <f>Real[[#This Row],[05/05/25]]+(1-Real[[#This Row],[05/05/25]])*'Avance 39'!T86</f>
        <v>0.12045263105500728</v>
      </c>
      <c r="BN132" s="127">
        <f>Real[[#This Row],[05/05/25]]+(1-Real[[#This Row],[05/05/25]])*'Avance 39'!U86</f>
        <v>0.12045263105500728</v>
      </c>
      <c r="BO132" s="127">
        <f>Real[[#This Row],[05/05/25]]+(1-Real[[#This Row],[05/05/25]])*'Avance 39'!V86</f>
        <v>0.12045263105500728</v>
      </c>
      <c r="BP132" s="127">
        <f>Real[[#This Row],[05/05/25]]+(1-Real[[#This Row],[05/05/25]])*'Avance 39'!W86</f>
        <v>0.12045263105500728</v>
      </c>
      <c r="BQ132" s="127">
        <f>Real[[#This Row],[05/05/25]]+(1-Real[[#This Row],[05/05/25]])*'Avance 39'!X86</f>
        <v>0.12045263105500728</v>
      </c>
      <c r="BR132" s="127">
        <f>Real[[#This Row],[05/05/25]]+(1-Real[[#This Row],[05/05/25]])*'Avance 39'!Y86</f>
        <v>0.12045263105500728</v>
      </c>
      <c r="BS132" s="127">
        <f>Real[[#This Row],[05/05/25]]+(1-Real[[#This Row],[05/05/25]])*'Avance 39'!Z86</f>
        <v>0.12045263105500728</v>
      </c>
      <c r="BT132" s="127">
        <f>Real[[#This Row],[05/05/25]]+(1-Real[[#This Row],[05/05/25]])*'Avance 39'!AA86</f>
        <v>0.12045263105500728</v>
      </c>
      <c r="BU132" s="127">
        <f>Real[[#This Row],[05/05/25]]+(1-Real[[#This Row],[05/05/25]])*'Avance 39'!AB86</f>
        <v>0.12045263105500728</v>
      </c>
      <c r="BV132" s="127">
        <f>Real[[#This Row],[05/05/25]]+(1-Real[[#This Row],[05/05/25]])*'Avance 39'!AC86</f>
        <v>0.12045263105500728</v>
      </c>
      <c r="BW132" s="127">
        <f>Real[[#This Row],[05/05/25]]+(1-Real[[#This Row],[05/05/25]])*'Avance 39'!AD86</f>
        <v>0.12045263105500728</v>
      </c>
      <c r="BX132" s="127">
        <f>Real[[#This Row],[05/05/25]]+(1-Real[[#This Row],[05/05/25]])*'Avance 39'!AE86</f>
        <v>0.12045263105500728</v>
      </c>
      <c r="BY132" s="127">
        <f>Real[[#This Row],[05/05/25]]+(1-Real[[#This Row],[05/05/25]])*'Avance 39'!AF86</f>
        <v>0.12045263105500728</v>
      </c>
      <c r="BZ132" s="127">
        <f>Real[[#This Row],[05/05/25]]+(1-Real[[#This Row],[05/05/25]])*'Avance 39'!AG86</f>
        <v>0.12045263105500728</v>
      </c>
      <c r="CA132" s="127">
        <f>Real[[#This Row],[05/05/25]]+(1-Real[[#This Row],[05/05/25]])*'Avance 39'!AH86</f>
        <v>0.12045263105500728</v>
      </c>
      <c r="CB132" s="127">
        <f>Real[[#This Row],[05/05/25]]+(1-Real[[#This Row],[05/05/25]])*'Avance 39'!AI86</f>
        <v>0.12045263105500728</v>
      </c>
      <c r="CC132" s="127">
        <f>Real[[#This Row],[05/05/25]]+(1-Real[[#This Row],[05/05/25]])*'Avance 39'!AJ86</f>
        <v>0.12045263105500728</v>
      </c>
      <c r="CD132" s="127">
        <f>Real[[#This Row],[05/05/25]]+(1-Real[[#This Row],[05/05/25]])*'Avance 39'!AK86</f>
        <v>0.12045263105500728</v>
      </c>
      <c r="CE132" s="127">
        <f>Real[[#This Row],[05/05/25]]+(1-Real[[#This Row],[05/05/25]])*'Avance 39'!AL86</f>
        <v>0.12045263105500728</v>
      </c>
      <c r="CF132" s="127">
        <f>Real[[#This Row],[05/05/25]]+(1-Real[[#This Row],[05/05/25]])*'Avance 39'!AM86</f>
        <v>0.12045263105500728</v>
      </c>
      <c r="CG132" s="127">
        <f>Real[[#This Row],[05/05/25]]+(1-Real[[#This Row],[05/05/25]])*'Avance 39'!AN86</f>
        <v>0.12045263105500728</v>
      </c>
      <c r="CH132" s="127">
        <f>Real[[#This Row],[05/05/25]]+(1-Real[[#This Row],[05/05/25]])*'Avance 39'!AO86</f>
        <v>0.12045263105500728</v>
      </c>
      <c r="CI132" s="127">
        <f>Real[[#This Row],[05/05/25]]+(1-Real[[#This Row],[05/05/25]])*'Avance 39'!AP86</f>
        <v>0.12045263105500728</v>
      </c>
      <c r="CJ132" s="127">
        <f>Real[[#This Row],[05/05/25]]+(1-Real[[#This Row],[05/05/25]])*'Avance 39'!AQ86</f>
        <v>0.12045263105500728</v>
      </c>
      <c r="CK132" s="127">
        <f>Real[[#This Row],[05/05/25]]+(1-Real[[#This Row],[05/05/25]])*'Avance 39'!AR86</f>
        <v>0.12045263105500728</v>
      </c>
      <c r="CL132" s="127">
        <f>Real[[#This Row],[05/05/25]]+(1-Real[[#This Row],[05/05/25]])*'Avance 39'!AS86</f>
        <v>0.12045263105500728</v>
      </c>
      <c r="CM132" s="127">
        <f>Real[[#This Row],[05/05/25]]+(1-Real[[#This Row],[05/05/25]])*'Avance 39'!AT86</f>
        <v>0.12045263105500728</v>
      </c>
      <c r="CN132" s="127">
        <f>Real[[#This Row],[05/05/25]]+(1-Real[[#This Row],[05/05/25]])*'Avance 39'!AU86</f>
        <v>0.12045263105500728</v>
      </c>
      <c r="CO132" s="127">
        <f>Real[[#This Row],[05/05/25]]+(1-Real[[#This Row],[05/05/25]])*'Avance 39'!AV86</f>
        <v>0.12045263105500728</v>
      </c>
      <c r="CP132" s="127">
        <f>Real[[#This Row],[05/05/25]]+(1-Real[[#This Row],[05/05/25]])*'Avance 39'!AW86</f>
        <v>0.12045263105500728</v>
      </c>
      <c r="CQ132" s="127">
        <f>Real[[#This Row],[05/05/25]]+(1-Real[[#This Row],[05/05/25]])*'Avance 39'!AX86</f>
        <v>0.12045263105500728</v>
      </c>
      <c r="CR132" s="127">
        <f>Real[[#This Row],[05/05/25]]+(1-Real[[#This Row],[05/05/25]])*'Avance 39'!AY86</f>
        <v>0.38431684173850511</v>
      </c>
      <c r="CS132" s="127">
        <f>Real[[#This Row],[05/05/25]]+(1-Real[[#This Row],[05/05/25]])*'Avance 39'!AZ86</f>
        <v>0.38431684173850511</v>
      </c>
      <c r="CT132" s="127">
        <f>Real[[#This Row],[05/05/25]]+(1-Real[[#This Row],[05/05/25]])*'Avance 39'!BA86</f>
        <v>0.41070326280685487</v>
      </c>
      <c r="CU132" s="127">
        <f>Real[[#This Row],[05/05/25]]+(1-Real[[#This Row],[05/05/25]])*'Avance 39'!BB86</f>
        <v>0.42829421018575475</v>
      </c>
      <c r="CV132" s="127">
        <f>Real[[#This Row],[05/05/25]]+(1-Real[[#This Row],[05/05/25]])*'Avance 39'!BC86</f>
        <v>0.43708968387520464</v>
      </c>
      <c r="CW132" s="127">
        <f>Real[[#This Row],[05/05/25]]+(1-Real[[#This Row],[05/05/25]])*'Avance 39'!BD86</f>
        <v>0.43708968387520464</v>
      </c>
      <c r="CX132" s="127">
        <f>Real[[#This Row],[05/05/25]]+(1-Real[[#This Row],[05/05/25]])*'Avance 39'!BE86</f>
        <v>0.46347610494355451</v>
      </c>
      <c r="CY132" s="127">
        <f>Real[[#This Row],[05/05/25]]+(1-Real[[#This Row],[05/05/25]])*'Avance 39'!BF86</f>
        <v>0.48106705232245428</v>
      </c>
      <c r="CZ132" s="127">
        <f>Real[[#This Row],[05/05/25]]+(1-Real[[#This Row],[05/05/25]])*'Avance 39'!BG86</f>
        <v>0.48106705232245428</v>
      </c>
      <c r="DA132" s="127">
        <f>Real[[#This Row],[05/05/25]]+(1-Real[[#This Row],[05/05/25]])*'Avance 39'!BH86</f>
        <v>0.48106705232245428</v>
      </c>
      <c r="DB132" s="127">
        <f>Real[[#This Row],[05/05/25]]+(1-Real[[#This Row],[05/05/25]])*'Avance 39'!BI86</f>
        <v>0.48106705232245428</v>
      </c>
      <c r="DC132" s="127">
        <f>Real[[#This Row],[05/05/25]]+(1-Real[[#This Row],[05/05/25]])*'Avance 39'!BJ86</f>
        <v>0.48106705232245428</v>
      </c>
      <c r="DD132" s="127">
        <f>Real[[#This Row],[05/05/25]]+(1-Real[[#This Row],[05/05/25]])*'Avance 39'!BK86</f>
        <v>0.48106705232245428</v>
      </c>
      <c r="DE132" s="127">
        <f>Real[[#This Row],[05/05/25]]+(1-Real[[#This Row],[05/05/25]])*'Avance 39'!BL86</f>
        <v>0.48106705232245428</v>
      </c>
      <c r="DF132" s="127">
        <f>Real[[#This Row],[05/05/25]]+(1-Real[[#This Row],[05/05/25]])*'Avance 39'!BM86</f>
        <v>0.48106705232245428</v>
      </c>
      <c r="DG132" s="127">
        <f>Real[[#This Row],[05/05/25]]+(1-Real[[#This Row],[05/05/25]])*'Avance 39'!BN86</f>
        <v>0.48106705232245428</v>
      </c>
      <c r="DH132" s="127">
        <f>Real[[#This Row],[05/05/25]]+(1-Real[[#This Row],[05/05/25]])*'Avance 39'!BO86</f>
        <v>0.48106705232245428</v>
      </c>
      <c r="DI132" s="127">
        <f>Real[[#This Row],[05/05/25]]+(1-Real[[#This Row],[05/05/25]])*'Avance 39'!BP86</f>
        <v>0.48106705232245428</v>
      </c>
      <c r="DJ132" s="127">
        <f>Real[[#This Row],[05/05/25]]+(1-Real[[#This Row],[05/05/25]])*'Avance 39'!BQ86</f>
        <v>0.12045263105500728</v>
      </c>
      <c r="DK132" s="127">
        <f>Real[[#This Row],[05/05/25]]+(1-Real[[#This Row],[05/05/25]])*'Avance 39'!BR86</f>
        <v>0.12045263105500728</v>
      </c>
      <c r="DL132" s="127">
        <f>Real[[#This Row],[05/05/25]]+(1-Real[[#This Row],[05/05/25]])*'Avance 39'!BS86</f>
        <v>0.12045263105500728</v>
      </c>
      <c r="DM132" s="127">
        <f>Real[[#This Row],[05/05/25]]+(1-Real[[#This Row],[05/05/25]])*'Avance 39'!BT86</f>
        <v>0.12045263105500728</v>
      </c>
      <c r="DN132" s="127">
        <f>Real[[#This Row],[05/05/25]]+(1-Real[[#This Row],[05/05/25]])*'Avance 39'!BU86</f>
        <v>0.12045263105500728</v>
      </c>
      <c r="DO132" s="127">
        <f>Real[[#This Row],[05/05/25]]+(1-Real[[#This Row],[05/05/25]])*'Avance 39'!BV86</f>
        <v>0.12045263105500728</v>
      </c>
      <c r="DP132" s="127">
        <f>Real[[#This Row],[05/05/25]]+(1-Real[[#This Row],[05/05/25]])*'Avance 39'!BW86</f>
        <v>0.12045263105500728</v>
      </c>
      <c r="DQ132" s="127">
        <f>Real[[#This Row],[05/05/25]]+(1-Real[[#This Row],[05/05/25]])*'Avance 39'!BX86</f>
        <v>0.12045263105500728</v>
      </c>
      <c r="DR132" s="127">
        <f>Real[[#This Row],[05/05/25]]+(1-Real[[#This Row],[05/05/25]])*'Avance 39'!BY86</f>
        <v>0.12045263105500728</v>
      </c>
      <c r="DS132" s="127">
        <f>Real[[#This Row],[05/05/25]]+(1-Real[[#This Row],[05/05/25]])*'Avance 39'!BZ86</f>
        <v>0.12045263105500728</v>
      </c>
      <c r="DT132" s="127">
        <f>Real[[#This Row],[05/05/25]]+(1-Real[[#This Row],[05/05/25]])*'Avance 39'!CA86</f>
        <v>0.12045263105500728</v>
      </c>
      <c r="DU132" s="127">
        <f>Real[[#This Row],[05/05/25]]+(1-Real[[#This Row],[05/05/25]])*'Avance 39'!CB86</f>
        <v>0.12045263105500728</v>
      </c>
      <c r="DV132" s="127">
        <f>Real[[#This Row],[05/05/25]]+(1-Real[[#This Row],[05/05/25]])*'Avance 39'!CC86</f>
        <v>0.12045263105500728</v>
      </c>
      <c r="DW132" s="127">
        <f>Real[[#This Row],[05/05/25]]+(1-Real[[#This Row],[05/05/25]])*'Avance 39'!CD86</f>
        <v>0.12045263105500728</v>
      </c>
      <c r="DX132" s="127">
        <f>Real[[#This Row],[05/05/25]]+(1-Real[[#This Row],[05/05/25]])*'Avance 39'!CE86</f>
        <v>0.12045263105500728</v>
      </c>
      <c r="DY132" s="127">
        <f>Real[[#This Row],[05/05/25]]+(1-Real[[#This Row],[05/05/25]])*'Avance 39'!CF86</f>
        <v>0.12045263105500728</v>
      </c>
      <c r="DZ132" s="127">
        <f>Real[[#This Row],[05/05/25]]+(1-Real[[#This Row],[05/05/25]])*'Avance 39'!CG86</f>
        <v>0.12045263105500728</v>
      </c>
      <c r="EA132" s="127">
        <f>Real[[#This Row],[05/05/25]]+(1-Real[[#This Row],[05/05/25]])*'Avance 39'!CH86</f>
        <v>0.12045263105500728</v>
      </c>
      <c r="EB132" s="127">
        <f>Real[[#This Row],[05/05/25]]+(1-Real[[#This Row],[05/05/25]])*'Avance 39'!CI86</f>
        <v>0.12045263105500728</v>
      </c>
      <c r="EC132" s="127">
        <f>Real[[#This Row],[05/05/25]]+(1-Real[[#This Row],[05/05/25]])*'Avance 39'!CJ86</f>
        <v>0.12045263105500728</v>
      </c>
      <c r="ED132" s="127">
        <f>Real[[#This Row],[05/05/25]]+(1-Real[[#This Row],[05/05/25]])*'Avance 39'!CK86</f>
        <v>0.12045263105500728</v>
      </c>
      <c r="EE132" s="127">
        <f>Real[[#This Row],[05/05/25]]+(1-Real[[#This Row],[05/05/25]])*'Avance 39'!CL86</f>
        <v>0.12045263105500728</v>
      </c>
      <c r="EF132" s="127">
        <f>Real[[#This Row],[05/05/25]]+(1-Real[[#This Row],[05/05/25]])*'Avance 39'!CM86</f>
        <v>0.12045263105500728</v>
      </c>
      <c r="EG132" s="127">
        <f>Real[[#This Row],[05/05/25]]+(1-Real[[#This Row],[05/05/25]])*'Avance 39'!CN86</f>
        <v>0.12045263105500728</v>
      </c>
      <c r="EH132" s="127">
        <f>Real[[#This Row],[05/05/25]]+(1-Real[[#This Row],[05/05/25]])*'Avance 39'!CO86</f>
        <v>0.12045263105500728</v>
      </c>
      <c r="EI132" s="127">
        <f>Real[[#This Row],[05/05/25]]+(1-Real[[#This Row],[05/05/25]])*'Avance 39'!CP86</f>
        <v>0.48106705232245428</v>
      </c>
    </row>
    <row r="133" spans="2:142" hidden="1" outlineLevel="3" x14ac:dyDescent="0.3">
      <c r="B133" s="29"/>
      <c r="C133" s="30"/>
      <c r="D133" s="30"/>
      <c r="E133" s="52" t="s">
        <v>136</v>
      </c>
      <c r="F133" s="33">
        <v>15</v>
      </c>
      <c r="G133" s="35">
        <v>0.55600000000000005</v>
      </c>
      <c r="H133" s="162"/>
      <c r="I133" s="127">
        <v>0</v>
      </c>
      <c r="J133" s="127">
        <v>0</v>
      </c>
      <c r="K133" s="127">
        <v>0</v>
      </c>
      <c r="L133" s="127">
        <v>0</v>
      </c>
      <c r="M133" s="128">
        <v>0</v>
      </c>
      <c r="N133" s="128">
        <v>0</v>
      </c>
      <c r="O133" s="127">
        <v>0</v>
      </c>
      <c r="P133" s="127">
        <v>0</v>
      </c>
      <c r="Q133" s="127">
        <v>0</v>
      </c>
      <c r="R133" s="127">
        <v>0</v>
      </c>
      <c r="S133" s="127">
        <v>0</v>
      </c>
      <c r="T133" s="127">
        <v>0</v>
      </c>
      <c r="U133" s="127">
        <v>0</v>
      </c>
      <c r="V133" s="127">
        <v>0</v>
      </c>
      <c r="W133" s="127">
        <v>0</v>
      </c>
      <c r="X133" s="127">
        <v>0</v>
      </c>
      <c r="Y133" s="127">
        <v>0</v>
      </c>
      <c r="Z133" s="127">
        <v>0</v>
      </c>
      <c r="AA133" s="127">
        <v>0</v>
      </c>
      <c r="AB133" s="127">
        <v>0</v>
      </c>
      <c r="AC133" s="127">
        <v>0</v>
      </c>
      <c r="AD133" s="127">
        <v>0</v>
      </c>
      <c r="AE133" s="127">
        <v>0</v>
      </c>
      <c r="AF133" s="127">
        <v>0</v>
      </c>
      <c r="AG133" s="127">
        <v>0</v>
      </c>
      <c r="AH133" s="127">
        <v>0</v>
      </c>
      <c r="AI133" s="127">
        <v>0</v>
      </c>
      <c r="AJ133" s="127">
        <v>0</v>
      </c>
      <c r="AK133" s="127">
        <v>0</v>
      </c>
      <c r="AL133" s="127">
        <v>0</v>
      </c>
      <c r="AM133" s="127">
        <v>0</v>
      </c>
      <c r="AN133" s="127">
        <v>0</v>
      </c>
      <c r="AO133" s="127">
        <v>0</v>
      </c>
      <c r="AP133" s="127">
        <v>0</v>
      </c>
      <c r="AQ133" s="127">
        <v>0</v>
      </c>
      <c r="AR133" s="127">
        <v>0</v>
      </c>
      <c r="AS133" s="127">
        <v>0</v>
      </c>
      <c r="AT133" s="127">
        <v>0</v>
      </c>
      <c r="AU133" s="127">
        <v>0</v>
      </c>
      <c r="AV133" s="127">
        <v>0</v>
      </c>
      <c r="AW133" s="127">
        <v>0</v>
      </c>
      <c r="AX133" s="127">
        <v>0</v>
      </c>
      <c r="AY133" s="127">
        <v>0</v>
      </c>
      <c r="AZ133" s="127">
        <v>0</v>
      </c>
      <c r="BA133" s="127">
        <v>0</v>
      </c>
      <c r="BB133" s="127">
        <f>Real[[#This Row],[05/05/25]]+(1-Real[[#This Row],[05/05/25]])*'Avance 39'!I87</f>
        <v>0</v>
      </c>
      <c r="BC133" s="127">
        <f>Real[[#This Row],[05/05/25]]+(1-Real[[#This Row],[05/05/25]])*'Avance 39'!J87</f>
        <v>0</v>
      </c>
      <c r="BD133" s="127">
        <f>Real[[#This Row],[05/05/25]]+(1-Real[[#This Row],[05/05/25]])*'Avance 39'!K87</f>
        <v>0</v>
      </c>
      <c r="BE133" s="127">
        <f>Real[[#This Row],[05/05/25]]+(1-Real[[#This Row],[05/05/25]])*'Avance 39'!L87</f>
        <v>0</v>
      </c>
      <c r="BF133" s="127">
        <f>Real[[#This Row],[05/05/25]]+(1-Real[[#This Row],[05/05/25]])*'Avance 39'!M87</f>
        <v>0</v>
      </c>
      <c r="BG133" s="163">
        <f>Real[[#This Row],[05/05/25]]+(1-Real[[#This Row],[05/05/25]])*'Avance 39'!N87</f>
        <v>0</v>
      </c>
      <c r="BH133" s="163">
        <f>Real[[#This Row],[05/05/25]]+(1-Real[[#This Row],[05/05/25]])*'Avance 39'!O87</f>
        <v>0</v>
      </c>
      <c r="BI133" s="127">
        <f>Real[[#This Row],[05/05/25]]+(1-Real[[#This Row],[05/05/25]])*'Avance 39'!P87</f>
        <v>0</v>
      </c>
      <c r="BJ133" s="127">
        <f>Real[[#This Row],[05/05/25]]+(1-Real[[#This Row],[05/05/25]])*'Avance 39'!Q87</f>
        <v>0</v>
      </c>
      <c r="BK133" s="127">
        <f>Real[[#This Row],[05/05/25]]+(1-Real[[#This Row],[05/05/25]])*'Avance 39'!R87</f>
        <v>0</v>
      </c>
      <c r="BL133" s="127">
        <f>Real[[#This Row],[05/05/25]]+(1-Real[[#This Row],[05/05/25]])*'Avance 39'!S87</f>
        <v>0</v>
      </c>
      <c r="BM133" s="127">
        <f>Real[[#This Row],[05/05/25]]+(1-Real[[#This Row],[05/05/25]])*'Avance 39'!T87</f>
        <v>0</v>
      </c>
      <c r="BN133" s="127">
        <f>Real[[#This Row],[05/05/25]]+(1-Real[[#This Row],[05/05/25]])*'Avance 39'!U87</f>
        <v>0</v>
      </c>
      <c r="BO133" s="127">
        <f>Real[[#This Row],[05/05/25]]+(1-Real[[#This Row],[05/05/25]])*'Avance 39'!V87</f>
        <v>0</v>
      </c>
      <c r="BP133" s="127">
        <f>Real[[#This Row],[05/05/25]]+(1-Real[[#This Row],[05/05/25]])*'Avance 39'!W87</f>
        <v>0</v>
      </c>
      <c r="BQ133" s="127">
        <f>Real[[#This Row],[05/05/25]]+(1-Real[[#This Row],[05/05/25]])*'Avance 39'!X87</f>
        <v>0</v>
      </c>
      <c r="BR133" s="127">
        <f>Real[[#This Row],[05/05/25]]+(1-Real[[#This Row],[05/05/25]])*'Avance 39'!Y87</f>
        <v>0</v>
      </c>
      <c r="BS133" s="127">
        <f>Real[[#This Row],[05/05/25]]+(1-Real[[#This Row],[05/05/25]])*'Avance 39'!Z87</f>
        <v>0</v>
      </c>
      <c r="BT133" s="127">
        <f>Real[[#This Row],[05/05/25]]+(1-Real[[#This Row],[05/05/25]])*'Avance 39'!AA87</f>
        <v>0</v>
      </c>
      <c r="BU133" s="127">
        <f>Real[[#This Row],[05/05/25]]+(1-Real[[#This Row],[05/05/25]])*'Avance 39'!AB87</f>
        <v>0</v>
      </c>
      <c r="BV133" s="127">
        <f>Real[[#This Row],[05/05/25]]+(1-Real[[#This Row],[05/05/25]])*'Avance 39'!AC87</f>
        <v>0</v>
      </c>
      <c r="BW133" s="127">
        <f>Real[[#This Row],[05/05/25]]+(1-Real[[#This Row],[05/05/25]])*'Avance 39'!AD87</f>
        <v>0</v>
      </c>
      <c r="BX133" s="127">
        <f>Real[[#This Row],[05/05/25]]+(1-Real[[#This Row],[05/05/25]])*'Avance 39'!AE87</f>
        <v>0</v>
      </c>
      <c r="BY133" s="127">
        <f>Real[[#This Row],[05/05/25]]+(1-Real[[#This Row],[05/05/25]])*'Avance 39'!AF87</f>
        <v>0</v>
      </c>
      <c r="BZ133" s="127">
        <f>Real[[#This Row],[05/05/25]]+(1-Real[[#This Row],[05/05/25]])*'Avance 39'!AG87</f>
        <v>0</v>
      </c>
      <c r="CA133" s="127">
        <f>Real[[#This Row],[05/05/25]]+(1-Real[[#This Row],[05/05/25]])*'Avance 39'!AH87</f>
        <v>0</v>
      </c>
      <c r="CB133" s="127">
        <f>Real[[#This Row],[05/05/25]]+(1-Real[[#This Row],[05/05/25]])*'Avance 39'!AI87</f>
        <v>0</v>
      </c>
      <c r="CC133" s="127">
        <f>Real[[#This Row],[05/05/25]]+(1-Real[[#This Row],[05/05/25]])*'Avance 39'!AJ87</f>
        <v>0</v>
      </c>
      <c r="CD133" s="127">
        <f>Real[[#This Row],[05/05/25]]+(1-Real[[#This Row],[05/05/25]])*'Avance 39'!AK87</f>
        <v>0</v>
      </c>
      <c r="CE133" s="127">
        <f>Real[[#This Row],[05/05/25]]+(1-Real[[#This Row],[05/05/25]])*'Avance 39'!AL87</f>
        <v>0</v>
      </c>
      <c r="CF133" s="127">
        <f>Real[[#This Row],[05/05/25]]+(1-Real[[#This Row],[05/05/25]])*'Avance 39'!AM87</f>
        <v>0</v>
      </c>
      <c r="CG133" s="127">
        <f>Real[[#This Row],[05/05/25]]+(1-Real[[#This Row],[05/05/25]])*'Avance 39'!AN87</f>
        <v>0</v>
      </c>
      <c r="CH133" s="127">
        <f>Real[[#This Row],[05/05/25]]+(1-Real[[#This Row],[05/05/25]])*'Avance 39'!AO87</f>
        <v>0</v>
      </c>
      <c r="CI133" s="127">
        <f>Real[[#This Row],[05/05/25]]+(1-Real[[#This Row],[05/05/25]])*'Avance 39'!AP87</f>
        <v>0</v>
      </c>
      <c r="CJ133" s="127">
        <f>Real[[#This Row],[05/05/25]]+(1-Real[[#This Row],[05/05/25]])*'Avance 39'!AQ87</f>
        <v>0</v>
      </c>
      <c r="CK133" s="127">
        <f>Real[[#This Row],[05/05/25]]+(1-Real[[#This Row],[05/05/25]])*'Avance 39'!AR87</f>
        <v>0</v>
      </c>
      <c r="CL133" s="127">
        <f>Real[[#This Row],[05/05/25]]+(1-Real[[#This Row],[05/05/25]])*'Avance 39'!AS87</f>
        <v>0</v>
      </c>
      <c r="CM133" s="127">
        <f>Real[[#This Row],[05/05/25]]+(1-Real[[#This Row],[05/05/25]])*'Avance 39'!AT87</f>
        <v>0</v>
      </c>
      <c r="CN133" s="127">
        <f>Real[[#This Row],[05/05/25]]+(1-Real[[#This Row],[05/05/25]])*'Avance 39'!AU87</f>
        <v>0</v>
      </c>
      <c r="CO133" s="127">
        <f>Real[[#This Row],[05/05/25]]+(1-Real[[#This Row],[05/05/25]])*'Avance 39'!AV87</f>
        <v>0</v>
      </c>
      <c r="CP133" s="127">
        <f>Real[[#This Row],[05/05/25]]+(1-Real[[#This Row],[05/05/25]])*'Avance 39'!AW87</f>
        <v>0</v>
      </c>
      <c r="CQ133" s="127">
        <f>Real[[#This Row],[05/05/25]]+(1-Real[[#This Row],[05/05/25]])*'Avance 39'!AX87</f>
        <v>0</v>
      </c>
      <c r="CR133" s="127">
        <f>Real[[#This Row],[05/05/25]]+(1-Real[[#This Row],[05/05/25]])*'Avance 39'!AY87</f>
        <v>0</v>
      </c>
      <c r="CS133" s="127">
        <f>Real[[#This Row],[05/05/25]]+(1-Real[[#This Row],[05/05/25]])*'Avance 39'!AZ87</f>
        <v>0</v>
      </c>
      <c r="CT133" s="127">
        <f>Real[[#This Row],[05/05/25]]+(1-Real[[#This Row],[05/05/25]])*'Avance 39'!BA87</f>
        <v>0</v>
      </c>
      <c r="CU133" s="127">
        <f>Real[[#This Row],[05/05/25]]+(1-Real[[#This Row],[05/05/25]])*'Avance 39'!BB87</f>
        <v>0</v>
      </c>
      <c r="CV133" s="127">
        <f>Real[[#This Row],[05/05/25]]+(1-Real[[#This Row],[05/05/25]])*'Avance 39'!BC87</f>
        <v>0</v>
      </c>
      <c r="CW133" s="127">
        <f>Real[[#This Row],[05/05/25]]+(1-Real[[#This Row],[05/05/25]])*'Avance 39'!BD87</f>
        <v>0</v>
      </c>
      <c r="CX133" s="127">
        <f>Real[[#This Row],[05/05/25]]+(1-Real[[#This Row],[05/05/25]])*'Avance 39'!BE87</f>
        <v>0</v>
      </c>
      <c r="CY133" s="127">
        <f>Real[[#This Row],[05/05/25]]+(1-Real[[#This Row],[05/05/25]])*'Avance 39'!BF87</f>
        <v>0</v>
      </c>
      <c r="CZ133" s="127">
        <f>Real[[#This Row],[05/05/25]]+(1-Real[[#This Row],[05/05/25]])*'Avance 39'!BG87</f>
        <v>0</v>
      </c>
      <c r="DA133" s="127">
        <f>Real[[#This Row],[05/05/25]]+(1-Real[[#This Row],[05/05/25]])*'Avance 39'!BH87</f>
        <v>0</v>
      </c>
      <c r="DB133" s="127">
        <f>Real[[#This Row],[05/05/25]]+(1-Real[[#This Row],[05/05/25]])*'Avance 39'!BI87</f>
        <v>0</v>
      </c>
      <c r="DC133" s="127">
        <f>Real[[#This Row],[05/05/25]]+(1-Real[[#This Row],[05/05/25]])*'Avance 39'!BJ87</f>
        <v>0</v>
      </c>
      <c r="DD133" s="127">
        <f>Real[[#This Row],[05/05/25]]+(1-Real[[#This Row],[05/05/25]])*'Avance 39'!BK87</f>
        <v>0</v>
      </c>
      <c r="DE133" s="127">
        <f>Real[[#This Row],[05/05/25]]+(1-Real[[#This Row],[05/05/25]])*'Avance 39'!BL87</f>
        <v>0</v>
      </c>
      <c r="DF133" s="127">
        <f>Real[[#This Row],[05/05/25]]+(1-Real[[#This Row],[05/05/25]])*'Avance 39'!BM87</f>
        <v>0</v>
      </c>
      <c r="DG133" s="127">
        <f>Real[[#This Row],[05/05/25]]+(1-Real[[#This Row],[05/05/25]])*'Avance 39'!BN87</f>
        <v>0</v>
      </c>
      <c r="DH133" s="127">
        <f>Real[[#This Row],[05/05/25]]+(1-Real[[#This Row],[05/05/25]])*'Avance 39'!BO87</f>
        <v>0</v>
      </c>
      <c r="DI133" s="127">
        <f>Real[[#This Row],[05/05/25]]+(1-Real[[#This Row],[05/05/25]])*'Avance 39'!BP87</f>
        <v>0</v>
      </c>
      <c r="DJ133" s="127">
        <f>Real[[#This Row],[05/05/25]]+(1-Real[[#This Row],[05/05/25]])*'Avance 39'!BQ87</f>
        <v>0</v>
      </c>
      <c r="DK133" s="127">
        <f>Real[[#This Row],[05/05/25]]+(1-Real[[#This Row],[05/05/25]])*'Avance 39'!BR87</f>
        <v>0</v>
      </c>
      <c r="DL133" s="127">
        <f>Real[[#This Row],[05/05/25]]+(1-Real[[#This Row],[05/05/25]])*'Avance 39'!BS87</f>
        <v>0</v>
      </c>
      <c r="DM133" s="127">
        <f>Real[[#This Row],[05/05/25]]+(1-Real[[#This Row],[05/05/25]])*'Avance 39'!BT87</f>
        <v>0</v>
      </c>
      <c r="DN133" s="127">
        <f>Real[[#This Row],[05/05/25]]+(1-Real[[#This Row],[05/05/25]])*'Avance 39'!BU87</f>
        <v>0</v>
      </c>
      <c r="DO133" s="127">
        <f>Real[[#This Row],[05/05/25]]+(1-Real[[#This Row],[05/05/25]])*'Avance 39'!BV87</f>
        <v>0</v>
      </c>
      <c r="DP133" s="127">
        <f>Real[[#This Row],[05/05/25]]+(1-Real[[#This Row],[05/05/25]])*'Avance 39'!BW87</f>
        <v>0</v>
      </c>
      <c r="DQ133" s="127">
        <f>Real[[#This Row],[05/05/25]]+(1-Real[[#This Row],[05/05/25]])*'Avance 39'!BX87</f>
        <v>0</v>
      </c>
      <c r="DR133" s="127">
        <f>Real[[#This Row],[05/05/25]]+(1-Real[[#This Row],[05/05/25]])*'Avance 39'!BY87</f>
        <v>0</v>
      </c>
      <c r="DS133" s="127">
        <f>Real[[#This Row],[05/05/25]]+(1-Real[[#This Row],[05/05/25]])*'Avance 39'!BZ87</f>
        <v>0</v>
      </c>
      <c r="DT133" s="127">
        <f>Real[[#This Row],[05/05/25]]+(1-Real[[#This Row],[05/05/25]])*'Avance 39'!CA87</f>
        <v>0</v>
      </c>
      <c r="DU133" s="127">
        <f>Real[[#This Row],[05/05/25]]+(1-Real[[#This Row],[05/05/25]])*'Avance 39'!CB87</f>
        <v>0</v>
      </c>
      <c r="DV133" s="127">
        <f>Real[[#This Row],[05/05/25]]+(1-Real[[#This Row],[05/05/25]])*'Avance 39'!CC87</f>
        <v>0</v>
      </c>
      <c r="DW133" s="127">
        <f>Real[[#This Row],[05/05/25]]+(1-Real[[#This Row],[05/05/25]])*'Avance 39'!CD87</f>
        <v>0</v>
      </c>
      <c r="DX133" s="127">
        <f>Real[[#This Row],[05/05/25]]+(1-Real[[#This Row],[05/05/25]])*'Avance 39'!CE87</f>
        <v>0</v>
      </c>
      <c r="DY133" s="127">
        <f>Real[[#This Row],[05/05/25]]+(1-Real[[#This Row],[05/05/25]])*'Avance 39'!CF87</f>
        <v>0</v>
      </c>
      <c r="DZ133" s="127">
        <f>Real[[#This Row],[05/05/25]]+(1-Real[[#This Row],[05/05/25]])*'Avance 39'!CG87</f>
        <v>0</v>
      </c>
      <c r="EA133" s="127">
        <f>Real[[#This Row],[05/05/25]]+(1-Real[[#This Row],[05/05/25]])*'Avance 39'!CH87</f>
        <v>0</v>
      </c>
      <c r="EB133" s="127">
        <f>Real[[#This Row],[05/05/25]]+(1-Real[[#This Row],[05/05/25]])*'Avance 39'!CI87</f>
        <v>0</v>
      </c>
      <c r="EC133" s="127">
        <f>Real[[#This Row],[05/05/25]]+(1-Real[[#This Row],[05/05/25]])*'Avance 39'!CJ87</f>
        <v>0</v>
      </c>
      <c r="ED133" s="127">
        <f>Real[[#This Row],[05/05/25]]+(1-Real[[#This Row],[05/05/25]])*'Avance 39'!CK87</f>
        <v>0</v>
      </c>
      <c r="EE133" s="127">
        <f>Real[[#This Row],[05/05/25]]+(1-Real[[#This Row],[05/05/25]])*'Avance 39'!CL87</f>
        <v>0</v>
      </c>
      <c r="EF133" s="127">
        <f>Real[[#This Row],[05/05/25]]+(1-Real[[#This Row],[05/05/25]])*'Avance 39'!CM87</f>
        <v>0</v>
      </c>
      <c r="EG133" s="127">
        <f>Real[[#This Row],[05/05/25]]+(1-Real[[#This Row],[05/05/25]])*'Avance 39'!CN87</f>
        <v>0</v>
      </c>
      <c r="EH133" s="127">
        <f>Real[[#This Row],[05/05/25]]+(1-Real[[#This Row],[05/05/25]])*'Avance 39'!CO87</f>
        <v>0</v>
      </c>
      <c r="EI133" s="127">
        <f>Real[[#This Row],[05/05/25]]+(1-Real[[#This Row],[05/05/25]])*'Avance 39'!CP87</f>
        <v>0</v>
      </c>
    </row>
    <row r="134" spans="2:142" ht="15" outlineLevel="2" collapsed="1" x14ac:dyDescent="0.3">
      <c r="B134" s="22"/>
      <c r="C134" s="23"/>
      <c r="D134" s="23" t="s">
        <v>137</v>
      </c>
      <c r="E134" s="50"/>
      <c r="F134" s="26">
        <f>+SUM(F136:F137)</f>
        <v>70</v>
      </c>
      <c r="G134" s="28">
        <v>6.9648115450815076E-2</v>
      </c>
      <c r="H134" s="160"/>
      <c r="I134" s="28">
        <f t="shared" ref="I134:BD134" si="811">SUMPRODUCT(I135:I137,$G$135:$G$137)</f>
        <v>0</v>
      </c>
      <c r="J134" s="28">
        <f t="shared" si="811"/>
        <v>0</v>
      </c>
      <c r="K134" s="28">
        <f t="shared" si="811"/>
        <v>0</v>
      </c>
      <c r="L134" s="28">
        <f t="shared" si="811"/>
        <v>0</v>
      </c>
      <c r="M134" s="28">
        <f t="shared" si="811"/>
        <v>0</v>
      </c>
      <c r="N134" s="28">
        <f t="shared" si="811"/>
        <v>0</v>
      </c>
      <c r="O134" s="28">
        <f t="shared" si="811"/>
        <v>0</v>
      </c>
      <c r="P134" s="28">
        <f t="shared" si="811"/>
        <v>0</v>
      </c>
      <c r="Q134" s="28">
        <f t="shared" si="811"/>
        <v>0</v>
      </c>
      <c r="R134" s="28">
        <f t="shared" si="811"/>
        <v>0</v>
      </c>
      <c r="S134" s="28">
        <f t="shared" si="811"/>
        <v>0</v>
      </c>
      <c r="T134" s="28">
        <f t="shared" si="811"/>
        <v>0</v>
      </c>
      <c r="U134" s="28">
        <f t="shared" si="811"/>
        <v>0</v>
      </c>
      <c r="V134" s="28">
        <f t="shared" si="811"/>
        <v>0</v>
      </c>
      <c r="W134" s="28">
        <f t="shared" si="811"/>
        <v>0</v>
      </c>
      <c r="X134" s="28">
        <f t="shared" si="811"/>
        <v>0</v>
      </c>
      <c r="Y134" s="28">
        <f t="shared" si="811"/>
        <v>0</v>
      </c>
      <c r="Z134" s="28">
        <f t="shared" si="811"/>
        <v>0</v>
      </c>
      <c r="AA134" s="28">
        <f t="shared" si="811"/>
        <v>0</v>
      </c>
      <c r="AB134" s="28">
        <f t="shared" si="811"/>
        <v>0</v>
      </c>
      <c r="AC134" s="28">
        <f t="shared" si="811"/>
        <v>0</v>
      </c>
      <c r="AD134" s="28">
        <f t="shared" si="811"/>
        <v>0</v>
      </c>
      <c r="AE134" s="28">
        <f t="shared" si="811"/>
        <v>0</v>
      </c>
      <c r="AF134" s="28">
        <f t="shared" si="811"/>
        <v>0</v>
      </c>
      <c r="AG134" s="28">
        <f t="shared" si="811"/>
        <v>0</v>
      </c>
      <c r="AH134" s="28">
        <f t="shared" si="811"/>
        <v>0</v>
      </c>
      <c r="AI134" s="28">
        <f t="shared" si="811"/>
        <v>0</v>
      </c>
      <c r="AJ134" s="28">
        <f t="shared" si="811"/>
        <v>0</v>
      </c>
      <c r="AK134" s="28">
        <f t="shared" si="811"/>
        <v>0</v>
      </c>
      <c r="AL134" s="28">
        <f t="shared" si="811"/>
        <v>0</v>
      </c>
      <c r="AM134" s="28">
        <f t="shared" si="811"/>
        <v>0</v>
      </c>
      <c r="AN134" s="28">
        <f t="shared" si="811"/>
        <v>0</v>
      </c>
      <c r="AO134" s="28">
        <f t="shared" si="811"/>
        <v>0</v>
      </c>
      <c r="AP134" s="28">
        <f t="shared" si="811"/>
        <v>0</v>
      </c>
      <c r="AQ134" s="28">
        <f t="shared" si="811"/>
        <v>0</v>
      </c>
      <c r="AR134" s="28">
        <f t="shared" si="811"/>
        <v>0</v>
      </c>
      <c r="AS134" s="28">
        <f t="shared" si="811"/>
        <v>0</v>
      </c>
      <c r="AT134" s="28">
        <f t="shared" si="811"/>
        <v>0</v>
      </c>
      <c r="AU134" s="28">
        <f t="shared" si="811"/>
        <v>0</v>
      </c>
      <c r="AV134" s="28">
        <f t="shared" si="811"/>
        <v>0</v>
      </c>
      <c r="AW134" s="28">
        <f t="shared" si="811"/>
        <v>0</v>
      </c>
      <c r="AX134" s="28">
        <f t="shared" si="811"/>
        <v>0</v>
      </c>
      <c r="AY134" s="28">
        <f t="shared" si="811"/>
        <v>0</v>
      </c>
      <c r="AZ134" s="28">
        <f t="shared" si="811"/>
        <v>0</v>
      </c>
      <c r="BA134" s="28">
        <f t="shared" si="811"/>
        <v>0</v>
      </c>
      <c r="BB134" s="28">
        <f t="shared" si="811"/>
        <v>0</v>
      </c>
      <c r="BC134" s="28">
        <f t="shared" si="811"/>
        <v>0</v>
      </c>
      <c r="BD134" s="28">
        <f t="shared" si="811"/>
        <v>0</v>
      </c>
      <c r="BE134" s="28">
        <f t="shared" ref="BE134:BF134" si="812">SUMPRODUCT(BE135:BE137,$G$135:$G$137)</f>
        <v>0</v>
      </c>
      <c r="BF134" s="28">
        <f t="shared" si="812"/>
        <v>0</v>
      </c>
      <c r="BG134" s="161">
        <f t="shared" ref="BG134:BH134" si="813">SUMPRODUCT(BG135:BG137,$G$135:$G$137)</f>
        <v>0</v>
      </c>
      <c r="BH134" s="161">
        <f t="shared" si="813"/>
        <v>0</v>
      </c>
      <c r="BI134" s="28">
        <f t="shared" ref="BI134:BJ134" si="814">SUMPRODUCT(BI135:BI137,$G$135:$G$137)</f>
        <v>0</v>
      </c>
      <c r="BJ134" s="28">
        <f t="shared" si="814"/>
        <v>0</v>
      </c>
      <c r="BK134" s="28">
        <f t="shared" ref="BK134:BL134" si="815">SUMPRODUCT(BK135:BK137,$G$135:$G$137)</f>
        <v>0</v>
      </c>
      <c r="BL134" s="28">
        <f t="shared" si="815"/>
        <v>0</v>
      </c>
      <c r="BM134" s="28">
        <f t="shared" ref="BM134:BN134" si="816">SUMPRODUCT(BM135:BM137,$G$135:$G$137)</f>
        <v>0</v>
      </c>
      <c r="BN134" s="28">
        <f t="shared" si="816"/>
        <v>0</v>
      </c>
      <c r="BO134" s="28">
        <f t="shared" ref="BO134:BP134" si="817">SUMPRODUCT(BO135:BO137,$G$135:$G$137)</f>
        <v>0</v>
      </c>
      <c r="BP134" s="28">
        <f t="shared" si="817"/>
        <v>0</v>
      </c>
      <c r="BQ134" s="28">
        <f t="shared" ref="BQ134:BR134" si="818">SUMPRODUCT(BQ135:BQ137,$G$135:$G$137)</f>
        <v>0</v>
      </c>
      <c r="BR134" s="28">
        <f t="shared" si="818"/>
        <v>0</v>
      </c>
      <c r="BS134" s="28">
        <f t="shared" ref="BS134:BT134" si="819">SUMPRODUCT(BS135:BS137,$G$135:$G$137)</f>
        <v>0</v>
      </c>
      <c r="BT134" s="28">
        <f t="shared" si="819"/>
        <v>0</v>
      </c>
      <c r="BU134" s="28">
        <f t="shared" ref="BU134:BV134" si="820">SUMPRODUCT(BU135:BU137,$G$135:$G$137)</f>
        <v>0</v>
      </c>
      <c r="BV134" s="28">
        <f t="shared" si="820"/>
        <v>0</v>
      </c>
      <c r="BW134" s="28">
        <f t="shared" ref="BW134:BX134" si="821">SUMPRODUCT(BW135:BW137,$G$135:$G$137)</f>
        <v>0</v>
      </c>
      <c r="BX134" s="28">
        <f t="shared" si="821"/>
        <v>3.0000000000000006E-2</v>
      </c>
      <c r="BY134" s="28">
        <f t="shared" ref="BY134:BZ134" si="822">SUMPRODUCT(BY135:BY137,$G$135:$G$137)</f>
        <v>5.3333333333333337E-2</v>
      </c>
      <c r="BZ134" s="28">
        <f t="shared" si="822"/>
        <v>5.5000000000000007E-2</v>
      </c>
      <c r="CA134" s="28">
        <f t="shared" ref="CA134:CB134" si="823">SUMPRODUCT(CA135:CA137,$G$135:$G$137)</f>
        <v>9.8765432098765454E-2</v>
      </c>
      <c r="CB134" s="28">
        <f t="shared" si="823"/>
        <v>0.12376543209876545</v>
      </c>
      <c r="CC134" s="28">
        <f t="shared" ref="CC134:CD134" si="824">SUMPRODUCT(CC135:CC137,$G$135:$G$137)</f>
        <v>0.16543209876543213</v>
      </c>
      <c r="CD134" s="28">
        <f t="shared" si="824"/>
        <v>0.2120987654320988</v>
      </c>
      <c r="CE134" s="28">
        <f t="shared" ref="CE134" si="825">SUMPRODUCT(CE135:CE137,$G$135:$G$137)</f>
        <v>0.22012345679012346</v>
      </c>
      <c r="CF134" s="28">
        <f t="shared" ref="CF134" si="826">SUMPRODUCT(CF135:CF137,$G$135:$G$137)</f>
        <v>0.24419753086419754</v>
      </c>
      <c r="CG134" s="28">
        <f t="shared" ref="CG134" si="827">SUMPRODUCT(CG135:CG137,$G$135:$G$137)</f>
        <v>0.24419753086419754</v>
      </c>
      <c r="CH134" s="28">
        <f t="shared" ref="CH134" si="828">SUMPRODUCT(CH135:CH137,$G$135:$G$137)</f>
        <v>0.24419753086419754</v>
      </c>
      <c r="CI134" s="28">
        <f t="shared" ref="CI134" si="829">SUMPRODUCT(CI135:CI137,$G$135:$G$137)</f>
        <v>0.24419753086419754</v>
      </c>
      <c r="CJ134" s="28">
        <f t="shared" ref="CJ134:CK134" si="830">SUMPRODUCT(CJ135:CJ137,$G$135:$G$137)</f>
        <v>0.24419753086419754</v>
      </c>
      <c r="CK134" s="28">
        <f t="shared" si="830"/>
        <v>0.24419753086419754</v>
      </c>
      <c r="CL134" s="28">
        <f t="shared" ref="CL134:CV134" si="831">SUMPRODUCT(CL135:CL137,$G$135:$G$137)</f>
        <v>0.24419753086419754</v>
      </c>
      <c r="CM134" s="28">
        <f t="shared" si="831"/>
        <v>0.24419753086419754</v>
      </c>
      <c r="CN134" s="28">
        <f t="shared" si="831"/>
        <v>0.24419753086419754</v>
      </c>
      <c r="CO134" s="28">
        <f t="shared" si="831"/>
        <v>0.24419753086419754</v>
      </c>
      <c r="CP134" s="28">
        <f t="shared" si="831"/>
        <v>0.24419753086419754</v>
      </c>
      <c r="CQ134" s="28">
        <f t="shared" si="831"/>
        <v>0.24419753086419754</v>
      </c>
      <c r="CR134" s="28">
        <f t="shared" si="831"/>
        <v>0.28385000000000005</v>
      </c>
      <c r="CS134" s="28">
        <f t="shared" si="831"/>
        <v>0.29100000000000004</v>
      </c>
      <c r="CT134" s="28">
        <f t="shared" si="831"/>
        <v>0.30400000000000005</v>
      </c>
      <c r="CU134" s="28">
        <f t="shared" si="831"/>
        <v>0.317</v>
      </c>
      <c r="CV134" s="28">
        <f t="shared" si="831"/>
        <v>0.317</v>
      </c>
      <c r="CW134" s="28">
        <f t="shared" ref="CW134" si="832">SUMPRODUCT(CW135:CW137,$G$135:$G$137)</f>
        <v>0.317</v>
      </c>
      <c r="CX134" s="28">
        <f t="shared" ref="CX134:CY134" si="833">SUMPRODUCT(CX135:CX137,$G$135:$G$137)</f>
        <v>0.33</v>
      </c>
      <c r="CY134" s="28">
        <f t="shared" si="833"/>
        <v>0.34300000000000003</v>
      </c>
      <c r="CZ134" s="28">
        <f t="shared" ref="CZ134:DA134" si="834">SUMPRODUCT(CZ135:CZ137,$G$135:$G$137)</f>
        <v>0.35599999999999998</v>
      </c>
      <c r="DA134" s="28">
        <f t="shared" si="834"/>
        <v>0.36899999999999999</v>
      </c>
      <c r="DB134" s="28">
        <f t="shared" ref="DB134:DC134" si="835">SUMPRODUCT(DB135:DB137,$G$135:$G$137)</f>
        <v>0.39500000000000002</v>
      </c>
      <c r="DC134" s="28">
        <f t="shared" si="835"/>
        <v>0.41450000000000004</v>
      </c>
      <c r="DD134" s="28">
        <f t="shared" ref="DD134:DE134" si="836">SUMPRODUCT(DD135:DD137,$G$135:$G$137)</f>
        <v>0.42749999999999999</v>
      </c>
      <c r="DE134" s="28">
        <f t="shared" si="836"/>
        <v>0.45350000000000001</v>
      </c>
      <c r="DF134" s="28">
        <f t="shared" ref="DF134:EI134" si="837">SUMPRODUCT(DF135:DF137,$G$135:$G$137)</f>
        <v>0.46650000000000003</v>
      </c>
      <c r="DG134" s="28">
        <f t="shared" si="837"/>
        <v>0.47300000000000003</v>
      </c>
      <c r="DH134" s="28">
        <f t="shared" si="837"/>
        <v>0.48600000000000004</v>
      </c>
      <c r="DI134" s="28">
        <f t="shared" si="837"/>
        <v>0.49900000000000005</v>
      </c>
      <c r="DJ134" s="28">
        <f t="shared" si="837"/>
        <v>0.24419753086419754</v>
      </c>
      <c r="DK134" s="28">
        <f t="shared" si="837"/>
        <v>0.24419753086419754</v>
      </c>
      <c r="DL134" s="28">
        <f t="shared" si="837"/>
        <v>0.24419753086419754</v>
      </c>
      <c r="DM134" s="28">
        <f t="shared" si="837"/>
        <v>0.24419753086419754</v>
      </c>
      <c r="DN134" s="28">
        <f t="shared" si="837"/>
        <v>0.24419753086419754</v>
      </c>
      <c r="DO134" s="28">
        <f t="shared" si="837"/>
        <v>0.24419753086419754</v>
      </c>
      <c r="DP134" s="28">
        <f t="shared" si="837"/>
        <v>0.24419753086419754</v>
      </c>
      <c r="DQ134" s="28">
        <f t="shared" si="837"/>
        <v>0.24419753086419754</v>
      </c>
      <c r="DR134" s="28">
        <f t="shared" si="837"/>
        <v>0.24419753086419754</v>
      </c>
      <c r="DS134" s="28">
        <f t="shared" si="837"/>
        <v>0.24419753086419754</v>
      </c>
      <c r="DT134" s="28">
        <f t="shared" si="837"/>
        <v>0.24419753086419754</v>
      </c>
      <c r="DU134" s="28">
        <f t="shared" si="837"/>
        <v>0.24419753086419754</v>
      </c>
      <c r="DV134" s="28">
        <f t="shared" si="837"/>
        <v>0.24419753086419754</v>
      </c>
      <c r="DW134" s="28">
        <f t="shared" si="837"/>
        <v>0.24419753086419754</v>
      </c>
      <c r="DX134" s="28">
        <f t="shared" si="837"/>
        <v>0.24419753086419754</v>
      </c>
      <c r="DY134" s="28">
        <f t="shared" si="837"/>
        <v>0.24419753086419754</v>
      </c>
      <c r="DZ134" s="28">
        <f t="shared" si="837"/>
        <v>0.24419753086419754</v>
      </c>
      <c r="EA134" s="28">
        <f t="shared" si="837"/>
        <v>0.24419753086419754</v>
      </c>
      <c r="EB134" s="28">
        <f t="shared" si="837"/>
        <v>0.24419753086419754</v>
      </c>
      <c r="EC134" s="28">
        <f t="shared" si="837"/>
        <v>0.24419753086419754</v>
      </c>
      <c r="ED134" s="28">
        <f t="shared" si="837"/>
        <v>0.24419753086419754</v>
      </c>
      <c r="EE134" s="28">
        <f t="shared" si="837"/>
        <v>0.24419753086419754</v>
      </c>
      <c r="EF134" s="28">
        <f t="shared" si="837"/>
        <v>0.24419753086419754</v>
      </c>
      <c r="EG134" s="28">
        <f t="shared" si="837"/>
        <v>0.24419753086419754</v>
      </c>
      <c r="EH134" s="28">
        <f t="shared" si="837"/>
        <v>0.24419753086419754</v>
      </c>
      <c r="EI134" s="28">
        <f t="shared" si="837"/>
        <v>0.41450000000000004</v>
      </c>
    </row>
    <row r="135" spans="2:142" hidden="1" outlineLevel="3" x14ac:dyDescent="0.3">
      <c r="B135" s="29"/>
      <c r="C135" s="30"/>
      <c r="D135" s="30"/>
      <c r="E135" s="30" t="s">
        <v>138</v>
      </c>
      <c r="F135" s="33">
        <v>30</v>
      </c>
      <c r="G135" s="35">
        <v>0.2</v>
      </c>
      <c r="H135" s="162"/>
      <c r="I135" s="127">
        <v>0</v>
      </c>
      <c r="J135" s="127">
        <v>0</v>
      </c>
      <c r="K135" s="127">
        <v>0</v>
      </c>
      <c r="L135" s="127">
        <v>0</v>
      </c>
      <c r="M135" s="128">
        <v>0</v>
      </c>
      <c r="N135" s="128">
        <v>0</v>
      </c>
      <c r="O135" s="127">
        <v>0</v>
      </c>
      <c r="P135" s="127">
        <v>0</v>
      </c>
      <c r="Q135" s="127">
        <v>0</v>
      </c>
      <c r="R135" s="127">
        <v>0</v>
      </c>
      <c r="S135" s="127">
        <v>0</v>
      </c>
      <c r="T135" s="127">
        <v>0</v>
      </c>
      <c r="U135" s="127">
        <v>0</v>
      </c>
      <c r="V135" s="127">
        <v>0</v>
      </c>
      <c r="W135" s="127">
        <v>0</v>
      </c>
      <c r="X135" s="127">
        <v>0</v>
      </c>
      <c r="Y135" s="127">
        <v>0</v>
      </c>
      <c r="Z135" s="127">
        <v>0</v>
      </c>
      <c r="AA135" s="127">
        <v>0</v>
      </c>
      <c r="AB135" s="127">
        <v>0</v>
      </c>
      <c r="AC135" s="127">
        <v>0</v>
      </c>
      <c r="AD135" s="127">
        <v>0</v>
      </c>
      <c r="AE135" s="127">
        <v>0</v>
      </c>
      <c r="AF135" s="127">
        <v>0</v>
      </c>
      <c r="AG135" s="127">
        <v>0</v>
      </c>
      <c r="AH135" s="127">
        <v>0</v>
      </c>
      <c r="AI135" s="127">
        <v>0</v>
      </c>
      <c r="AJ135" s="127">
        <v>0</v>
      </c>
      <c r="AK135" s="127">
        <v>0</v>
      </c>
      <c r="AL135" s="127">
        <v>0</v>
      </c>
      <c r="AM135" s="127">
        <v>0</v>
      </c>
      <c r="AN135" s="127">
        <v>0</v>
      </c>
      <c r="AO135" s="127">
        <v>0</v>
      </c>
      <c r="AP135" s="127">
        <v>0</v>
      </c>
      <c r="AQ135" s="127">
        <v>0</v>
      </c>
      <c r="AR135" s="127">
        <v>0</v>
      </c>
      <c r="AS135" s="127">
        <v>0</v>
      </c>
      <c r="AT135" s="127">
        <v>0</v>
      </c>
      <c r="AU135" s="127">
        <v>0</v>
      </c>
      <c r="AV135" s="127">
        <v>0</v>
      </c>
      <c r="AW135" s="127">
        <v>0</v>
      </c>
      <c r="AX135" s="127">
        <v>0</v>
      </c>
      <c r="AY135" s="127">
        <v>0</v>
      </c>
      <c r="AZ135" s="127">
        <v>0</v>
      </c>
      <c r="BA135" s="127">
        <v>0</v>
      </c>
      <c r="BB135" s="127">
        <f>Real[[#This Row],[05/05/25]]+(1-Real[[#This Row],[05/05/25]])*'Avance 39'!I89</f>
        <v>0</v>
      </c>
      <c r="BC135" s="127">
        <f>Real[[#This Row],[05/05/25]]+(1-Real[[#This Row],[05/05/25]])*'Avance 39'!J89</f>
        <v>0</v>
      </c>
      <c r="BD135" s="127">
        <f>Real[[#This Row],[05/05/25]]+(1-Real[[#This Row],[05/05/25]])*'Avance 39'!K89</f>
        <v>0</v>
      </c>
      <c r="BE135" s="127">
        <f>Real[[#This Row],[05/05/25]]+(1-Real[[#This Row],[05/05/25]])*'Avance 39'!L89</f>
        <v>0</v>
      </c>
      <c r="BF135" s="127">
        <f>Real[[#This Row],[05/05/25]]+(1-Real[[#This Row],[05/05/25]])*'Avance 39'!M89</f>
        <v>0</v>
      </c>
      <c r="BG135" s="163">
        <f>Real[[#This Row],[05/05/25]]+(1-Real[[#This Row],[05/05/25]])*'Avance 39'!N89</f>
        <v>0</v>
      </c>
      <c r="BH135" s="163">
        <f>Real[[#This Row],[05/05/25]]+(1-Real[[#This Row],[05/05/25]])*'Avance 39'!O89</f>
        <v>0</v>
      </c>
      <c r="BI135" s="127">
        <f>Real[[#This Row],[05/05/25]]+(1-Real[[#This Row],[05/05/25]])*'Avance 39'!P89</f>
        <v>0</v>
      </c>
      <c r="BJ135" s="127">
        <f>Real[[#This Row],[05/05/25]]+(1-Real[[#This Row],[05/05/25]])*'Avance 39'!Q89</f>
        <v>0</v>
      </c>
      <c r="BK135" s="127">
        <f>Real[[#This Row],[05/05/25]]+(1-Real[[#This Row],[05/05/25]])*'Avance 39'!R89</f>
        <v>0</v>
      </c>
      <c r="BL135" s="127">
        <f>Real[[#This Row],[05/05/25]]+(1-Real[[#This Row],[05/05/25]])*'Avance 39'!S89</f>
        <v>0</v>
      </c>
      <c r="BM135" s="127">
        <f>Real[[#This Row],[05/05/25]]+(1-Real[[#This Row],[05/05/25]])*'Avance 39'!T89</f>
        <v>0</v>
      </c>
      <c r="BN135" s="127">
        <f>Real[[#This Row],[05/05/25]]+(1-Real[[#This Row],[05/05/25]])*'Avance 39'!U89</f>
        <v>0</v>
      </c>
      <c r="BO135" s="127">
        <f>Real[[#This Row],[05/05/25]]+(1-Real[[#This Row],[05/05/25]])*'Avance 39'!V89</f>
        <v>0</v>
      </c>
      <c r="BP135" s="127">
        <f>Real[[#This Row],[05/05/25]]+(1-Real[[#This Row],[05/05/25]])*'Avance 39'!W89</f>
        <v>0</v>
      </c>
      <c r="BQ135" s="127">
        <f>Real[[#This Row],[05/05/25]]+(1-Real[[#This Row],[05/05/25]])*'Avance 39'!X89</f>
        <v>0</v>
      </c>
      <c r="BR135" s="127">
        <f>Real[[#This Row],[05/05/25]]+(1-Real[[#This Row],[05/05/25]])*'Avance 39'!Y89</f>
        <v>0</v>
      </c>
      <c r="BS135" s="127">
        <f>Real[[#This Row],[05/05/25]]+(1-Real[[#This Row],[05/05/25]])*'Avance 39'!Z89</f>
        <v>0</v>
      </c>
      <c r="BT135" s="127">
        <f>Real[[#This Row],[05/05/25]]+(1-Real[[#This Row],[05/05/25]])*'Avance 39'!AA89</f>
        <v>0</v>
      </c>
      <c r="BU135" s="127">
        <f>Real[[#This Row],[05/05/25]]+(1-Real[[#This Row],[05/05/25]])*'Avance 39'!AB89</f>
        <v>0</v>
      </c>
      <c r="BV135" s="127">
        <f>Real[[#This Row],[05/05/25]]+(1-Real[[#This Row],[05/05/25]])*'Avance 39'!AC89</f>
        <v>0</v>
      </c>
      <c r="BW135" s="127">
        <f>Real[[#This Row],[05/05/25]]+(1-Real[[#This Row],[05/05/25]])*'Avance 39'!AD89</f>
        <v>0</v>
      </c>
      <c r="BX135" s="127">
        <f>Real[[#This Row],[05/05/25]]+(1-Real[[#This Row],[05/05/25]])*'Avance 39'!AE89</f>
        <v>0.15000000000000002</v>
      </c>
      <c r="BY135" s="127">
        <f>Real[[#This Row],[05/05/25]]+(1-Real[[#This Row],[05/05/25]])*'Avance 39'!AF89</f>
        <v>0.26666666666666666</v>
      </c>
      <c r="BZ135" s="127">
        <f>Real[[#This Row],[05/05/25]]+(1-Real[[#This Row],[05/05/25]])*'Avance 39'!AG89</f>
        <v>0.27500000000000002</v>
      </c>
      <c r="CA135" s="127">
        <f>Real[[#This Row],[05/05/25]]+(1-Real[[#This Row],[05/05/25]])*'Avance 39'!AH89</f>
        <v>0.33333333333333337</v>
      </c>
      <c r="CB135" s="127">
        <f>Real[[#This Row],[05/05/25]]+(1-Real[[#This Row],[05/05/25]])*'Avance 39'!AI89</f>
        <v>0.45833333333333337</v>
      </c>
      <c r="CC135" s="127">
        <f>Real[[#This Row],[05/05/25]]+(1-Real[[#This Row],[05/05/25]])*'Avance 39'!AJ89</f>
        <v>0.66666666666666674</v>
      </c>
      <c r="CD135" s="127">
        <f>Real[[#This Row],[05/05/25]]+(1-Real[[#This Row],[05/05/25]])*'Avance 39'!AK89</f>
        <v>0.9</v>
      </c>
      <c r="CE135" s="127">
        <f>Real[[#This Row],[05/05/25]]+(1-Real[[#This Row],[05/05/25]])*'Avance 39'!AL89</f>
        <v>0.9</v>
      </c>
      <c r="CF135" s="127">
        <f>Real[[#This Row],[05/05/25]]+(1-Real[[#This Row],[05/05/25]])*'Avance 39'!AM89</f>
        <v>0.9</v>
      </c>
      <c r="CG135" s="127">
        <f>Real[[#This Row],[05/05/25]]+(1-Real[[#This Row],[05/05/25]])*'Avance 39'!AN89</f>
        <v>0.9</v>
      </c>
      <c r="CH135" s="127">
        <f>Real[[#This Row],[05/05/25]]+(1-Real[[#This Row],[05/05/25]])*'Avance 39'!AO89</f>
        <v>0.9</v>
      </c>
      <c r="CI135" s="127">
        <f>Real[[#This Row],[05/05/25]]+(1-Real[[#This Row],[05/05/25]])*'Avance 39'!AP89</f>
        <v>0.9</v>
      </c>
      <c r="CJ135" s="127">
        <f>Real[[#This Row],[05/05/25]]+(1-Real[[#This Row],[05/05/25]])*'Avance 39'!AQ89</f>
        <v>0.9</v>
      </c>
      <c r="CK135" s="127">
        <f>Real[[#This Row],[05/05/25]]+(1-Real[[#This Row],[05/05/25]])*'Avance 39'!AR89</f>
        <v>0.9</v>
      </c>
      <c r="CL135" s="127">
        <f>Real[[#This Row],[05/05/25]]+(1-Real[[#This Row],[05/05/25]])*'Avance 39'!AS89</f>
        <v>0.9</v>
      </c>
      <c r="CM135" s="127">
        <f>Real[[#This Row],[05/05/25]]+(1-Real[[#This Row],[05/05/25]])*'Avance 39'!AT89</f>
        <v>0.9</v>
      </c>
      <c r="CN135" s="127">
        <f>Real[[#This Row],[05/05/25]]+(1-Real[[#This Row],[05/05/25]])*'Avance 39'!AU89</f>
        <v>0.9</v>
      </c>
      <c r="CO135" s="127">
        <f>Real[[#This Row],[05/05/25]]+(1-Real[[#This Row],[05/05/25]])*'Avance 39'!AV89</f>
        <v>0.9</v>
      </c>
      <c r="CP135" s="127">
        <f>Real[[#This Row],[05/05/25]]+(1-Real[[#This Row],[05/05/25]])*'Avance 39'!AW89</f>
        <v>0.9</v>
      </c>
      <c r="CQ135" s="127">
        <f>Real[[#This Row],[05/05/25]]+(1-Real[[#This Row],[05/05/25]])*'Avance 39'!AX89</f>
        <v>0.9</v>
      </c>
      <c r="CR135" s="127">
        <f>Real[[#This Row],[05/05/25]]+(1-Real[[#This Row],[05/05/25]])*'Avance 39'!AY89</f>
        <v>1</v>
      </c>
      <c r="CS135" s="127">
        <f>Real[[#This Row],[05/05/25]]+(1-Real[[#This Row],[05/05/25]])*'Avance 39'!AZ89</f>
        <v>1</v>
      </c>
      <c r="CT135" s="127">
        <f>Real[[#This Row],[05/05/25]]+(1-Real[[#This Row],[05/05/25]])*'Avance 39'!BA89</f>
        <v>1</v>
      </c>
      <c r="CU135" s="127">
        <f>Real[[#This Row],[05/05/25]]+(1-Real[[#This Row],[05/05/25]])*'Avance 39'!BB89</f>
        <v>1</v>
      </c>
      <c r="CV135" s="127">
        <f>Real[[#This Row],[05/05/25]]+(1-Real[[#This Row],[05/05/25]])*'Avance 39'!BC89</f>
        <v>1</v>
      </c>
      <c r="CW135" s="127">
        <f>Real[[#This Row],[05/05/25]]+(1-Real[[#This Row],[05/05/25]])*'Avance 39'!BD89</f>
        <v>1</v>
      </c>
      <c r="CX135" s="127">
        <f>Real[[#This Row],[05/05/25]]+(1-Real[[#This Row],[05/05/25]])*'Avance 39'!BE89</f>
        <v>1</v>
      </c>
      <c r="CY135" s="127">
        <f>Real[[#This Row],[05/05/25]]+(1-Real[[#This Row],[05/05/25]])*'Avance 39'!BF89</f>
        <v>1</v>
      </c>
      <c r="CZ135" s="127">
        <f>Real[[#This Row],[05/05/25]]+(1-Real[[#This Row],[05/05/25]])*'Avance 39'!BG89</f>
        <v>1</v>
      </c>
      <c r="DA135" s="127">
        <f>Real[[#This Row],[05/05/25]]+(1-Real[[#This Row],[05/05/25]])*'Avance 39'!BH89</f>
        <v>1</v>
      </c>
      <c r="DB135" s="127">
        <f>Real[[#This Row],[05/05/25]]+(1-Real[[#This Row],[05/05/25]])*'Avance 39'!BI89</f>
        <v>1</v>
      </c>
      <c r="DC135" s="127">
        <f>Real[[#This Row],[05/05/25]]+(1-Real[[#This Row],[05/05/25]])*'Avance 39'!BJ89</f>
        <v>1</v>
      </c>
      <c r="DD135" s="127">
        <f>Real[[#This Row],[05/05/25]]+(1-Real[[#This Row],[05/05/25]])*'Avance 39'!BK89</f>
        <v>1</v>
      </c>
      <c r="DE135" s="127">
        <f>Real[[#This Row],[05/05/25]]+(1-Real[[#This Row],[05/05/25]])*'Avance 39'!BL89</f>
        <v>1</v>
      </c>
      <c r="DF135" s="127">
        <f>Real[[#This Row],[05/05/25]]+(1-Real[[#This Row],[05/05/25]])*'Avance 39'!BM89</f>
        <v>1</v>
      </c>
      <c r="DG135" s="127">
        <f>Real[[#This Row],[05/05/25]]+(1-Real[[#This Row],[05/05/25]])*'Avance 39'!BN89</f>
        <v>1</v>
      </c>
      <c r="DH135" s="127">
        <f>Real[[#This Row],[05/05/25]]+(1-Real[[#This Row],[05/05/25]])*'Avance 39'!BO89</f>
        <v>1</v>
      </c>
      <c r="DI135" s="127">
        <f>Real[[#This Row],[05/05/25]]+(1-Real[[#This Row],[05/05/25]])*'Avance 39'!BP89</f>
        <v>1</v>
      </c>
      <c r="DJ135" s="127">
        <f>Real[[#This Row],[05/05/25]]+(1-Real[[#This Row],[05/05/25]])*'Avance 39'!BQ89</f>
        <v>0.9</v>
      </c>
      <c r="DK135" s="127">
        <f>Real[[#This Row],[05/05/25]]+(1-Real[[#This Row],[05/05/25]])*'Avance 39'!BR89</f>
        <v>0.9</v>
      </c>
      <c r="DL135" s="127">
        <f>Real[[#This Row],[05/05/25]]+(1-Real[[#This Row],[05/05/25]])*'Avance 39'!BS89</f>
        <v>0.9</v>
      </c>
      <c r="DM135" s="127">
        <f>Real[[#This Row],[05/05/25]]+(1-Real[[#This Row],[05/05/25]])*'Avance 39'!BT89</f>
        <v>0.9</v>
      </c>
      <c r="DN135" s="127">
        <f>Real[[#This Row],[05/05/25]]+(1-Real[[#This Row],[05/05/25]])*'Avance 39'!BU89</f>
        <v>0.9</v>
      </c>
      <c r="DO135" s="127">
        <f>Real[[#This Row],[05/05/25]]+(1-Real[[#This Row],[05/05/25]])*'Avance 39'!BV89</f>
        <v>0.9</v>
      </c>
      <c r="DP135" s="127">
        <f>Real[[#This Row],[05/05/25]]+(1-Real[[#This Row],[05/05/25]])*'Avance 39'!BW89</f>
        <v>0.9</v>
      </c>
      <c r="DQ135" s="127">
        <f>Real[[#This Row],[05/05/25]]+(1-Real[[#This Row],[05/05/25]])*'Avance 39'!BX89</f>
        <v>0.9</v>
      </c>
      <c r="DR135" s="127">
        <f>Real[[#This Row],[05/05/25]]+(1-Real[[#This Row],[05/05/25]])*'Avance 39'!BY89</f>
        <v>0.9</v>
      </c>
      <c r="DS135" s="127">
        <f>Real[[#This Row],[05/05/25]]+(1-Real[[#This Row],[05/05/25]])*'Avance 39'!BZ89</f>
        <v>0.9</v>
      </c>
      <c r="DT135" s="127">
        <f>Real[[#This Row],[05/05/25]]+(1-Real[[#This Row],[05/05/25]])*'Avance 39'!CA89</f>
        <v>0.9</v>
      </c>
      <c r="DU135" s="127">
        <f>Real[[#This Row],[05/05/25]]+(1-Real[[#This Row],[05/05/25]])*'Avance 39'!CB89</f>
        <v>0.9</v>
      </c>
      <c r="DV135" s="127">
        <f>Real[[#This Row],[05/05/25]]+(1-Real[[#This Row],[05/05/25]])*'Avance 39'!CC89</f>
        <v>0.9</v>
      </c>
      <c r="DW135" s="127">
        <f>Real[[#This Row],[05/05/25]]+(1-Real[[#This Row],[05/05/25]])*'Avance 39'!CD89</f>
        <v>0.9</v>
      </c>
      <c r="DX135" s="127">
        <f>Real[[#This Row],[05/05/25]]+(1-Real[[#This Row],[05/05/25]])*'Avance 39'!CE89</f>
        <v>0.9</v>
      </c>
      <c r="DY135" s="127">
        <f>Real[[#This Row],[05/05/25]]+(1-Real[[#This Row],[05/05/25]])*'Avance 39'!CF89</f>
        <v>0.9</v>
      </c>
      <c r="DZ135" s="127">
        <f>Real[[#This Row],[05/05/25]]+(1-Real[[#This Row],[05/05/25]])*'Avance 39'!CG89</f>
        <v>0.9</v>
      </c>
      <c r="EA135" s="127">
        <f>Real[[#This Row],[05/05/25]]+(1-Real[[#This Row],[05/05/25]])*'Avance 39'!CH89</f>
        <v>0.9</v>
      </c>
      <c r="EB135" s="127">
        <f>Real[[#This Row],[05/05/25]]+(1-Real[[#This Row],[05/05/25]])*'Avance 39'!CI89</f>
        <v>0.9</v>
      </c>
      <c r="EC135" s="127">
        <f>Real[[#This Row],[05/05/25]]+(1-Real[[#This Row],[05/05/25]])*'Avance 39'!CJ89</f>
        <v>0.9</v>
      </c>
      <c r="ED135" s="127">
        <f>Real[[#This Row],[05/05/25]]+(1-Real[[#This Row],[05/05/25]])*'Avance 39'!CK89</f>
        <v>0.9</v>
      </c>
      <c r="EE135" s="127">
        <f>Real[[#This Row],[05/05/25]]+(1-Real[[#This Row],[05/05/25]])*'Avance 39'!CL89</f>
        <v>0.9</v>
      </c>
      <c r="EF135" s="127">
        <f>Real[[#This Row],[05/05/25]]+(1-Real[[#This Row],[05/05/25]])*'Avance 39'!CM89</f>
        <v>0.9</v>
      </c>
      <c r="EG135" s="127">
        <f>Real[[#This Row],[05/05/25]]+(1-Real[[#This Row],[05/05/25]])*'Avance 39'!CN89</f>
        <v>0.9</v>
      </c>
      <c r="EH135" s="127">
        <f>Real[[#This Row],[05/05/25]]+(1-Real[[#This Row],[05/05/25]])*'Avance 39'!CO89</f>
        <v>0.9</v>
      </c>
      <c r="EI135" s="127">
        <f>Real[[#This Row],[05/05/25]]+(1-Real[[#This Row],[05/05/25]])*'Avance 39'!CP89</f>
        <v>1</v>
      </c>
    </row>
    <row r="136" spans="2:142" hidden="1" outlineLevel="3" x14ac:dyDescent="0.3">
      <c r="B136" s="29"/>
      <c r="C136" s="30"/>
      <c r="D136" s="30"/>
      <c r="E136" s="52" t="s">
        <v>139</v>
      </c>
      <c r="F136" s="33">
        <v>30</v>
      </c>
      <c r="G136" s="35">
        <v>0.15</v>
      </c>
      <c r="H136" s="162"/>
      <c r="I136" s="127">
        <v>0</v>
      </c>
      <c r="J136" s="127">
        <v>0</v>
      </c>
      <c r="K136" s="127">
        <v>0</v>
      </c>
      <c r="L136" s="127">
        <v>0</v>
      </c>
      <c r="M136" s="128">
        <v>0</v>
      </c>
      <c r="N136" s="128">
        <v>0</v>
      </c>
      <c r="O136" s="127">
        <v>0</v>
      </c>
      <c r="P136" s="127">
        <v>0</v>
      </c>
      <c r="Q136" s="127">
        <v>0</v>
      </c>
      <c r="R136" s="127">
        <v>0</v>
      </c>
      <c r="S136" s="127">
        <v>0</v>
      </c>
      <c r="T136" s="127">
        <v>0</v>
      </c>
      <c r="U136" s="127">
        <v>0</v>
      </c>
      <c r="V136" s="127">
        <v>0</v>
      </c>
      <c r="W136" s="127">
        <v>0</v>
      </c>
      <c r="X136" s="127">
        <v>0</v>
      </c>
      <c r="Y136" s="127">
        <v>0</v>
      </c>
      <c r="Z136" s="127">
        <v>0</v>
      </c>
      <c r="AA136" s="127">
        <v>0</v>
      </c>
      <c r="AB136" s="127">
        <v>0</v>
      </c>
      <c r="AC136" s="127">
        <v>0</v>
      </c>
      <c r="AD136" s="127">
        <v>0</v>
      </c>
      <c r="AE136" s="127">
        <v>0</v>
      </c>
      <c r="AF136" s="127">
        <v>0</v>
      </c>
      <c r="AG136" s="127">
        <v>0</v>
      </c>
      <c r="AH136" s="127">
        <v>0</v>
      </c>
      <c r="AI136" s="127">
        <v>0</v>
      </c>
      <c r="AJ136" s="127">
        <v>0</v>
      </c>
      <c r="AK136" s="127">
        <v>0</v>
      </c>
      <c r="AL136" s="127">
        <v>0</v>
      </c>
      <c r="AM136" s="127">
        <v>0</v>
      </c>
      <c r="AN136" s="127">
        <v>0</v>
      </c>
      <c r="AO136" s="127">
        <v>0</v>
      </c>
      <c r="AP136" s="127">
        <v>0</v>
      </c>
      <c r="AQ136" s="127">
        <v>0</v>
      </c>
      <c r="AR136" s="127">
        <v>0</v>
      </c>
      <c r="AS136" s="127">
        <v>0</v>
      </c>
      <c r="AT136" s="127">
        <v>0</v>
      </c>
      <c r="AU136" s="127">
        <v>0</v>
      </c>
      <c r="AV136" s="127">
        <v>0</v>
      </c>
      <c r="AW136" s="127">
        <v>0</v>
      </c>
      <c r="AX136" s="127">
        <v>0</v>
      </c>
      <c r="AY136" s="127">
        <v>0</v>
      </c>
      <c r="AZ136" s="127">
        <v>0</v>
      </c>
      <c r="BA136" s="127">
        <v>0</v>
      </c>
      <c r="BB136" s="127">
        <f>Real[[#This Row],[05/05/25]]+(1-Real[[#This Row],[05/05/25]])*'Avance 39'!I90</f>
        <v>0</v>
      </c>
      <c r="BC136" s="127">
        <f>Real[[#This Row],[05/05/25]]+(1-Real[[#This Row],[05/05/25]])*'Avance 39'!J90</f>
        <v>0</v>
      </c>
      <c r="BD136" s="127">
        <f>Real[[#This Row],[05/05/25]]+(1-Real[[#This Row],[05/05/25]])*'Avance 39'!K90</f>
        <v>0</v>
      </c>
      <c r="BE136" s="127">
        <f>Real[[#This Row],[05/05/25]]+(1-Real[[#This Row],[05/05/25]])*'Avance 39'!L90</f>
        <v>0</v>
      </c>
      <c r="BF136" s="127">
        <f>Real[[#This Row],[05/05/25]]+(1-Real[[#This Row],[05/05/25]])*'Avance 39'!M90</f>
        <v>0</v>
      </c>
      <c r="BG136" s="163">
        <f>Real[[#This Row],[05/05/25]]+(1-Real[[#This Row],[05/05/25]])*'Avance 39'!N90</f>
        <v>0</v>
      </c>
      <c r="BH136" s="163">
        <f>Real[[#This Row],[05/05/25]]+(1-Real[[#This Row],[05/05/25]])*'Avance 39'!O90</f>
        <v>0</v>
      </c>
      <c r="BI136" s="127">
        <f>Real[[#This Row],[05/05/25]]+(1-Real[[#This Row],[05/05/25]])*'Avance 39'!P90</f>
        <v>0</v>
      </c>
      <c r="BJ136" s="127">
        <f>Real[[#This Row],[05/05/25]]+(1-Real[[#This Row],[05/05/25]])*'Avance 39'!Q90</f>
        <v>0</v>
      </c>
      <c r="BK136" s="127">
        <f>Real[[#This Row],[05/05/25]]+(1-Real[[#This Row],[05/05/25]])*'Avance 39'!R90</f>
        <v>0</v>
      </c>
      <c r="BL136" s="127">
        <f>Real[[#This Row],[05/05/25]]+(1-Real[[#This Row],[05/05/25]])*'Avance 39'!S90</f>
        <v>0</v>
      </c>
      <c r="BM136" s="127">
        <f>Real[[#This Row],[05/05/25]]+(1-Real[[#This Row],[05/05/25]])*'Avance 39'!T90</f>
        <v>0</v>
      </c>
      <c r="BN136" s="127">
        <f>Real[[#This Row],[05/05/25]]+(1-Real[[#This Row],[05/05/25]])*'Avance 39'!U90</f>
        <v>0</v>
      </c>
      <c r="BO136" s="127">
        <f>Real[[#This Row],[05/05/25]]+(1-Real[[#This Row],[05/05/25]])*'Avance 39'!V90</f>
        <v>0</v>
      </c>
      <c r="BP136" s="127">
        <f>Real[[#This Row],[05/05/25]]+(1-Real[[#This Row],[05/05/25]])*'Avance 39'!W90</f>
        <v>0</v>
      </c>
      <c r="BQ136" s="127">
        <f>Real[[#This Row],[05/05/25]]+(1-Real[[#This Row],[05/05/25]])*'Avance 39'!X90</f>
        <v>0</v>
      </c>
      <c r="BR136" s="127">
        <f>Real[[#This Row],[05/05/25]]+(1-Real[[#This Row],[05/05/25]])*'Avance 39'!Y90</f>
        <v>0</v>
      </c>
      <c r="BS136" s="127">
        <f>Real[[#This Row],[05/05/25]]+(1-Real[[#This Row],[05/05/25]])*'Avance 39'!Z90</f>
        <v>0</v>
      </c>
      <c r="BT136" s="127">
        <f>Real[[#This Row],[05/05/25]]+(1-Real[[#This Row],[05/05/25]])*'Avance 39'!AA90</f>
        <v>0</v>
      </c>
      <c r="BU136" s="127">
        <f>Real[[#This Row],[05/05/25]]+(1-Real[[#This Row],[05/05/25]])*'Avance 39'!AB90</f>
        <v>0</v>
      </c>
      <c r="BV136" s="127">
        <f>Real[[#This Row],[05/05/25]]+(1-Real[[#This Row],[05/05/25]])*'Avance 39'!AC90</f>
        <v>0</v>
      </c>
      <c r="BW136" s="127">
        <f>Real[[#This Row],[05/05/25]]+(1-Real[[#This Row],[05/05/25]])*'Avance 39'!AD90</f>
        <v>0</v>
      </c>
      <c r="BX136" s="127">
        <f>Real[[#This Row],[05/05/25]]+(1-Real[[#This Row],[05/05/25]])*'Avance 39'!AE90</f>
        <v>0</v>
      </c>
      <c r="BY136" s="127">
        <f>Real[[#This Row],[05/05/25]]+(1-Real[[#This Row],[05/05/25]])*'Avance 39'!AF90</f>
        <v>0</v>
      </c>
      <c r="BZ136" s="127">
        <f>Real[[#This Row],[05/05/25]]+(1-Real[[#This Row],[05/05/25]])*'Avance 39'!AG90</f>
        <v>0</v>
      </c>
      <c r="CA136" s="127">
        <f>Real[[#This Row],[05/05/25]]+(1-Real[[#This Row],[05/05/25]])*'Avance 39'!AH90</f>
        <v>0</v>
      </c>
      <c r="CB136" s="127">
        <f>Real[[#This Row],[05/05/25]]+(1-Real[[#This Row],[05/05/25]])*'Avance 39'!AI90</f>
        <v>0</v>
      </c>
      <c r="CC136" s="127">
        <f>Real[[#This Row],[05/05/25]]+(1-Real[[#This Row],[05/05/25]])*'Avance 39'!AJ90</f>
        <v>0</v>
      </c>
      <c r="CD136" s="127">
        <f>Real[[#This Row],[05/05/25]]+(1-Real[[#This Row],[05/05/25]])*'Avance 39'!AK90</f>
        <v>0</v>
      </c>
      <c r="CE136" s="127">
        <f>Real[[#This Row],[05/05/25]]+(1-Real[[#This Row],[05/05/25]])*'Avance 39'!AL90</f>
        <v>0</v>
      </c>
      <c r="CF136" s="127">
        <f>Real[[#This Row],[05/05/25]]+(1-Real[[#This Row],[05/05/25]])*'Avance 39'!AM90</f>
        <v>0</v>
      </c>
      <c r="CG136" s="127">
        <f>Real[[#This Row],[05/05/25]]+(1-Real[[#This Row],[05/05/25]])*'Avance 39'!AN90</f>
        <v>0</v>
      </c>
      <c r="CH136" s="127">
        <f>Real[[#This Row],[05/05/25]]+(1-Real[[#This Row],[05/05/25]])*'Avance 39'!AO90</f>
        <v>0</v>
      </c>
      <c r="CI136" s="127">
        <f>Real[[#This Row],[05/05/25]]+(1-Real[[#This Row],[05/05/25]])*'Avance 39'!AP90</f>
        <v>0</v>
      </c>
      <c r="CJ136" s="127">
        <f>Real[[#This Row],[05/05/25]]+(1-Real[[#This Row],[05/05/25]])*'Avance 39'!AQ90</f>
        <v>0</v>
      </c>
      <c r="CK136" s="127">
        <f>Real[[#This Row],[05/05/25]]+(1-Real[[#This Row],[05/05/25]])*'Avance 39'!AR90</f>
        <v>0</v>
      </c>
      <c r="CL136" s="127">
        <f>Real[[#This Row],[05/05/25]]+(1-Real[[#This Row],[05/05/25]])*'Avance 39'!AS90</f>
        <v>0</v>
      </c>
      <c r="CM136" s="127">
        <f>Real[[#This Row],[05/05/25]]+(1-Real[[#This Row],[05/05/25]])*'Avance 39'!AT90</f>
        <v>0</v>
      </c>
      <c r="CN136" s="127">
        <f>Real[[#This Row],[05/05/25]]+(1-Real[[#This Row],[05/05/25]])*'Avance 39'!AU90</f>
        <v>0</v>
      </c>
      <c r="CO136" s="127">
        <f>Real[[#This Row],[05/05/25]]+(1-Real[[#This Row],[05/05/25]])*'Avance 39'!AV90</f>
        <v>0</v>
      </c>
      <c r="CP136" s="127">
        <f>Real[[#This Row],[05/05/25]]+(1-Real[[#This Row],[05/05/25]])*'Avance 39'!AW90</f>
        <v>0</v>
      </c>
      <c r="CQ136" s="127">
        <f>Real[[#This Row],[05/05/25]]+(1-Real[[#This Row],[05/05/25]])*'Avance 39'!AX90</f>
        <v>0</v>
      </c>
      <c r="CR136" s="127">
        <f>Real[[#This Row],[05/05/25]]+(1-Real[[#This Row],[05/05/25]])*'Avance 39'!AY90</f>
        <v>0</v>
      </c>
      <c r="CS136" s="127">
        <f>Real[[#This Row],[05/05/25]]+(1-Real[[#This Row],[05/05/25]])*'Avance 39'!AZ90</f>
        <v>0</v>
      </c>
      <c r="CT136" s="127">
        <f>Real[[#This Row],[05/05/25]]+(1-Real[[#This Row],[05/05/25]])*'Avance 39'!BA90</f>
        <v>0</v>
      </c>
      <c r="CU136" s="127">
        <f>Real[[#This Row],[05/05/25]]+(1-Real[[#This Row],[05/05/25]])*'Avance 39'!BB90</f>
        <v>0</v>
      </c>
      <c r="CV136" s="127">
        <f>Real[[#This Row],[05/05/25]]+(1-Real[[#This Row],[05/05/25]])*'Avance 39'!BC90</f>
        <v>0</v>
      </c>
      <c r="CW136" s="127">
        <f>Real[[#This Row],[05/05/25]]+(1-Real[[#This Row],[05/05/25]])*'Avance 39'!BD90</f>
        <v>0</v>
      </c>
      <c r="CX136" s="127">
        <f>Real[[#This Row],[05/05/25]]+(1-Real[[#This Row],[05/05/25]])*'Avance 39'!BE90</f>
        <v>0</v>
      </c>
      <c r="CY136" s="127">
        <f>Real[[#This Row],[05/05/25]]+(1-Real[[#This Row],[05/05/25]])*'Avance 39'!BF90</f>
        <v>0</v>
      </c>
      <c r="CZ136" s="127">
        <f>Real[[#This Row],[05/05/25]]+(1-Real[[#This Row],[05/05/25]])*'Avance 39'!BG90</f>
        <v>0</v>
      </c>
      <c r="DA136" s="127">
        <f>Real[[#This Row],[05/05/25]]+(1-Real[[#This Row],[05/05/25]])*'Avance 39'!BH90</f>
        <v>0</v>
      </c>
      <c r="DB136" s="127">
        <f>Real[[#This Row],[05/05/25]]+(1-Real[[#This Row],[05/05/25]])*'Avance 39'!BI90</f>
        <v>0</v>
      </c>
      <c r="DC136" s="127">
        <f>Real[[#This Row],[05/05/25]]+(1-Real[[#This Row],[05/05/25]])*'Avance 39'!BJ90</f>
        <v>0</v>
      </c>
      <c r="DD136" s="127">
        <f>Real[[#This Row],[05/05/25]]+(1-Real[[#This Row],[05/05/25]])*'Avance 39'!BK90</f>
        <v>0</v>
      </c>
      <c r="DE136" s="127">
        <f>Real[[#This Row],[05/05/25]]+(1-Real[[#This Row],[05/05/25]])*'Avance 39'!BL90</f>
        <v>0</v>
      </c>
      <c r="DF136" s="127">
        <f>Real[[#This Row],[05/05/25]]+(1-Real[[#This Row],[05/05/25]])*'Avance 39'!BM90</f>
        <v>0</v>
      </c>
      <c r="DG136" s="127">
        <f>Real[[#This Row],[05/05/25]]+(1-Real[[#This Row],[05/05/25]])*'Avance 39'!BN90</f>
        <v>0</v>
      </c>
      <c r="DH136" s="127">
        <f>Real[[#This Row],[05/05/25]]+(1-Real[[#This Row],[05/05/25]])*'Avance 39'!BO90</f>
        <v>0</v>
      </c>
      <c r="DI136" s="127">
        <f>Real[[#This Row],[05/05/25]]+(1-Real[[#This Row],[05/05/25]])*'Avance 39'!BP90</f>
        <v>0</v>
      </c>
      <c r="DJ136" s="127">
        <f>Real[[#This Row],[05/05/25]]+(1-Real[[#This Row],[05/05/25]])*'Avance 39'!BQ90</f>
        <v>0</v>
      </c>
      <c r="DK136" s="127">
        <f>Real[[#This Row],[05/05/25]]+(1-Real[[#This Row],[05/05/25]])*'Avance 39'!BR90</f>
        <v>0</v>
      </c>
      <c r="DL136" s="127">
        <f>Real[[#This Row],[05/05/25]]+(1-Real[[#This Row],[05/05/25]])*'Avance 39'!BS90</f>
        <v>0</v>
      </c>
      <c r="DM136" s="127">
        <f>Real[[#This Row],[05/05/25]]+(1-Real[[#This Row],[05/05/25]])*'Avance 39'!BT90</f>
        <v>0</v>
      </c>
      <c r="DN136" s="127">
        <f>Real[[#This Row],[05/05/25]]+(1-Real[[#This Row],[05/05/25]])*'Avance 39'!BU90</f>
        <v>0</v>
      </c>
      <c r="DO136" s="127">
        <f>Real[[#This Row],[05/05/25]]+(1-Real[[#This Row],[05/05/25]])*'Avance 39'!BV90</f>
        <v>0</v>
      </c>
      <c r="DP136" s="127">
        <f>Real[[#This Row],[05/05/25]]+(1-Real[[#This Row],[05/05/25]])*'Avance 39'!BW90</f>
        <v>0</v>
      </c>
      <c r="DQ136" s="127">
        <f>Real[[#This Row],[05/05/25]]+(1-Real[[#This Row],[05/05/25]])*'Avance 39'!BX90</f>
        <v>0</v>
      </c>
      <c r="DR136" s="127">
        <f>Real[[#This Row],[05/05/25]]+(1-Real[[#This Row],[05/05/25]])*'Avance 39'!BY90</f>
        <v>0</v>
      </c>
      <c r="DS136" s="127">
        <f>Real[[#This Row],[05/05/25]]+(1-Real[[#This Row],[05/05/25]])*'Avance 39'!BZ90</f>
        <v>0</v>
      </c>
      <c r="DT136" s="127">
        <f>Real[[#This Row],[05/05/25]]+(1-Real[[#This Row],[05/05/25]])*'Avance 39'!CA90</f>
        <v>0</v>
      </c>
      <c r="DU136" s="127">
        <f>Real[[#This Row],[05/05/25]]+(1-Real[[#This Row],[05/05/25]])*'Avance 39'!CB90</f>
        <v>0</v>
      </c>
      <c r="DV136" s="127">
        <f>Real[[#This Row],[05/05/25]]+(1-Real[[#This Row],[05/05/25]])*'Avance 39'!CC90</f>
        <v>0</v>
      </c>
      <c r="DW136" s="127">
        <f>Real[[#This Row],[05/05/25]]+(1-Real[[#This Row],[05/05/25]])*'Avance 39'!CD90</f>
        <v>0</v>
      </c>
      <c r="DX136" s="127">
        <f>Real[[#This Row],[05/05/25]]+(1-Real[[#This Row],[05/05/25]])*'Avance 39'!CE90</f>
        <v>0</v>
      </c>
      <c r="DY136" s="127">
        <f>Real[[#This Row],[05/05/25]]+(1-Real[[#This Row],[05/05/25]])*'Avance 39'!CF90</f>
        <v>0</v>
      </c>
      <c r="DZ136" s="127">
        <f>Real[[#This Row],[05/05/25]]+(1-Real[[#This Row],[05/05/25]])*'Avance 39'!CG90</f>
        <v>0</v>
      </c>
      <c r="EA136" s="127">
        <f>Real[[#This Row],[05/05/25]]+(1-Real[[#This Row],[05/05/25]])*'Avance 39'!CH90</f>
        <v>0</v>
      </c>
      <c r="EB136" s="127">
        <f>Real[[#This Row],[05/05/25]]+(1-Real[[#This Row],[05/05/25]])*'Avance 39'!CI90</f>
        <v>0</v>
      </c>
      <c r="EC136" s="127">
        <f>Real[[#This Row],[05/05/25]]+(1-Real[[#This Row],[05/05/25]])*'Avance 39'!CJ90</f>
        <v>0</v>
      </c>
      <c r="ED136" s="127">
        <f>Real[[#This Row],[05/05/25]]+(1-Real[[#This Row],[05/05/25]])*'Avance 39'!CK90</f>
        <v>0</v>
      </c>
      <c r="EE136" s="127">
        <f>Real[[#This Row],[05/05/25]]+(1-Real[[#This Row],[05/05/25]])*'Avance 39'!CL90</f>
        <v>0</v>
      </c>
      <c r="EF136" s="127">
        <f>Real[[#This Row],[05/05/25]]+(1-Real[[#This Row],[05/05/25]])*'Avance 39'!CM90</f>
        <v>0</v>
      </c>
      <c r="EG136" s="127">
        <f>Real[[#This Row],[05/05/25]]+(1-Real[[#This Row],[05/05/25]])*'Avance 39'!CN90</f>
        <v>0</v>
      </c>
      <c r="EH136" s="127">
        <f>Real[[#This Row],[05/05/25]]+(1-Real[[#This Row],[05/05/25]])*'Avance 39'!CO90</f>
        <v>0</v>
      </c>
      <c r="EI136" s="127">
        <f>Real[[#This Row],[05/05/25]]+(1-Real[[#This Row],[05/05/25]])*'Avance 39'!CP90</f>
        <v>0</v>
      </c>
    </row>
    <row r="137" spans="2:142" hidden="1" outlineLevel="3" x14ac:dyDescent="0.3">
      <c r="B137" s="29"/>
      <c r="C137" s="30"/>
      <c r="D137" s="30"/>
      <c r="E137" s="52" t="s">
        <v>140</v>
      </c>
      <c r="F137" s="33">
        <v>40</v>
      </c>
      <c r="G137" s="35">
        <v>0.65</v>
      </c>
      <c r="H137" s="162"/>
      <c r="I137" s="127">
        <v>0</v>
      </c>
      <c r="J137" s="127">
        <v>0</v>
      </c>
      <c r="K137" s="127">
        <v>0</v>
      </c>
      <c r="L137" s="127">
        <v>0</v>
      </c>
      <c r="M137" s="128">
        <v>0</v>
      </c>
      <c r="N137" s="128">
        <v>0</v>
      </c>
      <c r="O137" s="127">
        <v>0</v>
      </c>
      <c r="P137" s="127">
        <v>0</v>
      </c>
      <c r="Q137" s="127">
        <v>0</v>
      </c>
      <c r="R137" s="127">
        <v>0</v>
      </c>
      <c r="S137" s="127">
        <v>0</v>
      </c>
      <c r="T137" s="127">
        <v>0</v>
      </c>
      <c r="U137" s="127">
        <v>0</v>
      </c>
      <c r="V137" s="127">
        <v>0</v>
      </c>
      <c r="W137" s="127">
        <v>0</v>
      </c>
      <c r="X137" s="127">
        <v>0</v>
      </c>
      <c r="Y137" s="127">
        <v>0</v>
      </c>
      <c r="Z137" s="127">
        <v>0</v>
      </c>
      <c r="AA137" s="127">
        <v>0</v>
      </c>
      <c r="AB137" s="127">
        <v>0</v>
      </c>
      <c r="AC137" s="127">
        <v>0</v>
      </c>
      <c r="AD137" s="127">
        <v>0</v>
      </c>
      <c r="AE137" s="127">
        <v>0</v>
      </c>
      <c r="AF137" s="127">
        <v>0</v>
      </c>
      <c r="AG137" s="127">
        <v>0</v>
      </c>
      <c r="AH137" s="127">
        <v>0</v>
      </c>
      <c r="AI137" s="127">
        <v>0</v>
      </c>
      <c r="AJ137" s="127">
        <v>0</v>
      </c>
      <c r="AK137" s="127">
        <v>0</v>
      </c>
      <c r="AL137" s="127">
        <v>0</v>
      </c>
      <c r="AM137" s="127">
        <v>0</v>
      </c>
      <c r="AN137" s="127">
        <v>0</v>
      </c>
      <c r="AO137" s="127">
        <v>0</v>
      </c>
      <c r="AP137" s="127">
        <v>0</v>
      </c>
      <c r="AQ137" s="127">
        <v>0</v>
      </c>
      <c r="AR137" s="127">
        <v>0</v>
      </c>
      <c r="AS137" s="127">
        <v>0</v>
      </c>
      <c r="AT137" s="127">
        <v>0</v>
      </c>
      <c r="AU137" s="127">
        <v>0</v>
      </c>
      <c r="AV137" s="127">
        <v>0</v>
      </c>
      <c r="AW137" s="127">
        <v>0</v>
      </c>
      <c r="AX137" s="127">
        <v>0</v>
      </c>
      <c r="AY137" s="127">
        <v>0</v>
      </c>
      <c r="AZ137" s="127">
        <v>0</v>
      </c>
      <c r="BA137" s="127">
        <v>0</v>
      </c>
      <c r="BB137" s="127">
        <f>Real[[#This Row],[05/05/25]]+(1-Real[[#This Row],[05/05/25]])*'Avance 39'!I91</f>
        <v>0</v>
      </c>
      <c r="BC137" s="127">
        <f>Real[[#This Row],[05/05/25]]+(1-Real[[#This Row],[05/05/25]])*'Avance 39'!J91</f>
        <v>0</v>
      </c>
      <c r="BD137" s="127">
        <f>Real[[#This Row],[05/05/25]]+(1-Real[[#This Row],[05/05/25]])*'Avance 39'!K91</f>
        <v>0</v>
      </c>
      <c r="BE137" s="127">
        <f>Real[[#This Row],[05/05/25]]+(1-Real[[#This Row],[05/05/25]])*'Avance 39'!L91</f>
        <v>0</v>
      </c>
      <c r="BF137" s="127">
        <f>Real[[#This Row],[05/05/25]]+(1-Real[[#This Row],[05/05/25]])*'Avance 39'!M91</f>
        <v>0</v>
      </c>
      <c r="BG137" s="163">
        <f>Real[[#This Row],[05/05/25]]+(1-Real[[#This Row],[05/05/25]])*'Avance 39'!N91</f>
        <v>0</v>
      </c>
      <c r="BH137" s="163">
        <f>Real[[#This Row],[05/05/25]]+(1-Real[[#This Row],[05/05/25]])*'Avance 39'!O91</f>
        <v>0</v>
      </c>
      <c r="BI137" s="127">
        <f>Real[[#This Row],[05/05/25]]+(1-Real[[#This Row],[05/05/25]])*'Avance 39'!P91</f>
        <v>0</v>
      </c>
      <c r="BJ137" s="127">
        <f>Real[[#This Row],[05/05/25]]+(1-Real[[#This Row],[05/05/25]])*'Avance 39'!Q91</f>
        <v>0</v>
      </c>
      <c r="BK137" s="127">
        <f>Real[[#This Row],[05/05/25]]+(1-Real[[#This Row],[05/05/25]])*'Avance 39'!R91</f>
        <v>0</v>
      </c>
      <c r="BL137" s="127">
        <f>Real[[#This Row],[05/05/25]]+(1-Real[[#This Row],[05/05/25]])*'Avance 39'!S91</f>
        <v>0</v>
      </c>
      <c r="BM137" s="127">
        <f>Real[[#This Row],[05/05/25]]+(1-Real[[#This Row],[05/05/25]])*'Avance 39'!T91</f>
        <v>0</v>
      </c>
      <c r="BN137" s="127">
        <f>Real[[#This Row],[05/05/25]]+(1-Real[[#This Row],[05/05/25]])*'Avance 39'!U91</f>
        <v>0</v>
      </c>
      <c r="BO137" s="127">
        <f>Real[[#This Row],[05/05/25]]+(1-Real[[#This Row],[05/05/25]])*'Avance 39'!V91</f>
        <v>0</v>
      </c>
      <c r="BP137" s="127">
        <f>Real[[#This Row],[05/05/25]]+(1-Real[[#This Row],[05/05/25]])*'Avance 39'!W91</f>
        <v>0</v>
      </c>
      <c r="BQ137" s="127">
        <f>Real[[#This Row],[05/05/25]]+(1-Real[[#This Row],[05/05/25]])*'Avance 39'!X91</f>
        <v>0</v>
      </c>
      <c r="BR137" s="127">
        <f>Real[[#This Row],[05/05/25]]+(1-Real[[#This Row],[05/05/25]])*'Avance 39'!Y91</f>
        <v>0</v>
      </c>
      <c r="BS137" s="127">
        <f>Real[[#This Row],[05/05/25]]+(1-Real[[#This Row],[05/05/25]])*'Avance 39'!Z91</f>
        <v>0</v>
      </c>
      <c r="BT137" s="127">
        <f>Real[[#This Row],[05/05/25]]+(1-Real[[#This Row],[05/05/25]])*'Avance 39'!AA91</f>
        <v>0</v>
      </c>
      <c r="BU137" s="127">
        <f>Real[[#This Row],[05/05/25]]+(1-Real[[#This Row],[05/05/25]])*'Avance 39'!AB91</f>
        <v>0</v>
      </c>
      <c r="BV137" s="127">
        <f>Real[[#This Row],[05/05/25]]+(1-Real[[#This Row],[05/05/25]])*'Avance 39'!AC91</f>
        <v>0</v>
      </c>
      <c r="BW137" s="127">
        <f>Real[[#This Row],[05/05/25]]+(1-Real[[#This Row],[05/05/25]])*'Avance 39'!AD91</f>
        <v>0</v>
      </c>
      <c r="BX137" s="127">
        <f>Real[[#This Row],[05/05/25]]+(1-Real[[#This Row],[05/05/25]])*'Avance 39'!AE91</f>
        <v>0</v>
      </c>
      <c r="BY137" s="127">
        <f>Real[[#This Row],[05/05/25]]+(1-Real[[#This Row],[05/05/25]])*'Avance 39'!AF91</f>
        <v>0</v>
      </c>
      <c r="BZ137" s="127">
        <f>Real[[#This Row],[05/05/25]]+(1-Real[[#This Row],[05/05/25]])*'Avance 39'!AG91</f>
        <v>0</v>
      </c>
      <c r="CA137" s="127">
        <f>Real[[#This Row],[05/05/25]]+(1-Real[[#This Row],[05/05/25]])*'Avance 39'!AH91</f>
        <v>4.9382716049382713E-2</v>
      </c>
      <c r="CB137" s="127">
        <f>Real[[#This Row],[05/05/25]]+(1-Real[[#This Row],[05/05/25]])*'Avance 39'!AI91</f>
        <v>4.9382716049382713E-2</v>
      </c>
      <c r="CC137" s="127">
        <f>Real[[#This Row],[05/05/25]]+(1-Real[[#This Row],[05/05/25]])*'Avance 39'!AJ91</f>
        <v>4.9382716049382713E-2</v>
      </c>
      <c r="CD137" s="127">
        <f>Real[[#This Row],[05/05/25]]+(1-Real[[#This Row],[05/05/25]])*'Avance 39'!AK91</f>
        <v>4.9382716049382713E-2</v>
      </c>
      <c r="CE137" s="127">
        <f>Real[[#This Row],[05/05/25]]+(1-Real[[#This Row],[05/05/25]])*'Avance 39'!AL91</f>
        <v>6.1728395061728392E-2</v>
      </c>
      <c r="CF137" s="127">
        <f>Real[[#This Row],[05/05/25]]+(1-Real[[#This Row],[05/05/25]])*'Avance 39'!AM91</f>
        <v>9.8765432098765427E-2</v>
      </c>
      <c r="CG137" s="127">
        <f>Real[[#This Row],[05/05/25]]+(1-Real[[#This Row],[05/05/25]])*'Avance 39'!AN91</f>
        <v>9.8765432098765427E-2</v>
      </c>
      <c r="CH137" s="127">
        <f>Real[[#This Row],[05/05/25]]+(1-Real[[#This Row],[05/05/25]])*'Avance 39'!AO91</f>
        <v>9.8765432098765427E-2</v>
      </c>
      <c r="CI137" s="127">
        <f>Real[[#This Row],[05/05/25]]+(1-Real[[#This Row],[05/05/25]])*'Avance 39'!AP91</f>
        <v>9.8765432098765427E-2</v>
      </c>
      <c r="CJ137" s="127">
        <f>Real[[#This Row],[05/05/25]]+(1-Real[[#This Row],[05/05/25]])*'Avance 39'!AQ91</f>
        <v>9.8765432098765427E-2</v>
      </c>
      <c r="CK137" s="127">
        <f>Real[[#This Row],[05/05/25]]+(1-Real[[#This Row],[05/05/25]])*'Avance 39'!AR91</f>
        <v>9.8765432098765427E-2</v>
      </c>
      <c r="CL137" s="127">
        <f>Real[[#This Row],[05/05/25]]+(1-Real[[#This Row],[05/05/25]])*'Avance 39'!AS91</f>
        <v>9.8765432098765427E-2</v>
      </c>
      <c r="CM137" s="127">
        <f>Real[[#This Row],[05/05/25]]+(1-Real[[#This Row],[05/05/25]])*'Avance 39'!AT91</f>
        <v>9.8765432098765427E-2</v>
      </c>
      <c r="CN137" s="127">
        <f>Real[[#This Row],[05/05/25]]+(1-Real[[#This Row],[05/05/25]])*'Avance 39'!AU91</f>
        <v>9.8765432098765427E-2</v>
      </c>
      <c r="CO137" s="127">
        <f>Real[[#This Row],[05/05/25]]+(1-Real[[#This Row],[05/05/25]])*'Avance 39'!AV91</f>
        <v>9.8765432098765427E-2</v>
      </c>
      <c r="CP137" s="127">
        <f>Real[[#This Row],[05/05/25]]+(1-Real[[#This Row],[05/05/25]])*'Avance 39'!AW91</f>
        <v>9.8765432098765427E-2</v>
      </c>
      <c r="CQ137" s="127">
        <f>Real[[#This Row],[05/05/25]]+(1-Real[[#This Row],[05/05/25]])*'Avance 39'!AX91</f>
        <v>9.8765432098765427E-2</v>
      </c>
      <c r="CR137" s="127">
        <f>Real[[#This Row],[05/05/25]]+(1-Real[[#This Row],[05/05/25]])*'Avance 39'!AY91</f>
        <v>0.129</v>
      </c>
      <c r="CS137" s="127">
        <f>Real[[#This Row],[05/05/25]]+(1-Real[[#This Row],[05/05/25]])*'Avance 39'!AZ91</f>
        <v>0.14000000000000001</v>
      </c>
      <c r="CT137" s="127">
        <f>Real[[#This Row],[05/05/25]]+(1-Real[[#This Row],[05/05/25]])*'Avance 39'!BA91</f>
        <v>0.16</v>
      </c>
      <c r="CU137" s="127">
        <f>Real[[#This Row],[05/05/25]]+(1-Real[[#This Row],[05/05/25]])*'Avance 39'!BB91</f>
        <v>0.18</v>
      </c>
      <c r="CV137" s="127">
        <f>Real[[#This Row],[05/05/25]]+(1-Real[[#This Row],[05/05/25]])*'Avance 39'!BC91</f>
        <v>0.18</v>
      </c>
      <c r="CW137" s="127">
        <f>Real[[#This Row],[05/05/25]]+(1-Real[[#This Row],[05/05/25]])*'Avance 39'!BD91</f>
        <v>0.18</v>
      </c>
      <c r="CX137" s="127">
        <f>Real[[#This Row],[05/05/25]]+(1-Real[[#This Row],[05/05/25]])*'Avance 39'!BE91</f>
        <v>0.2</v>
      </c>
      <c r="CY137" s="127">
        <f>Real[[#This Row],[05/05/25]]+(1-Real[[#This Row],[05/05/25]])*'Avance 39'!BF91</f>
        <v>0.22</v>
      </c>
      <c r="CZ137" s="127">
        <f>Real[[#This Row],[05/05/25]]+(1-Real[[#This Row],[05/05/25]])*'Avance 39'!BG91</f>
        <v>0.24</v>
      </c>
      <c r="DA137" s="127">
        <f>Real[[#This Row],[05/05/25]]+(1-Real[[#This Row],[05/05/25]])*'Avance 39'!BH91</f>
        <v>0.26</v>
      </c>
      <c r="DB137" s="127">
        <f>Real[[#This Row],[05/05/25]]+(1-Real[[#This Row],[05/05/25]])*'Avance 39'!BI91</f>
        <v>0.3</v>
      </c>
      <c r="DC137" s="127">
        <f>Real[[#This Row],[05/05/25]]+(1-Real[[#This Row],[05/05/25]])*'Avance 39'!BJ91</f>
        <v>0.33</v>
      </c>
      <c r="DD137" s="127">
        <f>Real[[#This Row],[05/05/25]]+(1-Real[[#This Row],[05/05/25]])*'Avance 39'!BK91</f>
        <v>0.35</v>
      </c>
      <c r="DE137" s="127">
        <f>Real[[#This Row],[05/05/25]]+(1-Real[[#This Row],[05/05/25]])*'Avance 39'!BL91</f>
        <v>0.39</v>
      </c>
      <c r="DF137" s="127">
        <f>Real[[#This Row],[05/05/25]]+(1-Real[[#This Row],[05/05/25]])*'Avance 39'!BM91</f>
        <v>0.41</v>
      </c>
      <c r="DG137" s="127">
        <f>Real[[#This Row],[05/05/25]]+(1-Real[[#This Row],[05/05/25]])*'Avance 39'!BN91</f>
        <v>0.42</v>
      </c>
      <c r="DH137" s="127">
        <f>Real[[#This Row],[05/05/25]]+(1-Real[[#This Row],[05/05/25]])*'Avance 39'!BO91</f>
        <v>0.44</v>
      </c>
      <c r="DI137" s="127">
        <f>Real[[#This Row],[05/05/25]]+(1-Real[[#This Row],[05/05/25]])*'Avance 39'!BP91</f>
        <v>0.46</v>
      </c>
      <c r="DJ137" s="127">
        <f>Real[[#This Row],[05/05/25]]+(1-Real[[#This Row],[05/05/25]])*'Avance 39'!BQ91</f>
        <v>9.8765432098765427E-2</v>
      </c>
      <c r="DK137" s="127">
        <f>Real[[#This Row],[05/05/25]]+(1-Real[[#This Row],[05/05/25]])*'Avance 39'!BR91</f>
        <v>9.8765432098765427E-2</v>
      </c>
      <c r="DL137" s="127">
        <f>Real[[#This Row],[05/05/25]]+(1-Real[[#This Row],[05/05/25]])*'Avance 39'!BS91</f>
        <v>9.8765432098765427E-2</v>
      </c>
      <c r="DM137" s="127">
        <f>Real[[#This Row],[05/05/25]]+(1-Real[[#This Row],[05/05/25]])*'Avance 39'!BT91</f>
        <v>9.8765432098765427E-2</v>
      </c>
      <c r="DN137" s="127">
        <f>Real[[#This Row],[05/05/25]]+(1-Real[[#This Row],[05/05/25]])*'Avance 39'!BU91</f>
        <v>9.8765432098765427E-2</v>
      </c>
      <c r="DO137" s="127">
        <f>Real[[#This Row],[05/05/25]]+(1-Real[[#This Row],[05/05/25]])*'Avance 39'!BV91</f>
        <v>9.8765432098765427E-2</v>
      </c>
      <c r="DP137" s="127">
        <f>Real[[#This Row],[05/05/25]]+(1-Real[[#This Row],[05/05/25]])*'Avance 39'!BW91</f>
        <v>9.8765432098765427E-2</v>
      </c>
      <c r="DQ137" s="127">
        <f>Real[[#This Row],[05/05/25]]+(1-Real[[#This Row],[05/05/25]])*'Avance 39'!BX91</f>
        <v>9.8765432098765427E-2</v>
      </c>
      <c r="DR137" s="127">
        <f>Real[[#This Row],[05/05/25]]+(1-Real[[#This Row],[05/05/25]])*'Avance 39'!BY91</f>
        <v>9.8765432098765427E-2</v>
      </c>
      <c r="DS137" s="127">
        <f>Real[[#This Row],[05/05/25]]+(1-Real[[#This Row],[05/05/25]])*'Avance 39'!BZ91</f>
        <v>9.8765432098765427E-2</v>
      </c>
      <c r="DT137" s="127">
        <f>Real[[#This Row],[05/05/25]]+(1-Real[[#This Row],[05/05/25]])*'Avance 39'!CA91</f>
        <v>9.8765432098765427E-2</v>
      </c>
      <c r="DU137" s="127">
        <f>Real[[#This Row],[05/05/25]]+(1-Real[[#This Row],[05/05/25]])*'Avance 39'!CB91</f>
        <v>9.8765432098765427E-2</v>
      </c>
      <c r="DV137" s="127">
        <f>Real[[#This Row],[05/05/25]]+(1-Real[[#This Row],[05/05/25]])*'Avance 39'!CC91</f>
        <v>9.8765432098765427E-2</v>
      </c>
      <c r="DW137" s="127">
        <f>Real[[#This Row],[05/05/25]]+(1-Real[[#This Row],[05/05/25]])*'Avance 39'!CD91</f>
        <v>9.8765432098765427E-2</v>
      </c>
      <c r="DX137" s="127">
        <f>Real[[#This Row],[05/05/25]]+(1-Real[[#This Row],[05/05/25]])*'Avance 39'!CE91</f>
        <v>9.8765432098765427E-2</v>
      </c>
      <c r="DY137" s="127">
        <f>Real[[#This Row],[05/05/25]]+(1-Real[[#This Row],[05/05/25]])*'Avance 39'!CF91</f>
        <v>9.8765432098765427E-2</v>
      </c>
      <c r="DZ137" s="127">
        <f>Real[[#This Row],[05/05/25]]+(1-Real[[#This Row],[05/05/25]])*'Avance 39'!CG91</f>
        <v>9.8765432098765427E-2</v>
      </c>
      <c r="EA137" s="127">
        <f>Real[[#This Row],[05/05/25]]+(1-Real[[#This Row],[05/05/25]])*'Avance 39'!CH91</f>
        <v>9.8765432098765427E-2</v>
      </c>
      <c r="EB137" s="127">
        <f>Real[[#This Row],[05/05/25]]+(1-Real[[#This Row],[05/05/25]])*'Avance 39'!CI91</f>
        <v>9.8765432098765427E-2</v>
      </c>
      <c r="EC137" s="127">
        <f>Real[[#This Row],[05/05/25]]+(1-Real[[#This Row],[05/05/25]])*'Avance 39'!CJ91</f>
        <v>9.8765432098765427E-2</v>
      </c>
      <c r="ED137" s="127">
        <f>Real[[#This Row],[05/05/25]]+(1-Real[[#This Row],[05/05/25]])*'Avance 39'!CK91</f>
        <v>9.8765432098765427E-2</v>
      </c>
      <c r="EE137" s="127">
        <f>Real[[#This Row],[05/05/25]]+(1-Real[[#This Row],[05/05/25]])*'Avance 39'!CL91</f>
        <v>9.8765432098765427E-2</v>
      </c>
      <c r="EF137" s="127">
        <f>Real[[#This Row],[05/05/25]]+(1-Real[[#This Row],[05/05/25]])*'Avance 39'!CM91</f>
        <v>9.8765432098765427E-2</v>
      </c>
      <c r="EG137" s="127">
        <f>Real[[#This Row],[05/05/25]]+(1-Real[[#This Row],[05/05/25]])*'Avance 39'!CN91</f>
        <v>9.8765432098765427E-2</v>
      </c>
      <c r="EH137" s="127">
        <f>Real[[#This Row],[05/05/25]]+(1-Real[[#This Row],[05/05/25]])*'Avance 39'!CO91</f>
        <v>9.8765432098765427E-2</v>
      </c>
      <c r="EI137" s="127">
        <f>Real[[#This Row],[05/05/25]]+(1-Real[[#This Row],[05/05/25]])*'Avance 39'!CP91</f>
        <v>0.33</v>
      </c>
    </row>
    <row r="138" spans="2:142" ht="15" outlineLevel="2" collapsed="1" x14ac:dyDescent="0.3">
      <c r="B138" s="22"/>
      <c r="C138" s="23"/>
      <c r="D138" s="23" t="s">
        <v>79</v>
      </c>
      <c r="E138" s="50"/>
      <c r="F138" s="26">
        <f>+SUM(F139:F141)</f>
        <v>55</v>
      </c>
      <c r="G138" s="28">
        <v>0.02</v>
      </c>
      <c r="H138" s="160"/>
      <c r="I138" s="28">
        <f t="shared" ref="I138:BD138" si="838">+SUMPRODUCT($G$139:$G$141,I139:I141)</f>
        <v>0</v>
      </c>
      <c r="J138" s="28">
        <f t="shared" si="838"/>
        <v>0</v>
      </c>
      <c r="K138" s="28">
        <f t="shared" si="838"/>
        <v>0</v>
      </c>
      <c r="L138" s="28">
        <f t="shared" si="838"/>
        <v>0</v>
      </c>
      <c r="M138" s="64">
        <f t="shared" si="838"/>
        <v>0</v>
      </c>
      <c r="N138" s="64">
        <f t="shared" si="838"/>
        <v>0</v>
      </c>
      <c r="O138" s="28">
        <f t="shared" si="838"/>
        <v>0</v>
      </c>
      <c r="P138" s="28">
        <f t="shared" si="838"/>
        <v>0</v>
      </c>
      <c r="Q138" s="28">
        <f t="shared" si="838"/>
        <v>0</v>
      </c>
      <c r="R138" s="28">
        <f t="shared" si="838"/>
        <v>0</v>
      </c>
      <c r="S138" s="28">
        <f t="shared" si="838"/>
        <v>0</v>
      </c>
      <c r="T138" s="28">
        <f t="shared" si="838"/>
        <v>0</v>
      </c>
      <c r="U138" s="28">
        <f t="shared" si="838"/>
        <v>0</v>
      </c>
      <c r="V138" s="28">
        <f t="shared" si="838"/>
        <v>0</v>
      </c>
      <c r="W138" s="28">
        <f t="shared" si="838"/>
        <v>0</v>
      </c>
      <c r="X138" s="28">
        <f t="shared" si="838"/>
        <v>0</v>
      </c>
      <c r="Y138" s="28">
        <f t="shared" si="838"/>
        <v>0</v>
      </c>
      <c r="Z138" s="28">
        <f t="shared" si="838"/>
        <v>0</v>
      </c>
      <c r="AA138" s="28">
        <f t="shared" si="838"/>
        <v>0</v>
      </c>
      <c r="AB138" s="28">
        <f t="shared" si="838"/>
        <v>0</v>
      </c>
      <c r="AC138" s="28">
        <f t="shared" si="838"/>
        <v>0</v>
      </c>
      <c r="AD138" s="28">
        <f t="shared" si="838"/>
        <v>0</v>
      </c>
      <c r="AE138" s="28">
        <f t="shared" si="838"/>
        <v>0</v>
      </c>
      <c r="AF138" s="28">
        <f t="shared" si="838"/>
        <v>0</v>
      </c>
      <c r="AG138" s="28">
        <f t="shared" si="838"/>
        <v>0</v>
      </c>
      <c r="AH138" s="28">
        <f t="shared" si="838"/>
        <v>0</v>
      </c>
      <c r="AI138" s="28">
        <f t="shared" si="838"/>
        <v>0</v>
      </c>
      <c r="AJ138" s="28">
        <f t="shared" si="838"/>
        <v>0</v>
      </c>
      <c r="AK138" s="28">
        <f t="shared" si="838"/>
        <v>0</v>
      </c>
      <c r="AL138" s="28">
        <f t="shared" si="838"/>
        <v>0</v>
      </c>
      <c r="AM138" s="28">
        <f t="shared" si="838"/>
        <v>0</v>
      </c>
      <c r="AN138" s="28">
        <f t="shared" si="838"/>
        <v>0</v>
      </c>
      <c r="AO138" s="28">
        <f t="shared" si="838"/>
        <v>0</v>
      </c>
      <c r="AP138" s="28">
        <f t="shared" si="838"/>
        <v>0</v>
      </c>
      <c r="AQ138" s="28">
        <f t="shared" si="838"/>
        <v>0</v>
      </c>
      <c r="AR138" s="28">
        <f t="shared" si="838"/>
        <v>0</v>
      </c>
      <c r="AS138" s="28">
        <f t="shared" si="838"/>
        <v>0</v>
      </c>
      <c r="AT138" s="28">
        <f t="shared" si="838"/>
        <v>0</v>
      </c>
      <c r="AU138" s="28">
        <f t="shared" si="838"/>
        <v>0</v>
      </c>
      <c r="AV138" s="28">
        <f t="shared" si="838"/>
        <v>0</v>
      </c>
      <c r="AW138" s="28">
        <f t="shared" si="838"/>
        <v>0</v>
      </c>
      <c r="AX138" s="28">
        <f t="shared" si="838"/>
        <v>0</v>
      </c>
      <c r="AY138" s="28">
        <f t="shared" si="838"/>
        <v>0</v>
      </c>
      <c r="AZ138" s="28">
        <f t="shared" si="838"/>
        <v>0</v>
      </c>
      <c r="BA138" s="28">
        <f t="shared" si="838"/>
        <v>0</v>
      </c>
      <c r="BB138" s="28">
        <f t="shared" si="838"/>
        <v>0</v>
      </c>
      <c r="BC138" s="28">
        <f t="shared" si="838"/>
        <v>0</v>
      </c>
      <c r="BD138" s="28">
        <f t="shared" si="838"/>
        <v>0</v>
      </c>
      <c r="BE138" s="28">
        <f t="shared" ref="BE138:BF138" si="839">+SUMPRODUCT($G$139:$G$141,BE139:BE141)</f>
        <v>0</v>
      </c>
      <c r="BF138" s="28">
        <f t="shared" si="839"/>
        <v>0</v>
      </c>
      <c r="BG138" s="161">
        <f t="shared" ref="BG138:BH138" si="840">+SUMPRODUCT($G$139:$G$141,BG139:BG141)</f>
        <v>0</v>
      </c>
      <c r="BH138" s="161">
        <f t="shared" si="840"/>
        <v>0</v>
      </c>
      <c r="BI138" s="28">
        <f t="shared" ref="BI138:BJ138" si="841">+SUMPRODUCT($G$139:$G$141,BI139:BI141)</f>
        <v>0</v>
      </c>
      <c r="BJ138" s="28">
        <f t="shared" si="841"/>
        <v>0</v>
      </c>
      <c r="BK138" s="28">
        <f t="shared" ref="BK138:BL138" si="842">+SUMPRODUCT($G$139:$G$141,BK139:BK141)</f>
        <v>0</v>
      </c>
      <c r="BL138" s="28">
        <f t="shared" si="842"/>
        <v>0</v>
      </c>
      <c r="BM138" s="28">
        <f t="shared" ref="BM138:BN138" si="843">+SUMPRODUCT($G$139:$G$141,BM139:BM141)</f>
        <v>0</v>
      </c>
      <c r="BN138" s="28">
        <f t="shared" si="843"/>
        <v>0</v>
      </c>
      <c r="BO138" s="28">
        <f t="shared" ref="BO138:BP138" si="844">+SUMPRODUCT($G$139:$G$141,BO139:BO141)</f>
        <v>0</v>
      </c>
      <c r="BP138" s="28">
        <f t="shared" si="844"/>
        <v>0</v>
      </c>
      <c r="BQ138" s="28">
        <f t="shared" ref="BQ138:BR138" si="845">+SUMPRODUCT($G$139:$G$141,BQ139:BQ141)</f>
        <v>0</v>
      </c>
      <c r="BR138" s="28">
        <f t="shared" si="845"/>
        <v>0</v>
      </c>
      <c r="BS138" s="28">
        <f t="shared" ref="BS138:BT138" si="846">+SUMPRODUCT($G$139:$G$141,BS139:BS141)</f>
        <v>0</v>
      </c>
      <c r="BT138" s="28">
        <f t="shared" si="846"/>
        <v>0</v>
      </c>
      <c r="BU138" s="28">
        <f t="shared" ref="BU138:BV138" si="847">+SUMPRODUCT($G$139:$G$141,BU139:BU141)</f>
        <v>0</v>
      </c>
      <c r="BV138" s="28">
        <f t="shared" si="847"/>
        <v>0</v>
      </c>
      <c r="BW138" s="28">
        <f t="shared" ref="BW138:BX138" si="848">+SUMPRODUCT($G$139:$G$141,BW139:BW141)</f>
        <v>0</v>
      </c>
      <c r="BX138" s="28">
        <f t="shared" si="848"/>
        <v>0</v>
      </c>
      <c r="BY138" s="28">
        <f t="shared" ref="BY138:BZ138" si="849">+SUMPRODUCT($G$139:$G$141,BY139:BY141)</f>
        <v>0</v>
      </c>
      <c r="BZ138" s="28">
        <f t="shared" si="849"/>
        <v>0</v>
      </c>
      <c r="CA138" s="28">
        <f t="shared" ref="CA138:CB138" si="850">+SUMPRODUCT($G$139:$G$141,CA139:CA141)</f>
        <v>0</v>
      </c>
      <c r="CB138" s="28">
        <f t="shared" si="850"/>
        <v>0</v>
      </c>
      <c r="CC138" s="28">
        <f t="shared" ref="CC138:CD138" si="851">+SUMPRODUCT($G$139:$G$141,CC139:CC141)</f>
        <v>0</v>
      </c>
      <c r="CD138" s="28">
        <f t="shared" si="851"/>
        <v>0</v>
      </c>
      <c r="CE138" s="28">
        <f t="shared" ref="CE138" si="852">+SUMPRODUCT($G$139:$G$141,CE139:CE141)</f>
        <v>0</v>
      </c>
      <c r="CF138" s="28">
        <f t="shared" ref="CF138" si="853">+SUMPRODUCT($G$139:$G$141,CF139:CF141)</f>
        <v>0</v>
      </c>
      <c r="CG138" s="28">
        <f t="shared" ref="CG138" si="854">+SUMPRODUCT($G$139:$G$141,CG139:CG141)</f>
        <v>0</v>
      </c>
      <c r="CH138" s="28">
        <f t="shared" ref="CH138" si="855">+SUMPRODUCT($G$139:$G$141,CH139:CH141)</f>
        <v>0</v>
      </c>
      <c r="CI138" s="28">
        <f t="shared" ref="CI138" si="856">+SUMPRODUCT($G$139:$G$141,CI139:CI141)</f>
        <v>0</v>
      </c>
      <c r="CJ138" s="28">
        <f t="shared" ref="CJ138:CK138" si="857">+SUMPRODUCT($G$139:$G$141,CJ139:CJ141)</f>
        <v>0</v>
      </c>
      <c r="CK138" s="28">
        <f t="shared" si="857"/>
        <v>0</v>
      </c>
      <c r="CL138" s="28">
        <f t="shared" ref="CL138:CV138" si="858">+SUMPRODUCT($G$139:$G$141,CL139:CL141)</f>
        <v>0</v>
      </c>
      <c r="CM138" s="28">
        <f t="shared" si="858"/>
        <v>0</v>
      </c>
      <c r="CN138" s="28">
        <f t="shared" si="858"/>
        <v>0</v>
      </c>
      <c r="CO138" s="28">
        <f t="shared" si="858"/>
        <v>0</v>
      </c>
      <c r="CP138" s="28">
        <f t="shared" si="858"/>
        <v>0</v>
      </c>
      <c r="CQ138" s="28">
        <f t="shared" si="858"/>
        <v>0</v>
      </c>
      <c r="CR138" s="28">
        <f t="shared" si="858"/>
        <v>0</v>
      </c>
      <c r="CS138" s="28">
        <f t="shared" si="858"/>
        <v>0</v>
      </c>
      <c r="CT138" s="28">
        <f t="shared" si="858"/>
        <v>0</v>
      </c>
      <c r="CU138" s="28">
        <f t="shared" si="858"/>
        <v>0</v>
      </c>
      <c r="CV138" s="28">
        <f t="shared" si="858"/>
        <v>0</v>
      </c>
      <c r="CW138" s="28">
        <f t="shared" ref="CW138" si="859">+SUMPRODUCT($G$139:$G$141,CW139:CW141)</f>
        <v>0</v>
      </c>
      <c r="CX138" s="28">
        <f t="shared" ref="CX138:CY138" si="860">+SUMPRODUCT($G$139:$G$141,CX139:CX141)</f>
        <v>0</v>
      </c>
      <c r="CY138" s="28">
        <f t="shared" si="860"/>
        <v>0</v>
      </c>
      <c r="CZ138" s="28">
        <f t="shared" ref="CZ138:DA138" si="861">+SUMPRODUCT($G$139:$G$141,CZ139:CZ141)</f>
        <v>0</v>
      </c>
      <c r="DA138" s="28">
        <f t="shared" si="861"/>
        <v>0</v>
      </c>
      <c r="DB138" s="28">
        <f t="shared" ref="DB138:DC138" si="862">+SUMPRODUCT($G$139:$G$141,DB139:DB141)</f>
        <v>0</v>
      </c>
      <c r="DC138" s="28">
        <f t="shared" si="862"/>
        <v>0</v>
      </c>
      <c r="DD138" s="28">
        <f t="shared" ref="DD138:DE138" si="863">+SUMPRODUCT($G$139:$G$141,DD139:DD141)</f>
        <v>0</v>
      </c>
      <c r="DE138" s="28">
        <f t="shared" si="863"/>
        <v>0</v>
      </c>
      <c r="DF138" s="28">
        <f t="shared" ref="DF138:EI138" si="864">+SUMPRODUCT($G$139:$G$141,DF139:DF141)</f>
        <v>0</v>
      </c>
      <c r="DG138" s="28">
        <f t="shared" si="864"/>
        <v>0</v>
      </c>
      <c r="DH138" s="28">
        <f t="shared" si="864"/>
        <v>0</v>
      </c>
      <c r="DI138" s="28">
        <f t="shared" si="864"/>
        <v>0</v>
      </c>
      <c r="DJ138" s="28">
        <f t="shared" si="864"/>
        <v>0</v>
      </c>
      <c r="DK138" s="28">
        <f t="shared" si="864"/>
        <v>0</v>
      </c>
      <c r="DL138" s="28">
        <f t="shared" si="864"/>
        <v>0</v>
      </c>
      <c r="DM138" s="28">
        <f t="shared" si="864"/>
        <v>0</v>
      </c>
      <c r="DN138" s="28">
        <f t="shared" si="864"/>
        <v>0</v>
      </c>
      <c r="DO138" s="28">
        <f t="shared" si="864"/>
        <v>0</v>
      </c>
      <c r="DP138" s="28">
        <f t="shared" si="864"/>
        <v>0</v>
      </c>
      <c r="DQ138" s="28">
        <f t="shared" si="864"/>
        <v>0</v>
      </c>
      <c r="DR138" s="28">
        <f t="shared" si="864"/>
        <v>0</v>
      </c>
      <c r="DS138" s="28">
        <f t="shared" si="864"/>
        <v>0</v>
      </c>
      <c r="DT138" s="28">
        <f t="shared" si="864"/>
        <v>0</v>
      </c>
      <c r="DU138" s="28">
        <f t="shared" si="864"/>
        <v>0</v>
      </c>
      <c r="DV138" s="28">
        <f t="shared" si="864"/>
        <v>0</v>
      </c>
      <c r="DW138" s="28">
        <f t="shared" si="864"/>
        <v>0</v>
      </c>
      <c r="DX138" s="28">
        <f t="shared" si="864"/>
        <v>0</v>
      </c>
      <c r="DY138" s="28">
        <f t="shared" si="864"/>
        <v>0</v>
      </c>
      <c r="DZ138" s="28">
        <f t="shared" si="864"/>
        <v>0</v>
      </c>
      <c r="EA138" s="28">
        <f t="shared" si="864"/>
        <v>0</v>
      </c>
      <c r="EB138" s="28">
        <f t="shared" si="864"/>
        <v>0</v>
      </c>
      <c r="EC138" s="28">
        <f t="shared" si="864"/>
        <v>0</v>
      </c>
      <c r="ED138" s="28">
        <f t="shared" si="864"/>
        <v>0</v>
      </c>
      <c r="EE138" s="28">
        <f t="shared" si="864"/>
        <v>0</v>
      </c>
      <c r="EF138" s="28">
        <f t="shared" si="864"/>
        <v>0</v>
      </c>
      <c r="EG138" s="28">
        <f t="shared" si="864"/>
        <v>0</v>
      </c>
      <c r="EH138" s="28">
        <f t="shared" si="864"/>
        <v>0</v>
      </c>
      <c r="EI138" s="28">
        <f t="shared" si="864"/>
        <v>0</v>
      </c>
    </row>
    <row r="139" spans="2:142" ht="15" hidden="1" outlineLevel="3" x14ac:dyDescent="0.3">
      <c r="B139" s="29"/>
      <c r="C139" s="30"/>
      <c r="D139" s="30"/>
      <c r="E139" s="52" t="s">
        <v>141</v>
      </c>
      <c r="F139" s="33">
        <v>40</v>
      </c>
      <c r="G139" s="35">
        <v>0.72727272727272729</v>
      </c>
      <c r="H139" s="162"/>
      <c r="I139" s="127">
        <v>0</v>
      </c>
      <c r="J139" s="127">
        <v>0</v>
      </c>
      <c r="K139" s="127">
        <v>0</v>
      </c>
      <c r="L139" s="127">
        <v>0</v>
      </c>
      <c r="M139" s="128">
        <v>0</v>
      </c>
      <c r="N139" s="128">
        <v>0</v>
      </c>
      <c r="O139" s="127">
        <v>0</v>
      </c>
      <c r="P139" s="127">
        <v>0</v>
      </c>
      <c r="Q139" s="127">
        <v>0</v>
      </c>
      <c r="R139" s="127">
        <v>0</v>
      </c>
      <c r="S139" s="127">
        <v>0</v>
      </c>
      <c r="T139" s="127">
        <v>0</v>
      </c>
      <c r="U139" s="127">
        <v>0</v>
      </c>
      <c r="V139" s="127">
        <v>0</v>
      </c>
      <c r="W139" s="127">
        <v>0</v>
      </c>
      <c r="X139" s="127">
        <v>0</v>
      </c>
      <c r="Y139" s="127">
        <v>0</v>
      </c>
      <c r="Z139" s="127">
        <v>0</v>
      </c>
      <c r="AA139" s="127">
        <v>0</v>
      </c>
      <c r="AB139" s="127">
        <v>0</v>
      </c>
      <c r="AC139" s="127">
        <v>0</v>
      </c>
      <c r="AD139" s="127">
        <v>0</v>
      </c>
      <c r="AE139" s="127">
        <v>0</v>
      </c>
      <c r="AF139" s="127">
        <v>0</v>
      </c>
      <c r="AG139" s="127">
        <v>0</v>
      </c>
      <c r="AH139" s="127">
        <v>0</v>
      </c>
      <c r="AI139" s="127">
        <v>0</v>
      </c>
      <c r="AJ139" s="127">
        <v>0</v>
      </c>
      <c r="AK139" s="127">
        <v>0</v>
      </c>
      <c r="AL139" s="127">
        <v>0</v>
      </c>
      <c r="AM139" s="127">
        <v>0</v>
      </c>
      <c r="AN139" s="127">
        <v>0</v>
      </c>
      <c r="AO139" s="127">
        <v>0</v>
      </c>
      <c r="AP139" s="127">
        <v>0</v>
      </c>
      <c r="AQ139" s="127">
        <v>0</v>
      </c>
      <c r="AR139" s="127">
        <v>0</v>
      </c>
      <c r="AS139" s="127">
        <v>0</v>
      </c>
      <c r="AT139" s="127">
        <v>0</v>
      </c>
      <c r="AU139" s="127">
        <v>0</v>
      </c>
      <c r="AV139" s="127">
        <v>0</v>
      </c>
      <c r="AW139" s="127">
        <v>0</v>
      </c>
      <c r="AX139" s="127">
        <v>0</v>
      </c>
      <c r="AY139" s="127">
        <v>0</v>
      </c>
      <c r="AZ139" s="127">
        <v>0</v>
      </c>
      <c r="BA139" s="127">
        <v>0</v>
      </c>
      <c r="BB139" s="127">
        <f>Real[[#This Row],[05/05/25]]+(1-Real[[#This Row],[05/05/25]])*'Avance 39'!I93</f>
        <v>0</v>
      </c>
      <c r="BC139" s="127">
        <f>Real[[#This Row],[05/05/25]]+(1-Real[[#This Row],[05/05/25]])*'Avance 39'!J93</f>
        <v>0</v>
      </c>
      <c r="BD139" s="127">
        <f>Real[[#This Row],[05/05/25]]+(1-Real[[#This Row],[05/05/25]])*'Avance 39'!K93</f>
        <v>0</v>
      </c>
      <c r="BE139" s="127">
        <f>Real[[#This Row],[05/05/25]]+(1-Real[[#This Row],[05/05/25]])*'Avance 39'!L93</f>
        <v>0</v>
      </c>
      <c r="BF139" s="127">
        <f>Real[[#This Row],[05/05/25]]+(1-Real[[#This Row],[05/05/25]])*'Avance 39'!M93</f>
        <v>0</v>
      </c>
      <c r="BG139" s="163">
        <f>Real[[#This Row],[05/05/25]]+(1-Real[[#This Row],[05/05/25]])*'Avance 39'!N93</f>
        <v>0</v>
      </c>
      <c r="BH139" s="163">
        <f>Real[[#This Row],[05/05/25]]+(1-Real[[#This Row],[05/05/25]])*'Avance 39'!O93</f>
        <v>0</v>
      </c>
      <c r="BI139" s="127">
        <f>Real[[#This Row],[05/05/25]]+(1-Real[[#This Row],[05/05/25]])*'Avance 39'!P93</f>
        <v>0</v>
      </c>
      <c r="BJ139" s="127">
        <f>Real[[#This Row],[05/05/25]]+(1-Real[[#This Row],[05/05/25]])*'Avance 39'!Q93</f>
        <v>0</v>
      </c>
      <c r="BK139" s="127">
        <f>Real[[#This Row],[05/05/25]]+(1-Real[[#This Row],[05/05/25]])*'Avance 39'!R93</f>
        <v>0</v>
      </c>
      <c r="BL139" s="127">
        <f>Real[[#This Row],[05/05/25]]+(1-Real[[#This Row],[05/05/25]])*'Avance 39'!S93</f>
        <v>0</v>
      </c>
      <c r="BM139" s="127">
        <f>Real[[#This Row],[05/05/25]]+(1-Real[[#This Row],[05/05/25]])*'Avance 39'!T93</f>
        <v>0</v>
      </c>
      <c r="BN139" s="127">
        <f>Real[[#This Row],[05/05/25]]+(1-Real[[#This Row],[05/05/25]])*'Avance 39'!U93</f>
        <v>0</v>
      </c>
      <c r="BO139" s="127">
        <f>Real[[#This Row],[05/05/25]]+(1-Real[[#This Row],[05/05/25]])*'Avance 39'!V93</f>
        <v>0</v>
      </c>
      <c r="BP139" s="127">
        <f>Real[[#This Row],[05/05/25]]+(1-Real[[#This Row],[05/05/25]])*'Avance 39'!W93</f>
        <v>0</v>
      </c>
      <c r="BQ139" s="127">
        <f>Real[[#This Row],[05/05/25]]+(1-Real[[#This Row],[05/05/25]])*'Avance 39'!X93</f>
        <v>0</v>
      </c>
      <c r="BR139" s="127">
        <f>Real[[#This Row],[05/05/25]]+(1-Real[[#This Row],[05/05/25]])*'Avance 39'!Y93</f>
        <v>0</v>
      </c>
      <c r="BS139" s="127">
        <f>Real[[#This Row],[05/05/25]]+(1-Real[[#This Row],[05/05/25]])*'Avance 39'!Z93</f>
        <v>0</v>
      </c>
      <c r="BT139" s="127">
        <f>Real[[#This Row],[05/05/25]]+(1-Real[[#This Row],[05/05/25]])*'Avance 39'!AA93</f>
        <v>0</v>
      </c>
      <c r="BU139" s="127">
        <f>Real[[#This Row],[05/05/25]]+(1-Real[[#This Row],[05/05/25]])*'Avance 39'!AB93</f>
        <v>0</v>
      </c>
      <c r="BV139" s="127">
        <f>Real[[#This Row],[05/05/25]]+(1-Real[[#This Row],[05/05/25]])*'Avance 39'!AC93</f>
        <v>0</v>
      </c>
      <c r="BW139" s="127">
        <f>Real[[#This Row],[05/05/25]]+(1-Real[[#This Row],[05/05/25]])*'Avance 39'!AD93</f>
        <v>0</v>
      </c>
      <c r="BX139" s="127">
        <f>Real[[#This Row],[05/05/25]]+(1-Real[[#This Row],[05/05/25]])*'Avance 39'!AE93</f>
        <v>0</v>
      </c>
      <c r="BY139" s="127">
        <f>Real[[#This Row],[05/05/25]]+(1-Real[[#This Row],[05/05/25]])*'Avance 39'!AF93</f>
        <v>0</v>
      </c>
      <c r="BZ139" s="127">
        <f>Real[[#This Row],[05/05/25]]+(1-Real[[#This Row],[05/05/25]])*'Avance 39'!AG93</f>
        <v>0</v>
      </c>
      <c r="CA139" s="127">
        <f>Real[[#This Row],[05/05/25]]+(1-Real[[#This Row],[05/05/25]])*'Avance 39'!AH93</f>
        <v>0</v>
      </c>
      <c r="CB139" s="127">
        <f>Real[[#This Row],[05/05/25]]+(1-Real[[#This Row],[05/05/25]])*'Avance 39'!AI93</f>
        <v>0</v>
      </c>
      <c r="CC139" s="127">
        <f>Real[[#This Row],[05/05/25]]+(1-Real[[#This Row],[05/05/25]])*'Avance 39'!AJ93</f>
        <v>0</v>
      </c>
      <c r="CD139" s="127">
        <f>Real[[#This Row],[05/05/25]]+(1-Real[[#This Row],[05/05/25]])*'Avance 39'!AK93</f>
        <v>0</v>
      </c>
      <c r="CE139" s="127">
        <f>Real[[#This Row],[05/05/25]]+(1-Real[[#This Row],[05/05/25]])*'Avance 39'!AL93</f>
        <v>0</v>
      </c>
      <c r="CF139" s="127">
        <f>Real[[#This Row],[05/05/25]]+(1-Real[[#This Row],[05/05/25]])*'Avance 39'!AM93</f>
        <v>0</v>
      </c>
      <c r="CG139" s="127">
        <f>Real[[#This Row],[05/05/25]]+(1-Real[[#This Row],[05/05/25]])*'Avance 39'!AN93</f>
        <v>0</v>
      </c>
      <c r="CH139" s="127">
        <f>Real[[#This Row],[05/05/25]]+(1-Real[[#This Row],[05/05/25]])*'Avance 39'!AO93</f>
        <v>0</v>
      </c>
      <c r="CI139" s="127">
        <f>Real[[#This Row],[05/05/25]]+(1-Real[[#This Row],[05/05/25]])*'Avance 39'!AP93</f>
        <v>0</v>
      </c>
      <c r="CJ139" s="127">
        <f>Real[[#This Row],[05/05/25]]+(1-Real[[#This Row],[05/05/25]])*'Avance 39'!AQ93</f>
        <v>0</v>
      </c>
      <c r="CK139" s="127">
        <f>Real[[#This Row],[05/05/25]]+(1-Real[[#This Row],[05/05/25]])*'Avance 39'!AR93</f>
        <v>0</v>
      </c>
      <c r="CL139" s="127">
        <f>Real[[#This Row],[05/05/25]]+(1-Real[[#This Row],[05/05/25]])*'Avance 39'!AS93</f>
        <v>0</v>
      </c>
      <c r="CM139" s="127">
        <f>Real[[#This Row],[05/05/25]]+(1-Real[[#This Row],[05/05/25]])*'Avance 39'!AT93</f>
        <v>0</v>
      </c>
      <c r="CN139" s="127">
        <f>Real[[#This Row],[05/05/25]]+(1-Real[[#This Row],[05/05/25]])*'Avance 39'!AU93</f>
        <v>0</v>
      </c>
      <c r="CO139" s="127">
        <f>Real[[#This Row],[05/05/25]]+(1-Real[[#This Row],[05/05/25]])*'Avance 39'!AV93</f>
        <v>0</v>
      </c>
      <c r="CP139" s="127">
        <f>Real[[#This Row],[05/05/25]]+(1-Real[[#This Row],[05/05/25]])*'Avance 39'!AW93</f>
        <v>0</v>
      </c>
      <c r="CQ139" s="127">
        <f>Real[[#This Row],[05/05/25]]+(1-Real[[#This Row],[05/05/25]])*'Avance 39'!AX93</f>
        <v>0</v>
      </c>
      <c r="CR139" s="127">
        <f>Real[[#This Row],[05/05/25]]+(1-Real[[#This Row],[05/05/25]])*'Avance 39'!AY93</f>
        <v>0</v>
      </c>
      <c r="CS139" s="127">
        <f>Real[[#This Row],[05/05/25]]+(1-Real[[#This Row],[05/05/25]])*'Avance 39'!AZ93</f>
        <v>0</v>
      </c>
      <c r="CT139" s="127">
        <f>Real[[#This Row],[05/05/25]]+(1-Real[[#This Row],[05/05/25]])*'Avance 39'!BA93</f>
        <v>0</v>
      </c>
      <c r="CU139" s="127">
        <f>Real[[#This Row],[05/05/25]]+(1-Real[[#This Row],[05/05/25]])*'Avance 39'!BB93</f>
        <v>0</v>
      </c>
      <c r="CV139" s="127">
        <f>Real[[#This Row],[05/05/25]]+(1-Real[[#This Row],[05/05/25]])*'Avance 39'!BC93</f>
        <v>0</v>
      </c>
      <c r="CW139" s="127">
        <f>Real[[#This Row],[05/05/25]]+(1-Real[[#This Row],[05/05/25]])*'Avance 39'!BD93</f>
        <v>0</v>
      </c>
      <c r="CX139" s="127">
        <f>Real[[#This Row],[05/05/25]]+(1-Real[[#This Row],[05/05/25]])*'Avance 39'!BE93</f>
        <v>0</v>
      </c>
      <c r="CY139" s="127">
        <f>Real[[#This Row],[05/05/25]]+(1-Real[[#This Row],[05/05/25]])*'Avance 39'!BF93</f>
        <v>0</v>
      </c>
      <c r="CZ139" s="127">
        <f>Real[[#This Row],[05/05/25]]+(1-Real[[#This Row],[05/05/25]])*'Avance 39'!BG93</f>
        <v>0</v>
      </c>
      <c r="DA139" s="127">
        <f>Real[[#This Row],[05/05/25]]+(1-Real[[#This Row],[05/05/25]])*'Avance 39'!BH93</f>
        <v>0</v>
      </c>
      <c r="DB139" s="127">
        <f>Real[[#This Row],[05/05/25]]+(1-Real[[#This Row],[05/05/25]])*'Avance 39'!BI93</f>
        <v>0</v>
      </c>
      <c r="DC139" s="127">
        <f>Real[[#This Row],[05/05/25]]+(1-Real[[#This Row],[05/05/25]])*'Avance 39'!BJ93</f>
        <v>0</v>
      </c>
      <c r="DD139" s="127">
        <f>Real[[#This Row],[05/05/25]]+(1-Real[[#This Row],[05/05/25]])*'Avance 39'!BK93</f>
        <v>0</v>
      </c>
      <c r="DE139" s="127">
        <f>Real[[#This Row],[05/05/25]]+(1-Real[[#This Row],[05/05/25]])*'Avance 39'!BL93</f>
        <v>0</v>
      </c>
      <c r="DF139" s="127"/>
      <c r="DG139" s="127"/>
      <c r="DH139" s="127"/>
      <c r="DI139" s="127"/>
      <c r="DJ139" s="127"/>
      <c r="DK139" s="127"/>
      <c r="DL139" s="127"/>
      <c r="DM139" s="127"/>
      <c r="DN139" s="127"/>
      <c r="DO139" s="127"/>
      <c r="DP139" s="127"/>
      <c r="DQ139" s="127"/>
      <c r="DR139" s="127"/>
      <c r="DS139" s="127"/>
      <c r="DT139" s="127"/>
      <c r="DU139" s="127"/>
      <c r="DV139" s="127"/>
      <c r="DW139" s="127"/>
      <c r="DX139" s="127"/>
      <c r="DY139" s="127"/>
      <c r="DZ139" s="127"/>
      <c r="EA139" s="127"/>
      <c r="EB139" s="127"/>
      <c r="EC139" s="127"/>
      <c r="ED139" s="127"/>
      <c r="EE139" s="127"/>
      <c r="EF139" s="127"/>
      <c r="EG139" s="127"/>
      <c r="EH139" s="127"/>
      <c r="EI139" s="127"/>
      <c r="EL139" s="28">
        <f t="shared" ref="EL139" si="865">+SUMPRODUCT($G$139:$G$141,EL140:EL142)</f>
        <v>0</v>
      </c>
    </row>
    <row r="140" spans="2:142" hidden="1" outlineLevel="3" x14ac:dyDescent="0.3">
      <c r="B140" s="29"/>
      <c r="C140" s="30"/>
      <c r="D140" s="30"/>
      <c r="E140" s="52" t="s">
        <v>81</v>
      </c>
      <c r="F140" s="33">
        <v>15</v>
      </c>
      <c r="G140" s="35">
        <v>0.27272727272727271</v>
      </c>
      <c r="H140" s="162"/>
      <c r="I140" s="127">
        <v>0</v>
      </c>
      <c r="J140" s="127">
        <v>0</v>
      </c>
      <c r="K140" s="127">
        <v>0</v>
      </c>
      <c r="L140" s="127">
        <v>0</v>
      </c>
      <c r="M140" s="128">
        <v>0</v>
      </c>
      <c r="N140" s="128">
        <v>0</v>
      </c>
      <c r="O140" s="127">
        <v>0</v>
      </c>
      <c r="P140" s="127">
        <v>0</v>
      </c>
      <c r="Q140" s="127">
        <v>0</v>
      </c>
      <c r="R140" s="127">
        <v>0</v>
      </c>
      <c r="S140" s="127">
        <v>0</v>
      </c>
      <c r="T140" s="127">
        <v>0</v>
      </c>
      <c r="U140" s="127">
        <v>0</v>
      </c>
      <c r="V140" s="127">
        <v>0</v>
      </c>
      <c r="W140" s="127">
        <v>0</v>
      </c>
      <c r="X140" s="127">
        <v>0</v>
      </c>
      <c r="Y140" s="127">
        <v>0</v>
      </c>
      <c r="Z140" s="127">
        <v>0</v>
      </c>
      <c r="AA140" s="127">
        <v>0</v>
      </c>
      <c r="AB140" s="127">
        <v>0</v>
      </c>
      <c r="AC140" s="127">
        <v>0</v>
      </c>
      <c r="AD140" s="127">
        <v>0</v>
      </c>
      <c r="AE140" s="127">
        <v>0</v>
      </c>
      <c r="AF140" s="127">
        <v>0</v>
      </c>
      <c r="AG140" s="127">
        <v>0</v>
      </c>
      <c r="AH140" s="127">
        <v>0</v>
      </c>
      <c r="AI140" s="127">
        <v>0</v>
      </c>
      <c r="AJ140" s="127">
        <v>0</v>
      </c>
      <c r="AK140" s="127">
        <v>0</v>
      </c>
      <c r="AL140" s="127">
        <v>0</v>
      </c>
      <c r="AM140" s="127">
        <v>0</v>
      </c>
      <c r="AN140" s="127">
        <v>0</v>
      </c>
      <c r="AO140" s="127">
        <v>0</v>
      </c>
      <c r="AP140" s="127">
        <v>0</v>
      </c>
      <c r="AQ140" s="127">
        <v>0</v>
      </c>
      <c r="AR140" s="127">
        <v>0</v>
      </c>
      <c r="AS140" s="127">
        <v>0</v>
      </c>
      <c r="AT140" s="127">
        <v>0</v>
      </c>
      <c r="AU140" s="127">
        <v>0</v>
      </c>
      <c r="AV140" s="127">
        <v>0</v>
      </c>
      <c r="AW140" s="127">
        <v>0</v>
      </c>
      <c r="AX140" s="127">
        <v>0</v>
      </c>
      <c r="AY140" s="127">
        <v>0</v>
      </c>
      <c r="AZ140" s="127">
        <v>0</v>
      </c>
      <c r="BA140" s="127">
        <v>0</v>
      </c>
      <c r="BB140" s="127">
        <f>Real[[#This Row],[05/05/25]]+(1-Real[[#This Row],[05/05/25]])*'Avance 39'!I93</f>
        <v>0</v>
      </c>
      <c r="BC140" s="127">
        <f>Real[[#This Row],[05/05/25]]+(1-Real[[#This Row],[05/05/25]])*'Avance 39'!J93</f>
        <v>0</v>
      </c>
      <c r="BD140" s="127">
        <f>Real[[#This Row],[05/05/25]]+(1-Real[[#This Row],[05/05/25]])*'Avance 39'!K93</f>
        <v>0</v>
      </c>
      <c r="BE140" s="127">
        <f>Real[[#This Row],[05/05/25]]+(1-Real[[#This Row],[05/05/25]])*'Avance 39'!L93</f>
        <v>0</v>
      </c>
      <c r="BF140" s="127">
        <f>Real[[#This Row],[05/05/25]]+(1-Real[[#This Row],[05/05/25]])*'Avance 39'!M93</f>
        <v>0</v>
      </c>
      <c r="BG140" s="163">
        <f>Real[[#This Row],[05/05/25]]+(1-Real[[#This Row],[05/05/25]])*'Avance 39'!N93</f>
        <v>0</v>
      </c>
      <c r="BH140" s="163">
        <f>Real[[#This Row],[05/05/25]]+(1-Real[[#This Row],[05/05/25]])*'Avance 39'!O93</f>
        <v>0</v>
      </c>
      <c r="BI140" s="127">
        <f>Real[[#This Row],[05/05/25]]+(1-Real[[#This Row],[05/05/25]])*'Avance 39'!P93</f>
        <v>0</v>
      </c>
      <c r="BJ140" s="127">
        <f>Real[[#This Row],[05/05/25]]+(1-Real[[#This Row],[05/05/25]])*'Avance 39'!Q93</f>
        <v>0</v>
      </c>
      <c r="BK140" s="127">
        <f>Real[[#This Row],[05/05/25]]+(1-Real[[#This Row],[05/05/25]])*'Avance 39'!R93</f>
        <v>0</v>
      </c>
      <c r="BL140" s="127">
        <f>Real[[#This Row],[05/05/25]]+(1-Real[[#This Row],[05/05/25]])*'Avance 39'!S93</f>
        <v>0</v>
      </c>
      <c r="BM140" s="127">
        <f>Real[[#This Row],[05/05/25]]+(1-Real[[#This Row],[05/05/25]])*'Avance 39'!T93</f>
        <v>0</v>
      </c>
      <c r="BN140" s="127">
        <f>Real[[#This Row],[05/05/25]]+(1-Real[[#This Row],[05/05/25]])*'Avance 39'!U93</f>
        <v>0</v>
      </c>
      <c r="BO140" s="127">
        <f>Real[[#This Row],[05/05/25]]+(1-Real[[#This Row],[05/05/25]])*'Avance 39'!V93</f>
        <v>0</v>
      </c>
      <c r="BP140" s="127">
        <f>Real[[#This Row],[05/05/25]]+(1-Real[[#This Row],[05/05/25]])*'Avance 39'!W93</f>
        <v>0</v>
      </c>
      <c r="BQ140" s="127">
        <f>Real[[#This Row],[05/05/25]]+(1-Real[[#This Row],[05/05/25]])*'Avance 39'!X93</f>
        <v>0</v>
      </c>
      <c r="BR140" s="127">
        <f>Real[[#This Row],[05/05/25]]+(1-Real[[#This Row],[05/05/25]])*'Avance 39'!Y93</f>
        <v>0</v>
      </c>
      <c r="BS140" s="127">
        <f>Real[[#This Row],[05/05/25]]+(1-Real[[#This Row],[05/05/25]])*'Avance 39'!Z93</f>
        <v>0</v>
      </c>
      <c r="BT140" s="127">
        <f>Real[[#This Row],[05/05/25]]+(1-Real[[#This Row],[05/05/25]])*'Avance 39'!AA93</f>
        <v>0</v>
      </c>
      <c r="BU140" s="127">
        <f>Real[[#This Row],[05/05/25]]+(1-Real[[#This Row],[05/05/25]])*'Avance 39'!AB93</f>
        <v>0</v>
      </c>
      <c r="BV140" s="127">
        <f>Real[[#This Row],[05/05/25]]+(1-Real[[#This Row],[05/05/25]])*'Avance 39'!AC93</f>
        <v>0</v>
      </c>
      <c r="BW140" s="127">
        <f>Real[[#This Row],[05/05/25]]+(1-Real[[#This Row],[05/05/25]])*'Avance 39'!AD93</f>
        <v>0</v>
      </c>
      <c r="BX140" s="127">
        <f>Real[[#This Row],[05/05/25]]+(1-Real[[#This Row],[05/05/25]])*'Avance 39'!AE93</f>
        <v>0</v>
      </c>
      <c r="BY140" s="127">
        <f>Real[[#This Row],[05/05/25]]+(1-Real[[#This Row],[05/05/25]])*'Avance 39'!AF93</f>
        <v>0</v>
      </c>
      <c r="BZ140" s="127">
        <f>Real[[#This Row],[05/05/25]]+(1-Real[[#This Row],[05/05/25]])*'Avance 39'!AG93</f>
        <v>0</v>
      </c>
      <c r="CA140" s="127">
        <f>Real[[#This Row],[05/05/25]]+(1-Real[[#This Row],[05/05/25]])*'Avance 39'!AH93</f>
        <v>0</v>
      </c>
      <c r="CB140" s="127">
        <f>Real[[#This Row],[05/05/25]]+(1-Real[[#This Row],[05/05/25]])*'Avance 39'!AI93</f>
        <v>0</v>
      </c>
      <c r="CC140" s="127">
        <f>Real[[#This Row],[05/05/25]]+(1-Real[[#This Row],[05/05/25]])*'Avance 39'!AJ93</f>
        <v>0</v>
      </c>
      <c r="CD140" s="127">
        <f>Real[[#This Row],[05/05/25]]+(1-Real[[#This Row],[05/05/25]])*'Avance 39'!AK93</f>
        <v>0</v>
      </c>
      <c r="CE140" s="127">
        <f>Real[[#This Row],[05/05/25]]+(1-Real[[#This Row],[05/05/25]])*'Avance 39'!AL93</f>
        <v>0</v>
      </c>
      <c r="CF140" s="127">
        <f>Real[[#This Row],[05/05/25]]+(1-Real[[#This Row],[05/05/25]])*'Avance 39'!AM93</f>
        <v>0</v>
      </c>
      <c r="CG140" s="127">
        <f>Real[[#This Row],[05/05/25]]+(1-Real[[#This Row],[05/05/25]])*'Avance 39'!AN93</f>
        <v>0</v>
      </c>
      <c r="CH140" s="127">
        <f>Real[[#This Row],[05/05/25]]+(1-Real[[#This Row],[05/05/25]])*'Avance 39'!AO93</f>
        <v>0</v>
      </c>
      <c r="CI140" s="127">
        <f>Real[[#This Row],[05/05/25]]+(1-Real[[#This Row],[05/05/25]])*'Avance 39'!AP93</f>
        <v>0</v>
      </c>
      <c r="CJ140" s="127">
        <f>Real[[#This Row],[05/05/25]]+(1-Real[[#This Row],[05/05/25]])*'Avance 39'!AQ93</f>
        <v>0</v>
      </c>
      <c r="CK140" s="127">
        <f>Real[[#This Row],[05/05/25]]+(1-Real[[#This Row],[05/05/25]])*'Avance 39'!AR93</f>
        <v>0</v>
      </c>
      <c r="CL140" s="127">
        <f>Real[[#This Row],[05/05/25]]+(1-Real[[#This Row],[05/05/25]])*'Avance 39'!AS93</f>
        <v>0</v>
      </c>
      <c r="CM140" s="127">
        <f>Real[[#This Row],[05/05/25]]+(1-Real[[#This Row],[05/05/25]])*'Avance 39'!AT93</f>
        <v>0</v>
      </c>
      <c r="CN140" s="127">
        <f>Real[[#This Row],[05/05/25]]+(1-Real[[#This Row],[05/05/25]])*'Avance 39'!AU93</f>
        <v>0</v>
      </c>
      <c r="CO140" s="127">
        <f>Real[[#This Row],[05/05/25]]+(1-Real[[#This Row],[05/05/25]])*'Avance 39'!AV93</f>
        <v>0</v>
      </c>
      <c r="CP140" s="127">
        <f>Real[[#This Row],[05/05/25]]+(1-Real[[#This Row],[05/05/25]])*'Avance 39'!AW93</f>
        <v>0</v>
      </c>
      <c r="CQ140" s="127">
        <f>Real[[#This Row],[05/05/25]]+(1-Real[[#This Row],[05/05/25]])*'Avance 39'!AX93</f>
        <v>0</v>
      </c>
      <c r="CR140" s="127">
        <f>Real[[#This Row],[05/05/25]]+(1-Real[[#This Row],[05/05/25]])*'Avance 39'!AY93</f>
        <v>0</v>
      </c>
      <c r="CS140" s="127">
        <f>Real[[#This Row],[05/05/25]]+(1-Real[[#This Row],[05/05/25]])*'Avance 39'!AZ93</f>
        <v>0</v>
      </c>
      <c r="CT140" s="127">
        <f>Real[[#This Row],[05/05/25]]+(1-Real[[#This Row],[05/05/25]])*'Avance 39'!BA93</f>
        <v>0</v>
      </c>
      <c r="CU140" s="127">
        <f>Real[[#This Row],[05/05/25]]+(1-Real[[#This Row],[05/05/25]])*'Avance 39'!BB93</f>
        <v>0</v>
      </c>
      <c r="CV140" s="127">
        <f>Real[[#This Row],[05/05/25]]+(1-Real[[#This Row],[05/05/25]])*'Avance 39'!BC93</f>
        <v>0</v>
      </c>
      <c r="CW140" s="127">
        <f>Real[[#This Row],[05/05/25]]+(1-Real[[#This Row],[05/05/25]])*'Avance 39'!BD93</f>
        <v>0</v>
      </c>
      <c r="CX140" s="127">
        <f>Real[[#This Row],[05/05/25]]+(1-Real[[#This Row],[05/05/25]])*'Avance 39'!BE93</f>
        <v>0</v>
      </c>
      <c r="CY140" s="127">
        <f>Real[[#This Row],[05/05/25]]+(1-Real[[#This Row],[05/05/25]])*'Avance 39'!BF93</f>
        <v>0</v>
      </c>
      <c r="CZ140" s="127">
        <f>Real[[#This Row],[05/05/25]]+(1-Real[[#This Row],[05/05/25]])*'Avance 39'!BG93</f>
        <v>0</v>
      </c>
      <c r="DA140" s="127">
        <f>Real[[#This Row],[05/05/25]]+(1-Real[[#This Row],[05/05/25]])*'Avance 39'!BH93</f>
        <v>0</v>
      </c>
      <c r="DB140" s="127">
        <f>Real[[#This Row],[05/05/25]]+(1-Real[[#This Row],[05/05/25]])*'Avance 39'!BI93</f>
        <v>0</v>
      </c>
      <c r="DC140" s="127">
        <f>Real[[#This Row],[05/05/25]]+(1-Real[[#This Row],[05/05/25]])*'Avance 39'!BJ93</f>
        <v>0</v>
      </c>
      <c r="DD140" s="127">
        <f>Real[[#This Row],[05/05/25]]+(1-Real[[#This Row],[05/05/25]])*'Avance 39'!BK93</f>
        <v>0</v>
      </c>
      <c r="DE140" s="127">
        <f>Real[[#This Row],[05/05/25]]+(1-Real[[#This Row],[05/05/25]])*'Avance 39'!BL93</f>
        <v>0</v>
      </c>
      <c r="DF140" s="127"/>
      <c r="DG140" s="127"/>
      <c r="DH140" s="127"/>
      <c r="DI140" s="127"/>
      <c r="DJ140" s="127"/>
      <c r="DK140" s="127"/>
      <c r="DL140" s="127"/>
      <c r="DM140" s="127"/>
      <c r="DN140" s="127"/>
      <c r="DO140" s="127"/>
      <c r="DP140" s="127"/>
      <c r="DQ140" s="127"/>
      <c r="DR140" s="127"/>
      <c r="DS140" s="127"/>
      <c r="DT140" s="127"/>
      <c r="DU140" s="127"/>
      <c r="DV140" s="127"/>
      <c r="DW140" s="127"/>
      <c r="DX140" s="127"/>
      <c r="DY140" s="127"/>
      <c r="DZ140" s="127"/>
      <c r="EA140" s="127"/>
      <c r="EB140" s="127"/>
      <c r="EC140" s="127"/>
      <c r="ED140" s="127"/>
      <c r="EE140" s="127"/>
      <c r="EF140" s="127"/>
      <c r="EG140" s="127"/>
      <c r="EH140" s="127"/>
      <c r="EI140" s="127"/>
    </row>
    <row r="141" spans="2:142" hidden="1" outlineLevel="3" x14ac:dyDescent="0.3">
      <c r="B141" s="56"/>
      <c r="C141" s="57"/>
      <c r="D141" s="57"/>
      <c r="E141" s="58" t="s">
        <v>82</v>
      </c>
      <c r="F141" s="41">
        <v>0</v>
      </c>
      <c r="G141" s="42">
        <v>1E-119</v>
      </c>
      <c r="H141" s="172"/>
      <c r="I141" s="173">
        <v>0</v>
      </c>
      <c r="J141" s="173">
        <v>0</v>
      </c>
      <c r="K141" s="173">
        <v>0</v>
      </c>
      <c r="L141" s="173">
        <v>0</v>
      </c>
      <c r="M141" s="250">
        <v>0</v>
      </c>
      <c r="N141" s="250">
        <v>0</v>
      </c>
      <c r="O141" s="173">
        <v>0</v>
      </c>
      <c r="P141" s="173">
        <v>0</v>
      </c>
      <c r="Q141" s="173">
        <v>0</v>
      </c>
      <c r="R141" s="173">
        <v>0</v>
      </c>
      <c r="S141" s="173">
        <v>0</v>
      </c>
      <c r="T141" s="173">
        <v>0</v>
      </c>
      <c r="U141" s="173">
        <v>0</v>
      </c>
      <c r="V141" s="173">
        <v>0</v>
      </c>
      <c r="W141" s="173">
        <v>0</v>
      </c>
      <c r="X141" s="173">
        <v>0</v>
      </c>
      <c r="Y141" s="173">
        <v>0</v>
      </c>
      <c r="Z141" s="173">
        <v>0</v>
      </c>
      <c r="AA141" s="173">
        <v>0</v>
      </c>
      <c r="AB141" s="173">
        <v>0</v>
      </c>
      <c r="AC141" s="173">
        <v>0</v>
      </c>
      <c r="AD141" s="173">
        <v>0</v>
      </c>
      <c r="AE141" s="173">
        <v>0</v>
      </c>
      <c r="AF141" s="173">
        <v>0</v>
      </c>
      <c r="AG141" s="173">
        <v>0</v>
      </c>
      <c r="AH141" s="173">
        <v>0</v>
      </c>
      <c r="AI141" s="173">
        <v>0</v>
      </c>
      <c r="AJ141" s="173">
        <v>0</v>
      </c>
      <c r="AK141" s="173">
        <v>0</v>
      </c>
      <c r="AL141" s="173">
        <v>0</v>
      </c>
      <c r="AM141" s="173">
        <v>0</v>
      </c>
      <c r="AN141" s="173">
        <v>0</v>
      </c>
      <c r="AO141" s="173">
        <v>0</v>
      </c>
      <c r="AP141" s="173">
        <v>0</v>
      </c>
      <c r="AQ141" s="173">
        <v>0</v>
      </c>
      <c r="AR141" s="173">
        <v>0</v>
      </c>
      <c r="AS141" s="173">
        <v>0</v>
      </c>
      <c r="AT141" s="173">
        <v>0</v>
      </c>
      <c r="AU141" s="173">
        <v>0</v>
      </c>
      <c r="AV141" s="173">
        <v>0</v>
      </c>
      <c r="AW141" s="173">
        <v>0</v>
      </c>
      <c r="AX141" s="173">
        <v>0</v>
      </c>
      <c r="AY141" s="173">
        <v>0</v>
      </c>
      <c r="AZ141" s="173">
        <v>0</v>
      </c>
      <c r="BA141" s="173">
        <v>0</v>
      </c>
      <c r="BB141" s="173">
        <f>Real[[#This Row],[05/05/25]]+(1-Real[[#This Row],[05/05/25]])*'Avance 39'!I93</f>
        <v>0</v>
      </c>
      <c r="BC141" s="173">
        <f>Real[[#This Row],[05/05/25]]+(1-Real[[#This Row],[05/05/25]])*'Avance 39'!J93</f>
        <v>0</v>
      </c>
      <c r="BD141" s="173">
        <f>Real[[#This Row],[05/05/25]]+(1-Real[[#This Row],[05/05/25]])*'Avance 39'!K93</f>
        <v>0</v>
      </c>
      <c r="BE141" s="173">
        <f>Real[[#This Row],[05/05/25]]+(1-Real[[#This Row],[05/05/25]])*'Avance 39'!L93</f>
        <v>0</v>
      </c>
      <c r="BF141" s="173">
        <f>Real[[#This Row],[05/05/25]]+(1-Real[[#This Row],[05/05/25]])*'Avance 39'!M93</f>
        <v>0</v>
      </c>
      <c r="BG141" s="174">
        <f>Real[[#This Row],[05/05/25]]+(1-Real[[#This Row],[05/05/25]])*'Avance 39'!N93</f>
        <v>0</v>
      </c>
      <c r="BH141" s="174">
        <f>Real[[#This Row],[05/05/25]]+(1-Real[[#This Row],[05/05/25]])*'Avance 39'!O93</f>
        <v>0</v>
      </c>
      <c r="BI141" s="173">
        <f>Real[[#This Row],[05/05/25]]+(1-Real[[#This Row],[05/05/25]])*'Avance 39'!P93</f>
        <v>0</v>
      </c>
      <c r="BJ141" s="173">
        <f>Real[[#This Row],[05/05/25]]+(1-Real[[#This Row],[05/05/25]])*'Avance 39'!Q93</f>
        <v>0</v>
      </c>
      <c r="BK141" s="173">
        <f>Real[[#This Row],[05/05/25]]+(1-Real[[#This Row],[05/05/25]])*'Avance 39'!R93</f>
        <v>0</v>
      </c>
      <c r="BL141" s="173">
        <f>Real[[#This Row],[05/05/25]]+(1-Real[[#This Row],[05/05/25]])*'Avance 39'!S93</f>
        <v>0</v>
      </c>
      <c r="BM141" s="173">
        <f>Real[[#This Row],[05/05/25]]+(1-Real[[#This Row],[05/05/25]])*'Avance 39'!T93</f>
        <v>0</v>
      </c>
      <c r="BN141" s="173">
        <f>Real[[#This Row],[05/05/25]]+(1-Real[[#This Row],[05/05/25]])*'Avance 39'!U93</f>
        <v>0</v>
      </c>
      <c r="BO141" s="173">
        <f>Real[[#This Row],[05/05/25]]+(1-Real[[#This Row],[05/05/25]])*'Avance 39'!V93</f>
        <v>0</v>
      </c>
      <c r="BP141" s="173">
        <f>Real[[#This Row],[05/05/25]]+(1-Real[[#This Row],[05/05/25]])*'Avance 39'!W93</f>
        <v>0</v>
      </c>
      <c r="BQ141" s="173">
        <f>Real[[#This Row],[05/05/25]]+(1-Real[[#This Row],[05/05/25]])*'Avance 39'!X93</f>
        <v>0</v>
      </c>
      <c r="BR141" s="173">
        <f>Real[[#This Row],[05/05/25]]+(1-Real[[#This Row],[05/05/25]])*'Avance 39'!Y93</f>
        <v>0</v>
      </c>
      <c r="BS141" s="173">
        <f>Real[[#This Row],[05/05/25]]+(1-Real[[#This Row],[05/05/25]])*'Avance 39'!Z93</f>
        <v>0</v>
      </c>
      <c r="BT141" s="173">
        <f>Real[[#This Row],[05/05/25]]+(1-Real[[#This Row],[05/05/25]])*'Avance 39'!AA93</f>
        <v>0</v>
      </c>
      <c r="BU141" s="173">
        <f>Real[[#This Row],[05/05/25]]+(1-Real[[#This Row],[05/05/25]])*'Avance 39'!AB93</f>
        <v>0</v>
      </c>
      <c r="BV141" s="173">
        <f>Real[[#This Row],[05/05/25]]+(1-Real[[#This Row],[05/05/25]])*'Avance 39'!AC93</f>
        <v>0</v>
      </c>
      <c r="BW141" s="173">
        <f>Real[[#This Row],[05/05/25]]+(1-Real[[#This Row],[05/05/25]])*'Avance 39'!AD93</f>
        <v>0</v>
      </c>
      <c r="BX141" s="173">
        <f>Real[[#This Row],[05/05/25]]+(1-Real[[#This Row],[05/05/25]])*'Avance 39'!AE93</f>
        <v>0</v>
      </c>
      <c r="BY141" s="173">
        <f>Real[[#This Row],[05/05/25]]+(1-Real[[#This Row],[05/05/25]])*'Avance 39'!AF93</f>
        <v>0</v>
      </c>
      <c r="BZ141" s="173">
        <f>Real[[#This Row],[05/05/25]]+(1-Real[[#This Row],[05/05/25]])*'Avance 39'!AG93</f>
        <v>0</v>
      </c>
      <c r="CA141" s="173">
        <f>Real[[#This Row],[05/05/25]]+(1-Real[[#This Row],[05/05/25]])*'Avance 39'!AH93</f>
        <v>0</v>
      </c>
      <c r="CB141" s="173">
        <f>Real[[#This Row],[05/05/25]]+(1-Real[[#This Row],[05/05/25]])*'Avance 39'!AI93</f>
        <v>0</v>
      </c>
      <c r="CC141" s="173">
        <f>Real[[#This Row],[05/05/25]]+(1-Real[[#This Row],[05/05/25]])*'Avance 39'!AJ93</f>
        <v>0</v>
      </c>
      <c r="CD141" s="173">
        <f>Real[[#This Row],[05/05/25]]+(1-Real[[#This Row],[05/05/25]])*'Avance 39'!AK93</f>
        <v>0</v>
      </c>
      <c r="CE141" s="173">
        <f>Real[[#This Row],[05/05/25]]+(1-Real[[#This Row],[05/05/25]])*'Avance 39'!AL93</f>
        <v>0</v>
      </c>
      <c r="CF141" s="173">
        <f>Real[[#This Row],[05/05/25]]+(1-Real[[#This Row],[05/05/25]])*'Avance 39'!AM93</f>
        <v>0</v>
      </c>
      <c r="CG141" s="173">
        <f>Real[[#This Row],[05/05/25]]+(1-Real[[#This Row],[05/05/25]])*'Avance 39'!AN93</f>
        <v>0</v>
      </c>
      <c r="CH141" s="173">
        <f>Real[[#This Row],[05/05/25]]+(1-Real[[#This Row],[05/05/25]])*'Avance 39'!AO93</f>
        <v>0</v>
      </c>
      <c r="CI141" s="173">
        <f>Real[[#This Row],[05/05/25]]+(1-Real[[#This Row],[05/05/25]])*'Avance 39'!AP93</f>
        <v>0</v>
      </c>
      <c r="CJ141" s="173">
        <f>Real[[#This Row],[05/05/25]]+(1-Real[[#This Row],[05/05/25]])*'Avance 39'!AQ93</f>
        <v>0</v>
      </c>
      <c r="CK141" s="173">
        <f>Real[[#This Row],[05/05/25]]+(1-Real[[#This Row],[05/05/25]])*'Avance 39'!AR93</f>
        <v>0</v>
      </c>
      <c r="CL141" s="173">
        <f>Real[[#This Row],[05/05/25]]+(1-Real[[#This Row],[05/05/25]])*'Avance 39'!AS93</f>
        <v>0</v>
      </c>
      <c r="CM141" s="173">
        <f>Real[[#This Row],[05/05/25]]+(1-Real[[#This Row],[05/05/25]])*'Avance 39'!AT93</f>
        <v>0</v>
      </c>
      <c r="CN141" s="173">
        <f>Real[[#This Row],[05/05/25]]+(1-Real[[#This Row],[05/05/25]])*'Avance 39'!AU93</f>
        <v>0</v>
      </c>
      <c r="CO141" s="173">
        <f>Real[[#This Row],[05/05/25]]+(1-Real[[#This Row],[05/05/25]])*'Avance 39'!AV93</f>
        <v>0</v>
      </c>
      <c r="CP141" s="173">
        <f>Real[[#This Row],[05/05/25]]+(1-Real[[#This Row],[05/05/25]])*'Avance 39'!AW93</f>
        <v>0</v>
      </c>
      <c r="CQ141" s="173">
        <f>Real[[#This Row],[05/05/25]]+(1-Real[[#This Row],[05/05/25]])*'Avance 39'!AX93</f>
        <v>0</v>
      </c>
      <c r="CR141" s="173">
        <f>Real[[#This Row],[05/05/25]]+(1-Real[[#This Row],[05/05/25]])*'Avance 39'!AY93</f>
        <v>0</v>
      </c>
      <c r="CS141" s="173">
        <f>Real[[#This Row],[05/05/25]]+(1-Real[[#This Row],[05/05/25]])*'Avance 39'!AZ93</f>
        <v>0</v>
      </c>
      <c r="CT141" s="173">
        <f>Real[[#This Row],[05/05/25]]+(1-Real[[#This Row],[05/05/25]])*'Avance 39'!BA93</f>
        <v>0</v>
      </c>
      <c r="CU141" s="173">
        <f>Real[[#This Row],[05/05/25]]+(1-Real[[#This Row],[05/05/25]])*'Avance 39'!BB93</f>
        <v>0</v>
      </c>
      <c r="CV141" s="173">
        <f>Real[[#This Row],[05/05/25]]+(1-Real[[#This Row],[05/05/25]])*'Avance 39'!BC93</f>
        <v>0</v>
      </c>
      <c r="CW141" s="173">
        <f>Real[[#This Row],[05/05/25]]+(1-Real[[#This Row],[05/05/25]])*'Avance 39'!BD93</f>
        <v>0</v>
      </c>
      <c r="CX141" s="173">
        <f>Real[[#This Row],[05/05/25]]+(1-Real[[#This Row],[05/05/25]])*'Avance 39'!BE93</f>
        <v>0</v>
      </c>
      <c r="CY141" s="173">
        <f>Real[[#This Row],[05/05/25]]+(1-Real[[#This Row],[05/05/25]])*'Avance 39'!BF93</f>
        <v>0</v>
      </c>
      <c r="CZ141" s="173">
        <f>Real[[#This Row],[05/05/25]]+(1-Real[[#This Row],[05/05/25]])*'Avance 39'!BG93</f>
        <v>0</v>
      </c>
      <c r="DA141" s="173">
        <f>Real[[#This Row],[05/05/25]]+(1-Real[[#This Row],[05/05/25]])*'Avance 39'!BH93</f>
        <v>0</v>
      </c>
      <c r="DB141" s="173">
        <f>Real[[#This Row],[05/05/25]]+(1-Real[[#This Row],[05/05/25]])*'Avance 39'!BI93</f>
        <v>0</v>
      </c>
      <c r="DC141" s="173">
        <f>Real[[#This Row],[05/05/25]]+(1-Real[[#This Row],[05/05/25]])*'Avance 39'!BJ93</f>
        <v>0</v>
      </c>
      <c r="DD141" s="173">
        <f>Real[[#This Row],[05/05/25]]+(1-Real[[#This Row],[05/05/25]])*'Avance 39'!BK93</f>
        <v>0</v>
      </c>
      <c r="DE141" s="173">
        <f>Real[[#This Row],[05/05/25]]+(1-Real[[#This Row],[05/05/25]])*'Avance 39'!BL93</f>
        <v>0</v>
      </c>
      <c r="DF141" s="173"/>
      <c r="DG141" s="173"/>
      <c r="DH141" s="173"/>
      <c r="DI141" s="173"/>
      <c r="DJ141" s="173"/>
      <c r="DK141" s="173"/>
      <c r="DL141" s="173"/>
      <c r="DM141" s="173"/>
      <c r="DN141" s="173"/>
      <c r="DO141" s="173"/>
      <c r="DP141" s="173"/>
      <c r="DQ141" s="173"/>
      <c r="DR141" s="173"/>
      <c r="DS141" s="173"/>
      <c r="DT141" s="173"/>
      <c r="DU141" s="173"/>
      <c r="DV141" s="173"/>
      <c r="DW141" s="173"/>
      <c r="DX141" s="173"/>
      <c r="DY141" s="173"/>
      <c r="DZ141" s="173"/>
      <c r="EA141" s="173"/>
      <c r="EB141" s="173"/>
      <c r="EC141" s="173"/>
      <c r="ED141" s="173"/>
      <c r="EE141" s="173"/>
      <c r="EF141" s="173"/>
      <c r="EG141" s="173"/>
      <c r="EH141" s="173"/>
      <c r="EI141" s="173"/>
    </row>
    <row r="142" spans="2:142" x14ac:dyDescent="0.3">
      <c r="I142" s="39"/>
    </row>
    <row r="144" spans="2:142" ht="19.2" x14ac:dyDescent="0.3">
      <c r="B144" s="438" t="s">
        <v>229</v>
      </c>
      <c r="C144" s="439"/>
      <c r="D144" s="439"/>
      <c r="E144" s="439"/>
      <c r="F144" s="439"/>
      <c r="G144" s="440"/>
      <c r="H144" s="312"/>
      <c r="I144" s="313">
        <f>I6-'Plan OG'!L5</f>
        <v>0</v>
      </c>
      <c r="J144" s="313">
        <f>J6-'Plan OG'!M5</f>
        <v>0</v>
      </c>
      <c r="K144" s="313">
        <f>K6-'Plan OG'!N5</f>
        <v>0</v>
      </c>
      <c r="L144" s="313">
        <f>L6-'Plan OG'!O5</f>
        <v>0</v>
      </c>
      <c r="M144" s="313">
        <f>M6-'Plan OG'!P5</f>
        <v>0</v>
      </c>
      <c r="N144" s="313">
        <f>N6-'Plan OG'!Q5</f>
        <v>0</v>
      </c>
      <c r="O144" s="313">
        <f>O6-'Plan OG'!R5</f>
        <v>0</v>
      </c>
      <c r="P144" s="313">
        <f>P6-'Plan OG'!S5</f>
        <v>0</v>
      </c>
      <c r="Q144" s="313">
        <f>Q6-'Plan OG'!T5</f>
        <v>0</v>
      </c>
      <c r="R144" s="313">
        <f>R6-'Plan OG'!U5</f>
        <v>0</v>
      </c>
      <c r="S144" s="313">
        <f>S6-'Plan OG'!V5</f>
        <v>0</v>
      </c>
      <c r="T144" s="313">
        <f>T6-'Plan OG'!W5</f>
        <v>0</v>
      </c>
      <c r="U144" s="313">
        <f>U6-'Plan OG'!X5</f>
        <v>0</v>
      </c>
      <c r="V144" s="313">
        <f>V6-'Plan OG'!Y5</f>
        <v>0</v>
      </c>
      <c r="W144" s="313">
        <f>W6-'Plan OG'!Z5</f>
        <v>0</v>
      </c>
      <c r="X144" s="313">
        <f>X6-'Plan OG'!AA5</f>
        <v>0</v>
      </c>
      <c r="Y144" s="313">
        <f>Y6-'Plan OG'!AB5</f>
        <v>0</v>
      </c>
      <c r="Z144" s="313">
        <f>Z6-'Plan OG'!AC5</f>
        <v>0</v>
      </c>
      <c r="AA144" s="313">
        <f>AA6-'Plan OG'!AD5</f>
        <v>0</v>
      </c>
      <c r="AB144" s="313">
        <f>AB6-'Plan OG'!AE5</f>
        <v>0</v>
      </c>
      <c r="AC144" s="313">
        <f>AC6-'Plan OG'!AF5</f>
        <v>0</v>
      </c>
      <c r="AD144" s="313">
        <f>AD6-'Plan OG'!AG5</f>
        <v>0</v>
      </c>
      <c r="AE144" s="313">
        <f>AE6-'Plan OG'!AH5</f>
        <v>0</v>
      </c>
      <c r="AF144" s="313">
        <f>AF6-'Plan OG'!AI5</f>
        <v>0</v>
      </c>
      <c r="AG144" s="313">
        <f>AG6-'Plan OG'!AJ5</f>
        <v>0</v>
      </c>
      <c r="AH144" s="313">
        <f>AH6-'Plan OG'!AK5</f>
        <v>0</v>
      </c>
      <c r="AI144" s="313">
        <f>AI6-'Plan OG'!AL5</f>
        <v>0</v>
      </c>
      <c r="AJ144" s="313">
        <f>AJ6-'Plan OG'!AM5</f>
        <v>0</v>
      </c>
      <c r="AK144" s="313">
        <f>AK6-'Plan OG'!AN5</f>
        <v>0</v>
      </c>
      <c r="AL144" s="313">
        <f>AL6-'Plan OG'!AO5</f>
        <v>0</v>
      </c>
      <c r="AM144" s="313">
        <f>AM6-'Plan OG'!AP5</f>
        <v>-5.4553709452032084E-4</v>
      </c>
      <c r="AN144" s="313">
        <f>AN6-'Plan OG'!AQ5</f>
        <v>7.9376061715774604E-4</v>
      </c>
      <c r="AO144" s="313">
        <f>AO6-'Plan OG'!AR5</f>
        <v>1.0630968315981815E-2</v>
      </c>
      <c r="AP144" s="313">
        <f>AP6-'Plan OG'!AS5</f>
        <v>2.5903572109516881E-2</v>
      </c>
      <c r="AQ144" s="313">
        <f>AQ6-'Plan OG'!AT5</f>
        <v>2.8381403655421411E-2</v>
      </c>
      <c r="AR144" s="313">
        <f>AR6-'Plan OG'!AU5</f>
        <v>2.8553194740161214E-2</v>
      </c>
      <c r="AS144" s="313">
        <f>AS6-'Plan OG'!AV5</f>
        <v>1.5326064303715747E-2</v>
      </c>
      <c r="AT144" s="313">
        <f>AT6-'Plan OG'!AW5</f>
        <v>2.3757850205382902E-2</v>
      </c>
      <c r="AU144" s="313">
        <f>AU6-'Plan OG'!AX5</f>
        <v>5.3226424397385674E-3</v>
      </c>
      <c r="AV144" s="313">
        <f>AV6-'Plan OG'!AY5</f>
        <v>-5.0733845824570967E-3</v>
      </c>
      <c r="AW144" s="313">
        <f>AW6-'Plan OG'!AZ5</f>
        <v>-2.6466871743318299E-2</v>
      </c>
      <c r="AX144" s="313">
        <f>AX6-'Plan OG'!BA5</f>
        <v>-5.052558081241576E-2</v>
      </c>
      <c r="AY144" s="313">
        <f>AY6-'Plan OG'!BB5</f>
        <v>-0.1033700480324361</v>
      </c>
      <c r="AZ144" s="313">
        <f>AZ6-'Plan OG'!BC5</f>
        <v>-0.13788137009615742</v>
      </c>
      <c r="BA144" s="313">
        <f>BA6-'Plan OG'!BD5</f>
        <v>-0.17131619758836569</v>
      </c>
      <c r="BB144" s="313">
        <f>BB6-'Plan 100'!BB5</f>
        <v>1.0954960065678199E-2</v>
      </c>
      <c r="BC144" s="313">
        <f>BC6-'Plan 100'!BC5</f>
        <v>1.2921301762205406E-2</v>
      </c>
      <c r="BD144" s="313">
        <f>BD6-'Plan 100'!BD5</f>
        <v>1.4279907611695619E-2</v>
      </c>
      <c r="BE144" s="313">
        <f>BE6-'Plan 100'!BE5</f>
        <v>1.9657358142422088E-2</v>
      </c>
      <c r="BF144" s="313">
        <f>BF6-'Plan 100'!BF5</f>
        <v>1.8089859467877001E-2</v>
      </c>
      <c r="BG144" s="313">
        <f>BG6-'Plan 100'!BG5</f>
        <v>2.0990646347112674E-2</v>
      </c>
      <c r="BH144" s="313">
        <f>BH6-'Plan 100'!BH5</f>
        <v>2.6097773487809728E-2</v>
      </c>
      <c r="BI144" s="313">
        <f>BI6-'Plan 100'!BI5</f>
        <v>3.3217139052891698E-2</v>
      </c>
      <c r="BJ144" s="313">
        <f>BJ6-'Plan 100'!BJ5</f>
        <v>3.7807386496597539E-2</v>
      </c>
      <c r="BK144" s="313">
        <f>BK6-'Plan 100'!BK5</f>
        <v>3.7055423210341387E-2</v>
      </c>
      <c r="BL144" s="313">
        <f>BL6-'Plan 100'!BL5</f>
        <v>3.4839514484522938E-2</v>
      </c>
      <c r="BM144" s="313">
        <f>BM6-'Plan 100'!BM5</f>
        <v>3.3287541967979228E-2</v>
      </c>
      <c r="BN144" s="313">
        <f>BN6-'Plan 100'!BN5</f>
        <v>2.7314479876014319E-2</v>
      </c>
      <c r="BO144" s="313">
        <f>BO6-'Plan 100'!BO5</f>
        <v>2.6176377282132735E-2</v>
      </c>
      <c r="BP144" s="313">
        <f>BP6-'Plan 100'!BP5</f>
        <v>2.3052103832392534E-2</v>
      </c>
      <c r="BQ144" s="313">
        <f>BQ6-'Plan 100'!BQ5</f>
        <v>1.6733057988007838E-2</v>
      </c>
      <c r="BR144" s="313">
        <f>BR6-'Plan 100'!BR5</f>
        <v>9.7074487373561835E-3</v>
      </c>
      <c r="BS144" s="313">
        <f>BS6-'Plan 100'!BS5</f>
        <v>1.8198072599199255E-3</v>
      </c>
      <c r="BT144" s="313">
        <f>BT6-'Plan 100'!BT5</f>
        <v>-6.2101081680592252E-3</v>
      </c>
      <c r="BU144" s="313">
        <f>BU6-'Plan 100'!BU5</f>
        <v>-1.0696302139953873E-2</v>
      </c>
      <c r="BV144" s="313">
        <f>BV6-'Plan 100'!BV5</f>
        <v>-2.2509935789507995E-2</v>
      </c>
      <c r="BW144" s="313">
        <f>BW6-'Plan 100'!BW5</f>
        <v>-3.1964965199201445E-2</v>
      </c>
      <c r="BX144" s="313">
        <f>BX6-'Plan 100'!BX5</f>
        <v>-5.0881305483767569E-2</v>
      </c>
      <c r="BY144" s="313">
        <f>BY6-'Plan 100'!BY5</f>
        <v>-6.9869379299171031E-2</v>
      </c>
      <c r="BZ144" s="313">
        <f>BZ6-'Plan 100'!BZ5</f>
        <v>-9.15620139741401E-2</v>
      </c>
      <c r="CA144" s="313">
        <f>CA6-'Plan 100'!CA5</f>
        <v>-0.11147295034942595</v>
      </c>
      <c r="CB144" s="313">
        <f>CB6-'Plan 100'!CB5</f>
        <v>-0.12164756159369405</v>
      </c>
      <c r="CC144" s="313">
        <f>CC6-'Plan 100'!CC5</f>
        <v>-0.12434666933182725</v>
      </c>
      <c r="CD144" s="313">
        <f>CD6-'Plan 100'!CD5</f>
        <v>-0.13328058417149524</v>
      </c>
      <c r="CE144" s="313">
        <f>CE6-'Plan 100'!CE5</f>
        <v>-0.13454883045433808</v>
      </c>
      <c r="CF144" s="313">
        <f>CF6-'Plan 100'!CF5</f>
        <v>-0.15183049448560837</v>
      </c>
      <c r="CG144" s="313">
        <f>CG6-'Plan 100'!CG5</f>
        <v>-0.15336965841498806</v>
      </c>
      <c r="CH144" s="313">
        <f>CH6-'Plan 100'!CH5</f>
        <v>-0.15475394875782078</v>
      </c>
      <c r="CI144" s="313">
        <f>CI6-'Plan 100'!CI5</f>
        <v>-0.16347094455797873</v>
      </c>
      <c r="CJ144" s="313">
        <f>CJ6-'Plan 100'!CJ5</f>
        <v>-0.16344764879121665</v>
      </c>
      <c r="CK144" s="313">
        <f>CK6-'Plan 100'!CK5</f>
        <v>-0.16343600090783572</v>
      </c>
      <c r="CL144" s="313">
        <f>CL6-'Plan 100'!CL5</f>
        <v>-0.16343600090783572</v>
      </c>
      <c r="CM144" s="313">
        <f>CM6-'Plan 100'!CM5</f>
        <v>-0.16214906184276512</v>
      </c>
      <c r="CN144" s="313">
        <f>CN6-'Plan 100'!CN5</f>
        <v>-0.1613111379277381</v>
      </c>
      <c r="CO144" s="313">
        <f>CO6-'Plan 100'!CO5</f>
        <v>-0.1613111379277381</v>
      </c>
      <c r="CP144" s="313">
        <f>CP6-'Plan 100'!CP5</f>
        <v>-0.16071345664098358</v>
      </c>
      <c r="CQ144" s="313">
        <f>CQ6-'Plan 100'!CQ5</f>
        <v>-0.16071345664098358</v>
      </c>
      <c r="CR144" s="313">
        <f>CR6-'Plan 100'!CR5</f>
        <v>-0.15679961065630521</v>
      </c>
      <c r="CS144" s="313">
        <f>CS6-'Plan 100'!CS5</f>
        <v>-0.15637683576846273</v>
      </c>
      <c r="CT144" s="313">
        <f>CT6-'Plan 100'!CT5</f>
        <v>-0.15550119550048125</v>
      </c>
      <c r="CU144" s="313">
        <f>CU6-'Plan 100'!CU5</f>
        <v>-0.15380852509619791</v>
      </c>
      <c r="CV144" s="313">
        <f>CV6-'Plan 100'!CV5</f>
        <v>-0.1533144820659148</v>
      </c>
      <c r="CW144" s="313">
        <f>CW6-'Plan 100'!CW5</f>
        <v>-0.1533144820659148</v>
      </c>
      <c r="CX144" s="313">
        <f>CX6-'Plan 100'!CX5</f>
        <v>-0.15225970069960981</v>
      </c>
      <c r="CY144" s="313">
        <f>CY6-'Plan 100'!CY5</f>
        <v>-0.15130083951407114</v>
      </c>
      <c r="CZ144" s="313">
        <f>CZ6-'Plan 100'!CZ5</f>
        <v>-0.1504419269295646</v>
      </c>
      <c r="DA144" s="313">
        <f>DA6-'Plan 100'!DA5</f>
        <v>-0.14997290382291351</v>
      </c>
      <c r="DB144" s="313">
        <f>DB6-'Plan 100'!DB5</f>
        <v>-0.14948012214385875</v>
      </c>
      <c r="DC144" s="313">
        <f>DC6-'Plan 100'!DC5</f>
        <v>-0.14872483193386699</v>
      </c>
      <c r="DD144" s="313">
        <f>DD6-'Plan 100'!DD5</f>
        <v>-0.14835633734794629</v>
      </c>
      <c r="DE144" s="313">
        <f>DE6-'Plan 100'!DE5</f>
        <v>-0.13841117471728592</v>
      </c>
      <c r="DF144" s="313">
        <f>DF6-'Plan 100'!DF5</f>
        <v>-0.13804268013136523</v>
      </c>
      <c r="DG144" s="313">
        <f>DG6-'Plan 100'!DG5</f>
        <v>-0.13777703034080924</v>
      </c>
      <c r="DH144" s="313">
        <f>DH6-'Plan 100'!DH5</f>
        <v>-0.13707687837660654</v>
      </c>
      <c r="DI144" s="313">
        <f>DI6-'Plan 100'!DI5</f>
        <v>-0.13648475005802863</v>
      </c>
      <c r="DJ144" s="313">
        <f>DJ6-'Plan 100'!DJ5</f>
        <v>-0.16343600090783572</v>
      </c>
    </row>
    <row r="145" spans="2:114" ht="18" customHeight="1" outlineLevel="1" x14ac:dyDescent="0.3">
      <c r="B145" s="442" t="s">
        <v>446</v>
      </c>
      <c r="C145" s="443"/>
      <c r="D145" s="443"/>
      <c r="E145" s="443"/>
      <c r="F145" s="443"/>
      <c r="G145" s="444"/>
      <c r="H145" s="314"/>
      <c r="I145" s="315">
        <f t="shared" ref="I145:AN145" si="866">IF(MOD(I5-$I$5,14)=0,I144, "")</f>
        <v>0</v>
      </c>
      <c r="J145" s="315" t="str">
        <f t="shared" si="866"/>
        <v/>
      </c>
      <c r="K145" s="315">
        <f t="shared" si="866"/>
        <v>0</v>
      </c>
      <c r="L145" s="315" t="str">
        <f t="shared" si="866"/>
        <v/>
      </c>
      <c r="M145" s="315">
        <f t="shared" si="866"/>
        <v>0</v>
      </c>
      <c r="N145" s="315" t="str">
        <f t="shared" si="866"/>
        <v/>
      </c>
      <c r="O145" s="315">
        <f t="shared" si="866"/>
        <v>0</v>
      </c>
      <c r="P145" s="315" t="str">
        <f t="shared" si="866"/>
        <v/>
      </c>
      <c r="Q145" s="315">
        <f t="shared" si="866"/>
        <v>0</v>
      </c>
      <c r="R145" s="315" t="str">
        <f t="shared" si="866"/>
        <v/>
      </c>
      <c r="S145" s="315">
        <f t="shared" si="866"/>
        <v>0</v>
      </c>
      <c r="T145" s="315" t="str">
        <f t="shared" si="866"/>
        <v/>
      </c>
      <c r="U145" s="315">
        <f t="shared" si="866"/>
        <v>0</v>
      </c>
      <c r="V145" s="315" t="str">
        <f t="shared" si="866"/>
        <v/>
      </c>
      <c r="W145" s="315">
        <f t="shared" si="866"/>
        <v>0</v>
      </c>
      <c r="X145" s="315" t="str">
        <f t="shared" si="866"/>
        <v/>
      </c>
      <c r="Y145" s="315">
        <f t="shared" si="866"/>
        <v>0</v>
      </c>
      <c r="Z145" s="315" t="str">
        <f t="shared" si="866"/>
        <v/>
      </c>
      <c r="AA145" s="315">
        <f t="shared" si="866"/>
        <v>0</v>
      </c>
      <c r="AB145" s="315" t="str">
        <f t="shared" si="866"/>
        <v/>
      </c>
      <c r="AC145" s="315">
        <f t="shared" si="866"/>
        <v>0</v>
      </c>
      <c r="AD145" s="315" t="str">
        <f t="shared" si="866"/>
        <v/>
      </c>
      <c r="AE145" s="315">
        <f t="shared" si="866"/>
        <v>0</v>
      </c>
      <c r="AF145" s="315" t="str">
        <f t="shared" si="866"/>
        <v/>
      </c>
      <c r="AG145" s="315">
        <f t="shared" si="866"/>
        <v>0</v>
      </c>
      <c r="AH145" s="315" t="str">
        <f t="shared" si="866"/>
        <v/>
      </c>
      <c r="AI145" s="315">
        <f t="shared" si="866"/>
        <v>0</v>
      </c>
      <c r="AJ145" s="315" t="str">
        <f t="shared" si="866"/>
        <v/>
      </c>
      <c r="AK145" s="315">
        <f t="shared" si="866"/>
        <v>0</v>
      </c>
      <c r="AL145" s="315" t="str">
        <f t="shared" si="866"/>
        <v/>
      </c>
      <c r="AM145" s="315">
        <f t="shared" si="866"/>
        <v>-5.4553709452032084E-4</v>
      </c>
      <c r="AN145" s="315" t="str">
        <f t="shared" si="866"/>
        <v/>
      </c>
      <c r="AO145" s="315">
        <f t="shared" ref="AO145:BT145" si="867">IF(MOD(AO5-$I$5,14)=0,AO144, "")</f>
        <v>1.0630968315981815E-2</v>
      </c>
      <c r="AP145" s="315" t="str">
        <f t="shared" si="867"/>
        <v/>
      </c>
      <c r="AQ145" s="315">
        <f t="shared" si="867"/>
        <v>2.8381403655421411E-2</v>
      </c>
      <c r="AR145" s="315" t="str">
        <f t="shared" si="867"/>
        <v/>
      </c>
      <c r="AS145" s="315">
        <f t="shared" si="867"/>
        <v>1.5326064303715747E-2</v>
      </c>
      <c r="AT145" s="315" t="str">
        <f t="shared" si="867"/>
        <v/>
      </c>
      <c r="AU145" s="315">
        <f t="shared" si="867"/>
        <v>5.3226424397385674E-3</v>
      </c>
      <c r="AV145" s="315" t="str">
        <f t="shared" si="867"/>
        <v/>
      </c>
      <c r="AW145" s="315">
        <f t="shared" si="867"/>
        <v>-2.6466871743318299E-2</v>
      </c>
      <c r="AX145" s="315" t="str">
        <f t="shared" si="867"/>
        <v/>
      </c>
      <c r="AY145" s="315">
        <f t="shared" si="867"/>
        <v>-0.1033700480324361</v>
      </c>
      <c r="AZ145" s="315" t="str">
        <f t="shared" si="867"/>
        <v/>
      </c>
      <c r="BA145" s="315">
        <f t="shared" si="867"/>
        <v>-0.17131619758836569</v>
      </c>
      <c r="BB145" s="315" t="str">
        <f t="shared" si="867"/>
        <v/>
      </c>
      <c r="BC145" s="315">
        <f t="shared" si="867"/>
        <v>1.2921301762205406E-2</v>
      </c>
      <c r="BD145" s="315" t="str">
        <f t="shared" si="867"/>
        <v/>
      </c>
      <c r="BE145" s="315">
        <f t="shared" si="867"/>
        <v>1.9657358142422088E-2</v>
      </c>
      <c r="BF145" s="315" t="str">
        <f t="shared" si="867"/>
        <v/>
      </c>
      <c r="BG145" s="315">
        <f t="shared" si="867"/>
        <v>2.0990646347112674E-2</v>
      </c>
      <c r="BH145" s="315" t="str">
        <f t="shared" si="867"/>
        <v/>
      </c>
      <c r="BI145" s="315">
        <f t="shared" si="867"/>
        <v>3.3217139052891698E-2</v>
      </c>
      <c r="BJ145" s="315" t="str">
        <f t="shared" si="867"/>
        <v/>
      </c>
      <c r="BK145" s="315">
        <f t="shared" si="867"/>
        <v>3.7055423210341387E-2</v>
      </c>
      <c r="BL145" s="315" t="str">
        <f t="shared" si="867"/>
        <v/>
      </c>
      <c r="BM145" s="315">
        <f t="shared" si="867"/>
        <v>3.3287541967979228E-2</v>
      </c>
      <c r="BN145" s="315" t="str">
        <f t="shared" si="867"/>
        <v/>
      </c>
      <c r="BO145" s="315">
        <f t="shared" si="867"/>
        <v>2.6176377282132735E-2</v>
      </c>
      <c r="BP145" s="315" t="str">
        <f t="shared" si="867"/>
        <v/>
      </c>
      <c r="BQ145" s="315">
        <f t="shared" si="867"/>
        <v>1.6733057988007838E-2</v>
      </c>
      <c r="BR145" s="315" t="str">
        <f t="shared" si="867"/>
        <v/>
      </c>
      <c r="BS145" s="315">
        <f t="shared" si="867"/>
        <v>1.8198072599199255E-3</v>
      </c>
      <c r="BT145" s="315" t="str">
        <f t="shared" si="867"/>
        <v/>
      </c>
      <c r="BU145" s="315">
        <f t="shared" ref="BU145:CZ145" si="868">IF(MOD(BU5-$I$5,14)=0,BU144, "")</f>
        <v>-1.0696302139953873E-2</v>
      </c>
      <c r="BV145" s="315" t="str">
        <f t="shared" si="868"/>
        <v/>
      </c>
      <c r="BW145" s="315">
        <f t="shared" si="868"/>
        <v>-3.1964965199201445E-2</v>
      </c>
      <c r="BX145" s="315" t="str">
        <f t="shared" si="868"/>
        <v/>
      </c>
      <c r="BY145" s="315">
        <f t="shared" si="868"/>
        <v>-6.9869379299171031E-2</v>
      </c>
      <c r="BZ145" s="315" t="str">
        <f t="shared" si="868"/>
        <v/>
      </c>
      <c r="CA145" s="315">
        <f t="shared" si="868"/>
        <v>-0.11147295034942595</v>
      </c>
      <c r="CB145" s="315" t="str">
        <f t="shared" si="868"/>
        <v/>
      </c>
      <c r="CC145" s="315">
        <f t="shared" si="868"/>
        <v>-0.12434666933182725</v>
      </c>
      <c r="CD145" s="315" t="str">
        <f t="shared" si="868"/>
        <v/>
      </c>
      <c r="CE145" s="315">
        <f t="shared" si="868"/>
        <v>-0.13454883045433808</v>
      </c>
      <c r="CF145" s="315" t="str">
        <f t="shared" si="868"/>
        <v/>
      </c>
      <c r="CG145" s="315">
        <f t="shared" si="868"/>
        <v>-0.15336965841498806</v>
      </c>
      <c r="CH145" s="315" t="str">
        <f t="shared" si="868"/>
        <v/>
      </c>
      <c r="CI145" s="315">
        <f t="shared" si="868"/>
        <v>-0.16347094455797873</v>
      </c>
      <c r="CJ145" s="315" t="str">
        <f t="shared" si="868"/>
        <v/>
      </c>
      <c r="CK145" s="315">
        <f t="shared" si="868"/>
        <v>-0.16343600090783572</v>
      </c>
      <c r="CL145" s="315" t="str">
        <f t="shared" si="868"/>
        <v/>
      </c>
      <c r="CM145" s="315">
        <f t="shared" si="868"/>
        <v>-0.16214906184276512</v>
      </c>
      <c r="CN145" s="315" t="str">
        <f t="shared" si="868"/>
        <v/>
      </c>
      <c r="CO145" s="315">
        <f t="shared" si="868"/>
        <v>-0.1613111379277381</v>
      </c>
      <c r="CP145" s="315" t="str">
        <f t="shared" si="868"/>
        <v/>
      </c>
      <c r="CQ145" s="315">
        <f t="shared" si="868"/>
        <v>-0.16071345664098358</v>
      </c>
      <c r="CR145" s="315" t="str">
        <f t="shared" si="868"/>
        <v/>
      </c>
      <c r="CS145" s="315">
        <f t="shared" si="868"/>
        <v>-0.15637683576846273</v>
      </c>
      <c r="CT145" s="315" t="str">
        <f t="shared" si="868"/>
        <v/>
      </c>
      <c r="CU145" s="315">
        <f t="shared" si="868"/>
        <v>-0.15380852509619791</v>
      </c>
      <c r="CV145" s="315" t="str">
        <f t="shared" si="868"/>
        <v/>
      </c>
      <c r="CW145" s="315">
        <f t="shared" si="868"/>
        <v>-0.1533144820659148</v>
      </c>
      <c r="CX145" s="315" t="str">
        <f t="shared" si="868"/>
        <v/>
      </c>
      <c r="CY145" s="315">
        <f t="shared" si="868"/>
        <v>-0.15130083951407114</v>
      </c>
      <c r="CZ145" s="315" t="str">
        <f t="shared" si="868"/>
        <v/>
      </c>
      <c r="DA145" s="315">
        <f t="shared" ref="DA145:DC145" si="869">IF(MOD(DA5-$I$5,14)=0,DA144, "")</f>
        <v>-0.14997290382291351</v>
      </c>
      <c r="DB145" s="315" t="str">
        <f t="shared" si="869"/>
        <v/>
      </c>
      <c r="DC145" s="315">
        <f t="shared" si="869"/>
        <v>-0.14872483193386699</v>
      </c>
      <c r="DD145" s="315" t="str">
        <f t="shared" ref="DD145:DE145" si="870">IF(MOD(DD5-$I$5,14)=0,DD144, "")</f>
        <v/>
      </c>
      <c r="DE145" s="315">
        <f t="shared" si="870"/>
        <v>-0.13841117471728592</v>
      </c>
      <c r="DF145" s="315" t="str">
        <f t="shared" ref="DF145:DG145" si="871">IF(MOD(DF5-$I$5,14)=0,DF144, "")</f>
        <v/>
      </c>
      <c r="DG145" s="315">
        <f t="shared" si="871"/>
        <v>-0.13777703034080924</v>
      </c>
      <c r="DH145" s="315" t="str">
        <f t="shared" ref="DH145:DJ145" si="872">IF(MOD(DH5-$I$5,14)=0,DH144, "")</f>
        <v/>
      </c>
      <c r="DI145" s="315">
        <f t="shared" si="872"/>
        <v>-0.13648475005802863</v>
      </c>
      <c r="DJ145" s="315" t="str">
        <f t="shared" si="872"/>
        <v/>
      </c>
    </row>
    <row r="146" spans="2:114" ht="18" customHeight="1" outlineLevel="1" x14ac:dyDescent="0.3">
      <c r="B146" s="442" t="s">
        <v>445</v>
      </c>
      <c r="C146" s="443"/>
      <c r="D146" s="443"/>
      <c r="E146" s="443"/>
      <c r="F146" s="443"/>
      <c r="G146" s="444"/>
      <c r="H146" s="314"/>
      <c r="I146" s="315">
        <f t="shared" ref="I146:AN146" si="873">IF(MOD(I5-$I$5,28)=0,I144, "")</f>
        <v>0</v>
      </c>
      <c r="J146" s="315" t="str">
        <f t="shared" si="873"/>
        <v/>
      </c>
      <c r="K146" s="315" t="str">
        <f t="shared" si="873"/>
        <v/>
      </c>
      <c r="L146" s="315" t="str">
        <f t="shared" si="873"/>
        <v/>
      </c>
      <c r="M146" s="315">
        <f t="shared" si="873"/>
        <v>0</v>
      </c>
      <c r="N146" s="315" t="str">
        <f t="shared" si="873"/>
        <v/>
      </c>
      <c r="O146" s="315" t="str">
        <f t="shared" si="873"/>
        <v/>
      </c>
      <c r="P146" s="315" t="str">
        <f t="shared" si="873"/>
        <v/>
      </c>
      <c r="Q146" s="315">
        <f t="shared" si="873"/>
        <v>0</v>
      </c>
      <c r="R146" s="315" t="str">
        <f t="shared" si="873"/>
        <v/>
      </c>
      <c r="S146" s="315" t="str">
        <f t="shared" si="873"/>
        <v/>
      </c>
      <c r="T146" s="315" t="str">
        <f t="shared" si="873"/>
        <v/>
      </c>
      <c r="U146" s="315">
        <f t="shared" si="873"/>
        <v>0</v>
      </c>
      <c r="V146" s="315" t="str">
        <f t="shared" si="873"/>
        <v/>
      </c>
      <c r="W146" s="315" t="str">
        <f t="shared" si="873"/>
        <v/>
      </c>
      <c r="X146" s="315" t="str">
        <f t="shared" si="873"/>
        <v/>
      </c>
      <c r="Y146" s="315">
        <f t="shared" si="873"/>
        <v>0</v>
      </c>
      <c r="Z146" s="315" t="str">
        <f t="shared" si="873"/>
        <v/>
      </c>
      <c r="AA146" s="315" t="str">
        <f t="shared" si="873"/>
        <v/>
      </c>
      <c r="AB146" s="315" t="str">
        <f t="shared" si="873"/>
        <v/>
      </c>
      <c r="AC146" s="315">
        <f t="shared" si="873"/>
        <v>0</v>
      </c>
      <c r="AD146" s="315" t="str">
        <f t="shared" si="873"/>
        <v/>
      </c>
      <c r="AE146" s="315" t="str">
        <f t="shared" si="873"/>
        <v/>
      </c>
      <c r="AF146" s="315" t="str">
        <f t="shared" si="873"/>
        <v/>
      </c>
      <c r="AG146" s="315">
        <f t="shared" si="873"/>
        <v>0</v>
      </c>
      <c r="AH146" s="315" t="str">
        <f t="shared" si="873"/>
        <v/>
      </c>
      <c r="AI146" s="315" t="str">
        <f t="shared" si="873"/>
        <v/>
      </c>
      <c r="AJ146" s="315" t="str">
        <f t="shared" si="873"/>
        <v/>
      </c>
      <c r="AK146" s="315">
        <f t="shared" si="873"/>
        <v>0</v>
      </c>
      <c r="AL146" s="315" t="str">
        <f t="shared" si="873"/>
        <v/>
      </c>
      <c r="AM146" s="315" t="str">
        <f t="shared" si="873"/>
        <v/>
      </c>
      <c r="AN146" s="315" t="str">
        <f t="shared" si="873"/>
        <v/>
      </c>
      <c r="AO146" s="315">
        <f t="shared" ref="AO146:BT146" si="874">IF(MOD(AO5-$I$5,28)=0,AO144, "")</f>
        <v>1.0630968315981815E-2</v>
      </c>
      <c r="AP146" s="315" t="str">
        <f t="shared" si="874"/>
        <v/>
      </c>
      <c r="AQ146" s="315" t="str">
        <f t="shared" si="874"/>
        <v/>
      </c>
      <c r="AR146" s="315" t="str">
        <f t="shared" si="874"/>
        <v/>
      </c>
      <c r="AS146" s="315">
        <f t="shared" si="874"/>
        <v>1.5326064303715747E-2</v>
      </c>
      <c r="AT146" s="315" t="str">
        <f t="shared" si="874"/>
        <v/>
      </c>
      <c r="AU146" s="315" t="str">
        <f t="shared" si="874"/>
        <v/>
      </c>
      <c r="AV146" s="315" t="str">
        <f t="shared" si="874"/>
        <v/>
      </c>
      <c r="AW146" s="315">
        <f t="shared" si="874"/>
        <v>-2.6466871743318299E-2</v>
      </c>
      <c r="AX146" s="315" t="str">
        <f t="shared" si="874"/>
        <v/>
      </c>
      <c r="AY146" s="315" t="str">
        <f t="shared" si="874"/>
        <v/>
      </c>
      <c r="AZ146" s="315" t="str">
        <f t="shared" si="874"/>
        <v/>
      </c>
      <c r="BA146" s="315">
        <f t="shared" si="874"/>
        <v>-0.17131619758836569</v>
      </c>
      <c r="BB146" s="315" t="str">
        <f t="shared" si="874"/>
        <v/>
      </c>
      <c r="BC146" s="315" t="str">
        <f t="shared" si="874"/>
        <v/>
      </c>
      <c r="BD146" s="315" t="str">
        <f t="shared" si="874"/>
        <v/>
      </c>
      <c r="BE146" s="315">
        <f t="shared" si="874"/>
        <v>1.9657358142422088E-2</v>
      </c>
      <c r="BF146" s="315" t="str">
        <f t="shared" si="874"/>
        <v/>
      </c>
      <c r="BG146" s="315" t="str">
        <f t="shared" si="874"/>
        <v/>
      </c>
      <c r="BH146" s="315" t="str">
        <f t="shared" si="874"/>
        <v/>
      </c>
      <c r="BI146" s="315">
        <f t="shared" si="874"/>
        <v>3.3217139052891698E-2</v>
      </c>
      <c r="BJ146" s="315" t="str">
        <f t="shared" si="874"/>
        <v/>
      </c>
      <c r="BK146" s="315" t="str">
        <f t="shared" si="874"/>
        <v/>
      </c>
      <c r="BL146" s="315" t="str">
        <f t="shared" si="874"/>
        <v/>
      </c>
      <c r="BM146" s="315">
        <f t="shared" si="874"/>
        <v>3.3287541967979228E-2</v>
      </c>
      <c r="BN146" s="315" t="str">
        <f t="shared" si="874"/>
        <v/>
      </c>
      <c r="BO146" s="315" t="str">
        <f t="shared" si="874"/>
        <v/>
      </c>
      <c r="BP146" s="315" t="str">
        <f t="shared" si="874"/>
        <v/>
      </c>
      <c r="BQ146" s="315">
        <f t="shared" si="874"/>
        <v>1.6733057988007838E-2</v>
      </c>
      <c r="BR146" s="315" t="str">
        <f t="shared" si="874"/>
        <v/>
      </c>
      <c r="BS146" s="315" t="str">
        <f t="shared" si="874"/>
        <v/>
      </c>
      <c r="BT146" s="315" t="str">
        <f t="shared" si="874"/>
        <v/>
      </c>
      <c r="BU146" s="315">
        <f t="shared" ref="BU146:DA146" si="875">IF(MOD(BU5-$I$5,28)=0,BU144, "")</f>
        <v>-1.0696302139953873E-2</v>
      </c>
      <c r="BV146" s="315" t="str">
        <f t="shared" si="875"/>
        <v/>
      </c>
      <c r="BW146" s="315" t="str">
        <f t="shared" si="875"/>
        <v/>
      </c>
      <c r="BX146" s="315" t="str">
        <f t="shared" si="875"/>
        <v/>
      </c>
      <c r="BY146" s="315">
        <f t="shared" si="875"/>
        <v>-6.9869379299171031E-2</v>
      </c>
      <c r="BZ146" s="315" t="str">
        <f t="shared" si="875"/>
        <v/>
      </c>
      <c r="CA146" s="315" t="str">
        <f t="shared" si="875"/>
        <v/>
      </c>
      <c r="CB146" s="315" t="str">
        <f t="shared" si="875"/>
        <v/>
      </c>
      <c r="CC146" s="315">
        <f t="shared" si="875"/>
        <v>-0.12434666933182725</v>
      </c>
      <c r="CD146" s="315" t="str">
        <f t="shared" si="875"/>
        <v/>
      </c>
      <c r="CE146" s="315" t="str">
        <f t="shared" si="875"/>
        <v/>
      </c>
      <c r="CF146" s="315" t="str">
        <f t="shared" si="875"/>
        <v/>
      </c>
      <c r="CG146" s="315">
        <f t="shared" si="875"/>
        <v>-0.15336965841498806</v>
      </c>
      <c r="CH146" s="315" t="str">
        <f t="shared" si="875"/>
        <v/>
      </c>
      <c r="CI146" s="315" t="str">
        <f t="shared" si="875"/>
        <v/>
      </c>
      <c r="CJ146" s="315" t="str">
        <f t="shared" si="875"/>
        <v/>
      </c>
      <c r="CK146" s="315">
        <f t="shared" si="875"/>
        <v>-0.16343600090783572</v>
      </c>
      <c r="CL146" s="315" t="str">
        <f t="shared" si="875"/>
        <v/>
      </c>
      <c r="CM146" s="315" t="str">
        <f t="shared" si="875"/>
        <v/>
      </c>
      <c r="CN146" s="315" t="str">
        <f t="shared" si="875"/>
        <v/>
      </c>
      <c r="CO146" s="315">
        <f t="shared" si="875"/>
        <v>-0.1613111379277381</v>
      </c>
      <c r="CP146" s="315" t="str">
        <f t="shared" si="875"/>
        <v/>
      </c>
      <c r="CQ146" s="315" t="str">
        <f t="shared" si="875"/>
        <v/>
      </c>
      <c r="CR146" s="315" t="str">
        <f t="shared" si="875"/>
        <v/>
      </c>
      <c r="CS146" s="315">
        <f t="shared" si="875"/>
        <v>-0.15637683576846273</v>
      </c>
      <c r="CT146" s="315" t="str">
        <f t="shared" si="875"/>
        <v/>
      </c>
      <c r="CU146" s="315" t="str">
        <f t="shared" si="875"/>
        <v/>
      </c>
      <c r="CV146" s="315" t="str">
        <f t="shared" si="875"/>
        <v/>
      </c>
      <c r="CW146" s="315">
        <f t="shared" si="875"/>
        <v>-0.1533144820659148</v>
      </c>
      <c r="CX146" s="315" t="str">
        <f t="shared" si="875"/>
        <v/>
      </c>
      <c r="CY146" s="315" t="str">
        <f t="shared" si="875"/>
        <v/>
      </c>
      <c r="CZ146" s="315" t="str">
        <f t="shared" si="875"/>
        <v/>
      </c>
      <c r="DA146" s="315">
        <f t="shared" si="875"/>
        <v>-0.14997290382291351</v>
      </c>
      <c r="DB146" s="315" t="str">
        <f t="shared" ref="DB146:DC146" si="876">IF(MOD(DB5-$I$5,28)=0,DB144, "")</f>
        <v/>
      </c>
      <c r="DC146" s="315" t="str">
        <f t="shared" si="876"/>
        <v/>
      </c>
      <c r="DD146" s="315" t="str">
        <f t="shared" ref="DD146:DE146" si="877">IF(MOD(DD5-$I$5,28)=0,DD144, "")</f>
        <v/>
      </c>
      <c r="DE146" s="315">
        <f t="shared" si="877"/>
        <v>-0.13841117471728592</v>
      </c>
      <c r="DF146" s="315" t="str">
        <f t="shared" ref="DF146:DG146" si="878">IF(MOD(DF5-$I$5,28)=0,DF144, "")</f>
        <v/>
      </c>
      <c r="DG146" s="315" t="str">
        <f t="shared" si="878"/>
        <v/>
      </c>
      <c r="DH146" s="315" t="str">
        <f t="shared" ref="DH146:DJ146" si="879">IF(MOD(DH5-$I$5,28)=0,DH144, "")</f>
        <v/>
      </c>
      <c r="DI146" s="315">
        <f t="shared" si="879"/>
        <v>-0.13648475005802863</v>
      </c>
      <c r="DJ146" s="315" t="str">
        <f t="shared" si="879"/>
        <v/>
      </c>
    </row>
    <row r="147" spans="2:114" s="316" customFormat="1" ht="18" customHeight="1" x14ac:dyDescent="0.3">
      <c r="B147" s="318"/>
      <c r="C147" s="318"/>
      <c r="D147" s="318"/>
      <c r="E147" s="318"/>
      <c r="F147" s="318"/>
      <c r="G147" s="318"/>
      <c r="H147" s="318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  <c r="AA147" s="319"/>
      <c r="AB147" s="319"/>
      <c r="AC147" s="319"/>
      <c r="AD147" s="319"/>
      <c r="AE147" s="319"/>
      <c r="AF147" s="319"/>
      <c r="AG147" s="319"/>
      <c r="AH147" s="319"/>
      <c r="AI147" s="319"/>
      <c r="AJ147" s="319"/>
      <c r="AK147" s="319"/>
      <c r="AL147" s="319"/>
      <c r="AM147" s="319"/>
      <c r="AN147" s="319"/>
      <c r="AO147" s="319"/>
      <c r="AP147" s="319"/>
      <c r="AQ147" s="319"/>
      <c r="AR147" s="319"/>
      <c r="AS147" s="319"/>
      <c r="AT147" s="319"/>
      <c r="AU147" s="319"/>
      <c r="AV147" s="319"/>
      <c r="AW147" s="319"/>
      <c r="AX147" s="319"/>
      <c r="AY147" s="319"/>
      <c r="AZ147" s="319"/>
      <c r="BA147" s="319"/>
      <c r="BB147" s="319"/>
      <c r="BC147" s="319"/>
      <c r="BD147" s="319"/>
      <c r="BE147" s="319"/>
      <c r="BF147" s="319"/>
      <c r="BG147" s="319"/>
      <c r="BH147" s="319"/>
      <c r="BI147" s="319"/>
      <c r="BJ147" s="319"/>
      <c r="BK147" s="319"/>
      <c r="BL147" s="319"/>
      <c r="BM147" s="319"/>
      <c r="BN147" s="319"/>
      <c r="BO147" s="319"/>
      <c r="BP147" s="319"/>
      <c r="BQ147" s="319"/>
      <c r="BR147" s="319"/>
      <c r="BS147" s="319"/>
      <c r="BT147" s="319"/>
      <c r="BU147" s="319"/>
      <c r="BV147" s="319"/>
      <c r="BW147" s="319"/>
      <c r="BX147" s="319"/>
      <c r="BY147" s="319"/>
      <c r="BZ147" s="319"/>
      <c r="CA147" s="319"/>
      <c r="CB147" s="319"/>
      <c r="CC147" s="319"/>
      <c r="CD147" s="319"/>
      <c r="CE147" s="319"/>
      <c r="CF147" s="319"/>
      <c r="CG147" s="319"/>
      <c r="CH147" s="319"/>
      <c r="CI147" s="319"/>
      <c r="CJ147" s="319"/>
      <c r="CK147" s="319"/>
      <c r="CL147" s="319"/>
      <c r="CM147" s="319"/>
      <c r="CN147" s="319"/>
      <c r="CO147" s="319"/>
      <c r="CP147" s="319"/>
      <c r="CQ147" s="319"/>
      <c r="CR147" s="319"/>
      <c r="CS147" s="319"/>
      <c r="CT147" s="319"/>
      <c r="CU147" s="319"/>
      <c r="CV147" s="319"/>
      <c r="CW147" s="319"/>
      <c r="CX147" s="319"/>
      <c r="CY147" s="319"/>
      <c r="CZ147" s="319"/>
      <c r="DA147" s="319"/>
    </row>
    <row r="148" spans="2:114" s="316" customFormat="1" ht="18" customHeight="1" x14ac:dyDescent="0.3">
      <c r="B148" s="323" t="s">
        <v>447</v>
      </c>
      <c r="C148" s="323"/>
      <c r="D148" s="323"/>
      <c r="E148" s="323"/>
      <c r="F148" s="323"/>
      <c r="G148" s="323"/>
      <c r="H148" s="323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  <c r="AA148" s="324"/>
      <c r="AB148" s="324"/>
      <c r="AC148" s="324"/>
      <c r="AD148" s="324"/>
      <c r="AE148" s="324"/>
      <c r="AF148" s="324"/>
      <c r="AG148" s="324"/>
      <c r="AH148" s="324"/>
      <c r="AI148" s="324"/>
      <c r="AJ148" s="324"/>
      <c r="AK148" s="324"/>
      <c r="AL148" s="324"/>
      <c r="AM148" s="324"/>
      <c r="AN148" s="324"/>
      <c r="AO148" s="324"/>
      <c r="AP148" s="324"/>
      <c r="AQ148" s="324"/>
      <c r="AR148" s="324"/>
      <c r="AS148" s="324"/>
      <c r="AT148" s="324"/>
      <c r="AU148" s="324"/>
      <c r="AV148" s="324"/>
      <c r="AW148" s="324"/>
      <c r="AX148" s="324"/>
      <c r="AY148" s="324"/>
      <c r="AZ148" s="324"/>
      <c r="BA148" s="324"/>
      <c r="BB148" s="324"/>
      <c r="BC148" s="324"/>
      <c r="BD148" s="324"/>
      <c r="BE148" s="324"/>
      <c r="BF148" s="324"/>
      <c r="BG148" s="324"/>
      <c r="BH148" s="324"/>
      <c r="BI148" s="324"/>
      <c r="BJ148" s="324"/>
      <c r="BK148" s="324"/>
      <c r="BL148" s="324"/>
      <c r="BM148" s="324"/>
      <c r="BN148" s="324"/>
      <c r="BO148" s="324"/>
      <c r="BP148" s="324"/>
      <c r="BQ148" s="324"/>
      <c r="BR148" s="324"/>
      <c r="BS148" s="324"/>
      <c r="BT148" s="324"/>
      <c r="BU148" s="324"/>
      <c r="BV148" s="324"/>
      <c r="BW148" s="324"/>
      <c r="BX148" s="324"/>
      <c r="BY148" s="324"/>
      <c r="BZ148" s="324"/>
      <c r="CA148" s="324"/>
      <c r="CB148" s="324"/>
      <c r="CC148" s="324"/>
      <c r="CD148" s="324"/>
      <c r="CE148" s="324"/>
      <c r="CF148" s="324"/>
      <c r="CG148" s="324"/>
      <c r="CH148" s="324"/>
      <c r="CI148" s="324"/>
      <c r="CJ148" s="324"/>
      <c r="CK148" s="324"/>
      <c r="CL148" s="324"/>
      <c r="CM148" s="324"/>
      <c r="CN148" s="324"/>
      <c r="CO148" s="324"/>
      <c r="CP148" s="324"/>
      <c r="CQ148" s="324"/>
      <c r="CR148" s="324"/>
      <c r="CS148" s="324"/>
      <c r="CT148" s="324"/>
      <c r="CU148" s="324"/>
      <c r="CV148" s="324"/>
      <c r="CW148" s="324"/>
      <c r="CX148" s="324"/>
      <c r="CY148" s="324"/>
      <c r="CZ148" s="324"/>
      <c r="DA148" s="324"/>
      <c r="DB148" s="325"/>
      <c r="DC148" s="325"/>
      <c r="DD148" s="325"/>
      <c r="DE148" s="325"/>
      <c r="DF148" s="325"/>
      <c r="DG148" s="325"/>
      <c r="DH148" s="325"/>
      <c r="DI148" s="325"/>
      <c r="DJ148" s="325"/>
    </row>
    <row r="149" spans="2:114" ht="18" customHeight="1" outlineLevel="1" x14ac:dyDescent="0.3">
      <c r="B149" s="320"/>
      <c r="C149" s="317" t="s">
        <v>437</v>
      </c>
      <c r="D149" s="320"/>
      <c r="E149" s="320"/>
      <c r="F149" s="234"/>
      <c r="G149" s="234"/>
      <c r="H149" s="55"/>
      <c r="I149" s="321">
        <f t="shared" ref="I149:AN149" si="880">IF(MOD(I5-$I$5,14)=0, I6, "")</f>
        <v>8.7813632965295718E-5</v>
      </c>
      <c r="J149" s="321" t="str">
        <f t="shared" si="880"/>
        <v/>
      </c>
      <c r="K149" s="321">
        <f t="shared" si="880"/>
        <v>1.3453056290573008E-3</v>
      </c>
      <c r="L149" s="321" t="str">
        <f t="shared" si="880"/>
        <v/>
      </c>
      <c r="M149" s="321">
        <f t="shared" si="880"/>
        <v>4.1585334948187752E-3</v>
      </c>
      <c r="N149" s="321" t="str">
        <f t="shared" si="880"/>
        <v/>
      </c>
      <c r="O149" s="321">
        <f t="shared" si="880"/>
        <v>1.8234166299858048E-2</v>
      </c>
      <c r="P149" s="321" t="str">
        <f t="shared" si="880"/>
        <v/>
      </c>
      <c r="Q149" s="321">
        <f t="shared" si="880"/>
        <v>6.4491758140071215E-2</v>
      </c>
      <c r="R149" s="321" t="str">
        <f t="shared" si="880"/>
        <v/>
      </c>
      <c r="S149" s="321">
        <f t="shared" si="880"/>
        <v>0.1146234467659399</v>
      </c>
      <c r="T149" s="321" t="str">
        <f t="shared" si="880"/>
        <v/>
      </c>
      <c r="U149" s="321">
        <f t="shared" si="880"/>
        <v>0.13918839051965826</v>
      </c>
      <c r="V149" s="321" t="str">
        <f t="shared" si="880"/>
        <v/>
      </c>
      <c r="W149" s="321">
        <f t="shared" si="880"/>
        <v>0.16313526936210079</v>
      </c>
      <c r="X149" s="321" t="str">
        <f t="shared" si="880"/>
        <v/>
      </c>
      <c r="Y149" s="321">
        <f t="shared" si="880"/>
        <v>0.20244558590632325</v>
      </c>
      <c r="Z149" s="321" t="str">
        <f t="shared" si="880"/>
        <v/>
      </c>
      <c r="AA149" s="321">
        <f t="shared" si="880"/>
        <v>0.26643267561223716</v>
      </c>
      <c r="AB149" s="321" t="str">
        <f t="shared" si="880"/>
        <v/>
      </c>
      <c r="AC149" s="321">
        <f t="shared" si="880"/>
        <v>0.3129128908072582</v>
      </c>
      <c r="AD149" s="321" t="str">
        <f t="shared" si="880"/>
        <v/>
      </c>
      <c r="AE149" s="321">
        <f t="shared" si="880"/>
        <v>0.35521971985243211</v>
      </c>
      <c r="AF149" s="321" t="str">
        <f t="shared" si="880"/>
        <v/>
      </c>
      <c r="AG149" s="321">
        <f t="shared" si="880"/>
        <v>0.39055046494770779</v>
      </c>
      <c r="AH149" s="321" t="str">
        <f t="shared" si="880"/>
        <v/>
      </c>
      <c r="AI149" s="321">
        <f t="shared" si="880"/>
        <v>0.40022233281096736</v>
      </c>
      <c r="AJ149" s="321" t="str">
        <f t="shared" si="880"/>
        <v/>
      </c>
      <c r="AK149" s="321">
        <f t="shared" si="880"/>
        <v>0.40517273761708056</v>
      </c>
      <c r="AL149" s="321" t="str">
        <f t="shared" si="880"/>
        <v/>
      </c>
      <c r="AM149" s="321">
        <f t="shared" si="880"/>
        <v>0.42172392947076015</v>
      </c>
      <c r="AN149" s="321" t="str">
        <f t="shared" si="880"/>
        <v/>
      </c>
      <c r="AO149" s="321">
        <f t="shared" ref="AO149:BT149" si="881">IF(MOD(AO5-$I$5,14)=0, AO6, "")</f>
        <v>0.44850107513083781</v>
      </c>
      <c r="AP149" s="321" t="str">
        <f t="shared" si="881"/>
        <v/>
      </c>
      <c r="AQ149" s="321">
        <f t="shared" si="881"/>
        <v>0.48557969288829339</v>
      </c>
      <c r="AR149" s="321" t="str">
        <f t="shared" si="881"/>
        <v/>
      </c>
      <c r="AS149" s="321">
        <f t="shared" si="881"/>
        <v>0.50402420656869551</v>
      </c>
      <c r="AT149" s="321" t="str">
        <f t="shared" si="881"/>
        <v/>
      </c>
      <c r="AU149" s="321">
        <f t="shared" si="881"/>
        <v>0.53319567765529641</v>
      </c>
      <c r="AV149" s="321" t="str">
        <f t="shared" si="881"/>
        <v/>
      </c>
      <c r="AW149" s="321">
        <f t="shared" si="881"/>
        <v>0.55384079721710877</v>
      </c>
      <c r="AX149" s="321" t="str">
        <f t="shared" si="881"/>
        <v/>
      </c>
      <c r="AY149" s="321">
        <f t="shared" si="881"/>
        <v>0.5678734066993717</v>
      </c>
      <c r="AZ149" s="321" t="str">
        <f t="shared" si="881"/>
        <v/>
      </c>
      <c r="BA149" s="321">
        <f t="shared" si="881"/>
        <v>0.59171744695428674</v>
      </c>
      <c r="BB149" s="321" t="str">
        <f t="shared" si="881"/>
        <v/>
      </c>
      <c r="BC149" s="321">
        <f t="shared" si="881"/>
        <v>0.61691402902776593</v>
      </c>
      <c r="BD149" s="321" t="str">
        <f t="shared" si="881"/>
        <v/>
      </c>
      <c r="BE149" s="321">
        <f t="shared" si="881"/>
        <v>0.64025716391163345</v>
      </c>
      <c r="BF149" s="321" t="str">
        <f t="shared" si="881"/>
        <v/>
      </c>
      <c r="BG149" s="321">
        <f t="shared" si="881"/>
        <v>0.65979008450735477</v>
      </c>
      <c r="BH149" s="321" t="str">
        <f t="shared" si="881"/>
        <v/>
      </c>
      <c r="BI149" s="321">
        <f t="shared" si="881"/>
        <v>0.68715882876783518</v>
      </c>
      <c r="BJ149" s="321" t="str">
        <f t="shared" si="881"/>
        <v/>
      </c>
      <c r="BK149" s="321">
        <f t="shared" si="881"/>
        <v>0.70757587803208832</v>
      </c>
      <c r="BL149" s="321" t="str">
        <f t="shared" si="881"/>
        <v/>
      </c>
      <c r="BM149" s="321">
        <f t="shared" si="881"/>
        <v>0.7218657760917162</v>
      </c>
      <c r="BN149" s="321" t="str">
        <f t="shared" si="881"/>
        <v/>
      </c>
      <c r="BO149" s="321">
        <f t="shared" si="881"/>
        <v>0.73299968309583019</v>
      </c>
      <c r="BP149" s="321" t="str">
        <f t="shared" si="881"/>
        <v/>
      </c>
      <c r="BQ149" s="321">
        <f t="shared" si="881"/>
        <v>0.74502624318891664</v>
      </c>
      <c r="BR149" s="321" t="str">
        <f t="shared" si="881"/>
        <v/>
      </c>
      <c r="BS149" s="321">
        <f t="shared" si="881"/>
        <v>0.75620971770143919</v>
      </c>
      <c r="BT149" s="321" t="str">
        <f t="shared" si="881"/>
        <v/>
      </c>
      <c r="BU149" s="321">
        <f t="shared" ref="BU149:DE149" si="882">IF(MOD(BU5-$I$5,14)=0, BU6, "")</f>
        <v>0.77585898361926176</v>
      </c>
      <c r="BV149" s="321" t="str">
        <f t="shared" si="882"/>
        <v/>
      </c>
      <c r="BW149" s="321">
        <f t="shared" si="882"/>
        <v>0.79449292446039321</v>
      </c>
      <c r="BX149" s="321" t="str">
        <f t="shared" si="882"/>
        <v/>
      </c>
      <c r="BY149" s="321">
        <f t="shared" si="882"/>
        <v>0.8004229342151411</v>
      </c>
      <c r="BZ149" s="321" t="str">
        <f t="shared" si="882"/>
        <v/>
      </c>
      <c r="CA149" s="321">
        <f t="shared" si="882"/>
        <v>0.80321760494652195</v>
      </c>
      <c r="CB149" s="321" t="str">
        <f t="shared" si="882"/>
        <v/>
      </c>
      <c r="CC149" s="321">
        <f t="shared" si="882"/>
        <v>0.82271072897239161</v>
      </c>
      <c r="CD149" s="321" t="str">
        <f t="shared" si="882"/>
        <v/>
      </c>
      <c r="CE149" s="321">
        <f t="shared" si="882"/>
        <v>0.83165873973535809</v>
      </c>
      <c r="CF149" s="321" t="str">
        <f t="shared" si="882"/>
        <v/>
      </c>
      <c r="CG149" s="321">
        <f t="shared" si="882"/>
        <v>0.8354534249540706</v>
      </c>
      <c r="CH149" s="321" t="str">
        <f t="shared" si="882"/>
        <v/>
      </c>
      <c r="CI149" s="321">
        <f t="shared" si="882"/>
        <v>0.83652905544202105</v>
      </c>
      <c r="CJ149" s="321" t="str">
        <f t="shared" si="882"/>
        <v/>
      </c>
      <c r="CK149" s="321">
        <f t="shared" si="882"/>
        <v>0.83656399909216406</v>
      </c>
      <c r="CL149" s="321" t="str">
        <f t="shared" si="882"/>
        <v/>
      </c>
      <c r="CM149" s="321">
        <f t="shared" si="882"/>
        <v>0.83785093815723466</v>
      </c>
      <c r="CN149" s="321" t="str">
        <f t="shared" si="882"/>
        <v/>
      </c>
      <c r="CO149" s="321">
        <f t="shared" si="882"/>
        <v>0.83868886207226168</v>
      </c>
      <c r="CP149" s="321" t="str">
        <f t="shared" si="882"/>
        <v/>
      </c>
      <c r="CQ149" s="321">
        <f t="shared" si="882"/>
        <v>0.8392865433590162</v>
      </c>
      <c r="CR149" s="321" t="str">
        <f t="shared" si="882"/>
        <v/>
      </c>
      <c r="CS149" s="321">
        <f t="shared" si="882"/>
        <v>0.84362316423153705</v>
      </c>
      <c r="CT149" s="321" t="str">
        <f t="shared" si="882"/>
        <v/>
      </c>
      <c r="CU149" s="321">
        <f t="shared" si="882"/>
        <v>0.84619147490380187</v>
      </c>
      <c r="CV149" s="321" t="str">
        <f t="shared" si="882"/>
        <v/>
      </c>
      <c r="CW149" s="321">
        <f t="shared" si="882"/>
        <v>0.84668551793408497</v>
      </c>
      <c r="CX149" s="321" t="str">
        <f t="shared" si="882"/>
        <v/>
      </c>
      <c r="CY149" s="321">
        <f t="shared" si="882"/>
        <v>0.84869916048592864</v>
      </c>
      <c r="CZ149" s="321" t="str">
        <f t="shared" si="882"/>
        <v/>
      </c>
      <c r="DA149" s="321">
        <f t="shared" si="882"/>
        <v>0.85002709617708627</v>
      </c>
      <c r="DB149" s="321" t="str">
        <f t="shared" si="882"/>
        <v/>
      </c>
      <c r="DC149" s="321">
        <f t="shared" si="882"/>
        <v>0.85127516806613279</v>
      </c>
      <c r="DD149" s="321" t="str">
        <f t="shared" si="882"/>
        <v/>
      </c>
      <c r="DE149" s="321">
        <f t="shared" si="882"/>
        <v>0.86158882528271385</v>
      </c>
      <c r="DF149" s="321" t="str">
        <f t="shared" ref="DF149:DG149" si="883">IF(MOD(DF5-$I$5,14)=0, DF6, "")</f>
        <v/>
      </c>
      <c r="DG149" s="321">
        <f t="shared" si="883"/>
        <v>0.86222296965919054</v>
      </c>
      <c r="DH149" s="321" t="str">
        <f t="shared" ref="DH149:DJ149" si="884">IF(MOD(DH5-$I$5,14)=0, DH6, "")</f>
        <v/>
      </c>
      <c r="DI149" s="321">
        <f t="shared" si="884"/>
        <v>0.86351524994197115</v>
      </c>
      <c r="DJ149" s="321" t="str">
        <f t="shared" si="884"/>
        <v/>
      </c>
    </row>
    <row r="150" spans="2:114" ht="18" customHeight="1" outlineLevel="1" x14ac:dyDescent="0.3">
      <c r="B150" s="320"/>
      <c r="C150" s="317" t="s">
        <v>438</v>
      </c>
      <c r="D150" s="320"/>
      <c r="E150" s="320"/>
      <c r="F150" s="234"/>
      <c r="G150" s="234"/>
      <c r="H150" s="55"/>
      <c r="I150" s="321">
        <f t="shared" ref="I150:AN150" si="885">IF(MOD(I5-$I$5,28)=0, I6, "")</f>
        <v>8.7813632965295718E-5</v>
      </c>
      <c r="J150" s="321" t="str">
        <f t="shared" si="885"/>
        <v/>
      </c>
      <c r="K150" s="321" t="str">
        <f t="shared" si="885"/>
        <v/>
      </c>
      <c r="L150" s="321" t="str">
        <f t="shared" si="885"/>
        <v/>
      </c>
      <c r="M150" s="321">
        <f t="shared" si="885"/>
        <v>4.1585334948187752E-3</v>
      </c>
      <c r="N150" s="321" t="str">
        <f t="shared" si="885"/>
        <v/>
      </c>
      <c r="O150" s="321" t="str">
        <f t="shared" si="885"/>
        <v/>
      </c>
      <c r="P150" s="321" t="str">
        <f t="shared" si="885"/>
        <v/>
      </c>
      <c r="Q150" s="321">
        <f t="shared" si="885"/>
        <v>6.4491758140071215E-2</v>
      </c>
      <c r="R150" s="321" t="str">
        <f t="shared" si="885"/>
        <v/>
      </c>
      <c r="S150" s="321" t="str">
        <f t="shared" si="885"/>
        <v/>
      </c>
      <c r="T150" s="321" t="str">
        <f t="shared" si="885"/>
        <v/>
      </c>
      <c r="U150" s="321">
        <f t="shared" si="885"/>
        <v>0.13918839051965826</v>
      </c>
      <c r="V150" s="321" t="str">
        <f t="shared" si="885"/>
        <v/>
      </c>
      <c r="W150" s="321" t="str">
        <f t="shared" si="885"/>
        <v/>
      </c>
      <c r="X150" s="321" t="str">
        <f t="shared" si="885"/>
        <v/>
      </c>
      <c r="Y150" s="321">
        <f t="shared" si="885"/>
        <v>0.20244558590632325</v>
      </c>
      <c r="Z150" s="321" t="str">
        <f t="shared" si="885"/>
        <v/>
      </c>
      <c r="AA150" s="321" t="str">
        <f t="shared" si="885"/>
        <v/>
      </c>
      <c r="AB150" s="321" t="str">
        <f t="shared" si="885"/>
        <v/>
      </c>
      <c r="AC150" s="321">
        <f t="shared" si="885"/>
        <v>0.3129128908072582</v>
      </c>
      <c r="AD150" s="321" t="str">
        <f t="shared" si="885"/>
        <v/>
      </c>
      <c r="AE150" s="321" t="str">
        <f t="shared" si="885"/>
        <v/>
      </c>
      <c r="AF150" s="321" t="str">
        <f t="shared" si="885"/>
        <v/>
      </c>
      <c r="AG150" s="321">
        <f t="shared" si="885"/>
        <v>0.39055046494770779</v>
      </c>
      <c r="AH150" s="321" t="str">
        <f t="shared" si="885"/>
        <v/>
      </c>
      <c r="AI150" s="321" t="str">
        <f t="shared" si="885"/>
        <v/>
      </c>
      <c r="AJ150" s="321" t="str">
        <f t="shared" si="885"/>
        <v/>
      </c>
      <c r="AK150" s="321">
        <f t="shared" si="885"/>
        <v>0.40517273761708056</v>
      </c>
      <c r="AL150" s="321" t="str">
        <f t="shared" si="885"/>
        <v/>
      </c>
      <c r="AM150" s="321" t="str">
        <f t="shared" si="885"/>
        <v/>
      </c>
      <c r="AN150" s="321" t="str">
        <f t="shared" si="885"/>
        <v/>
      </c>
      <c r="AO150" s="321">
        <f t="shared" ref="AO150:BT150" si="886">IF(MOD(AO5-$I$5,28)=0, AO6, "")</f>
        <v>0.44850107513083781</v>
      </c>
      <c r="AP150" s="321" t="str">
        <f t="shared" si="886"/>
        <v/>
      </c>
      <c r="AQ150" s="321" t="str">
        <f t="shared" si="886"/>
        <v/>
      </c>
      <c r="AR150" s="321" t="str">
        <f t="shared" si="886"/>
        <v/>
      </c>
      <c r="AS150" s="321">
        <f t="shared" si="886"/>
        <v>0.50402420656869551</v>
      </c>
      <c r="AT150" s="321" t="str">
        <f t="shared" si="886"/>
        <v/>
      </c>
      <c r="AU150" s="321" t="str">
        <f t="shared" si="886"/>
        <v/>
      </c>
      <c r="AV150" s="321" t="str">
        <f t="shared" si="886"/>
        <v/>
      </c>
      <c r="AW150" s="321">
        <f t="shared" si="886"/>
        <v>0.55384079721710877</v>
      </c>
      <c r="AX150" s="321" t="str">
        <f t="shared" si="886"/>
        <v/>
      </c>
      <c r="AY150" s="321" t="str">
        <f t="shared" si="886"/>
        <v/>
      </c>
      <c r="AZ150" s="321" t="str">
        <f t="shared" si="886"/>
        <v/>
      </c>
      <c r="BA150" s="321">
        <f t="shared" si="886"/>
        <v>0.59171744695428674</v>
      </c>
      <c r="BB150" s="321" t="str">
        <f t="shared" si="886"/>
        <v/>
      </c>
      <c r="BC150" s="321" t="str">
        <f t="shared" si="886"/>
        <v/>
      </c>
      <c r="BD150" s="321" t="str">
        <f t="shared" si="886"/>
        <v/>
      </c>
      <c r="BE150" s="321">
        <f t="shared" si="886"/>
        <v>0.64025716391163345</v>
      </c>
      <c r="BF150" s="321" t="str">
        <f t="shared" si="886"/>
        <v/>
      </c>
      <c r="BG150" s="321" t="str">
        <f t="shared" si="886"/>
        <v/>
      </c>
      <c r="BH150" s="321" t="str">
        <f t="shared" si="886"/>
        <v/>
      </c>
      <c r="BI150" s="321">
        <f t="shared" si="886"/>
        <v>0.68715882876783518</v>
      </c>
      <c r="BJ150" s="321" t="str">
        <f t="shared" si="886"/>
        <v/>
      </c>
      <c r="BK150" s="321" t="str">
        <f t="shared" si="886"/>
        <v/>
      </c>
      <c r="BL150" s="321" t="str">
        <f t="shared" si="886"/>
        <v/>
      </c>
      <c r="BM150" s="321">
        <f t="shared" si="886"/>
        <v>0.7218657760917162</v>
      </c>
      <c r="BN150" s="321" t="str">
        <f t="shared" si="886"/>
        <v/>
      </c>
      <c r="BO150" s="321" t="str">
        <f t="shared" si="886"/>
        <v/>
      </c>
      <c r="BP150" s="321" t="str">
        <f t="shared" si="886"/>
        <v/>
      </c>
      <c r="BQ150" s="321">
        <f t="shared" si="886"/>
        <v>0.74502624318891664</v>
      </c>
      <c r="BR150" s="321" t="str">
        <f t="shared" si="886"/>
        <v/>
      </c>
      <c r="BS150" s="321" t="str">
        <f t="shared" si="886"/>
        <v/>
      </c>
      <c r="BT150" s="321" t="str">
        <f t="shared" si="886"/>
        <v/>
      </c>
      <c r="BU150" s="321">
        <f t="shared" ref="BU150:DE150" si="887">IF(MOD(BU5-$I$5,28)=0, BU6, "")</f>
        <v>0.77585898361926176</v>
      </c>
      <c r="BV150" s="321" t="str">
        <f t="shared" si="887"/>
        <v/>
      </c>
      <c r="BW150" s="321" t="str">
        <f t="shared" si="887"/>
        <v/>
      </c>
      <c r="BX150" s="321" t="str">
        <f t="shared" si="887"/>
        <v/>
      </c>
      <c r="BY150" s="321">
        <f t="shared" si="887"/>
        <v>0.8004229342151411</v>
      </c>
      <c r="BZ150" s="321" t="str">
        <f t="shared" si="887"/>
        <v/>
      </c>
      <c r="CA150" s="321" t="str">
        <f t="shared" si="887"/>
        <v/>
      </c>
      <c r="CB150" s="321" t="str">
        <f t="shared" si="887"/>
        <v/>
      </c>
      <c r="CC150" s="321">
        <f t="shared" si="887"/>
        <v>0.82271072897239161</v>
      </c>
      <c r="CD150" s="321" t="str">
        <f t="shared" si="887"/>
        <v/>
      </c>
      <c r="CE150" s="321" t="str">
        <f t="shared" si="887"/>
        <v/>
      </c>
      <c r="CF150" s="321" t="str">
        <f t="shared" si="887"/>
        <v/>
      </c>
      <c r="CG150" s="321">
        <f t="shared" si="887"/>
        <v>0.8354534249540706</v>
      </c>
      <c r="CH150" s="321" t="str">
        <f t="shared" si="887"/>
        <v/>
      </c>
      <c r="CI150" s="321" t="str">
        <f t="shared" si="887"/>
        <v/>
      </c>
      <c r="CJ150" s="321" t="str">
        <f t="shared" si="887"/>
        <v/>
      </c>
      <c r="CK150" s="321">
        <f t="shared" si="887"/>
        <v>0.83656399909216406</v>
      </c>
      <c r="CL150" s="321" t="str">
        <f t="shared" si="887"/>
        <v/>
      </c>
      <c r="CM150" s="321" t="str">
        <f t="shared" si="887"/>
        <v/>
      </c>
      <c r="CN150" s="321" t="str">
        <f t="shared" si="887"/>
        <v/>
      </c>
      <c r="CO150" s="321">
        <f t="shared" si="887"/>
        <v>0.83868886207226168</v>
      </c>
      <c r="CP150" s="321" t="str">
        <f t="shared" si="887"/>
        <v/>
      </c>
      <c r="CQ150" s="321" t="str">
        <f t="shared" si="887"/>
        <v/>
      </c>
      <c r="CR150" s="321" t="str">
        <f t="shared" si="887"/>
        <v/>
      </c>
      <c r="CS150" s="321">
        <f t="shared" si="887"/>
        <v>0.84362316423153705</v>
      </c>
      <c r="CT150" s="321" t="str">
        <f t="shared" si="887"/>
        <v/>
      </c>
      <c r="CU150" s="321" t="str">
        <f t="shared" si="887"/>
        <v/>
      </c>
      <c r="CV150" s="321" t="str">
        <f t="shared" si="887"/>
        <v/>
      </c>
      <c r="CW150" s="321">
        <f t="shared" si="887"/>
        <v>0.84668551793408497</v>
      </c>
      <c r="CX150" s="321" t="str">
        <f t="shared" si="887"/>
        <v/>
      </c>
      <c r="CY150" s="321" t="str">
        <f t="shared" si="887"/>
        <v/>
      </c>
      <c r="CZ150" s="321" t="str">
        <f t="shared" si="887"/>
        <v/>
      </c>
      <c r="DA150" s="321">
        <f t="shared" si="887"/>
        <v>0.85002709617708627</v>
      </c>
      <c r="DB150" s="321" t="str">
        <f t="shared" si="887"/>
        <v/>
      </c>
      <c r="DC150" s="321" t="str">
        <f t="shared" si="887"/>
        <v/>
      </c>
      <c r="DD150" s="321" t="str">
        <f t="shared" si="887"/>
        <v/>
      </c>
      <c r="DE150" s="321">
        <f t="shared" si="887"/>
        <v>0.86158882528271385</v>
      </c>
      <c r="DF150" s="321" t="str">
        <f t="shared" ref="DF150:DG150" si="888">IF(MOD(DF5-$I$5,28)=0, DF6, "")</f>
        <v/>
      </c>
      <c r="DG150" s="321" t="str">
        <f t="shared" si="888"/>
        <v/>
      </c>
      <c r="DH150" s="321" t="str">
        <f t="shared" ref="DH150:DJ150" si="889">IF(MOD(DH5-$I$5,28)=0, DH6, "")</f>
        <v/>
      </c>
      <c r="DI150" s="321">
        <f t="shared" si="889"/>
        <v>0.86351524994197115</v>
      </c>
      <c r="DJ150" s="321" t="str">
        <f t="shared" si="889"/>
        <v/>
      </c>
    </row>
    <row r="151" spans="2:114" ht="18" customHeight="1" outlineLevel="1" x14ac:dyDescent="0.3">
      <c r="B151" s="322"/>
      <c r="C151" s="322" t="s">
        <v>443</v>
      </c>
      <c r="D151" s="322"/>
      <c r="E151" s="322"/>
      <c r="F151" s="322"/>
      <c r="G151" s="322"/>
      <c r="H151" s="55"/>
      <c r="I151" s="321">
        <f t="shared" ref="I151:AN151" si="890">IF(MOD(I5-$I$5,14)=0, I6, NA())</f>
        <v>8.7813632965295718E-5</v>
      </c>
      <c r="J151" s="321" t="e">
        <f t="shared" si="890"/>
        <v>#N/A</v>
      </c>
      <c r="K151" s="321">
        <f t="shared" si="890"/>
        <v>1.3453056290573008E-3</v>
      </c>
      <c r="L151" s="321" t="e">
        <f t="shared" si="890"/>
        <v>#N/A</v>
      </c>
      <c r="M151" s="321">
        <f t="shared" si="890"/>
        <v>4.1585334948187752E-3</v>
      </c>
      <c r="N151" s="321" t="e">
        <f t="shared" si="890"/>
        <v>#N/A</v>
      </c>
      <c r="O151" s="321">
        <f t="shared" si="890"/>
        <v>1.8234166299858048E-2</v>
      </c>
      <c r="P151" s="321" t="e">
        <f t="shared" si="890"/>
        <v>#N/A</v>
      </c>
      <c r="Q151" s="321">
        <f t="shared" si="890"/>
        <v>6.4491758140071215E-2</v>
      </c>
      <c r="R151" s="321" t="e">
        <f t="shared" si="890"/>
        <v>#N/A</v>
      </c>
      <c r="S151" s="321">
        <f t="shared" si="890"/>
        <v>0.1146234467659399</v>
      </c>
      <c r="T151" s="321" t="e">
        <f t="shared" si="890"/>
        <v>#N/A</v>
      </c>
      <c r="U151" s="321">
        <f t="shared" si="890"/>
        <v>0.13918839051965826</v>
      </c>
      <c r="V151" s="321" t="e">
        <f t="shared" si="890"/>
        <v>#N/A</v>
      </c>
      <c r="W151" s="321">
        <f t="shared" si="890"/>
        <v>0.16313526936210079</v>
      </c>
      <c r="X151" s="321" t="e">
        <f t="shared" si="890"/>
        <v>#N/A</v>
      </c>
      <c r="Y151" s="321">
        <f t="shared" si="890"/>
        <v>0.20244558590632325</v>
      </c>
      <c r="Z151" s="321" t="e">
        <f t="shared" si="890"/>
        <v>#N/A</v>
      </c>
      <c r="AA151" s="321">
        <f t="shared" si="890"/>
        <v>0.26643267561223716</v>
      </c>
      <c r="AB151" s="321" t="e">
        <f t="shared" si="890"/>
        <v>#N/A</v>
      </c>
      <c r="AC151" s="321">
        <f t="shared" si="890"/>
        <v>0.3129128908072582</v>
      </c>
      <c r="AD151" s="321" t="e">
        <f t="shared" si="890"/>
        <v>#N/A</v>
      </c>
      <c r="AE151" s="321">
        <f t="shared" si="890"/>
        <v>0.35521971985243211</v>
      </c>
      <c r="AF151" s="321" t="e">
        <f t="shared" si="890"/>
        <v>#N/A</v>
      </c>
      <c r="AG151" s="321">
        <f t="shared" si="890"/>
        <v>0.39055046494770779</v>
      </c>
      <c r="AH151" s="321" t="e">
        <f t="shared" si="890"/>
        <v>#N/A</v>
      </c>
      <c r="AI151" s="321">
        <f t="shared" si="890"/>
        <v>0.40022233281096736</v>
      </c>
      <c r="AJ151" s="321" t="e">
        <f t="shared" si="890"/>
        <v>#N/A</v>
      </c>
      <c r="AK151" s="321">
        <f t="shared" si="890"/>
        <v>0.40517273761708056</v>
      </c>
      <c r="AL151" s="321" t="e">
        <f t="shared" si="890"/>
        <v>#N/A</v>
      </c>
      <c r="AM151" s="321">
        <f t="shared" si="890"/>
        <v>0.42172392947076015</v>
      </c>
      <c r="AN151" s="321" t="e">
        <f t="shared" si="890"/>
        <v>#N/A</v>
      </c>
      <c r="AO151" s="321">
        <f t="shared" ref="AO151:BT151" si="891">IF(MOD(AO5-$I$5,14)=0, AO6, NA())</f>
        <v>0.44850107513083781</v>
      </c>
      <c r="AP151" s="321" t="e">
        <f t="shared" si="891"/>
        <v>#N/A</v>
      </c>
      <c r="AQ151" s="321">
        <f t="shared" si="891"/>
        <v>0.48557969288829339</v>
      </c>
      <c r="AR151" s="321" t="e">
        <f t="shared" si="891"/>
        <v>#N/A</v>
      </c>
      <c r="AS151" s="321">
        <f t="shared" si="891"/>
        <v>0.50402420656869551</v>
      </c>
      <c r="AT151" s="321" t="e">
        <f t="shared" si="891"/>
        <v>#N/A</v>
      </c>
      <c r="AU151" s="321">
        <f t="shared" si="891"/>
        <v>0.53319567765529641</v>
      </c>
      <c r="AV151" s="321" t="e">
        <f t="shared" si="891"/>
        <v>#N/A</v>
      </c>
      <c r="AW151" s="321">
        <f t="shared" si="891"/>
        <v>0.55384079721710877</v>
      </c>
      <c r="AX151" s="321" t="e">
        <f t="shared" si="891"/>
        <v>#N/A</v>
      </c>
      <c r="AY151" s="321">
        <f t="shared" si="891"/>
        <v>0.5678734066993717</v>
      </c>
      <c r="AZ151" s="321" t="e">
        <f t="shared" si="891"/>
        <v>#N/A</v>
      </c>
      <c r="BA151" s="321">
        <f t="shared" si="891"/>
        <v>0.59171744695428674</v>
      </c>
      <c r="BB151" s="321" t="e">
        <f t="shared" si="891"/>
        <v>#N/A</v>
      </c>
      <c r="BC151" s="321">
        <f t="shared" si="891"/>
        <v>0.61691402902776593</v>
      </c>
      <c r="BD151" s="321" t="e">
        <f t="shared" si="891"/>
        <v>#N/A</v>
      </c>
      <c r="BE151" s="321">
        <f t="shared" si="891"/>
        <v>0.64025716391163345</v>
      </c>
      <c r="BF151" s="321" t="e">
        <f t="shared" si="891"/>
        <v>#N/A</v>
      </c>
      <c r="BG151" s="321">
        <f t="shared" si="891"/>
        <v>0.65979008450735477</v>
      </c>
      <c r="BH151" s="321" t="e">
        <f t="shared" si="891"/>
        <v>#N/A</v>
      </c>
      <c r="BI151" s="321">
        <f t="shared" si="891"/>
        <v>0.68715882876783518</v>
      </c>
      <c r="BJ151" s="321" t="e">
        <f t="shared" si="891"/>
        <v>#N/A</v>
      </c>
      <c r="BK151" s="321">
        <f t="shared" si="891"/>
        <v>0.70757587803208832</v>
      </c>
      <c r="BL151" s="321" t="e">
        <f t="shared" si="891"/>
        <v>#N/A</v>
      </c>
      <c r="BM151" s="321">
        <f t="shared" si="891"/>
        <v>0.7218657760917162</v>
      </c>
      <c r="BN151" s="321" t="e">
        <f t="shared" si="891"/>
        <v>#N/A</v>
      </c>
      <c r="BO151" s="321">
        <f t="shared" si="891"/>
        <v>0.73299968309583019</v>
      </c>
      <c r="BP151" s="321" t="e">
        <f t="shared" si="891"/>
        <v>#N/A</v>
      </c>
      <c r="BQ151" s="321">
        <f t="shared" si="891"/>
        <v>0.74502624318891664</v>
      </c>
      <c r="BR151" s="321" t="e">
        <f t="shared" si="891"/>
        <v>#N/A</v>
      </c>
      <c r="BS151" s="321">
        <f t="shared" si="891"/>
        <v>0.75620971770143919</v>
      </c>
      <c r="BT151" s="321" t="e">
        <f t="shared" si="891"/>
        <v>#N/A</v>
      </c>
      <c r="BU151" s="321">
        <f t="shared" ref="BU151:DE151" si="892">IF(MOD(BU5-$I$5,14)=0, BU6, NA())</f>
        <v>0.77585898361926176</v>
      </c>
      <c r="BV151" s="321" t="e">
        <f t="shared" si="892"/>
        <v>#N/A</v>
      </c>
      <c r="BW151" s="321">
        <f t="shared" si="892"/>
        <v>0.79449292446039321</v>
      </c>
      <c r="BX151" s="321" t="e">
        <f t="shared" si="892"/>
        <v>#N/A</v>
      </c>
      <c r="BY151" s="321">
        <f t="shared" si="892"/>
        <v>0.8004229342151411</v>
      </c>
      <c r="BZ151" s="321" t="e">
        <f t="shared" si="892"/>
        <v>#N/A</v>
      </c>
      <c r="CA151" s="321">
        <f t="shared" si="892"/>
        <v>0.80321760494652195</v>
      </c>
      <c r="CB151" s="321" t="e">
        <f t="shared" si="892"/>
        <v>#N/A</v>
      </c>
      <c r="CC151" s="321">
        <f t="shared" si="892"/>
        <v>0.82271072897239161</v>
      </c>
      <c r="CD151" s="321" t="e">
        <f t="shared" si="892"/>
        <v>#N/A</v>
      </c>
      <c r="CE151" s="321">
        <f t="shared" si="892"/>
        <v>0.83165873973535809</v>
      </c>
      <c r="CF151" s="321" t="e">
        <f t="shared" si="892"/>
        <v>#N/A</v>
      </c>
      <c r="CG151" s="321">
        <f t="shared" si="892"/>
        <v>0.8354534249540706</v>
      </c>
      <c r="CH151" s="321" t="e">
        <f t="shared" si="892"/>
        <v>#N/A</v>
      </c>
      <c r="CI151" s="321">
        <f t="shared" si="892"/>
        <v>0.83652905544202105</v>
      </c>
      <c r="CJ151" s="321" t="e">
        <f t="shared" si="892"/>
        <v>#N/A</v>
      </c>
      <c r="CK151" s="321">
        <f t="shared" si="892"/>
        <v>0.83656399909216406</v>
      </c>
      <c r="CL151" s="321" t="e">
        <f t="shared" si="892"/>
        <v>#N/A</v>
      </c>
      <c r="CM151" s="321">
        <f t="shared" si="892"/>
        <v>0.83785093815723466</v>
      </c>
      <c r="CN151" s="321" t="e">
        <f t="shared" si="892"/>
        <v>#N/A</v>
      </c>
      <c r="CO151" s="321">
        <f t="shared" si="892"/>
        <v>0.83868886207226168</v>
      </c>
      <c r="CP151" s="321" t="e">
        <f t="shared" si="892"/>
        <v>#N/A</v>
      </c>
      <c r="CQ151" s="321">
        <f t="shared" si="892"/>
        <v>0.8392865433590162</v>
      </c>
      <c r="CR151" s="321" t="e">
        <f t="shared" si="892"/>
        <v>#N/A</v>
      </c>
      <c r="CS151" s="321">
        <f t="shared" si="892"/>
        <v>0.84362316423153705</v>
      </c>
      <c r="CT151" s="321" t="e">
        <f t="shared" si="892"/>
        <v>#N/A</v>
      </c>
      <c r="CU151" s="321">
        <f t="shared" si="892"/>
        <v>0.84619147490380187</v>
      </c>
      <c r="CV151" s="321" t="e">
        <f t="shared" si="892"/>
        <v>#N/A</v>
      </c>
      <c r="CW151" s="321">
        <f t="shared" si="892"/>
        <v>0.84668551793408497</v>
      </c>
      <c r="CX151" s="321" t="e">
        <f t="shared" si="892"/>
        <v>#N/A</v>
      </c>
      <c r="CY151" s="321">
        <f t="shared" si="892"/>
        <v>0.84869916048592864</v>
      </c>
      <c r="CZ151" s="321" t="e">
        <f t="shared" si="892"/>
        <v>#N/A</v>
      </c>
      <c r="DA151" s="321">
        <f t="shared" si="892"/>
        <v>0.85002709617708627</v>
      </c>
      <c r="DB151" s="321" t="e">
        <f t="shared" si="892"/>
        <v>#N/A</v>
      </c>
      <c r="DC151" s="321">
        <f t="shared" si="892"/>
        <v>0.85127516806613279</v>
      </c>
      <c r="DD151" s="321" t="e">
        <f t="shared" si="892"/>
        <v>#N/A</v>
      </c>
      <c r="DE151" s="321">
        <f t="shared" si="892"/>
        <v>0.86158882528271385</v>
      </c>
      <c r="DF151" s="321" t="e">
        <f t="shared" ref="DF151:DG151" si="893">IF(MOD(DF5-$I$5,14)=0, DF6, NA())</f>
        <v>#N/A</v>
      </c>
      <c r="DG151" s="321">
        <f t="shared" si="893"/>
        <v>0.86222296965919054</v>
      </c>
      <c r="DH151" s="321" t="e">
        <f t="shared" ref="DH151:DJ151" si="894">IF(MOD(DH5-$I$5,14)=0, DH6, NA())</f>
        <v>#N/A</v>
      </c>
      <c r="DI151" s="321">
        <f t="shared" si="894"/>
        <v>0.86351524994197115</v>
      </c>
      <c r="DJ151" s="321" t="e">
        <f t="shared" si="894"/>
        <v>#N/A</v>
      </c>
    </row>
    <row r="152" spans="2:114" ht="18" customHeight="1" outlineLevel="1" x14ac:dyDescent="0.3">
      <c r="B152" s="322"/>
      <c r="C152" s="322" t="s">
        <v>444</v>
      </c>
      <c r="D152" s="322"/>
      <c r="E152" s="322"/>
      <c r="F152" s="322"/>
      <c r="G152" s="322"/>
      <c r="H152" s="55"/>
      <c r="I152" s="321">
        <f t="shared" ref="I152:AN152" si="895">IF(MOD(I5-$I$5,28)=0, I6, NA())</f>
        <v>8.7813632965295718E-5</v>
      </c>
      <c r="J152" s="321" t="e">
        <f t="shared" si="895"/>
        <v>#N/A</v>
      </c>
      <c r="K152" s="321" t="e">
        <f t="shared" si="895"/>
        <v>#N/A</v>
      </c>
      <c r="L152" s="321" t="e">
        <f t="shared" si="895"/>
        <v>#N/A</v>
      </c>
      <c r="M152" s="321">
        <f t="shared" si="895"/>
        <v>4.1585334948187752E-3</v>
      </c>
      <c r="N152" s="321" t="e">
        <f t="shared" si="895"/>
        <v>#N/A</v>
      </c>
      <c r="O152" s="321" t="e">
        <f t="shared" si="895"/>
        <v>#N/A</v>
      </c>
      <c r="P152" s="321" t="e">
        <f t="shared" si="895"/>
        <v>#N/A</v>
      </c>
      <c r="Q152" s="321">
        <f t="shared" si="895"/>
        <v>6.4491758140071215E-2</v>
      </c>
      <c r="R152" s="321" t="e">
        <f t="shared" si="895"/>
        <v>#N/A</v>
      </c>
      <c r="S152" s="321" t="e">
        <f t="shared" si="895"/>
        <v>#N/A</v>
      </c>
      <c r="T152" s="321" t="e">
        <f t="shared" si="895"/>
        <v>#N/A</v>
      </c>
      <c r="U152" s="321">
        <f t="shared" si="895"/>
        <v>0.13918839051965826</v>
      </c>
      <c r="V152" s="321" t="e">
        <f t="shared" si="895"/>
        <v>#N/A</v>
      </c>
      <c r="W152" s="321" t="e">
        <f t="shared" si="895"/>
        <v>#N/A</v>
      </c>
      <c r="X152" s="321" t="e">
        <f t="shared" si="895"/>
        <v>#N/A</v>
      </c>
      <c r="Y152" s="321">
        <f t="shared" si="895"/>
        <v>0.20244558590632325</v>
      </c>
      <c r="Z152" s="321" t="e">
        <f t="shared" si="895"/>
        <v>#N/A</v>
      </c>
      <c r="AA152" s="321" t="e">
        <f t="shared" si="895"/>
        <v>#N/A</v>
      </c>
      <c r="AB152" s="321" t="e">
        <f t="shared" si="895"/>
        <v>#N/A</v>
      </c>
      <c r="AC152" s="321">
        <f t="shared" si="895"/>
        <v>0.3129128908072582</v>
      </c>
      <c r="AD152" s="321" t="e">
        <f t="shared" si="895"/>
        <v>#N/A</v>
      </c>
      <c r="AE152" s="321" t="e">
        <f t="shared" si="895"/>
        <v>#N/A</v>
      </c>
      <c r="AF152" s="321" t="e">
        <f t="shared" si="895"/>
        <v>#N/A</v>
      </c>
      <c r="AG152" s="321">
        <f t="shared" si="895"/>
        <v>0.39055046494770779</v>
      </c>
      <c r="AH152" s="321" t="e">
        <f t="shared" si="895"/>
        <v>#N/A</v>
      </c>
      <c r="AI152" s="321" t="e">
        <f t="shared" si="895"/>
        <v>#N/A</v>
      </c>
      <c r="AJ152" s="321" t="e">
        <f t="shared" si="895"/>
        <v>#N/A</v>
      </c>
      <c r="AK152" s="321">
        <f t="shared" si="895"/>
        <v>0.40517273761708056</v>
      </c>
      <c r="AL152" s="321" t="e">
        <f t="shared" si="895"/>
        <v>#N/A</v>
      </c>
      <c r="AM152" s="321" t="e">
        <f t="shared" si="895"/>
        <v>#N/A</v>
      </c>
      <c r="AN152" s="321" t="e">
        <f t="shared" si="895"/>
        <v>#N/A</v>
      </c>
      <c r="AO152" s="321">
        <f t="shared" ref="AO152:BT152" si="896">IF(MOD(AO5-$I$5,28)=0, AO6, NA())</f>
        <v>0.44850107513083781</v>
      </c>
      <c r="AP152" s="321" t="e">
        <f t="shared" si="896"/>
        <v>#N/A</v>
      </c>
      <c r="AQ152" s="321" t="e">
        <f t="shared" si="896"/>
        <v>#N/A</v>
      </c>
      <c r="AR152" s="321" t="e">
        <f t="shared" si="896"/>
        <v>#N/A</v>
      </c>
      <c r="AS152" s="321">
        <f t="shared" si="896"/>
        <v>0.50402420656869551</v>
      </c>
      <c r="AT152" s="321" t="e">
        <f t="shared" si="896"/>
        <v>#N/A</v>
      </c>
      <c r="AU152" s="321" t="e">
        <f t="shared" si="896"/>
        <v>#N/A</v>
      </c>
      <c r="AV152" s="321" t="e">
        <f t="shared" si="896"/>
        <v>#N/A</v>
      </c>
      <c r="AW152" s="321">
        <f t="shared" si="896"/>
        <v>0.55384079721710877</v>
      </c>
      <c r="AX152" s="321" t="e">
        <f t="shared" si="896"/>
        <v>#N/A</v>
      </c>
      <c r="AY152" s="321" t="e">
        <f t="shared" si="896"/>
        <v>#N/A</v>
      </c>
      <c r="AZ152" s="321" t="e">
        <f t="shared" si="896"/>
        <v>#N/A</v>
      </c>
      <c r="BA152" s="321">
        <f t="shared" si="896"/>
        <v>0.59171744695428674</v>
      </c>
      <c r="BB152" s="321" t="e">
        <f t="shared" si="896"/>
        <v>#N/A</v>
      </c>
      <c r="BC152" s="321" t="e">
        <f t="shared" si="896"/>
        <v>#N/A</v>
      </c>
      <c r="BD152" s="321" t="e">
        <f t="shared" si="896"/>
        <v>#N/A</v>
      </c>
      <c r="BE152" s="321">
        <f t="shared" si="896"/>
        <v>0.64025716391163345</v>
      </c>
      <c r="BF152" s="321" t="e">
        <f t="shared" si="896"/>
        <v>#N/A</v>
      </c>
      <c r="BG152" s="321" t="e">
        <f t="shared" si="896"/>
        <v>#N/A</v>
      </c>
      <c r="BH152" s="321" t="e">
        <f t="shared" si="896"/>
        <v>#N/A</v>
      </c>
      <c r="BI152" s="321">
        <f t="shared" si="896"/>
        <v>0.68715882876783518</v>
      </c>
      <c r="BJ152" s="321" t="e">
        <f t="shared" si="896"/>
        <v>#N/A</v>
      </c>
      <c r="BK152" s="321" t="e">
        <f t="shared" si="896"/>
        <v>#N/A</v>
      </c>
      <c r="BL152" s="321" t="e">
        <f t="shared" si="896"/>
        <v>#N/A</v>
      </c>
      <c r="BM152" s="321">
        <f t="shared" si="896"/>
        <v>0.7218657760917162</v>
      </c>
      <c r="BN152" s="321" t="e">
        <f t="shared" si="896"/>
        <v>#N/A</v>
      </c>
      <c r="BO152" s="321" t="e">
        <f t="shared" si="896"/>
        <v>#N/A</v>
      </c>
      <c r="BP152" s="321" t="e">
        <f t="shared" si="896"/>
        <v>#N/A</v>
      </c>
      <c r="BQ152" s="321">
        <f t="shared" si="896"/>
        <v>0.74502624318891664</v>
      </c>
      <c r="BR152" s="321" t="e">
        <f t="shared" si="896"/>
        <v>#N/A</v>
      </c>
      <c r="BS152" s="321" t="e">
        <f t="shared" si="896"/>
        <v>#N/A</v>
      </c>
      <c r="BT152" s="321" t="e">
        <f t="shared" si="896"/>
        <v>#N/A</v>
      </c>
      <c r="BU152" s="321">
        <f t="shared" ref="BU152:DE152" si="897">IF(MOD(BU5-$I$5,28)=0, BU6, NA())</f>
        <v>0.77585898361926176</v>
      </c>
      <c r="BV152" s="321" t="e">
        <f t="shared" si="897"/>
        <v>#N/A</v>
      </c>
      <c r="BW152" s="321" t="e">
        <f t="shared" si="897"/>
        <v>#N/A</v>
      </c>
      <c r="BX152" s="321" t="e">
        <f t="shared" si="897"/>
        <v>#N/A</v>
      </c>
      <c r="BY152" s="321">
        <f t="shared" si="897"/>
        <v>0.8004229342151411</v>
      </c>
      <c r="BZ152" s="321" t="e">
        <f t="shared" si="897"/>
        <v>#N/A</v>
      </c>
      <c r="CA152" s="321" t="e">
        <f t="shared" si="897"/>
        <v>#N/A</v>
      </c>
      <c r="CB152" s="321" t="e">
        <f t="shared" si="897"/>
        <v>#N/A</v>
      </c>
      <c r="CC152" s="321">
        <f t="shared" si="897"/>
        <v>0.82271072897239161</v>
      </c>
      <c r="CD152" s="321" t="e">
        <f t="shared" si="897"/>
        <v>#N/A</v>
      </c>
      <c r="CE152" s="321" t="e">
        <f t="shared" si="897"/>
        <v>#N/A</v>
      </c>
      <c r="CF152" s="321" t="e">
        <f t="shared" si="897"/>
        <v>#N/A</v>
      </c>
      <c r="CG152" s="321">
        <f t="shared" si="897"/>
        <v>0.8354534249540706</v>
      </c>
      <c r="CH152" s="321" t="e">
        <f t="shared" si="897"/>
        <v>#N/A</v>
      </c>
      <c r="CI152" s="321" t="e">
        <f t="shared" si="897"/>
        <v>#N/A</v>
      </c>
      <c r="CJ152" s="321" t="e">
        <f t="shared" si="897"/>
        <v>#N/A</v>
      </c>
      <c r="CK152" s="321">
        <f t="shared" si="897"/>
        <v>0.83656399909216406</v>
      </c>
      <c r="CL152" s="321" t="e">
        <f t="shared" si="897"/>
        <v>#N/A</v>
      </c>
      <c r="CM152" s="321" t="e">
        <f t="shared" si="897"/>
        <v>#N/A</v>
      </c>
      <c r="CN152" s="321" t="e">
        <f t="shared" si="897"/>
        <v>#N/A</v>
      </c>
      <c r="CO152" s="321">
        <f t="shared" si="897"/>
        <v>0.83868886207226168</v>
      </c>
      <c r="CP152" s="321" t="e">
        <f t="shared" si="897"/>
        <v>#N/A</v>
      </c>
      <c r="CQ152" s="321" t="e">
        <f t="shared" si="897"/>
        <v>#N/A</v>
      </c>
      <c r="CR152" s="321" t="e">
        <f t="shared" si="897"/>
        <v>#N/A</v>
      </c>
      <c r="CS152" s="321">
        <f t="shared" si="897"/>
        <v>0.84362316423153705</v>
      </c>
      <c r="CT152" s="321" t="e">
        <f t="shared" si="897"/>
        <v>#N/A</v>
      </c>
      <c r="CU152" s="321" t="e">
        <f t="shared" si="897"/>
        <v>#N/A</v>
      </c>
      <c r="CV152" s="321" t="e">
        <f t="shared" si="897"/>
        <v>#N/A</v>
      </c>
      <c r="CW152" s="321">
        <f t="shared" si="897"/>
        <v>0.84668551793408497</v>
      </c>
      <c r="CX152" s="321" t="e">
        <f t="shared" si="897"/>
        <v>#N/A</v>
      </c>
      <c r="CY152" s="321" t="e">
        <f t="shared" si="897"/>
        <v>#N/A</v>
      </c>
      <c r="CZ152" s="321" t="e">
        <f t="shared" si="897"/>
        <v>#N/A</v>
      </c>
      <c r="DA152" s="321">
        <f t="shared" si="897"/>
        <v>0.85002709617708627</v>
      </c>
      <c r="DB152" s="321" t="e">
        <f t="shared" si="897"/>
        <v>#N/A</v>
      </c>
      <c r="DC152" s="321" t="e">
        <f t="shared" si="897"/>
        <v>#N/A</v>
      </c>
      <c r="DD152" s="321" t="e">
        <f t="shared" si="897"/>
        <v>#N/A</v>
      </c>
      <c r="DE152" s="321">
        <f t="shared" si="897"/>
        <v>0.86158882528271385</v>
      </c>
      <c r="DF152" s="321" t="e">
        <f t="shared" ref="DF152:DG152" si="898">IF(MOD(DF5-$I$5,28)=0, DF6, NA())</f>
        <v>#N/A</v>
      </c>
      <c r="DG152" s="321" t="e">
        <f t="shared" si="898"/>
        <v>#N/A</v>
      </c>
      <c r="DH152" s="321" t="e">
        <f t="shared" ref="DH152:DJ152" si="899">IF(MOD(DH5-$I$5,28)=0, DH6, NA())</f>
        <v>#N/A</v>
      </c>
      <c r="DI152" s="321">
        <f t="shared" si="899"/>
        <v>0.86351524994197115</v>
      </c>
      <c r="DJ152" s="321" t="e">
        <f t="shared" si="899"/>
        <v>#N/A</v>
      </c>
    </row>
    <row r="153" spans="2:114" x14ac:dyDescent="0.3">
      <c r="DB153" s="316"/>
      <c r="DC153" s="316"/>
      <c r="DD153" s="316"/>
      <c r="DE153" s="316"/>
    </row>
    <row r="154" spans="2:114" x14ac:dyDescent="0.3">
      <c r="E154"/>
    </row>
    <row r="155" spans="2:114" x14ac:dyDescent="0.3">
      <c r="E155"/>
      <c r="H155" s="287" t="s">
        <v>403</v>
      </c>
      <c r="I155" s="287" t="s">
        <v>405</v>
      </c>
      <c r="J155" s="287" t="s">
        <v>404</v>
      </c>
    </row>
    <row r="156" spans="2:114" ht="16.8" collapsed="1" x14ac:dyDescent="0.3">
      <c r="E156"/>
      <c r="H156" s="288" t="e">
        <f>#REF!</f>
        <v>#REF!</v>
      </c>
      <c r="I156" s="288">
        <f>DC14*G156</f>
        <v>0</v>
      </c>
      <c r="J156" s="288">
        <f t="shared" ref="J156:J173" si="900">G156-I156</f>
        <v>0</v>
      </c>
    </row>
    <row r="157" spans="2:114" ht="15" hidden="1" outlineLevel="1" collapsed="1" x14ac:dyDescent="0.3">
      <c r="E157"/>
      <c r="H157" s="289" t="e">
        <f>#REF!</f>
        <v>#REF!</v>
      </c>
      <c r="I157" s="289">
        <f>DC18*G157</f>
        <v>0</v>
      </c>
      <c r="J157" s="289">
        <f t="shared" si="900"/>
        <v>0</v>
      </c>
    </row>
    <row r="158" spans="2:114" hidden="1" outlineLevel="2" x14ac:dyDescent="0.3">
      <c r="E158"/>
      <c r="H158" s="293">
        <v>0.46</v>
      </c>
      <c r="I158" s="295">
        <f>DC24*G158</f>
        <v>0</v>
      </c>
      <c r="J158" s="295">
        <f t="shared" si="900"/>
        <v>0</v>
      </c>
    </row>
    <row r="159" spans="2:114" ht="15" hidden="1" outlineLevel="1" x14ac:dyDescent="0.3">
      <c r="E159"/>
      <c r="H159" s="292" t="e">
        <f>#REF!</f>
        <v>#REF!</v>
      </c>
      <c r="I159" s="292">
        <f>DC27*G159</f>
        <v>0</v>
      </c>
      <c r="J159" s="292">
        <f t="shared" si="900"/>
        <v>0</v>
      </c>
    </row>
    <row r="160" spans="2:114" hidden="1" outlineLevel="2" x14ac:dyDescent="0.3">
      <c r="E160"/>
      <c r="H160" s="293">
        <v>0.82</v>
      </c>
      <c r="I160" s="295">
        <f t="shared" ref="I160:I173" si="901">H160*G160</f>
        <v>0</v>
      </c>
      <c r="J160" s="295">
        <f t="shared" si="900"/>
        <v>0</v>
      </c>
    </row>
    <row r="161" spans="5:10" hidden="1" outlineLevel="2" x14ac:dyDescent="0.3">
      <c r="E161"/>
      <c r="H161" s="293">
        <v>0.81</v>
      </c>
      <c r="I161" s="295">
        <f t="shared" si="901"/>
        <v>0</v>
      </c>
      <c r="J161" s="295">
        <f t="shared" si="900"/>
        <v>0</v>
      </c>
    </row>
    <row r="162" spans="5:10" ht="15" hidden="1" outlineLevel="1" collapsed="1" x14ac:dyDescent="0.3">
      <c r="E162"/>
      <c r="H162" s="289" t="e">
        <f>#REF!</f>
        <v>#REF!</v>
      </c>
      <c r="I162" s="289" t="e">
        <f t="shared" si="901"/>
        <v>#REF!</v>
      </c>
      <c r="J162" s="289" t="e">
        <f t="shared" si="900"/>
        <v>#REF!</v>
      </c>
    </row>
    <row r="163" spans="5:10" hidden="1" outlineLevel="2" x14ac:dyDescent="0.3">
      <c r="E163"/>
      <c r="H163" s="293">
        <v>0.78625</v>
      </c>
      <c r="I163" s="295">
        <f t="shared" si="901"/>
        <v>0</v>
      </c>
      <c r="J163" s="295">
        <f t="shared" si="900"/>
        <v>0</v>
      </c>
    </row>
    <row r="164" spans="5:10" ht="15" hidden="1" outlineLevel="1" collapsed="1" x14ac:dyDescent="0.3">
      <c r="E164"/>
      <c r="H164" s="289" t="e">
        <f>#REF!</f>
        <v>#REF!</v>
      </c>
      <c r="I164" s="289" t="e">
        <f t="shared" si="901"/>
        <v>#REF!</v>
      </c>
      <c r="J164" s="289" t="e">
        <f t="shared" si="900"/>
        <v>#REF!</v>
      </c>
    </row>
    <row r="165" spans="5:10" hidden="1" outlineLevel="2" x14ac:dyDescent="0.3">
      <c r="E165"/>
      <c r="H165" s="293">
        <v>0.42385714285714299</v>
      </c>
      <c r="I165" s="295">
        <f t="shared" si="901"/>
        <v>0</v>
      </c>
      <c r="J165" s="295">
        <f t="shared" si="900"/>
        <v>0</v>
      </c>
    </row>
    <row r="166" spans="5:10" ht="15" hidden="1" outlineLevel="1" collapsed="1" x14ac:dyDescent="0.3">
      <c r="E166"/>
      <c r="H166" s="289" t="e">
        <f>#REF!</f>
        <v>#REF!</v>
      </c>
      <c r="I166" s="289" t="e">
        <f t="shared" si="901"/>
        <v>#REF!</v>
      </c>
      <c r="J166" s="289" t="e">
        <f t="shared" si="900"/>
        <v>#REF!</v>
      </c>
    </row>
    <row r="167" spans="5:10" hidden="1" outlineLevel="2" x14ac:dyDescent="0.3">
      <c r="E167"/>
      <c r="H167" s="294" t="e">
        <f>#REF!</f>
        <v>#REF!</v>
      </c>
      <c r="I167" s="296" t="e">
        <f t="shared" si="901"/>
        <v>#REF!</v>
      </c>
      <c r="J167" s="296" t="e">
        <f t="shared" si="900"/>
        <v>#REF!</v>
      </c>
    </row>
    <row r="168" spans="5:10" hidden="1" outlineLevel="2" x14ac:dyDescent="0.3">
      <c r="E168"/>
      <c r="H168" s="294" t="e">
        <f>#REF!</f>
        <v>#REF!</v>
      </c>
      <c r="I168" s="296" t="e">
        <f t="shared" si="901"/>
        <v>#REF!</v>
      </c>
      <c r="J168" s="296" t="e">
        <f t="shared" si="900"/>
        <v>#REF!</v>
      </c>
    </row>
    <row r="169" spans="5:10" hidden="1" outlineLevel="2" x14ac:dyDescent="0.3">
      <c r="E169"/>
      <c r="H169" s="294" t="e">
        <f>#REF!</f>
        <v>#REF!</v>
      </c>
      <c r="I169" s="296" t="e">
        <f t="shared" si="901"/>
        <v>#REF!</v>
      </c>
      <c r="J169" s="296" t="e">
        <f t="shared" si="900"/>
        <v>#REF!</v>
      </c>
    </row>
    <row r="170" spans="5:10" ht="15" hidden="1" outlineLevel="1" collapsed="1" x14ac:dyDescent="0.3">
      <c r="E170"/>
      <c r="H170" s="289" t="e">
        <f>#REF!</f>
        <v>#REF!</v>
      </c>
      <c r="I170" s="289" t="e">
        <f t="shared" si="901"/>
        <v>#REF!</v>
      </c>
      <c r="J170" s="289" t="e">
        <f t="shared" si="900"/>
        <v>#REF!</v>
      </c>
    </row>
    <row r="171" spans="5:10" hidden="1" outlineLevel="2" x14ac:dyDescent="0.3">
      <c r="E171"/>
      <c r="H171" s="293">
        <v>0.99746359223300973</v>
      </c>
      <c r="I171" s="295">
        <f t="shared" si="901"/>
        <v>0</v>
      </c>
      <c r="J171" s="295">
        <f t="shared" si="900"/>
        <v>0</v>
      </c>
    </row>
    <row r="172" spans="5:10" hidden="1" outlineLevel="2" x14ac:dyDescent="0.3">
      <c r="E172"/>
      <c r="H172" s="293">
        <v>0.9</v>
      </c>
      <c r="I172" s="295">
        <f t="shared" si="901"/>
        <v>0</v>
      </c>
      <c r="J172" s="295">
        <f t="shared" si="900"/>
        <v>0</v>
      </c>
    </row>
    <row r="173" spans="5:10" hidden="1" outlineLevel="2" x14ac:dyDescent="0.3">
      <c r="E173"/>
      <c r="H173" s="293">
        <v>0.95000000000000018</v>
      </c>
      <c r="I173" s="295">
        <f t="shared" si="901"/>
        <v>0</v>
      </c>
      <c r="J173" s="295">
        <f t="shared" si="900"/>
        <v>0</v>
      </c>
    </row>
    <row r="174" spans="5:10" x14ac:dyDescent="0.3">
      <c r="E174"/>
      <c r="H174" s="297"/>
      <c r="I174" s="144"/>
      <c r="J174" s="144"/>
    </row>
    <row r="175" spans="5:10" x14ac:dyDescent="0.3">
      <c r="E175"/>
      <c r="H175" s="287" t="s">
        <v>403</v>
      </c>
      <c r="I175" s="287" t="s">
        <v>405</v>
      </c>
      <c r="J175" s="287" t="s">
        <v>404</v>
      </c>
    </row>
    <row r="176" spans="5:10" ht="16.8" collapsed="1" x14ac:dyDescent="0.3">
      <c r="E176"/>
      <c r="H176" s="298" t="e">
        <f>#REF!</f>
        <v>#REF!</v>
      </c>
      <c r="I176" s="298">
        <f>DC79*G176</f>
        <v>0</v>
      </c>
      <c r="J176" s="298">
        <f>G176-I176</f>
        <v>0</v>
      </c>
    </row>
    <row r="177" spans="5:10" ht="15" hidden="1" outlineLevel="1" collapsed="1" x14ac:dyDescent="0.3">
      <c r="E177"/>
      <c r="H177" s="289" t="e">
        <f>#REF!</f>
        <v>#REF!</v>
      </c>
      <c r="I177" s="289">
        <f>G177*DC89</f>
        <v>0</v>
      </c>
      <c r="J177" s="289">
        <f>G177-I177</f>
        <v>0</v>
      </c>
    </row>
    <row r="178" spans="5:10" hidden="1" outlineLevel="2" x14ac:dyDescent="0.3">
      <c r="E178"/>
      <c r="H178" s="290" t="e">
        <f>#REF!</f>
        <v>#REF!</v>
      </c>
      <c r="I178" s="290">
        <f>G178*DC90</f>
        <v>0</v>
      </c>
      <c r="J178" s="290">
        <f>G178-I178</f>
        <v>0</v>
      </c>
    </row>
    <row r="179" spans="5:10" ht="15" hidden="1" outlineLevel="1" collapsed="1" x14ac:dyDescent="0.3">
      <c r="E179"/>
      <c r="H179" s="289" t="e">
        <f>#REF!</f>
        <v>#REF!</v>
      </c>
      <c r="I179" s="351">
        <f>DC119*G179</f>
        <v>0</v>
      </c>
      <c r="J179" s="352">
        <f>G179-I179</f>
        <v>0</v>
      </c>
    </row>
    <row r="180" spans="5:10" hidden="1" outlineLevel="2" x14ac:dyDescent="0.3">
      <c r="E180"/>
      <c r="H180" s="290" t="e">
        <f>#REF!</f>
        <v>#REF!</v>
      </c>
      <c r="I180" s="290">
        <f>G180*DC122</f>
        <v>0</v>
      </c>
      <c r="J180" s="290">
        <f>G180-I180</f>
        <v>0</v>
      </c>
    </row>
    <row r="181" spans="5:10" ht="15" hidden="1" outlineLevel="1" collapsed="1" x14ac:dyDescent="0.3">
      <c r="E181"/>
      <c r="H181" s="289" t="e">
        <f>#REF!</f>
        <v>#REF!</v>
      </c>
      <c r="I181" s="289">
        <f>DC123*G181</f>
        <v>0</v>
      </c>
      <c r="J181" s="289">
        <f t="shared" ref="J181:J187" si="902">G181-I181</f>
        <v>0</v>
      </c>
    </row>
    <row r="182" spans="5:10" hidden="1" outlineLevel="2" x14ac:dyDescent="0.3">
      <c r="E182"/>
      <c r="H182" s="291" t="e">
        <f>#REF!</f>
        <v>#REF!</v>
      </c>
      <c r="I182" s="291" t="e">
        <f t="shared" ref="I182:I187" si="903">G182*H182</f>
        <v>#REF!</v>
      </c>
      <c r="J182" s="291" t="e">
        <f t="shared" si="902"/>
        <v>#REF!</v>
      </c>
    </row>
    <row r="183" spans="5:10" hidden="1" outlineLevel="2" x14ac:dyDescent="0.3">
      <c r="E183"/>
      <c r="H183" s="291" t="e">
        <f>#REF!</f>
        <v>#REF!</v>
      </c>
      <c r="I183" s="291" t="e">
        <f t="shared" si="903"/>
        <v>#REF!</v>
      </c>
      <c r="J183" s="291" t="e">
        <f t="shared" si="902"/>
        <v>#REF!</v>
      </c>
    </row>
    <row r="184" spans="5:10" hidden="1" outlineLevel="2" x14ac:dyDescent="0.3">
      <c r="E184"/>
      <c r="H184" s="291" t="e">
        <f>#REF!</f>
        <v>#REF!</v>
      </c>
      <c r="I184" s="291" t="e">
        <f t="shared" si="903"/>
        <v>#REF!</v>
      </c>
      <c r="J184" s="291" t="e">
        <f t="shared" si="902"/>
        <v>#REF!</v>
      </c>
    </row>
    <row r="185" spans="5:10" hidden="1" outlineLevel="2" x14ac:dyDescent="0.3">
      <c r="E185"/>
      <c r="H185" s="291" t="e">
        <f>#REF!</f>
        <v>#REF!</v>
      </c>
      <c r="I185" s="291" t="e">
        <f t="shared" si="903"/>
        <v>#REF!</v>
      </c>
      <c r="J185" s="291" t="e">
        <f t="shared" si="902"/>
        <v>#REF!</v>
      </c>
    </row>
    <row r="186" spans="5:10" hidden="1" outlineLevel="2" x14ac:dyDescent="0.3">
      <c r="E186"/>
      <c r="H186" s="291" t="e">
        <f>#REF!</f>
        <v>#REF!</v>
      </c>
      <c r="I186" s="291" t="e">
        <f t="shared" si="903"/>
        <v>#REF!</v>
      </c>
      <c r="J186" s="291" t="e">
        <f t="shared" si="902"/>
        <v>#REF!</v>
      </c>
    </row>
    <row r="187" spans="5:10" hidden="1" outlineLevel="2" x14ac:dyDescent="0.3">
      <c r="E187"/>
      <c r="H187" s="291" t="e">
        <f>#REF!</f>
        <v>#REF!</v>
      </c>
      <c r="I187" s="291" t="e">
        <f t="shared" si="903"/>
        <v>#REF!</v>
      </c>
      <c r="J187" s="291" t="e">
        <f t="shared" si="902"/>
        <v>#REF!</v>
      </c>
    </row>
    <row r="188" spans="5:10" x14ac:dyDescent="0.3">
      <c r="E188"/>
    </row>
    <row r="191" spans="5:10" x14ac:dyDescent="0.3">
      <c r="E191"/>
    </row>
    <row r="192" spans="5:10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</sheetData>
  <mergeCells count="4">
    <mergeCell ref="B144:G144"/>
    <mergeCell ref="B4:E4"/>
    <mergeCell ref="B146:G146"/>
    <mergeCell ref="B145:G145"/>
  </mergeCells>
  <phoneticPr fontId="1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3951-5300-411F-A71F-5254CCE3091F}">
  <sheetPr>
    <tabColor theme="5" tint="0.79998168889431442"/>
    <outlinePr summaryBelow="0"/>
  </sheetPr>
  <dimension ref="B1:EN144"/>
  <sheetViews>
    <sheetView showGridLines="0" zoomScale="90" zoomScaleNormal="90" workbookViewId="0">
      <pane xSplit="5" ySplit="5" topLeftCell="I6" activePane="bottomRight" state="frozen"/>
      <selection activeCell="E193" sqref="E193"/>
      <selection pane="topRight" activeCell="E193" sqref="E193"/>
      <selection pane="bottomLeft" activeCell="E193" sqref="E193"/>
      <selection pane="bottomRight" activeCell="EI5" sqref="I5:EI5"/>
    </sheetView>
  </sheetViews>
  <sheetFormatPr baseColWidth="10" defaultColWidth="11.44140625" defaultRowHeight="14.4" outlineLevelRow="3" x14ac:dyDescent="0.3"/>
  <cols>
    <col min="1" max="1" width="4.109375" customWidth="1"/>
    <col min="2" max="4" width="5.6640625" customWidth="1"/>
    <col min="5" max="5" width="67.88671875" style="43" customWidth="1"/>
    <col min="6" max="6" width="7" bestFit="1" customWidth="1"/>
    <col min="7" max="7" width="9" customWidth="1"/>
    <col min="8" max="8" width="10.5546875" customWidth="1"/>
    <col min="9" max="9" width="12.33203125" bestFit="1" customWidth="1"/>
    <col min="10" max="10" width="12.6640625" bestFit="1" customWidth="1"/>
    <col min="11" max="11" width="12.33203125" bestFit="1" customWidth="1"/>
    <col min="12" max="14" width="12.6640625" bestFit="1" customWidth="1"/>
    <col min="15" max="16" width="12.33203125" bestFit="1" customWidth="1"/>
    <col min="17" max="19" width="12.6640625" bestFit="1" customWidth="1"/>
    <col min="20" max="20" width="12.33203125" bestFit="1" customWidth="1"/>
    <col min="21" max="22" width="12.6640625" bestFit="1" customWidth="1"/>
    <col min="23" max="23" width="12.33203125" bestFit="1" customWidth="1"/>
    <col min="24" max="25" width="11.88671875" bestFit="1" customWidth="1"/>
    <col min="26" max="26" width="12.33203125" bestFit="1" customWidth="1"/>
    <col min="27" max="27" width="11.88671875" bestFit="1" customWidth="1"/>
    <col min="28" max="28" width="11.33203125" bestFit="1" customWidth="1"/>
    <col min="29" max="29" width="11.6640625" bestFit="1" customWidth="1"/>
    <col min="30" max="30" width="11.88671875" bestFit="1" customWidth="1"/>
    <col min="31" max="32" width="12.33203125" bestFit="1" customWidth="1"/>
    <col min="33" max="33" width="11.88671875" bestFit="1" customWidth="1"/>
    <col min="34" max="36" width="12.33203125" bestFit="1" customWidth="1"/>
    <col min="37" max="37" width="11.88671875" bestFit="1" customWidth="1"/>
    <col min="38" max="39" width="12.33203125" bestFit="1" customWidth="1"/>
    <col min="40" max="40" width="12.6640625" bestFit="1" customWidth="1"/>
    <col min="41" max="42" width="12.33203125" bestFit="1" customWidth="1"/>
    <col min="43" max="44" width="12.6640625" bestFit="1" customWidth="1"/>
    <col min="45" max="46" width="12.33203125" bestFit="1" customWidth="1"/>
    <col min="47" max="47" width="12.6640625" bestFit="1" customWidth="1"/>
    <col min="48" max="48" width="12.33203125" bestFit="1" customWidth="1"/>
    <col min="49" max="49" width="12.6640625" bestFit="1" customWidth="1"/>
    <col min="50" max="51" width="12.33203125" bestFit="1" customWidth="1"/>
    <col min="52" max="53" width="12.6640625" bestFit="1" customWidth="1"/>
    <col min="54" max="54" width="12.33203125" bestFit="1" customWidth="1"/>
  </cols>
  <sheetData>
    <row r="1" spans="2:144" x14ac:dyDescent="0.3">
      <c r="I1" s="5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V1" s="39">
        <f>+SUM(AJ2:AV2)/13</f>
        <v>1.097348331208553E-2</v>
      </c>
    </row>
    <row r="2" spans="2:144" x14ac:dyDescent="0.3">
      <c r="F2" s="445"/>
      <c r="G2" s="445"/>
      <c r="I2" s="39"/>
      <c r="J2" s="39">
        <f t="shared" ref="J2:O2" si="0">+J5-H5</f>
        <v>6.6812110374114548E-4</v>
      </c>
      <c r="K2" s="39">
        <f t="shared" si="0"/>
        <v>1.257491996092005E-3</v>
      </c>
      <c r="L2" s="39">
        <f t="shared" si="0"/>
        <v>2.0755526710447393E-3</v>
      </c>
      <c r="M2" s="39">
        <f t="shared" si="0"/>
        <v>2.8132278657614744E-3</v>
      </c>
      <c r="N2" s="39">
        <f t="shared" si="0"/>
        <v>2.6694198643489259E-3</v>
      </c>
      <c r="O2" s="39">
        <f t="shared" si="0"/>
        <v>1.4075632805039272E-2</v>
      </c>
      <c r="P2" s="39">
        <f>+P5-N5</f>
        <v>3.2596521517465754E-2</v>
      </c>
      <c r="Q2" s="39">
        <f t="shared" ref="Q2:BB2" si="1">+Q5-O5</f>
        <v>4.6257591840213164E-2</v>
      </c>
      <c r="R2" s="39">
        <f t="shared" si="1"/>
        <v>4.0321570467792889E-2</v>
      </c>
      <c r="S2" s="39">
        <f t="shared" si="1"/>
        <v>5.0131688625868684E-2</v>
      </c>
      <c r="T2" s="39">
        <f t="shared" si="1"/>
        <v>4.0877020472340111E-2</v>
      </c>
      <c r="U2" s="39">
        <f t="shared" si="1"/>
        <v>2.4564943753718357E-2</v>
      </c>
      <c r="V2" s="39">
        <f t="shared" si="1"/>
        <v>3.3775095214647624E-2</v>
      </c>
      <c r="W2" s="39">
        <f t="shared" si="1"/>
        <v>2.3946878842442537E-2</v>
      </c>
      <c r="X2" s="39">
        <f t="shared" si="1"/>
        <v>2.4301124778015021E-2</v>
      </c>
      <c r="Y2" s="39">
        <f t="shared" si="1"/>
        <v>3.9310316544222457E-2</v>
      </c>
      <c r="Z2" s="39">
        <f t="shared" si="1"/>
        <v>5.7455383519470965E-2</v>
      </c>
      <c r="AA2" s="39">
        <f>+AA5-Y5</f>
        <v>6.3987089705913908E-2</v>
      </c>
      <c r="AB2" s="39">
        <f t="shared" si="1"/>
        <v>4.8545017235537807E-2</v>
      </c>
      <c r="AC2" s="39">
        <f t="shared" si="1"/>
        <v>4.6480215195021046E-2</v>
      </c>
      <c r="AD2" s="39">
        <f t="shared" si="1"/>
        <v>4.8561314010751422E-2</v>
      </c>
      <c r="AE2" s="39">
        <f t="shared" si="1"/>
        <v>4.230682904517391E-2</v>
      </c>
      <c r="AF2" s="39">
        <f t="shared" si="1"/>
        <v>3.7523810849728778E-2</v>
      </c>
      <c r="AG2" s="39">
        <f t="shared" si="1"/>
        <v>3.5330745095275673E-2</v>
      </c>
      <c r="AH2" s="39">
        <f t="shared" si="1"/>
        <v>3.0852381106082183E-2</v>
      </c>
      <c r="AI2" s="39">
        <f t="shared" si="1"/>
        <v>9.6718678632595756E-3</v>
      </c>
      <c r="AJ2" s="39">
        <f t="shared" ref="AJ2:AU2" si="2">+AJ5-AI5</f>
        <v>0</v>
      </c>
      <c r="AK2" s="39">
        <f t="shared" si="2"/>
        <v>4.9504048061131956E-3</v>
      </c>
      <c r="AL2" s="39">
        <f t="shared" si="2"/>
        <v>9.5951444416459419E-3</v>
      </c>
      <c r="AM2" s="39">
        <f t="shared" si="2"/>
        <v>6.9560474120336502E-3</v>
      </c>
      <c r="AN2" s="39">
        <f t="shared" si="2"/>
        <v>9.0932818459061315E-3</v>
      </c>
      <c r="AO2" s="39">
        <f t="shared" si="2"/>
        <v>1.768386381417153E-2</v>
      </c>
      <c r="AP2" s="39">
        <f t="shared" si="2"/>
        <v>2.3049927532335812E-2</v>
      </c>
      <c r="AQ2" s="39">
        <f t="shared" si="2"/>
        <v>1.4028690225119766E-2</v>
      </c>
      <c r="AR2" s="39">
        <f t="shared" si="2"/>
        <v>1.4618076117433487E-2</v>
      </c>
      <c r="AS2" s="39">
        <f t="shared" si="2"/>
        <v>3.826437562968632E-3</v>
      </c>
      <c r="AT2" s="39">
        <f t="shared" si="2"/>
        <v>2.728664143977233E-2</v>
      </c>
      <c r="AU2" s="39">
        <f t="shared" si="2"/>
        <v>1.8848296468285675E-3</v>
      </c>
      <c r="AV2" s="39">
        <f>+AV5-AU5</f>
        <v>9.6819382127828479E-3</v>
      </c>
      <c r="AW2" s="39">
        <f t="shared" si="1"/>
        <v>2.0645119561812364E-2</v>
      </c>
      <c r="AX2" s="39">
        <f t="shared" si="1"/>
        <v>2.492237940067854E-2</v>
      </c>
      <c r="AY2" s="39">
        <f t="shared" si="1"/>
        <v>1.4032609482262925E-2</v>
      </c>
      <c r="AZ2" s="39">
        <f t="shared" si="1"/>
        <v>1.2318319259582267E-2</v>
      </c>
      <c r="BA2" s="39">
        <f t="shared" si="1"/>
        <v>2.3844040254915044E-2</v>
      </c>
      <c r="BB2" s="39">
        <f t="shared" si="1"/>
        <v>1.7265029457665393E-2</v>
      </c>
      <c r="BC2" s="39">
        <f t="shared" ref="BC2" si="3">+BC5-BA5</f>
        <v>1.2275280311273784E-2</v>
      </c>
      <c r="BD2" s="39">
        <f t="shared" ref="BD2" si="4">+BD5-BB5</f>
        <v>1.4502798924339699E-2</v>
      </c>
      <c r="BE2" s="39">
        <f t="shared" ref="BE2" si="5">+BE5-BC5</f>
        <v>1.6607078503650841E-2</v>
      </c>
      <c r="BF2" s="39">
        <f t="shared" ref="BF2" si="6">+BF5-BD5</f>
        <v>1.7963850956431826E-2</v>
      </c>
      <c r="BG2" s="39">
        <f t="shared" ref="BG2" si="7">+BG5-BE5</f>
        <v>1.8199632391030729E-2</v>
      </c>
      <c r="BH2" s="39">
        <f t="shared" ref="BH2" si="8">+BH5-BF5</f>
        <v>1.7088301188894595E-2</v>
      </c>
      <c r="BI2" s="39">
        <f t="shared" ref="BI2" si="9">+BI5-BG5</f>
        <v>1.5142251554701391E-2</v>
      </c>
      <c r="BJ2" s="39">
        <f t="shared" ref="BJ2" si="10">+BJ5-BH5</f>
        <v>1.5079600101020163E-2</v>
      </c>
      <c r="BK2" s="39">
        <f t="shared" ref="BK2" si="11">+BK5-BI5</f>
        <v>1.657876510680345E-2</v>
      </c>
      <c r="BL2" s="39">
        <f t="shared" ref="BL2" si="12">+BL5-BJ5</f>
        <v>1.788065890060464E-2</v>
      </c>
      <c r="BM2" s="39">
        <f t="shared" ref="BM2" si="13">+BM5-BK5</f>
        <v>1.805777930199004E-2</v>
      </c>
      <c r="BN2" s="39">
        <f t="shared" ref="BN2" si="14">+BN5-BL5</f>
        <v>1.7289423577553364E-2</v>
      </c>
      <c r="BO2" s="39">
        <f t="shared" ref="BO2" si="15">+BO5-BM5</f>
        <v>1.8245071689960479E-2</v>
      </c>
      <c r="BP2" s="39">
        <f t="shared" ref="BP2" si="16">+BP5-BN5</f>
        <v>1.9716141860761427E-2</v>
      </c>
      <c r="BQ2" s="39">
        <f t="shared" ref="BQ2" si="17">+BQ5-BO5</f>
        <v>2.1469879387211344E-2</v>
      </c>
      <c r="BR2" s="39">
        <f t="shared" ref="BR2" si="18">+BR5-BP5</f>
        <v>2.2964713680082682E-2</v>
      </c>
      <c r="BS2" s="39">
        <f t="shared" ref="BS2" si="19">+BS5-BQ5</f>
        <v>2.6096725240610463E-2</v>
      </c>
      <c r="BT2" s="39">
        <f t="shared" ref="BT2" si="20">+BT5-BR5</f>
        <v>3.0277198463612875E-2</v>
      </c>
      <c r="BU2" s="39">
        <f t="shared" ref="BU2" si="21">+BU5-BS5</f>
        <v>3.2165375317696365E-2</v>
      </c>
      <c r="BV2" s="39">
        <f t="shared" ref="BV2" si="22">+BV5-BT5</f>
        <v>3.6106786631961763E-2</v>
      </c>
      <c r="BW2" s="39">
        <f t="shared" ref="BW2" si="23">+BW5-BU5</f>
        <v>3.990260390037903E-2</v>
      </c>
      <c r="BX2" s="39">
        <f t="shared" ref="BX2" si="24">+BX5-BV5</f>
        <v>4.052581721494708E-2</v>
      </c>
      <c r="BY2" s="39">
        <f t="shared" ref="BY2" si="25">+BY5-BW5</f>
        <v>4.3834423854717475E-2</v>
      </c>
      <c r="BZ2" s="39">
        <f t="shared" ref="BZ2" si="26">+BZ5-BX5</f>
        <v>4.7027356056192904E-2</v>
      </c>
      <c r="CA2" s="39">
        <f t="shared" ref="CA2" si="27">+CA5-BY5</f>
        <v>4.4398241781635761E-2</v>
      </c>
      <c r="CB2" s="39">
        <f t="shared" ref="CB2" si="28">+CB5-BZ5</f>
        <v>3.7907485780668937E-2</v>
      </c>
      <c r="CC2" s="39">
        <f t="shared" ref="CC2" si="29">+CC5-CA5</f>
        <v>3.2366843008270973E-2</v>
      </c>
      <c r="CD2" s="39">
        <f t="shared" ref="CD2" si="30">+CD5-CB5</f>
        <v>2.7149858439369123E-2</v>
      </c>
      <c r="CE2" s="39">
        <f t="shared" ref="CE2" si="31">+CE5-CC5</f>
        <v>1.9150171885477296E-2</v>
      </c>
      <c r="CF2" s="39">
        <f t="shared" ref="CF2" si="32">+CF5-CD5</f>
        <v>2.7053260425805803E-2</v>
      </c>
      <c r="CG2" s="39">
        <f t="shared" ref="CG2" si="33">+CG5-CE5</f>
        <v>2.2615513179362501E-2</v>
      </c>
      <c r="CH2" s="39">
        <f t="shared" ref="CH2" si="34">+CH5-CF5</f>
        <v>4.8779930260159921E-3</v>
      </c>
      <c r="CI2" s="39">
        <f t="shared" ref="CI2:CL2" si="35">+CI5-CG5</f>
        <v>1.1176916630941114E-2</v>
      </c>
      <c r="CJ2" s="39">
        <f t="shared" si="35"/>
        <v>9.2054107857314493E-3</v>
      </c>
      <c r="CK2" s="39">
        <f t="shared" si="35"/>
        <v>0</v>
      </c>
      <c r="CL2" s="39">
        <f t="shared" si="35"/>
        <v>0</v>
      </c>
      <c r="CM2" s="39">
        <f t="shared" ref="CM2" si="36">+CM5-CK5</f>
        <v>0</v>
      </c>
      <c r="CN2" s="39">
        <f t="shared" ref="CN2" si="37">+CN5-CL5</f>
        <v>0</v>
      </c>
      <c r="CO2" s="39">
        <f t="shared" ref="CO2" si="38">+CO5-CM5</f>
        <v>0</v>
      </c>
      <c r="CP2" s="39">
        <f t="shared" ref="CP2" si="39">+CP5-CN5</f>
        <v>0</v>
      </c>
      <c r="CQ2" s="39">
        <f t="shared" ref="CQ2" si="40">+CQ5-CO5</f>
        <v>0</v>
      </c>
      <c r="CR2" s="39">
        <f t="shared" ref="CR2" si="41">+CR5-CP5</f>
        <v>0</v>
      </c>
      <c r="CS2" s="39">
        <f t="shared" ref="CS2" si="42">+CS5-CQ5</f>
        <v>0</v>
      </c>
      <c r="CT2" s="39">
        <f t="shared" ref="CT2" si="43">+CT5-CR5</f>
        <v>0</v>
      </c>
      <c r="CU2" s="39">
        <f t="shared" ref="CU2" si="44">+CU5-CS5</f>
        <v>0</v>
      </c>
      <c r="CV2" s="39">
        <f t="shared" ref="CV2:DE2" si="45">+CV5-CT5</f>
        <v>0</v>
      </c>
      <c r="CW2" s="39">
        <f t="shared" si="45"/>
        <v>0</v>
      </c>
      <c r="CX2" s="39">
        <f t="shared" si="45"/>
        <v>0</v>
      </c>
      <c r="CY2" s="39">
        <f t="shared" si="45"/>
        <v>0</v>
      </c>
      <c r="CZ2" s="39">
        <f t="shared" si="45"/>
        <v>0</v>
      </c>
      <c r="DA2" s="39">
        <f t="shared" si="45"/>
        <v>0</v>
      </c>
      <c r="DB2" s="39">
        <f t="shared" si="45"/>
        <v>0</v>
      </c>
      <c r="DC2" s="39">
        <f t="shared" si="45"/>
        <v>0</v>
      </c>
      <c r="DD2" s="39">
        <f t="shared" si="45"/>
        <v>0</v>
      </c>
      <c r="DE2" s="39">
        <f t="shared" si="45"/>
        <v>0</v>
      </c>
    </row>
    <row r="3" spans="2:144" x14ac:dyDescent="0.3">
      <c r="F3" s="437"/>
      <c r="G3" s="437"/>
      <c r="I3" s="336">
        <v>45474</v>
      </c>
      <c r="J3" s="336">
        <f>+I3+7</f>
        <v>45481</v>
      </c>
      <c r="K3" s="336">
        <f>+J3+7</f>
        <v>45488</v>
      </c>
      <c r="L3" s="336">
        <f>+K3+7</f>
        <v>45495</v>
      </c>
      <c r="M3" s="336">
        <f t="shared" ref="M3:BB3" si="46">+L3+7</f>
        <v>45502</v>
      </c>
      <c r="N3" s="337">
        <f t="shared" si="46"/>
        <v>45509</v>
      </c>
      <c r="O3" s="336">
        <f t="shared" si="46"/>
        <v>45516</v>
      </c>
      <c r="P3" s="336">
        <f t="shared" si="46"/>
        <v>45523</v>
      </c>
      <c r="Q3" s="336">
        <f t="shared" si="46"/>
        <v>45530</v>
      </c>
      <c r="R3" s="337">
        <f t="shared" si="46"/>
        <v>45537</v>
      </c>
      <c r="S3" s="336">
        <f t="shared" si="46"/>
        <v>45544</v>
      </c>
      <c r="T3" s="336">
        <f t="shared" si="46"/>
        <v>45551</v>
      </c>
      <c r="U3" s="336">
        <f t="shared" si="46"/>
        <v>45558</v>
      </c>
      <c r="V3" s="337">
        <f t="shared" si="46"/>
        <v>45565</v>
      </c>
      <c r="W3" s="336">
        <f t="shared" si="46"/>
        <v>45572</v>
      </c>
      <c r="X3" s="336">
        <f t="shared" si="46"/>
        <v>45579</v>
      </c>
      <c r="Y3" s="336">
        <f t="shared" si="46"/>
        <v>45586</v>
      </c>
      <c r="Z3" s="336">
        <f t="shared" si="46"/>
        <v>45593</v>
      </c>
      <c r="AA3" s="336">
        <f t="shared" si="46"/>
        <v>45600</v>
      </c>
      <c r="AB3" s="336">
        <f t="shared" si="46"/>
        <v>45607</v>
      </c>
      <c r="AC3" s="336">
        <f t="shared" si="46"/>
        <v>45614</v>
      </c>
      <c r="AD3" s="336">
        <f t="shared" si="46"/>
        <v>45621</v>
      </c>
      <c r="AE3" s="336">
        <f t="shared" si="46"/>
        <v>45628</v>
      </c>
      <c r="AF3" s="336">
        <f t="shared" si="46"/>
        <v>45635</v>
      </c>
      <c r="AG3" s="336">
        <f t="shared" si="46"/>
        <v>45642</v>
      </c>
      <c r="AH3" s="336">
        <f t="shared" si="46"/>
        <v>45649</v>
      </c>
      <c r="AI3" s="336">
        <f t="shared" si="46"/>
        <v>45656</v>
      </c>
      <c r="AJ3" s="336">
        <f t="shared" si="46"/>
        <v>45663</v>
      </c>
      <c r="AK3" s="336">
        <f t="shared" si="46"/>
        <v>45670</v>
      </c>
      <c r="AL3" s="336">
        <f t="shared" si="46"/>
        <v>45677</v>
      </c>
      <c r="AM3" s="336">
        <f>+AL3+7</f>
        <v>45684</v>
      </c>
      <c r="AN3" s="336">
        <f t="shared" si="46"/>
        <v>45691</v>
      </c>
      <c r="AO3" s="336">
        <f t="shared" si="46"/>
        <v>45698</v>
      </c>
      <c r="AP3" s="336">
        <f t="shared" si="46"/>
        <v>45705</v>
      </c>
      <c r="AQ3" s="336">
        <f>+AP3+7</f>
        <v>45712</v>
      </c>
      <c r="AR3" s="336">
        <f t="shared" si="46"/>
        <v>45719</v>
      </c>
      <c r="AS3" s="336">
        <f t="shared" si="46"/>
        <v>45726</v>
      </c>
      <c r="AT3" s="336">
        <f t="shared" si="46"/>
        <v>45733</v>
      </c>
      <c r="AU3" s="336">
        <f t="shared" si="46"/>
        <v>45740</v>
      </c>
      <c r="AV3" s="336">
        <f t="shared" si="46"/>
        <v>45747</v>
      </c>
      <c r="AW3" s="336">
        <f t="shared" si="46"/>
        <v>45754</v>
      </c>
      <c r="AX3" s="336">
        <f t="shared" si="46"/>
        <v>45761</v>
      </c>
      <c r="AY3" s="336">
        <f t="shared" si="46"/>
        <v>45768</v>
      </c>
      <c r="AZ3" s="336">
        <f t="shared" si="46"/>
        <v>45775</v>
      </c>
      <c r="BA3" s="336">
        <f t="shared" si="46"/>
        <v>45782</v>
      </c>
      <c r="BB3" s="336">
        <f t="shared" si="46"/>
        <v>45789</v>
      </c>
      <c r="BC3" s="336">
        <f t="shared" ref="BC3:CE3" si="47">BB3+7</f>
        <v>45796</v>
      </c>
      <c r="BD3" s="336">
        <f t="shared" si="47"/>
        <v>45803</v>
      </c>
      <c r="BE3" s="336">
        <f t="shared" si="47"/>
        <v>45810</v>
      </c>
      <c r="BF3" s="336">
        <f t="shared" si="47"/>
        <v>45817</v>
      </c>
      <c r="BG3" s="336">
        <f t="shared" si="47"/>
        <v>45824</v>
      </c>
      <c r="BH3" s="336">
        <f t="shared" si="47"/>
        <v>45831</v>
      </c>
      <c r="BI3" s="336">
        <f t="shared" si="47"/>
        <v>45838</v>
      </c>
      <c r="BJ3" s="336">
        <f t="shared" si="47"/>
        <v>45845</v>
      </c>
      <c r="BK3" s="336">
        <f t="shared" si="47"/>
        <v>45852</v>
      </c>
      <c r="BL3" s="336">
        <f t="shared" si="47"/>
        <v>45859</v>
      </c>
      <c r="BM3" s="336">
        <f t="shared" si="47"/>
        <v>45866</v>
      </c>
      <c r="BN3" s="336">
        <f t="shared" si="47"/>
        <v>45873</v>
      </c>
      <c r="BO3" s="336">
        <f t="shared" si="47"/>
        <v>45880</v>
      </c>
      <c r="BP3" s="336">
        <f t="shared" si="47"/>
        <v>45887</v>
      </c>
      <c r="BQ3" s="336">
        <f t="shared" si="47"/>
        <v>45894</v>
      </c>
      <c r="BR3" s="336">
        <f t="shared" si="47"/>
        <v>45901</v>
      </c>
      <c r="BS3" s="336">
        <f t="shared" si="47"/>
        <v>45908</v>
      </c>
      <c r="BT3" s="336">
        <f t="shared" si="47"/>
        <v>45915</v>
      </c>
      <c r="BU3" s="336">
        <f t="shared" si="47"/>
        <v>45922</v>
      </c>
      <c r="BV3" s="336">
        <f t="shared" si="47"/>
        <v>45929</v>
      </c>
      <c r="BW3" s="336">
        <f t="shared" si="47"/>
        <v>45936</v>
      </c>
      <c r="BX3" s="336">
        <f t="shared" si="47"/>
        <v>45943</v>
      </c>
      <c r="BY3" s="336">
        <f t="shared" si="47"/>
        <v>45950</v>
      </c>
      <c r="BZ3" s="336">
        <f t="shared" si="47"/>
        <v>45957</v>
      </c>
      <c r="CA3" s="336">
        <f t="shared" si="47"/>
        <v>45964</v>
      </c>
      <c r="CB3" s="336">
        <f t="shared" si="47"/>
        <v>45971</v>
      </c>
      <c r="CC3" s="336">
        <f t="shared" si="47"/>
        <v>45978</v>
      </c>
      <c r="CD3" s="336">
        <f t="shared" si="47"/>
        <v>45985</v>
      </c>
      <c r="CE3" s="336">
        <f t="shared" si="47"/>
        <v>45992</v>
      </c>
      <c r="CF3" s="336">
        <f t="shared" ref="CF3" si="48">CE3+7</f>
        <v>45999</v>
      </c>
      <c r="CG3" s="336">
        <f t="shared" ref="CG3" si="49">CF3+7</f>
        <v>46006</v>
      </c>
      <c r="CH3" s="336">
        <f t="shared" ref="CH3" si="50">CG3+7</f>
        <v>46013</v>
      </c>
      <c r="CI3" s="336">
        <f t="shared" ref="CI3:CL3" si="51">CH3+7</f>
        <v>46020</v>
      </c>
      <c r="CJ3" s="336">
        <f t="shared" si="51"/>
        <v>46027</v>
      </c>
      <c r="CK3" s="336">
        <f t="shared" si="51"/>
        <v>46034</v>
      </c>
      <c r="CL3" s="336">
        <f t="shared" si="51"/>
        <v>46041</v>
      </c>
      <c r="CM3" s="336">
        <f t="shared" ref="CM3" si="52">CL3+7</f>
        <v>46048</v>
      </c>
      <c r="CN3" s="336">
        <f t="shared" ref="CN3" si="53">CM3+7</f>
        <v>46055</v>
      </c>
      <c r="CO3" s="336">
        <f t="shared" ref="CO3" si="54">CN3+7</f>
        <v>46062</v>
      </c>
      <c r="CP3" s="336">
        <f t="shared" ref="CP3" si="55">CO3+7</f>
        <v>46069</v>
      </c>
      <c r="CQ3" s="336">
        <f t="shared" ref="CQ3" si="56">CP3+7</f>
        <v>46076</v>
      </c>
      <c r="CR3" s="336">
        <f t="shared" ref="CR3" si="57">CQ3+7</f>
        <v>46083</v>
      </c>
      <c r="CS3" s="336">
        <f t="shared" ref="CS3" si="58">CR3+7</f>
        <v>46090</v>
      </c>
      <c r="CT3" s="336">
        <f t="shared" ref="CT3" si="59">CS3+7</f>
        <v>46097</v>
      </c>
      <c r="CU3" s="336">
        <f t="shared" ref="CU3" si="60">CT3+7</f>
        <v>46104</v>
      </c>
      <c r="CV3" s="336">
        <f t="shared" ref="CV3:DE3" si="61">CU3+7</f>
        <v>46111</v>
      </c>
      <c r="CW3" s="336">
        <f t="shared" si="61"/>
        <v>46118</v>
      </c>
      <c r="CX3" s="336">
        <f t="shared" si="61"/>
        <v>46125</v>
      </c>
      <c r="CY3" s="336">
        <f t="shared" si="61"/>
        <v>46132</v>
      </c>
      <c r="CZ3" s="336">
        <f t="shared" si="61"/>
        <v>46139</v>
      </c>
      <c r="DA3" s="336">
        <f t="shared" si="61"/>
        <v>46146</v>
      </c>
      <c r="DB3" s="336">
        <f t="shared" si="61"/>
        <v>46153</v>
      </c>
      <c r="DC3" s="336">
        <f t="shared" si="61"/>
        <v>46160</v>
      </c>
      <c r="DD3" s="336">
        <f t="shared" si="61"/>
        <v>46167</v>
      </c>
      <c r="DE3" s="336">
        <f t="shared" si="61"/>
        <v>46174</v>
      </c>
      <c r="DF3" s="336">
        <f t="shared" ref="DF3:EI3" si="62">DE3+7</f>
        <v>46181</v>
      </c>
      <c r="DG3" s="336">
        <f t="shared" si="62"/>
        <v>46188</v>
      </c>
      <c r="DH3" s="336">
        <f t="shared" si="62"/>
        <v>46195</v>
      </c>
      <c r="DI3" s="336">
        <f t="shared" si="62"/>
        <v>46202</v>
      </c>
      <c r="DJ3" s="336">
        <f t="shared" si="62"/>
        <v>46209</v>
      </c>
      <c r="DK3" s="336">
        <f t="shared" si="62"/>
        <v>46216</v>
      </c>
      <c r="DL3" s="336">
        <f t="shared" si="62"/>
        <v>46223</v>
      </c>
      <c r="DM3" s="336">
        <f t="shared" si="62"/>
        <v>46230</v>
      </c>
      <c r="DN3" s="336">
        <f t="shared" si="62"/>
        <v>46237</v>
      </c>
      <c r="DO3" s="336">
        <f t="shared" si="62"/>
        <v>46244</v>
      </c>
      <c r="DP3" s="336">
        <f t="shared" si="62"/>
        <v>46251</v>
      </c>
      <c r="DQ3" s="336">
        <f t="shared" si="62"/>
        <v>46258</v>
      </c>
      <c r="DR3" s="336">
        <f t="shared" si="62"/>
        <v>46265</v>
      </c>
      <c r="DS3" s="336">
        <f t="shared" si="62"/>
        <v>46272</v>
      </c>
      <c r="DT3" s="336">
        <f t="shared" si="62"/>
        <v>46279</v>
      </c>
      <c r="DU3" s="336">
        <f t="shared" si="62"/>
        <v>46286</v>
      </c>
      <c r="DV3" s="336">
        <f t="shared" si="62"/>
        <v>46293</v>
      </c>
      <c r="DW3" s="336">
        <f t="shared" si="62"/>
        <v>46300</v>
      </c>
      <c r="DX3" s="336">
        <f t="shared" si="62"/>
        <v>46307</v>
      </c>
      <c r="DY3" s="336">
        <f t="shared" si="62"/>
        <v>46314</v>
      </c>
      <c r="DZ3" s="336">
        <f t="shared" si="62"/>
        <v>46321</v>
      </c>
      <c r="EA3" s="336">
        <f t="shared" si="62"/>
        <v>46328</v>
      </c>
      <c r="EB3" s="336">
        <f t="shared" si="62"/>
        <v>46335</v>
      </c>
      <c r="EC3" s="336">
        <f t="shared" si="62"/>
        <v>46342</v>
      </c>
      <c r="ED3" s="336">
        <f t="shared" si="62"/>
        <v>46349</v>
      </c>
      <c r="EE3" s="336">
        <f t="shared" si="62"/>
        <v>46356</v>
      </c>
      <c r="EF3" s="336">
        <f t="shared" si="62"/>
        <v>46363</v>
      </c>
      <c r="EG3" s="336">
        <f t="shared" si="62"/>
        <v>46370</v>
      </c>
      <c r="EH3" s="336">
        <f t="shared" si="62"/>
        <v>46377</v>
      </c>
      <c r="EI3" s="336">
        <f t="shared" si="62"/>
        <v>46384</v>
      </c>
      <c r="EJ3" s="235"/>
      <c r="EK3" s="235"/>
      <c r="EL3" s="235"/>
      <c r="EM3" s="235"/>
      <c r="EN3" s="235"/>
    </row>
    <row r="4" spans="2:144" x14ac:dyDescent="0.3">
      <c r="B4" s="44" t="s">
        <v>0</v>
      </c>
      <c r="C4" s="2" t="s">
        <v>1</v>
      </c>
      <c r="D4" s="2" t="s">
        <v>2</v>
      </c>
      <c r="E4" s="45" t="s">
        <v>3</v>
      </c>
      <c r="F4" s="60" t="s">
        <v>7</v>
      </c>
      <c r="G4" s="61" t="s">
        <v>8</v>
      </c>
      <c r="H4" s="60" t="s">
        <v>142</v>
      </c>
      <c r="I4" s="234" t="s">
        <v>255</v>
      </c>
      <c r="J4" s="234" t="s">
        <v>256</v>
      </c>
      <c r="K4" s="234" t="s">
        <v>257</v>
      </c>
      <c r="L4" s="234" t="s">
        <v>258</v>
      </c>
      <c r="M4" s="234" t="s">
        <v>259</v>
      </c>
      <c r="N4" s="234" t="s">
        <v>260</v>
      </c>
      <c r="O4" s="234" t="s">
        <v>261</v>
      </c>
      <c r="P4" s="234" t="s">
        <v>262</v>
      </c>
      <c r="Q4" s="234" t="s">
        <v>263</v>
      </c>
      <c r="R4" s="234" t="s">
        <v>264</v>
      </c>
      <c r="S4" s="234" t="s">
        <v>265</v>
      </c>
      <c r="T4" s="234" t="s">
        <v>266</v>
      </c>
      <c r="U4" s="234" t="s">
        <v>267</v>
      </c>
      <c r="V4" s="234" t="s">
        <v>268</v>
      </c>
      <c r="W4" s="234" t="s">
        <v>269</v>
      </c>
      <c r="X4" s="234" t="s">
        <v>270</v>
      </c>
      <c r="Y4" s="234" t="s">
        <v>271</v>
      </c>
      <c r="Z4" s="234" t="s">
        <v>272</v>
      </c>
      <c r="AA4" s="234" t="s">
        <v>273</v>
      </c>
      <c r="AB4" s="234" t="s">
        <v>274</v>
      </c>
      <c r="AC4" s="234" t="s">
        <v>275</v>
      </c>
      <c r="AD4" s="234" t="s">
        <v>276</v>
      </c>
      <c r="AE4" s="234" t="s">
        <v>277</v>
      </c>
      <c r="AF4" s="234" t="s">
        <v>278</v>
      </c>
      <c r="AG4" s="234" t="s">
        <v>279</v>
      </c>
      <c r="AH4" s="234" t="s">
        <v>280</v>
      </c>
      <c r="AI4" s="234" t="s">
        <v>281</v>
      </c>
      <c r="AJ4" s="234" t="s">
        <v>282</v>
      </c>
      <c r="AK4" s="234" t="s">
        <v>283</v>
      </c>
      <c r="AL4" s="234" t="s">
        <v>284</v>
      </c>
      <c r="AM4" s="234" t="s">
        <v>285</v>
      </c>
      <c r="AN4" s="234" t="s">
        <v>286</v>
      </c>
      <c r="AO4" s="234" t="s">
        <v>287</v>
      </c>
      <c r="AP4" s="234" t="s">
        <v>288</v>
      </c>
      <c r="AQ4" s="234" t="s">
        <v>289</v>
      </c>
      <c r="AR4" s="234" t="s">
        <v>290</v>
      </c>
      <c r="AS4" s="234" t="s">
        <v>291</v>
      </c>
      <c r="AT4" s="234" t="s">
        <v>292</v>
      </c>
      <c r="AU4" s="234" t="s">
        <v>293</v>
      </c>
      <c r="AV4" s="234" t="s">
        <v>294</v>
      </c>
      <c r="AW4" s="234" t="s">
        <v>295</v>
      </c>
      <c r="AX4" s="234" t="s">
        <v>296</v>
      </c>
      <c r="AY4" s="234" t="s">
        <v>297</v>
      </c>
      <c r="AZ4" s="234" t="s">
        <v>298</v>
      </c>
      <c r="BA4" s="234" t="s">
        <v>299</v>
      </c>
      <c r="BB4" s="234" t="s">
        <v>300</v>
      </c>
      <c r="BC4" s="234" t="s">
        <v>301</v>
      </c>
      <c r="BD4" s="234" t="s">
        <v>302</v>
      </c>
      <c r="BE4" s="234" t="s">
        <v>303</v>
      </c>
      <c r="BF4" s="234" t="s">
        <v>304</v>
      </c>
      <c r="BG4" s="234" t="s">
        <v>305</v>
      </c>
      <c r="BH4" s="234" t="s">
        <v>306</v>
      </c>
      <c r="BI4" s="234" t="s">
        <v>307</v>
      </c>
      <c r="BJ4" s="234" t="s">
        <v>308</v>
      </c>
      <c r="BK4" s="234" t="s">
        <v>309</v>
      </c>
      <c r="BL4" s="234" t="s">
        <v>310</v>
      </c>
      <c r="BM4" s="234" t="s">
        <v>311</v>
      </c>
      <c r="BN4" s="234" t="s">
        <v>312</v>
      </c>
      <c r="BO4" s="234" t="s">
        <v>313</v>
      </c>
      <c r="BP4" s="234" t="s">
        <v>314</v>
      </c>
      <c r="BQ4" s="234" t="s">
        <v>315</v>
      </c>
      <c r="BR4" s="234" t="s">
        <v>316</v>
      </c>
      <c r="BS4" s="234" t="s">
        <v>317</v>
      </c>
      <c r="BT4" s="234" t="s">
        <v>318</v>
      </c>
      <c r="BU4" s="234" t="s">
        <v>319</v>
      </c>
      <c r="BV4" s="234" t="s">
        <v>320</v>
      </c>
      <c r="BW4" s="234" t="s">
        <v>321</v>
      </c>
      <c r="BX4" s="234" t="s">
        <v>322</v>
      </c>
      <c r="BY4" s="234" t="s">
        <v>323</v>
      </c>
      <c r="BZ4" s="234" t="s">
        <v>324</v>
      </c>
      <c r="CA4" s="234" t="s">
        <v>325</v>
      </c>
      <c r="CB4" s="234" t="s">
        <v>326</v>
      </c>
      <c r="CC4" s="234" t="s">
        <v>327</v>
      </c>
      <c r="CD4" s="234" t="s">
        <v>328</v>
      </c>
      <c r="CE4" s="234" t="s">
        <v>329</v>
      </c>
      <c r="CF4" s="234" t="s">
        <v>330</v>
      </c>
      <c r="CG4" s="234" t="s">
        <v>333</v>
      </c>
      <c r="CH4" s="234" t="s">
        <v>334</v>
      </c>
      <c r="CI4" s="234" t="s">
        <v>335</v>
      </c>
      <c r="CJ4" s="234" t="s">
        <v>358</v>
      </c>
      <c r="CK4" s="234" t="s">
        <v>359</v>
      </c>
      <c r="CL4" s="234" t="s">
        <v>361</v>
      </c>
      <c r="CM4" s="234" t="s">
        <v>374</v>
      </c>
      <c r="CN4" s="234" t="s">
        <v>375</v>
      </c>
      <c r="CO4" s="234" t="s">
        <v>376</v>
      </c>
      <c r="CP4" s="234" t="s">
        <v>377</v>
      </c>
      <c r="CQ4" s="234" t="s">
        <v>378</v>
      </c>
      <c r="CR4" s="234" t="s">
        <v>379</v>
      </c>
      <c r="CS4" s="234" t="s">
        <v>380</v>
      </c>
      <c r="CT4" s="234" t="s">
        <v>381</v>
      </c>
      <c r="CU4" s="234" t="s">
        <v>382</v>
      </c>
      <c r="CV4" s="234" t="s">
        <v>383</v>
      </c>
      <c r="CW4" s="276" t="s">
        <v>385</v>
      </c>
      <c r="CX4" s="277" t="s">
        <v>388</v>
      </c>
      <c r="CY4" s="277" t="s">
        <v>389</v>
      </c>
      <c r="CZ4" s="277" t="s">
        <v>390</v>
      </c>
      <c r="DA4" s="277" t="s">
        <v>391</v>
      </c>
      <c r="DB4" s="277" t="s">
        <v>387</v>
      </c>
      <c r="DC4" s="277" t="s">
        <v>392</v>
      </c>
      <c r="DD4" s="277" t="s">
        <v>393</v>
      </c>
      <c r="DE4" s="326" t="s">
        <v>394</v>
      </c>
      <c r="DF4" s="326" t="s">
        <v>406</v>
      </c>
      <c r="DG4" s="326" t="s">
        <v>407</v>
      </c>
      <c r="DH4" s="326" t="s">
        <v>408</v>
      </c>
      <c r="DI4" s="326" t="s">
        <v>409</v>
      </c>
      <c r="DJ4" s="326" t="s">
        <v>410</v>
      </c>
      <c r="DK4" s="326" t="s">
        <v>411</v>
      </c>
      <c r="DL4" s="326" t="s">
        <v>412</v>
      </c>
      <c r="DM4" s="326" t="s">
        <v>413</v>
      </c>
      <c r="DN4" s="326" t="s">
        <v>414</v>
      </c>
      <c r="DO4" s="326" t="s">
        <v>415</v>
      </c>
      <c r="DP4" s="326" t="s">
        <v>416</v>
      </c>
      <c r="DQ4" s="326" t="s">
        <v>417</v>
      </c>
      <c r="DR4" s="326" t="s">
        <v>418</v>
      </c>
      <c r="DS4" s="326" t="s">
        <v>419</v>
      </c>
      <c r="DT4" s="326" t="s">
        <v>420</v>
      </c>
      <c r="DU4" s="326" t="s">
        <v>421</v>
      </c>
      <c r="DV4" s="326" t="s">
        <v>422</v>
      </c>
      <c r="DW4" s="326" t="s">
        <v>423</v>
      </c>
      <c r="DX4" s="326" t="s">
        <v>424</v>
      </c>
      <c r="DY4" s="326" t="s">
        <v>425</v>
      </c>
      <c r="DZ4" s="326" t="s">
        <v>426</v>
      </c>
      <c r="EA4" s="326" t="s">
        <v>427</v>
      </c>
      <c r="EB4" s="326" t="s">
        <v>428</v>
      </c>
      <c r="EC4" s="326" t="s">
        <v>429</v>
      </c>
      <c r="ED4" s="326" t="s">
        <v>430</v>
      </c>
      <c r="EE4" s="326" t="s">
        <v>431</v>
      </c>
      <c r="EF4" s="326" t="s">
        <v>432</v>
      </c>
      <c r="EG4" s="326" t="s">
        <v>433</v>
      </c>
      <c r="EH4" s="326" t="s">
        <v>434</v>
      </c>
      <c r="EI4" s="326" t="s">
        <v>435</v>
      </c>
    </row>
    <row r="5" spans="2:144" ht="19.2" collapsed="1" x14ac:dyDescent="0.3">
      <c r="B5" s="8" t="s">
        <v>11</v>
      </c>
      <c r="C5" s="9"/>
      <c r="D5" s="9"/>
      <c r="E5" s="46"/>
      <c r="F5" s="12">
        <f>+F6+F13+F78</f>
        <v>2650</v>
      </c>
      <c r="G5" s="14">
        <v>1</v>
      </c>
      <c r="H5" s="47"/>
      <c r="I5" s="121">
        <f>+I6*$G$6+I13*$G$13+I78*$G$78</f>
        <v>8.7813632965295718E-5</v>
      </c>
      <c r="J5" s="122">
        <f>+J6*$G$6+J13*$G$13+J78*$G$78</f>
        <v>6.6812110374114548E-4</v>
      </c>
      <c r="K5" s="122">
        <f t="shared" ref="K5:BB5" si="63">+K6*$G$6+K13*$G$13+K78*$G$78</f>
        <v>1.3453056290573008E-3</v>
      </c>
      <c r="L5" s="122">
        <f t="shared" si="63"/>
        <v>2.743673774785885E-3</v>
      </c>
      <c r="M5" s="123">
        <f t="shared" si="63"/>
        <v>4.1585334948187752E-3</v>
      </c>
      <c r="N5" s="123">
        <f t="shared" si="63"/>
        <v>5.4130936391348109E-3</v>
      </c>
      <c r="O5" s="122">
        <f t="shared" si="63"/>
        <v>1.8234166299858048E-2</v>
      </c>
      <c r="P5" s="122">
        <f t="shared" si="63"/>
        <v>3.8009615156600562E-2</v>
      </c>
      <c r="Q5" s="122">
        <f t="shared" si="63"/>
        <v>6.4491758140071215E-2</v>
      </c>
      <c r="R5" s="122">
        <f t="shared" si="63"/>
        <v>7.8331185624393451E-2</v>
      </c>
      <c r="S5" s="122">
        <f t="shared" si="63"/>
        <v>0.1146234467659399</v>
      </c>
      <c r="T5" s="122">
        <f t="shared" si="63"/>
        <v>0.11920820609673356</v>
      </c>
      <c r="U5" s="122">
        <f t="shared" si="63"/>
        <v>0.13918839051965826</v>
      </c>
      <c r="V5" s="122">
        <f t="shared" si="63"/>
        <v>0.15298330131138119</v>
      </c>
      <c r="W5" s="122">
        <f t="shared" si="63"/>
        <v>0.16313526936210079</v>
      </c>
      <c r="X5" s="122">
        <f t="shared" si="63"/>
        <v>0.17728442608939621</v>
      </c>
      <c r="Y5" s="122">
        <f t="shared" si="63"/>
        <v>0.20244558590632325</v>
      </c>
      <c r="Z5" s="122">
        <f t="shared" si="63"/>
        <v>0.23473980960886717</v>
      </c>
      <c r="AA5" s="122">
        <f t="shared" si="63"/>
        <v>0.26643267561223716</v>
      </c>
      <c r="AB5" s="122">
        <f t="shared" si="63"/>
        <v>0.28328482684440498</v>
      </c>
      <c r="AC5" s="122">
        <f t="shared" si="63"/>
        <v>0.3129128908072582</v>
      </c>
      <c r="AD5" s="122">
        <f t="shared" si="63"/>
        <v>0.3318461408551564</v>
      </c>
      <c r="AE5" s="122">
        <f t="shared" si="63"/>
        <v>0.35521971985243211</v>
      </c>
      <c r="AF5" s="122">
        <f t="shared" si="63"/>
        <v>0.36936995170488518</v>
      </c>
      <c r="AG5" s="122">
        <f t="shared" si="63"/>
        <v>0.39055046494770779</v>
      </c>
      <c r="AH5" s="122">
        <f t="shared" si="63"/>
        <v>0.40022233281096736</v>
      </c>
      <c r="AI5" s="122">
        <f>+AI6*$G$6+AI13*$G$13+AI78*$G$78</f>
        <v>0.40022233281096736</v>
      </c>
      <c r="AJ5" s="122">
        <f>+AJ6*$G$6+AJ13*$G$13+AJ78*$G$78</f>
        <v>0.40022233281096736</v>
      </c>
      <c r="AK5" s="122">
        <f t="shared" si="63"/>
        <v>0.40517273761708056</v>
      </c>
      <c r="AL5" s="122">
        <f t="shared" si="63"/>
        <v>0.4147678820587265</v>
      </c>
      <c r="AM5" s="122">
        <f t="shared" si="63"/>
        <v>0.42172392947076015</v>
      </c>
      <c r="AN5" s="122">
        <f t="shared" si="63"/>
        <v>0.43081721131666628</v>
      </c>
      <c r="AO5" s="122">
        <f t="shared" si="63"/>
        <v>0.44850107513083781</v>
      </c>
      <c r="AP5" s="122">
        <f t="shared" si="63"/>
        <v>0.47155100266317362</v>
      </c>
      <c r="AQ5" s="122">
        <f t="shared" si="63"/>
        <v>0.48557969288829339</v>
      </c>
      <c r="AR5" s="122">
        <f t="shared" si="63"/>
        <v>0.50019776900572688</v>
      </c>
      <c r="AS5" s="122">
        <f t="shared" si="63"/>
        <v>0.50402420656869551</v>
      </c>
      <c r="AT5" s="122">
        <f t="shared" si="63"/>
        <v>0.53131084800846784</v>
      </c>
      <c r="AU5" s="122">
        <f t="shared" si="63"/>
        <v>0.53319567765529641</v>
      </c>
      <c r="AV5" s="122">
        <f t="shared" si="63"/>
        <v>0.54287761586807926</v>
      </c>
      <c r="AW5" s="122">
        <f t="shared" si="63"/>
        <v>0.55384079721710877</v>
      </c>
      <c r="AX5" s="122">
        <f t="shared" si="63"/>
        <v>0.5677999952687578</v>
      </c>
      <c r="AY5" s="122">
        <f t="shared" si="63"/>
        <v>0.5678734066993717</v>
      </c>
      <c r="AZ5" s="122">
        <f t="shared" si="63"/>
        <v>0.58011831452834006</v>
      </c>
      <c r="BA5" s="122">
        <f t="shared" si="63"/>
        <v>0.59171744695428674</v>
      </c>
      <c r="BB5" s="122">
        <f t="shared" si="63"/>
        <v>0.59738334398600546</v>
      </c>
      <c r="BC5" s="122">
        <f t="shared" ref="BC5:CE5" si="64">+BC6*$G$6+BC13*$G$13+BC78*$G$78</f>
        <v>0.60399272726556053</v>
      </c>
      <c r="BD5" s="122">
        <f t="shared" si="64"/>
        <v>0.61188614291034515</v>
      </c>
      <c r="BE5" s="122">
        <f t="shared" si="64"/>
        <v>0.62059980576921137</v>
      </c>
      <c r="BF5" s="122">
        <f t="shared" si="64"/>
        <v>0.62984999386677698</v>
      </c>
      <c r="BG5" s="122">
        <f t="shared" si="64"/>
        <v>0.63879943816024209</v>
      </c>
      <c r="BH5" s="122">
        <f t="shared" si="64"/>
        <v>0.64693829505567158</v>
      </c>
      <c r="BI5" s="122">
        <f t="shared" si="64"/>
        <v>0.65394168971494349</v>
      </c>
      <c r="BJ5" s="122">
        <f t="shared" si="64"/>
        <v>0.66201789515669174</v>
      </c>
      <c r="BK5" s="122">
        <f t="shared" si="64"/>
        <v>0.67052045482174694</v>
      </c>
      <c r="BL5" s="122">
        <f t="shared" si="64"/>
        <v>0.67989855405729638</v>
      </c>
      <c r="BM5" s="122">
        <f t="shared" si="64"/>
        <v>0.68857823412373698</v>
      </c>
      <c r="BN5" s="122">
        <f t="shared" si="64"/>
        <v>0.69718797763484974</v>
      </c>
      <c r="BO5" s="122">
        <f t="shared" si="64"/>
        <v>0.70682330581369746</v>
      </c>
      <c r="BP5" s="122">
        <f t="shared" si="64"/>
        <v>0.71690411949561117</v>
      </c>
      <c r="BQ5" s="122">
        <f t="shared" si="64"/>
        <v>0.7282931852009088</v>
      </c>
      <c r="BR5" s="122">
        <f t="shared" si="64"/>
        <v>0.73986883317569385</v>
      </c>
      <c r="BS5" s="122">
        <f t="shared" si="64"/>
        <v>0.75438991044151926</v>
      </c>
      <c r="BT5" s="122">
        <f t="shared" si="64"/>
        <v>0.77014603163930673</v>
      </c>
      <c r="BU5" s="122">
        <f t="shared" si="64"/>
        <v>0.78655528575921563</v>
      </c>
      <c r="BV5" s="122">
        <f t="shared" si="64"/>
        <v>0.80625281827126849</v>
      </c>
      <c r="BW5" s="122">
        <f t="shared" si="64"/>
        <v>0.82645788965959466</v>
      </c>
      <c r="BX5" s="122">
        <f t="shared" si="64"/>
        <v>0.84677863548621557</v>
      </c>
      <c r="BY5" s="122">
        <f t="shared" si="64"/>
        <v>0.87029231351431213</v>
      </c>
      <c r="BZ5" s="122">
        <f t="shared" si="64"/>
        <v>0.89380599154240847</v>
      </c>
      <c r="CA5" s="122">
        <f t="shared" si="64"/>
        <v>0.91469055529594789</v>
      </c>
      <c r="CB5" s="122">
        <f t="shared" si="64"/>
        <v>0.93171347732307741</v>
      </c>
      <c r="CC5" s="122">
        <f t="shared" si="64"/>
        <v>0.94705739830421887</v>
      </c>
      <c r="CD5" s="122">
        <f t="shared" si="64"/>
        <v>0.95886333576244653</v>
      </c>
      <c r="CE5" s="122">
        <f t="shared" si="64"/>
        <v>0.96620757018969616</v>
      </c>
      <c r="CF5" s="122">
        <f t="shared" ref="CF5:CI5" si="65">+CF6*$G$6+CF13*$G$13+CF78*$G$78</f>
        <v>0.98591659618825234</v>
      </c>
      <c r="CG5" s="251">
        <f t="shared" si="65"/>
        <v>0.98882308336905866</v>
      </c>
      <c r="CH5" s="251">
        <f t="shared" si="65"/>
        <v>0.99079458921426833</v>
      </c>
      <c r="CI5" s="251">
        <f t="shared" si="65"/>
        <v>0.99999999999999978</v>
      </c>
      <c r="CJ5" s="251">
        <f t="shared" ref="CJ5:CK5" si="66">+CJ6*$G$6+CJ13*$G$13+CJ78*$G$78</f>
        <v>0.99999999999999978</v>
      </c>
      <c r="CK5" s="251">
        <f t="shared" si="66"/>
        <v>0.99999999999999978</v>
      </c>
      <c r="CL5" s="251">
        <f t="shared" ref="CL5" si="67">+CL6*$G$6+CL13*$G$13+CL78*$G$78</f>
        <v>0.99999999999999978</v>
      </c>
      <c r="CM5" s="251">
        <f t="shared" ref="CM5:CV5" si="68">+CM6*$G$6+CM13*$G$13+CM78*$G$78</f>
        <v>0.99999999999999978</v>
      </c>
      <c r="CN5" s="251">
        <f t="shared" si="68"/>
        <v>0.99999999999999978</v>
      </c>
      <c r="CO5" s="251">
        <f t="shared" si="68"/>
        <v>0.99999999999999978</v>
      </c>
      <c r="CP5" s="251">
        <f t="shared" si="68"/>
        <v>0.99999999999999978</v>
      </c>
      <c r="CQ5" s="251">
        <f t="shared" si="68"/>
        <v>0.99999999999999978</v>
      </c>
      <c r="CR5" s="251">
        <f t="shared" si="68"/>
        <v>0.99999999999999978</v>
      </c>
      <c r="CS5" s="251">
        <f t="shared" si="68"/>
        <v>0.99999999999999978</v>
      </c>
      <c r="CT5" s="251">
        <f t="shared" si="68"/>
        <v>0.99999999999999978</v>
      </c>
      <c r="CU5" s="251">
        <f t="shared" si="68"/>
        <v>0.99999999999999978</v>
      </c>
      <c r="CV5" s="251">
        <f t="shared" si="68"/>
        <v>0.99999999999999978</v>
      </c>
      <c r="CW5" s="251">
        <f t="shared" ref="CW5" si="69">+CW6*$G$6+CW13*$G$13+CW78*$G$78</f>
        <v>0.99999999999999978</v>
      </c>
      <c r="CX5" s="251">
        <f t="shared" ref="CX5:CY5" si="70">+CX6*$G$6+CX13*$G$13+CX78*$G$78</f>
        <v>0.99999999999999978</v>
      </c>
      <c r="CY5" s="251">
        <f t="shared" si="70"/>
        <v>0.99999999999999978</v>
      </c>
      <c r="CZ5" s="251">
        <f t="shared" ref="CZ5:DA5" si="71">+CZ6*$G$6+CZ13*$G$13+CZ78*$G$78</f>
        <v>0.99999999999999978</v>
      </c>
      <c r="DA5" s="251">
        <f t="shared" si="71"/>
        <v>0.99999999999999978</v>
      </c>
      <c r="DB5" s="251">
        <f t="shared" ref="DB5:DC5" si="72">+DB6*$G$6+DB13*$G$13+DB78*$G$78</f>
        <v>0.99999999999999978</v>
      </c>
      <c r="DC5" s="251">
        <f t="shared" si="72"/>
        <v>0.99999999999999978</v>
      </c>
      <c r="DD5" s="251">
        <f t="shared" ref="DD5:DE5" si="73">+DD6*$G$6+DD13*$G$13+DD78*$G$78</f>
        <v>0.99999999999999978</v>
      </c>
      <c r="DE5" s="251">
        <f t="shared" si="73"/>
        <v>0.99999999999999978</v>
      </c>
      <c r="DF5" s="251">
        <f t="shared" ref="DF5:DJ5" si="74">+DF6*$G$6+DF13*$G$13+DF78*$G$78</f>
        <v>0.99999999999999978</v>
      </c>
      <c r="DG5" s="251">
        <f t="shared" si="74"/>
        <v>0.99999999999999978</v>
      </c>
      <c r="DH5" s="251">
        <f t="shared" si="74"/>
        <v>0.99999999999999978</v>
      </c>
      <c r="DI5" s="251">
        <f t="shared" si="74"/>
        <v>0.99999999999999978</v>
      </c>
      <c r="DJ5" s="251">
        <f t="shared" si="74"/>
        <v>0.99999999999999978</v>
      </c>
      <c r="DK5" s="251">
        <f t="shared" ref="DK5:EI5" si="75">+DK6*$G$6+DK13*$G$13+DK78*$G$78</f>
        <v>0.99999999999999978</v>
      </c>
      <c r="DL5" s="251">
        <f t="shared" si="75"/>
        <v>0.99999999999999978</v>
      </c>
      <c r="DM5" s="251">
        <f t="shared" si="75"/>
        <v>0.99999999999999978</v>
      </c>
      <c r="DN5" s="251">
        <f t="shared" si="75"/>
        <v>0.99999999999999978</v>
      </c>
      <c r="DO5" s="251">
        <f t="shared" si="75"/>
        <v>0.99999999999999978</v>
      </c>
      <c r="DP5" s="251">
        <f t="shared" si="75"/>
        <v>0.99999999999999978</v>
      </c>
      <c r="DQ5" s="251">
        <f t="shared" si="75"/>
        <v>0.99999999999999978</v>
      </c>
      <c r="DR5" s="251">
        <f t="shared" si="75"/>
        <v>0.99999999999999978</v>
      </c>
      <c r="DS5" s="251">
        <f t="shared" si="75"/>
        <v>0.99999999999999978</v>
      </c>
      <c r="DT5" s="251">
        <f t="shared" si="75"/>
        <v>0.99999999999999978</v>
      </c>
      <c r="DU5" s="251">
        <f t="shared" si="75"/>
        <v>0.99999999999999978</v>
      </c>
      <c r="DV5" s="251">
        <f t="shared" si="75"/>
        <v>0.99999999999999978</v>
      </c>
      <c r="DW5" s="251">
        <f t="shared" si="75"/>
        <v>0.99999999999999978</v>
      </c>
      <c r="DX5" s="251">
        <f t="shared" si="75"/>
        <v>0.99999999999999978</v>
      </c>
      <c r="DY5" s="251">
        <f t="shared" si="75"/>
        <v>0.99999999999999978</v>
      </c>
      <c r="DZ5" s="251">
        <f t="shared" si="75"/>
        <v>0.99999999999999978</v>
      </c>
      <c r="EA5" s="251">
        <f t="shared" si="75"/>
        <v>0.99999999999999978</v>
      </c>
      <c r="EB5" s="251">
        <f t="shared" si="75"/>
        <v>0.99999999999999978</v>
      </c>
      <c r="EC5" s="251">
        <f t="shared" si="75"/>
        <v>0.99999999999999978</v>
      </c>
      <c r="ED5" s="251">
        <f t="shared" si="75"/>
        <v>0.99999999999999978</v>
      </c>
      <c r="EE5" s="251">
        <f t="shared" si="75"/>
        <v>0.99999999999999978</v>
      </c>
      <c r="EF5" s="251">
        <f t="shared" si="75"/>
        <v>0.99999999999999978</v>
      </c>
      <c r="EG5" s="251">
        <f t="shared" si="75"/>
        <v>0.99999999999999978</v>
      </c>
      <c r="EH5" s="251">
        <f t="shared" si="75"/>
        <v>0.99999999999999978</v>
      </c>
      <c r="EI5" s="251">
        <f t="shared" si="75"/>
        <v>0.99999999999999978</v>
      </c>
    </row>
    <row r="6" spans="2:144" ht="16.8" hidden="1" outlineLevel="1" collapsed="1" x14ac:dyDescent="0.3">
      <c r="B6" s="15"/>
      <c r="C6" s="16" t="s">
        <v>12</v>
      </c>
      <c r="D6" s="16"/>
      <c r="E6" s="48"/>
      <c r="F6" s="19">
        <f>+F7</f>
        <v>87</v>
      </c>
      <c r="G6" s="21">
        <v>9.9999999999999991E-146</v>
      </c>
      <c r="H6" s="49"/>
      <c r="I6" s="124">
        <f>+I7*$G$7</f>
        <v>0</v>
      </c>
      <c r="J6" s="21">
        <f>+J7*$G$7</f>
        <v>0.1310344827586207</v>
      </c>
      <c r="K6" s="21">
        <f t="shared" ref="K6:BV6" si="76">+K7*$G$7</f>
        <v>0.30804597701149428</v>
      </c>
      <c r="L6" s="21">
        <f t="shared" si="76"/>
        <v>0.46206896551724136</v>
      </c>
      <c r="M6" s="63">
        <f t="shared" si="76"/>
        <v>0.66206896551724137</v>
      </c>
      <c r="N6" s="63">
        <f t="shared" si="76"/>
        <v>0.78735632183908055</v>
      </c>
      <c r="O6" s="21">
        <f t="shared" si="76"/>
        <v>1</v>
      </c>
      <c r="P6" s="21">
        <f t="shared" si="76"/>
        <v>1</v>
      </c>
      <c r="Q6" s="21">
        <f t="shared" si="76"/>
        <v>1</v>
      </c>
      <c r="R6" s="21">
        <f t="shared" si="76"/>
        <v>1</v>
      </c>
      <c r="S6" s="21">
        <f t="shared" si="76"/>
        <v>1</v>
      </c>
      <c r="T6" s="21">
        <f t="shared" si="76"/>
        <v>1</v>
      </c>
      <c r="U6" s="21">
        <f t="shared" si="76"/>
        <v>1</v>
      </c>
      <c r="V6" s="21">
        <f t="shared" si="76"/>
        <v>1</v>
      </c>
      <c r="W6" s="21">
        <f t="shared" si="76"/>
        <v>1</v>
      </c>
      <c r="X6" s="21">
        <f t="shared" si="76"/>
        <v>1</v>
      </c>
      <c r="Y6" s="21">
        <f t="shared" si="76"/>
        <v>1</v>
      </c>
      <c r="Z6" s="21">
        <f t="shared" si="76"/>
        <v>1</v>
      </c>
      <c r="AA6" s="21">
        <f t="shared" si="76"/>
        <v>1</v>
      </c>
      <c r="AB6" s="21">
        <f t="shared" si="76"/>
        <v>1</v>
      </c>
      <c r="AC6" s="21">
        <f t="shared" si="76"/>
        <v>1</v>
      </c>
      <c r="AD6" s="21">
        <f t="shared" si="76"/>
        <v>1</v>
      </c>
      <c r="AE6" s="21">
        <f t="shared" si="76"/>
        <v>1</v>
      </c>
      <c r="AF6" s="21">
        <f t="shared" si="76"/>
        <v>1</v>
      </c>
      <c r="AG6" s="21">
        <f t="shared" si="76"/>
        <v>1</v>
      </c>
      <c r="AH6" s="21">
        <f t="shared" si="76"/>
        <v>1</v>
      </c>
      <c r="AI6" s="21">
        <f t="shared" si="76"/>
        <v>1</v>
      </c>
      <c r="AJ6" s="21">
        <f t="shared" si="76"/>
        <v>1</v>
      </c>
      <c r="AK6" s="21">
        <f t="shared" si="76"/>
        <v>1</v>
      </c>
      <c r="AL6" s="21">
        <f t="shared" si="76"/>
        <v>1</v>
      </c>
      <c r="AM6" s="21">
        <f t="shared" si="76"/>
        <v>1</v>
      </c>
      <c r="AN6" s="21">
        <f t="shared" si="76"/>
        <v>1</v>
      </c>
      <c r="AO6" s="21">
        <f t="shared" si="76"/>
        <v>1</v>
      </c>
      <c r="AP6" s="21">
        <f t="shared" si="76"/>
        <v>1</v>
      </c>
      <c r="AQ6" s="21">
        <f t="shared" si="76"/>
        <v>1</v>
      </c>
      <c r="AR6" s="21">
        <f t="shared" si="76"/>
        <v>1</v>
      </c>
      <c r="AS6" s="21">
        <f t="shared" si="76"/>
        <v>1</v>
      </c>
      <c r="AT6" s="21">
        <f t="shared" si="76"/>
        <v>1</v>
      </c>
      <c r="AU6" s="21">
        <f t="shared" si="76"/>
        <v>1</v>
      </c>
      <c r="AV6" s="21">
        <f t="shared" si="76"/>
        <v>1</v>
      </c>
      <c r="AW6" s="21">
        <f t="shared" si="76"/>
        <v>1</v>
      </c>
      <c r="AX6" s="21">
        <f t="shared" si="76"/>
        <v>1</v>
      </c>
      <c r="AY6" s="21">
        <f t="shared" si="76"/>
        <v>1</v>
      </c>
      <c r="AZ6" s="21">
        <f t="shared" si="76"/>
        <v>1</v>
      </c>
      <c r="BA6" s="21">
        <f t="shared" si="76"/>
        <v>1</v>
      </c>
      <c r="BB6" s="21">
        <f t="shared" si="76"/>
        <v>1</v>
      </c>
      <c r="BC6" s="21">
        <f t="shared" si="76"/>
        <v>1</v>
      </c>
      <c r="BD6" s="21">
        <f t="shared" si="76"/>
        <v>1</v>
      </c>
      <c r="BE6" s="21">
        <f t="shared" si="76"/>
        <v>1</v>
      </c>
      <c r="BF6" s="21">
        <f t="shared" si="76"/>
        <v>1</v>
      </c>
      <c r="BG6" s="21">
        <f t="shared" si="76"/>
        <v>1</v>
      </c>
      <c r="BH6" s="21">
        <f t="shared" si="76"/>
        <v>1</v>
      </c>
      <c r="BI6" s="21">
        <f t="shared" si="76"/>
        <v>1</v>
      </c>
      <c r="BJ6" s="21">
        <f t="shared" si="76"/>
        <v>1</v>
      </c>
      <c r="BK6" s="21">
        <f t="shared" si="76"/>
        <v>1</v>
      </c>
      <c r="BL6" s="21">
        <f t="shared" si="76"/>
        <v>1</v>
      </c>
      <c r="BM6" s="21">
        <f t="shared" si="76"/>
        <v>1</v>
      </c>
      <c r="BN6" s="21">
        <f t="shared" si="76"/>
        <v>1</v>
      </c>
      <c r="BO6" s="21">
        <f t="shared" si="76"/>
        <v>1</v>
      </c>
      <c r="BP6" s="21">
        <f t="shared" si="76"/>
        <v>1</v>
      </c>
      <c r="BQ6" s="21">
        <f t="shared" si="76"/>
        <v>1</v>
      </c>
      <c r="BR6" s="21">
        <f t="shared" si="76"/>
        <v>1</v>
      </c>
      <c r="BS6" s="21">
        <f t="shared" si="76"/>
        <v>1</v>
      </c>
      <c r="BT6" s="21">
        <f t="shared" si="76"/>
        <v>1</v>
      </c>
      <c r="BU6" s="21">
        <f t="shared" si="76"/>
        <v>1</v>
      </c>
      <c r="BV6" s="21">
        <f t="shared" si="76"/>
        <v>1</v>
      </c>
      <c r="BW6" s="21">
        <f t="shared" ref="BW6:EH6" si="77">+BW7*$G$7</f>
        <v>1</v>
      </c>
      <c r="BX6" s="21">
        <f t="shared" si="77"/>
        <v>1</v>
      </c>
      <c r="BY6" s="21">
        <f t="shared" si="77"/>
        <v>1</v>
      </c>
      <c r="BZ6" s="21">
        <f t="shared" si="77"/>
        <v>1</v>
      </c>
      <c r="CA6" s="21">
        <f t="shared" si="77"/>
        <v>1</v>
      </c>
      <c r="CB6" s="21">
        <f t="shared" si="77"/>
        <v>1</v>
      </c>
      <c r="CC6" s="21">
        <f t="shared" si="77"/>
        <v>1</v>
      </c>
      <c r="CD6" s="21">
        <f t="shared" si="77"/>
        <v>1</v>
      </c>
      <c r="CE6" s="21">
        <f t="shared" si="77"/>
        <v>1</v>
      </c>
      <c r="CF6" s="21">
        <f t="shared" si="77"/>
        <v>1</v>
      </c>
      <c r="CG6" s="21">
        <f t="shared" si="77"/>
        <v>1</v>
      </c>
      <c r="CH6" s="21">
        <f t="shared" si="77"/>
        <v>1</v>
      </c>
      <c r="CI6" s="21">
        <f t="shared" si="77"/>
        <v>1</v>
      </c>
      <c r="CJ6" s="21">
        <f t="shared" si="77"/>
        <v>1</v>
      </c>
      <c r="CK6" s="21">
        <f t="shared" si="77"/>
        <v>1</v>
      </c>
      <c r="CL6" s="21">
        <f t="shared" si="77"/>
        <v>1</v>
      </c>
      <c r="CM6" s="21">
        <f t="shared" si="77"/>
        <v>1</v>
      </c>
      <c r="CN6" s="21">
        <f t="shared" si="77"/>
        <v>1</v>
      </c>
      <c r="CO6" s="21">
        <f t="shared" si="77"/>
        <v>1</v>
      </c>
      <c r="CP6" s="21">
        <f t="shared" si="77"/>
        <v>1</v>
      </c>
      <c r="CQ6" s="21">
        <f t="shared" si="77"/>
        <v>1</v>
      </c>
      <c r="CR6" s="21">
        <f t="shared" si="77"/>
        <v>1</v>
      </c>
      <c r="CS6" s="21">
        <f t="shared" si="77"/>
        <v>1</v>
      </c>
      <c r="CT6" s="21">
        <f t="shared" si="77"/>
        <v>1</v>
      </c>
      <c r="CU6" s="21">
        <f t="shared" si="77"/>
        <v>1</v>
      </c>
      <c r="CV6" s="21">
        <f t="shared" si="77"/>
        <v>1</v>
      </c>
      <c r="CW6" s="21">
        <f t="shared" si="77"/>
        <v>1</v>
      </c>
      <c r="CX6" s="21">
        <f t="shared" si="77"/>
        <v>1</v>
      </c>
      <c r="CY6" s="21">
        <f t="shared" si="77"/>
        <v>1</v>
      </c>
      <c r="CZ6" s="21">
        <f t="shared" si="77"/>
        <v>1</v>
      </c>
      <c r="DA6" s="21">
        <f t="shared" si="77"/>
        <v>1</v>
      </c>
      <c r="DB6" s="21">
        <f t="shared" si="77"/>
        <v>1</v>
      </c>
      <c r="DC6" s="21">
        <f t="shared" si="77"/>
        <v>1</v>
      </c>
      <c r="DD6" s="21">
        <f t="shared" si="77"/>
        <v>1</v>
      </c>
      <c r="DE6" s="21">
        <f t="shared" si="77"/>
        <v>1</v>
      </c>
      <c r="DF6" s="21">
        <f t="shared" si="77"/>
        <v>1</v>
      </c>
      <c r="DG6" s="21">
        <f t="shared" si="77"/>
        <v>1</v>
      </c>
      <c r="DH6" s="21">
        <f t="shared" si="77"/>
        <v>1</v>
      </c>
      <c r="DI6" s="21">
        <f t="shared" si="77"/>
        <v>1</v>
      </c>
      <c r="DJ6" s="21">
        <f t="shared" si="77"/>
        <v>1</v>
      </c>
      <c r="DK6" s="21">
        <f t="shared" si="77"/>
        <v>1</v>
      </c>
      <c r="DL6" s="21">
        <f t="shared" si="77"/>
        <v>1</v>
      </c>
      <c r="DM6" s="21">
        <f t="shared" si="77"/>
        <v>1</v>
      </c>
      <c r="DN6" s="21">
        <f t="shared" si="77"/>
        <v>1</v>
      </c>
      <c r="DO6" s="21">
        <f t="shared" si="77"/>
        <v>1</v>
      </c>
      <c r="DP6" s="21">
        <f t="shared" si="77"/>
        <v>1</v>
      </c>
      <c r="DQ6" s="21">
        <f t="shared" si="77"/>
        <v>1</v>
      </c>
      <c r="DR6" s="21">
        <f t="shared" si="77"/>
        <v>1</v>
      </c>
      <c r="DS6" s="21">
        <f t="shared" si="77"/>
        <v>1</v>
      </c>
      <c r="DT6" s="21">
        <f t="shared" si="77"/>
        <v>1</v>
      </c>
      <c r="DU6" s="21">
        <f t="shared" si="77"/>
        <v>1</v>
      </c>
      <c r="DV6" s="21">
        <f t="shared" si="77"/>
        <v>1</v>
      </c>
      <c r="DW6" s="21">
        <f t="shared" si="77"/>
        <v>1</v>
      </c>
      <c r="DX6" s="21">
        <f t="shared" si="77"/>
        <v>1</v>
      </c>
      <c r="DY6" s="21">
        <f t="shared" si="77"/>
        <v>1</v>
      </c>
      <c r="DZ6" s="21">
        <f t="shared" si="77"/>
        <v>1</v>
      </c>
      <c r="EA6" s="21">
        <f t="shared" si="77"/>
        <v>1</v>
      </c>
      <c r="EB6" s="21">
        <f t="shared" si="77"/>
        <v>1</v>
      </c>
      <c r="EC6" s="21">
        <f t="shared" si="77"/>
        <v>1</v>
      </c>
      <c r="ED6" s="21">
        <f t="shared" si="77"/>
        <v>1</v>
      </c>
      <c r="EE6" s="21">
        <f t="shared" si="77"/>
        <v>1</v>
      </c>
      <c r="EF6" s="21">
        <f t="shared" si="77"/>
        <v>1</v>
      </c>
      <c r="EG6" s="21">
        <f t="shared" si="77"/>
        <v>1</v>
      </c>
      <c r="EH6" s="21">
        <f t="shared" si="77"/>
        <v>1</v>
      </c>
      <c r="EI6" s="21">
        <f t="shared" ref="EI6" si="78">+EI7*$G$7</f>
        <v>1</v>
      </c>
    </row>
    <row r="7" spans="2:144" ht="15" hidden="1" outlineLevel="2" collapsed="1" x14ac:dyDescent="0.3">
      <c r="B7" s="22"/>
      <c r="C7" s="23"/>
      <c r="D7" s="23" t="s">
        <v>13</v>
      </c>
      <c r="E7" s="50"/>
      <c r="F7" s="26">
        <f>+SUM(F8:F12)</f>
        <v>87</v>
      </c>
      <c r="G7" s="28">
        <v>1</v>
      </c>
      <c r="H7" s="51"/>
      <c r="I7" s="125">
        <f>+SUMPRODUCT($G$8:$G$12,I8:I12)</f>
        <v>0</v>
      </c>
      <c r="J7" s="28">
        <f>+SUMPRODUCT($G$8:$G$12,J8:J12)</f>
        <v>0.1310344827586207</v>
      </c>
      <c r="K7" s="28">
        <f t="shared" ref="K7:BB7" si="79">+SUMPRODUCT($G$8:$G$12,K8:K12)</f>
        <v>0.30804597701149428</v>
      </c>
      <c r="L7" s="28">
        <f t="shared" si="79"/>
        <v>0.46206896551724136</v>
      </c>
      <c r="M7" s="64">
        <f t="shared" si="79"/>
        <v>0.66206896551724137</v>
      </c>
      <c r="N7" s="64">
        <f t="shared" si="79"/>
        <v>0.78735632183908055</v>
      </c>
      <c r="O7" s="28">
        <f t="shared" si="79"/>
        <v>1</v>
      </c>
      <c r="P7" s="28">
        <f t="shared" si="79"/>
        <v>1</v>
      </c>
      <c r="Q7" s="28">
        <f t="shared" si="79"/>
        <v>1</v>
      </c>
      <c r="R7" s="28">
        <f t="shared" si="79"/>
        <v>1</v>
      </c>
      <c r="S7" s="28">
        <f t="shared" si="79"/>
        <v>1</v>
      </c>
      <c r="T7" s="28">
        <f t="shared" si="79"/>
        <v>1</v>
      </c>
      <c r="U7" s="28">
        <f t="shared" si="79"/>
        <v>1</v>
      </c>
      <c r="V7" s="28">
        <f t="shared" si="79"/>
        <v>1</v>
      </c>
      <c r="W7" s="28">
        <f t="shared" si="79"/>
        <v>1</v>
      </c>
      <c r="X7" s="28">
        <f t="shared" si="79"/>
        <v>1</v>
      </c>
      <c r="Y7" s="28">
        <f t="shared" si="79"/>
        <v>1</v>
      </c>
      <c r="Z7" s="28">
        <f t="shared" si="79"/>
        <v>1</v>
      </c>
      <c r="AA7" s="28">
        <f t="shared" si="79"/>
        <v>1</v>
      </c>
      <c r="AB7" s="28">
        <f t="shared" si="79"/>
        <v>1</v>
      </c>
      <c r="AC7" s="28">
        <f t="shared" si="79"/>
        <v>1</v>
      </c>
      <c r="AD7" s="28">
        <f t="shared" si="79"/>
        <v>1</v>
      </c>
      <c r="AE7" s="28">
        <f t="shared" si="79"/>
        <v>1</v>
      </c>
      <c r="AF7" s="28">
        <f t="shared" si="79"/>
        <v>1</v>
      </c>
      <c r="AG7" s="28">
        <f t="shared" si="79"/>
        <v>1</v>
      </c>
      <c r="AH7" s="28">
        <f t="shared" si="79"/>
        <v>1</v>
      </c>
      <c r="AI7" s="28">
        <f>+SUMPRODUCT($G$8:$G$12,AI8:AI12)</f>
        <v>1</v>
      </c>
      <c r="AJ7" s="28">
        <f>+SUMPRODUCT($G$8:$G$12,AJ8:AJ12)</f>
        <v>1</v>
      </c>
      <c r="AK7" s="28">
        <f t="shared" si="79"/>
        <v>1</v>
      </c>
      <c r="AL7" s="28">
        <f t="shared" si="79"/>
        <v>1</v>
      </c>
      <c r="AM7" s="28">
        <f t="shared" si="79"/>
        <v>1</v>
      </c>
      <c r="AN7" s="28">
        <f t="shared" si="79"/>
        <v>1</v>
      </c>
      <c r="AO7" s="28">
        <f t="shared" si="79"/>
        <v>1</v>
      </c>
      <c r="AP7" s="28">
        <f t="shared" si="79"/>
        <v>1</v>
      </c>
      <c r="AQ7" s="28">
        <f t="shared" si="79"/>
        <v>1</v>
      </c>
      <c r="AR7" s="28">
        <f t="shared" si="79"/>
        <v>1</v>
      </c>
      <c r="AS7" s="28">
        <f t="shared" si="79"/>
        <v>1</v>
      </c>
      <c r="AT7" s="28">
        <f t="shared" si="79"/>
        <v>1</v>
      </c>
      <c r="AU7" s="28">
        <f t="shared" si="79"/>
        <v>1</v>
      </c>
      <c r="AV7" s="28">
        <f t="shared" si="79"/>
        <v>1</v>
      </c>
      <c r="AW7" s="28">
        <f t="shared" si="79"/>
        <v>1</v>
      </c>
      <c r="AX7" s="28">
        <f t="shared" si="79"/>
        <v>1</v>
      </c>
      <c r="AY7" s="28">
        <f t="shared" si="79"/>
        <v>1</v>
      </c>
      <c r="AZ7" s="28">
        <f t="shared" si="79"/>
        <v>1</v>
      </c>
      <c r="BA7" s="28">
        <f t="shared" si="79"/>
        <v>1</v>
      </c>
      <c r="BB7" s="28">
        <f t="shared" si="79"/>
        <v>1</v>
      </c>
      <c r="BC7" s="28">
        <f t="shared" ref="BC7:CE7" si="80">+SUMPRODUCT($G$8:$G$12,BC8:BC12)</f>
        <v>1</v>
      </c>
      <c r="BD7" s="28">
        <f t="shared" si="80"/>
        <v>1</v>
      </c>
      <c r="BE7" s="28">
        <f t="shared" si="80"/>
        <v>1</v>
      </c>
      <c r="BF7" s="28">
        <f t="shared" si="80"/>
        <v>1</v>
      </c>
      <c r="BG7" s="28">
        <f t="shared" si="80"/>
        <v>1</v>
      </c>
      <c r="BH7" s="28">
        <f t="shared" si="80"/>
        <v>1</v>
      </c>
      <c r="BI7" s="28">
        <f t="shared" si="80"/>
        <v>1</v>
      </c>
      <c r="BJ7" s="28">
        <f t="shared" si="80"/>
        <v>1</v>
      </c>
      <c r="BK7" s="28">
        <f t="shared" si="80"/>
        <v>1</v>
      </c>
      <c r="BL7" s="28">
        <f t="shared" si="80"/>
        <v>1</v>
      </c>
      <c r="BM7" s="28">
        <f t="shared" si="80"/>
        <v>1</v>
      </c>
      <c r="BN7" s="28">
        <f t="shared" si="80"/>
        <v>1</v>
      </c>
      <c r="BO7" s="28">
        <f t="shared" si="80"/>
        <v>1</v>
      </c>
      <c r="BP7" s="28">
        <f t="shared" si="80"/>
        <v>1</v>
      </c>
      <c r="BQ7" s="28">
        <f t="shared" si="80"/>
        <v>1</v>
      </c>
      <c r="BR7" s="28">
        <f t="shared" si="80"/>
        <v>1</v>
      </c>
      <c r="BS7" s="28">
        <f t="shared" si="80"/>
        <v>1</v>
      </c>
      <c r="BT7" s="28">
        <f t="shared" si="80"/>
        <v>1</v>
      </c>
      <c r="BU7" s="28">
        <f t="shared" si="80"/>
        <v>1</v>
      </c>
      <c r="BV7" s="28">
        <f t="shared" si="80"/>
        <v>1</v>
      </c>
      <c r="BW7" s="28">
        <f t="shared" si="80"/>
        <v>1</v>
      </c>
      <c r="BX7" s="28">
        <f t="shared" si="80"/>
        <v>1</v>
      </c>
      <c r="BY7" s="28">
        <f t="shared" si="80"/>
        <v>1</v>
      </c>
      <c r="BZ7" s="28">
        <f t="shared" si="80"/>
        <v>1</v>
      </c>
      <c r="CA7" s="28">
        <f t="shared" si="80"/>
        <v>1</v>
      </c>
      <c r="CB7" s="28">
        <f t="shared" si="80"/>
        <v>1</v>
      </c>
      <c r="CC7" s="28">
        <f t="shared" si="80"/>
        <v>1</v>
      </c>
      <c r="CD7" s="28">
        <f t="shared" si="80"/>
        <v>1</v>
      </c>
      <c r="CE7" s="28">
        <f t="shared" si="80"/>
        <v>1</v>
      </c>
      <c r="CF7" s="28">
        <f t="shared" ref="CF7:CI7" si="81">+SUMPRODUCT($G$8:$G$12,CF8:CF12)</f>
        <v>1</v>
      </c>
      <c r="CG7" s="28">
        <f t="shared" si="81"/>
        <v>1</v>
      </c>
      <c r="CH7" s="28">
        <f t="shared" si="81"/>
        <v>1</v>
      </c>
      <c r="CI7" s="28">
        <f t="shared" si="81"/>
        <v>1</v>
      </c>
      <c r="CJ7" s="28">
        <f t="shared" ref="CJ7:CK7" si="82">+SUMPRODUCT($G$8:$G$12,CJ8:CJ12)</f>
        <v>1</v>
      </c>
      <c r="CK7" s="28">
        <f t="shared" si="82"/>
        <v>1</v>
      </c>
      <c r="CL7" s="28">
        <f t="shared" ref="CL7" si="83">+SUMPRODUCT($G$8:$G$12,CL8:CL12)</f>
        <v>1</v>
      </c>
      <c r="CM7" s="28">
        <f t="shared" ref="CM7:CV7" si="84">+SUMPRODUCT($G$8:$G$12,CM8:CM12)</f>
        <v>1</v>
      </c>
      <c r="CN7" s="28">
        <f t="shared" si="84"/>
        <v>1</v>
      </c>
      <c r="CO7" s="28">
        <f t="shared" si="84"/>
        <v>1</v>
      </c>
      <c r="CP7" s="28">
        <f t="shared" si="84"/>
        <v>1</v>
      </c>
      <c r="CQ7" s="28">
        <f t="shared" si="84"/>
        <v>1</v>
      </c>
      <c r="CR7" s="28">
        <f t="shared" si="84"/>
        <v>1</v>
      </c>
      <c r="CS7" s="28">
        <f t="shared" si="84"/>
        <v>1</v>
      </c>
      <c r="CT7" s="28">
        <f t="shared" si="84"/>
        <v>1</v>
      </c>
      <c r="CU7" s="28">
        <f t="shared" si="84"/>
        <v>1</v>
      </c>
      <c r="CV7" s="28">
        <f t="shared" si="84"/>
        <v>1</v>
      </c>
      <c r="CW7" s="28">
        <f t="shared" ref="CW7" si="85">+SUMPRODUCT($G$8:$G$12,CW8:CW12)</f>
        <v>1</v>
      </c>
      <c r="CX7" s="28">
        <f t="shared" ref="CX7:CY7" si="86">+SUMPRODUCT($G$8:$G$12,CX8:CX12)</f>
        <v>1</v>
      </c>
      <c r="CY7" s="28">
        <f t="shared" si="86"/>
        <v>1</v>
      </c>
      <c r="CZ7" s="28">
        <f t="shared" ref="CZ7:DA7" si="87">+SUMPRODUCT($G$8:$G$12,CZ8:CZ12)</f>
        <v>1</v>
      </c>
      <c r="DA7" s="28">
        <f t="shared" si="87"/>
        <v>1</v>
      </c>
      <c r="DB7" s="28">
        <f t="shared" ref="DB7:DC7" si="88">+SUMPRODUCT($G$8:$G$12,DB8:DB12)</f>
        <v>1</v>
      </c>
      <c r="DC7" s="28">
        <f t="shared" si="88"/>
        <v>1</v>
      </c>
      <c r="DD7" s="28">
        <f t="shared" ref="DD7:DE7" si="89">+SUMPRODUCT($G$8:$G$12,DD8:DD12)</f>
        <v>1</v>
      </c>
      <c r="DE7" s="28">
        <f t="shared" si="89"/>
        <v>1</v>
      </c>
      <c r="DF7" s="28">
        <f t="shared" ref="DF7:DJ7" si="90">+SUMPRODUCT($G$8:$G$12,DF8:DF12)</f>
        <v>1</v>
      </c>
      <c r="DG7" s="28">
        <f t="shared" si="90"/>
        <v>1</v>
      </c>
      <c r="DH7" s="28">
        <f t="shared" si="90"/>
        <v>1</v>
      </c>
      <c r="DI7" s="28">
        <f t="shared" si="90"/>
        <v>1</v>
      </c>
      <c r="DJ7" s="28">
        <f t="shared" si="90"/>
        <v>1</v>
      </c>
      <c r="DK7" s="28">
        <f t="shared" ref="DK7:EI7" si="91">+SUMPRODUCT($G$8:$G$12,DK8:DK12)</f>
        <v>1</v>
      </c>
      <c r="DL7" s="28">
        <f t="shared" si="91"/>
        <v>1</v>
      </c>
      <c r="DM7" s="28">
        <f t="shared" si="91"/>
        <v>1</v>
      </c>
      <c r="DN7" s="28">
        <f t="shared" si="91"/>
        <v>1</v>
      </c>
      <c r="DO7" s="28">
        <f t="shared" si="91"/>
        <v>1</v>
      </c>
      <c r="DP7" s="28">
        <f t="shared" si="91"/>
        <v>1</v>
      </c>
      <c r="DQ7" s="28">
        <f t="shared" si="91"/>
        <v>1</v>
      </c>
      <c r="DR7" s="28">
        <f t="shared" si="91"/>
        <v>1</v>
      </c>
      <c r="DS7" s="28">
        <f t="shared" si="91"/>
        <v>1</v>
      </c>
      <c r="DT7" s="28">
        <f t="shared" si="91"/>
        <v>1</v>
      </c>
      <c r="DU7" s="28">
        <f t="shared" si="91"/>
        <v>1</v>
      </c>
      <c r="DV7" s="28">
        <f t="shared" si="91"/>
        <v>1</v>
      </c>
      <c r="DW7" s="28">
        <f t="shared" si="91"/>
        <v>1</v>
      </c>
      <c r="DX7" s="28">
        <f t="shared" si="91"/>
        <v>1</v>
      </c>
      <c r="DY7" s="28">
        <f t="shared" si="91"/>
        <v>1</v>
      </c>
      <c r="DZ7" s="28">
        <f t="shared" si="91"/>
        <v>1</v>
      </c>
      <c r="EA7" s="28">
        <f t="shared" si="91"/>
        <v>1</v>
      </c>
      <c r="EB7" s="28">
        <f t="shared" si="91"/>
        <v>1</v>
      </c>
      <c r="EC7" s="28">
        <f t="shared" si="91"/>
        <v>1</v>
      </c>
      <c r="ED7" s="28">
        <f t="shared" si="91"/>
        <v>1</v>
      </c>
      <c r="EE7" s="28">
        <f t="shared" si="91"/>
        <v>1</v>
      </c>
      <c r="EF7" s="28">
        <f t="shared" si="91"/>
        <v>1</v>
      </c>
      <c r="EG7" s="28">
        <f t="shared" si="91"/>
        <v>1</v>
      </c>
      <c r="EH7" s="28">
        <f t="shared" si="91"/>
        <v>1</v>
      </c>
      <c r="EI7" s="28">
        <f t="shared" si="91"/>
        <v>1</v>
      </c>
    </row>
    <row r="8" spans="2:144" hidden="1" outlineLevel="3" x14ac:dyDescent="0.3">
      <c r="B8" s="29"/>
      <c r="C8" s="30"/>
      <c r="D8" s="30"/>
      <c r="E8" s="52" t="s">
        <v>14</v>
      </c>
      <c r="F8" s="33">
        <v>0</v>
      </c>
      <c r="G8" s="35">
        <v>1E-119</v>
      </c>
      <c r="H8" s="53"/>
      <c r="I8" s="126">
        <v>0</v>
      </c>
      <c r="J8" s="127">
        <v>1</v>
      </c>
      <c r="K8" s="127">
        <v>1</v>
      </c>
      <c r="L8" s="127">
        <v>1</v>
      </c>
      <c r="M8" s="127">
        <v>1</v>
      </c>
      <c r="N8" s="127">
        <v>1</v>
      </c>
      <c r="O8" s="127">
        <v>1</v>
      </c>
      <c r="P8" s="127">
        <v>1</v>
      </c>
      <c r="Q8" s="127">
        <v>1</v>
      </c>
      <c r="R8" s="127">
        <v>1</v>
      </c>
      <c r="S8" s="127">
        <v>1</v>
      </c>
      <c r="T8" s="127">
        <v>1</v>
      </c>
      <c r="U8" s="127">
        <v>1</v>
      </c>
      <c r="V8" s="128">
        <v>1</v>
      </c>
      <c r="W8" s="128">
        <v>1</v>
      </c>
      <c r="X8" s="128">
        <v>1</v>
      </c>
      <c r="Y8" s="128">
        <v>1</v>
      </c>
      <c r="Z8" s="128">
        <v>1</v>
      </c>
      <c r="AA8" s="128">
        <v>1</v>
      </c>
      <c r="AB8" s="128">
        <v>1</v>
      </c>
      <c r="AC8" s="128">
        <v>1</v>
      </c>
      <c r="AD8" s="128">
        <v>1</v>
      </c>
      <c r="AE8" s="128">
        <v>1</v>
      </c>
      <c r="AF8" s="128">
        <v>1</v>
      </c>
      <c r="AG8" s="128">
        <v>1</v>
      </c>
      <c r="AH8" s="128">
        <v>1</v>
      </c>
      <c r="AI8" s="128">
        <v>1</v>
      </c>
      <c r="AJ8" s="128">
        <v>1</v>
      </c>
      <c r="AK8" s="128">
        <v>1</v>
      </c>
      <c r="AL8" s="128">
        <v>1</v>
      </c>
      <c r="AM8" s="128">
        <v>1</v>
      </c>
      <c r="AN8" s="128">
        <v>1</v>
      </c>
      <c r="AO8" s="128">
        <v>1</v>
      </c>
      <c r="AP8" s="128">
        <v>1</v>
      </c>
      <c r="AQ8" s="128">
        <v>1</v>
      </c>
      <c r="AR8" s="128">
        <v>1</v>
      </c>
      <c r="AS8" s="128">
        <v>1</v>
      </c>
      <c r="AT8" s="128">
        <v>1</v>
      </c>
      <c r="AU8" s="128">
        <v>1</v>
      </c>
      <c r="AV8" s="128">
        <v>1</v>
      </c>
      <c r="AW8" s="128">
        <v>1</v>
      </c>
      <c r="AX8" s="128">
        <v>1</v>
      </c>
      <c r="AY8" s="128">
        <v>1</v>
      </c>
      <c r="AZ8" s="128">
        <v>1</v>
      </c>
      <c r="BA8" s="128">
        <v>1</v>
      </c>
      <c r="BB8" s="128">
        <v>1</v>
      </c>
      <c r="BC8" s="128">
        <v>1</v>
      </c>
      <c r="BD8" s="128">
        <v>1</v>
      </c>
      <c r="BE8" s="128">
        <v>1</v>
      </c>
      <c r="BF8" s="128">
        <v>1</v>
      </c>
      <c r="BG8" s="128">
        <v>1</v>
      </c>
      <c r="BH8" s="128">
        <v>1</v>
      </c>
      <c r="BI8" s="128">
        <v>1</v>
      </c>
      <c r="BJ8" s="128">
        <v>1</v>
      </c>
      <c r="BK8" s="128">
        <v>1</v>
      </c>
      <c r="BL8" s="128">
        <v>1</v>
      </c>
      <c r="BM8" s="128">
        <v>1</v>
      </c>
      <c r="BN8" s="128">
        <v>1</v>
      </c>
      <c r="BO8" s="128">
        <v>1</v>
      </c>
      <c r="BP8" s="128">
        <v>1</v>
      </c>
      <c r="BQ8" s="128">
        <v>1</v>
      </c>
      <c r="BR8" s="128">
        <v>1</v>
      </c>
      <c r="BS8" s="128">
        <v>1</v>
      </c>
      <c r="BT8" s="128">
        <v>1</v>
      </c>
      <c r="BU8" s="128">
        <v>1</v>
      </c>
      <c r="BV8" s="128">
        <v>1</v>
      </c>
      <c r="BW8" s="128">
        <v>1</v>
      </c>
      <c r="BX8" s="128">
        <v>1</v>
      </c>
      <c r="BY8" s="128">
        <v>1</v>
      </c>
      <c r="BZ8" s="128">
        <v>1</v>
      </c>
      <c r="CA8" s="128">
        <v>1</v>
      </c>
      <c r="CB8" s="128">
        <v>1</v>
      </c>
      <c r="CC8" s="128">
        <v>1</v>
      </c>
      <c r="CD8" s="128">
        <v>1</v>
      </c>
      <c r="CE8" s="128">
        <v>1</v>
      </c>
      <c r="CF8" s="128">
        <v>1</v>
      </c>
      <c r="CG8" s="128">
        <v>1</v>
      </c>
      <c r="CH8" s="128">
        <v>1</v>
      </c>
      <c r="CI8" s="128">
        <v>1</v>
      </c>
      <c r="CJ8" s="128">
        <v>1</v>
      </c>
      <c r="CK8" s="128">
        <v>1</v>
      </c>
      <c r="CL8" s="128">
        <v>1</v>
      </c>
      <c r="CM8" s="128">
        <v>1</v>
      </c>
      <c r="CN8" s="128">
        <v>1</v>
      </c>
      <c r="CO8" s="128">
        <v>1</v>
      </c>
      <c r="CP8" s="128">
        <v>1</v>
      </c>
      <c r="CQ8" s="128">
        <v>1</v>
      </c>
      <c r="CR8" s="128">
        <v>1</v>
      </c>
      <c r="CS8" s="128">
        <v>1</v>
      </c>
      <c r="CT8" s="128">
        <v>1</v>
      </c>
      <c r="CU8" s="128">
        <v>1</v>
      </c>
      <c r="CV8" s="128">
        <v>1</v>
      </c>
      <c r="CW8" s="128">
        <v>1</v>
      </c>
      <c r="CX8" s="128">
        <v>1</v>
      </c>
      <c r="CY8" s="128">
        <v>1</v>
      </c>
      <c r="CZ8" s="128">
        <v>1</v>
      </c>
      <c r="DA8" s="128">
        <v>1</v>
      </c>
      <c r="DB8" s="128">
        <v>1</v>
      </c>
      <c r="DC8" s="128">
        <v>1</v>
      </c>
      <c r="DD8" s="128">
        <v>1</v>
      </c>
      <c r="DE8" s="128">
        <v>1</v>
      </c>
      <c r="DF8" s="128">
        <v>1</v>
      </c>
      <c r="DG8" s="128">
        <v>1</v>
      </c>
      <c r="DH8" s="128">
        <v>1</v>
      </c>
      <c r="DI8" s="128">
        <v>1</v>
      </c>
      <c r="DJ8" s="128">
        <v>1</v>
      </c>
      <c r="DK8" s="128">
        <v>1</v>
      </c>
      <c r="DL8" s="128">
        <v>1</v>
      </c>
      <c r="DM8" s="128">
        <v>1</v>
      </c>
      <c r="DN8" s="128">
        <v>1</v>
      </c>
      <c r="DO8" s="128">
        <v>1</v>
      </c>
      <c r="DP8" s="128">
        <v>1</v>
      </c>
      <c r="DQ8" s="128">
        <v>1</v>
      </c>
      <c r="DR8" s="128">
        <v>1</v>
      </c>
      <c r="DS8" s="128">
        <v>1</v>
      </c>
      <c r="DT8" s="128">
        <v>1</v>
      </c>
      <c r="DU8" s="128">
        <v>1</v>
      </c>
      <c r="DV8" s="128">
        <v>1</v>
      </c>
      <c r="DW8" s="128">
        <v>1</v>
      </c>
      <c r="DX8" s="128">
        <v>1</v>
      </c>
      <c r="DY8" s="128">
        <v>1</v>
      </c>
      <c r="DZ8" s="128">
        <v>1</v>
      </c>
      <c r="EA8" s="128">
        <v>1</v>
      </c>
      <c r="EB8" s="128">
        <v>1</v>
      </c>
      <c r="EC8" s="128">
        <v>1</v>
      </c>
      <c r="ED8" s="128">
        <v>1</v>
      </c>
      <c r="EE8" s="128">
        <v>1</v>
      </c>
      <c r="EF8" s="128">
        <v>1</v>
      </c>
      <c r="EG8" s="128">
        <v>1</v>
      </c>
      <c r="EH8" s="128">
        <v>1</v>
      </c>
      <c r="EI8" s="128">
        <v>1</v>
      </c>
    </row>
    <row r="9" spans="2:144" hidden="1" outlineLevel="3" x14ac:dyDescent="0.3">
      <c r="B9" s="29"/>
      <c r="C9" s="30"/>
      <c r="D9" s="30"/>
      <c r="E9" s="52" t="s">
        <v>15</v>
      </c>
      <c r="F9" s="33">
        <v>0</v>
      </c>
      <c r="G9" s="35">
        <v>1E-119</v>
      </c>
      <c r="H9" s="53"/>
      <c r="I9" s="126">
        <v>0</v>
      </c>
      <c r="J9" s="127">
        <v>0</v>
      </c>
      <c r="K9" s="127">
        <v>0</v>
      </c>
      <c r="L9" s="127">
        <v>0</v>
      </c>
      <c r="M9" s="127">
        <v>0</v>
      </c>
      <c r="N9" s="127">
        <v>0</v>
      </c>
      <c r="O9" s="127">
        <v>0</v>
      </c>
      <c r="P9" s="127">
        <v>0</v>
      </c>
      <c r="Q9" s="127">
        <v>0</v>
      </c>
      <c r="R9" s="127">
        <v>0</v>
      </c>
      <c r="S9" s="127">
        <v>0</v>
      </c>
      <c r="T9" s="127">
        <v>0</v>
      </c>
      <c r="U9" s="127">
        <v>0</v>
      </c>
      <c r="V9" s="128">
        <v>0</v>
      </c>
      <c r="W9" s="128">
        <v>0</v>
      </c>
      <c r="X9" s="128">
        <v>0</v>
      </c>
      <c r="Y9" s="128">
        <v>0</v>
      </c>
      <c r="Z9" s="128">
        <v>0</v>
      </c>
      <c r="AA9" s="128">
        <v>0</v>
      </c>
      <c r="AB9" s="128">
        <v>0</v>
      </c>
      <c r="AC9" s="128">
        <v>0</v>
      </c>
      <c r="AD9" s="128">
        <v>0</v>
      </c>
      <c r="AE9" s="128">
        <v>0</v>
      </c>
      <c r="AF9" s="128">
        <v>0</v>
      </c>
      <c r="AG9" s="128">
        <v>0</v>
      </c>
      <c r="AH9" s="128">
        <v>0</v>
      </c>
      <c r="AI9" s="128">
        <v>0</v>
      </c>
      <c r="AJ9" s="128">
        <v>0</v>
      </c>
      <c r="AK9" s="128">
        <v>0</v>
      </c>
      <c r="AL9" s="128">
        <v>0</v>
      </c>
      <c r="AM9" s="128">
        <v>0</v>
      </c>
      <c r="AN9" s="128">
        <v>0</v>
      </c>
      <c r="AO9" s="128">
        <v>0</v>
      </c>
      <c r="AP9" s="128">
        <v>0</v>
      </c>
      <c r="AQ9" s="128">
        <v>0</v>
      </c>
      <c r="AR9" s="128">
        <v>0</v>
      </c>
      <c r="AS9" s="128">
        <v>0</v>
      </c>
      <c r="AT9" s="128">
        <v>0</v>
      </c>
      <c r="AU9" s="128">
        <v>0</v>
      </c>
      <c r="AV9" s="128">
        <v>0</v>
      </c>
      <c r="AW9" s="128">
        <v>0</v>
      </c>
      <c r="AX9" s="128">
        <v>0</v>
      </c>
      <c r="AY9" s="128">
        <v>0</v>
      </c>
      <c r="AZ9" s="128">
        <v>0</v>
      </c>
      <c r="BA9" s="128">
        <v>0</v>
      </c>
      <c r="BB9" s="128">
        <v>0</v>
      </c>
      <c r="BC9" s="128">
        <v>0</v>
      </c>
      <c r="BD9" s="128">
        <v>0</v>
      </c>
      <c r="BE9" s="128">
        <v>0</v>
      </c>
      <c r="BF9" s="128">
        <v>0</v>
      </c>
      <c r="BG9" s="128">
        <v>0</v>
      </c>
      <c r="BH9" s="128">
        <v>0</v>
      </c>
      <c r="BI9" s="128">
        <v>0</v>
      </c>
      <c r="BJ9" s="128">
        <v>0</v>
      </c>
      <c r="BK9" s="128">
        <v>0</v>
      </c>
      <c r="BL9" s="128">
        <v>0</v>
      </c>
      <c r="BM9" s="128">
        <v>0</v>
      </c>
      <c r="BN9" s="128">
        <v>0</v>
      </c>
      <c r="BO9" s="128">
        <v>0</v>
      </c>
      <c r="BP9" s="128">
        <v>0</v>
      </c>
      <c r="BQ9" s="128">
        <v>0</v>
      </c>
      <c r="BR9" s="128">
        <v>0</v>
      </c>
      <c r="BS9" s="128">
        <v>0</v>
      </c>
      <c r="BT9" s="128">
        <v>0</v>
      </c>
      <c r="BU9" s="128">
        <v>0</v>
      </c>
      <c r="BV9" s="128">
        <v>0</v>
      </c>
      <c r="BW9" s="128">
        <v>0</v>
      </c>
      <c r="BX9" s="128">
        <v>0</v>
      </c>
      <c r="BY9" s="128">
        <v>0</v>
      </c>
      <c r="BZ9" s="128">
        <v>0</v>
      </c>
      <c r="CA9" s="128">
        <v>0</v>
      </c>
      <c r="CB9" s="128">
        <v>0</v>
      </c>
      <c r="CC9" s="128">
        <v>0</v>
      </c>
      <c r="CD9" s="128">
        <v>0</v>
      </c>
      <c r="CE9" s="128">
        <v>0</v>
      </c>
      <c r="CF9" s="128">
        <v>0</v>
      </c>
      <c r="CG9" s="128">
        <v>0</v>
      </c>
      <c r="CH9" s="128">
        <v>0</v>
      </c>
      <c r="CI9" s="128">
        <v>0</v>
      </c>
      <c r="CJ9" s="128">
        <v>0</v>
      </c>
      <c r="CK9" s="128">
        <v>0</v>
      </c>
      <c r="CL9" s="128">
        <v>0</v>
      </c>
      <c r="CM9" s="128">
        <v>0</v>
      </c>
      <c r="CN9" s="128">
        <v>0</v>
      </c>
      <c r="CO9" s="128">
        <v>0</v>
      </c>
      <c r="CP9" s="128">
        <v>0</v>
      </c>
      <c r="CQ9" s="128">
        <v>0</v>
      </c>
      <c r="CR9" s="128">
        <v>0</v>
      </c>
      <c r="CS9" s="128">
        <v>0</v>
      </c>
      <c r="CT9" s="128">
        <v>0</v>
      </c>
      <c r="CU9" s="128">
        <v>0</v>
      </c>
      <c r="CV9" s="128">
        <v>0</v>
      </c>
      <c r="CW9" s="128">
        <v>0</v>
      </c>
      <c r="CX9" s="128">
        <v>0</v>
      </c>
      <c r="CY9" s="128">
        <v>0</v>
      </c>
      <c r="CZ9" s="128">
        <v>0</v>
      </c>
      <c r="DA9" s="128">
        <v>0</v>
      </c>
      <c r="DB9" s="128">
        <v>0</v>
      </c>
      <c r="DC9" s="128">
        <v>0</v>
      </c>
      <c r="DD9" s="128">
        <v>0</v>
      </c>
      <c r="DE9" s="128">
        <v>0</v>
      </c>
      <c r="DF9" s="128">
        <v>0</v>
      </c>
      <c r="DG9" s="128">
        <v>0</v>
      </c>
      <c r="DH9" s="128">
        <v>0</v>
      </c>
      <c r="DI9" s="128">
        <v>0</v>
      </c>
      <c r="DJ9" s="128">
        <v>0</v>
      </c>
      <c r="DK9" s="128">
        <v>0</v>
      </c>
      <c r="DL9" s="128">
        <v>0</v>
      </c>
      <c r="DM9" s="128">
        <v>0</v>
      </c>
      <c r="DN9" s="128">
        <v>0</v>
      </c>
      <c r="DO9" s="128">
        <v>0</v>
      </c>
      <c r="DP9" s="128">
        <v>0</v>
      </c>
      <c r="DQ9" s="128">
        <v>0</v>
      </c>
      <c r="DR9" s="128">
        <v>0</v>
      </c>
      <c r="DS9" s="128">
        <v>0</v>
      </c>
      <c r="DT9" s="128">
        <v>0</v>
      </c>
      <c r="DU9" s="128">
        <v>0</v>
      </c>
      <c r="DV9" s="128">
        <v>0</v>
      </c>
      <c r="DW9" s="128">
        <v>0</v>
      </c>
      <c r="DX9" s="128">
        <v>0</v>
      </c>
      <c r="DY9" s="128">
        <v>0</v>
      </c>
      <c r="DZ9" s="128">
        <v>0</v>
      </c>
      <c r="EA9" s="128">
        <v>0</v>
      </c>
      <c r="EB9" s="128">
        <v>0</v>
      </c>
      <c r="EC9" s="128">
        <v>0</v>
      </c>
      <c r="ED9" s="128">
        <v>0</v>
      </c>
      <c r="EE9" s="128">
        <v>0</v>
      </c>
      <c r="EF9" s="128">
        <v>0</v>
      </c>
      <c r="EG9" s="128">
        <v>0</v>
      </c>
      <c r="EH9" s="128">
        <v>0</v>
      </c>
      <c r="EI9" s="128">
        <v>0</v>
      </c>
    </row>
    <row r="10" spans="2:144" hidden="1" outlineLevel="3" x14ac:dyDescent="0.3">
      <c r="B10" s="29"/>
      <c r="C10" s="30"/>
      <c r="D10" s="30"/>
      <c r="E10" s="52" t="s">
        <v>16</v>
      </c>
      <c r="F10" s="33">
        <v>25</v>
      </c>
      <c r="G10" s="35">
        <v>0.28735632183908044</v>
      </c>
      <c r="H10" s="53"/>
      <c r="I10" s="126">
        <v>0</v>
      </c>
      <c r="J10" s="127">
        <v>0.2</v>
      </c>
      <c r="K10" s="127">
        <v>0.4</v>
      </c>
      <c r="L10" s="127">
        <v>0.6</v>
      </c>
      <c r="M10" s="128">
        <v>0.8</v>
      </c>
      <c r="N10" s="128">
        <v>0.9</v>
      </c>
      <c r="O10" s="127">
        <v>1</v>
      </c>
      <c r="P10" s="127">
        <v>1</v>
      </c>
      <c r="Q10" s="127">
        <v>1</v>
      </c>
      <c r="R10" s="127">
        <v>1</v>
      </c>
      <c r="S10" s="127">
        <v>1</v>
      </c>
      <c r="T10" s="127">
        <v>1</v>
      </c>
      <c r="U10" s="127">
        <v>1</v>
      </c>
      <c r="V10" s="128">
        <v>1</v>
      </c>
      <c r="W10" s="128">
        <v>1</v>
      </c>
      <c r="X10" s="128">
        <v>1</v>
      </c>
      <c r="Y10" s="128">
        <v>1</v>
      </c>
      <c r="Z10" s="128">
        <v>1</v>
      </c>
      <c r="AA10" s="128">
        <v>1</v>
      </c>
      <c r="AB10" s="128">
        <v>1</v>
      </c>
      <c r="AC10" s="128">
        <v>1</v>
      </c>
      <c r="AD10" s="128">
        <v>1</v>
      </c>
      <c r="AE10" s="128">
        <v>1</v>
      </c>
      <c r="AF10" s="128">
        <v>1</v>
      </c>
      <c r="AG10" s="128">
        <v>1</v>
      </c>
      <c r="AH10" s="128">
        <v>1</v>
      </c>
      <c r="AI10" s="128">
        <v>1</v>
      </c>
      <c r="AJ10" s="128">
        <v>1</v>
      </c>
      <c r="AK10" s="128">
        <v>1</v>
      </c>
      <c r="AL10" s="128">
        <v>1</v>
      </c>
      <c r="AM10" s="128">
        <v>1</v>
      </c>
      <c r="AN10" s="128">
        <v>1</v>
      </c>
      <c r="AO10" s="128">
        <v>1</v>
      </c>
      <c r="AP10" s="128">
        <v>1</v>
      </c>
      <c r="AQ10" s="128">
        <v>1</v>
      </c>
      <c r="AR10" s="128">
        <v>1</v>
      </c>
      <c r="AS10" s="128">
        <v>1</v>
      </c>
      <c r="AT10" s="128">
        <v>1</v>
      </c>
      <c r="AU10" s="128">
        <v>1</v>
      </c>
      <c r="AV10" s="128">
        <v>1</v>
      </c>
      <c r="AW10" s="128">
        <v>1</v>
      </c>
      <c r="AX10" s="128">
        <v>1</v>
      </c>
      <c r="AY10" s="128">
        <v>1</v>
      </c>
      <c r="AZ10" s="128">
        <v>1</v>
      </c>
      <c r="BA10" s="128">
        <v>1</v>
      </c>
      <c r="BB10" s="128">
        <v>1</v>
      </c>
      <c r="BC10" s="128">
        <v>1</v>
      </c>
      <c r="BD10" s="128">
        <v>1</v>
      </c>
      <c r="BE10" s="128">
        <v>1</v>
      </c>
      <c r="BF10" s="128">
        <v>1</v>
      </c>
      <c r="BG10" s="128">
        <v>1</v>
      </c>
      <c r="BH10" s="128">
        <v>1</v>
      </c>
      <c r="BI10" s="128">
        <v>1</v>
      </c>
      <c r="BJ10" s="128">
        <v>1</v>
      </c>
      <c r="BK10" s="128">
        <v>1</v>
      </c>
      <c r="BL10" s="128">
        <v>1</v>
      </c>
      <c r="BM10" s="128">
        <v>1</v>
      </c>
      <c r="BN10" s="128">
        <v>1</v>
      </c>
      <c r="BO10" s="128">
        <v>1</v>
      </c>
      <c r="BP10" s="128">
        <v>1</v>
      </c>
      <c r="BQ10" s="128">
        <v>1</v>
      </c>
      <c r="BR10" s="128">
        <v>1</v>
      </c>
      <c r="BS10" s="128">
        <v>1</v>
      </c>
      <c r="BT10" s="128">
        <v>1</v>
      </c>
      <c r="BU10" s="128">
        <v>1</v>
      </c>
      <c r="BV10" s="128">
        <v>1</v>
      </c>
      <c r="BW10" s="128">
        <v>1</v>
      </c>
      <c r="BX10" s="128">
        <v>1</v>
      </c>
      <c r="BY10" s="128">
        <v>1</v>
      </c>
      <c r="BZ10" s="128">
        <v>1</v>
      </c>
      <c r="CA10" s="128">
        <v>1</v>
      </c>
      <c r="CB10" s="128">
        <v>1</v>
      </c>
      <c r="CC10" s="128">
        <v>1</v>
      </c>
      <c r="CD10" s="128">
        <v>1</v>
      </c>
      <c r="CE10" s="128">
        <v>1</v>
      </c>
      <c r="CF10" s="128">
        <v>1</v>
      </c>
      <c r="CG10" s="128">
        <v>1</v>
      </c>
      <c r="CH10" s="128">
        <v>1</v>
      </c>
      <c r="CI10" s="128">
        <v>1</v>
      </c>
      <c r="CJ10" s="128">
        <v>1</v>
      </c>
      <c r="CK10" s="128">
        <v>1</v>
      </c>
      <c r="CL10" s="128">
        <v>1</v>
      </c>
      <c r="CM10" s="128">
        <v>1</v>
      </c>
      <c r="CN10" s="128">
        <v>1</v>
      </c>
      <c r="CO10" s="128">
        <v>1</v>
      </c>
      <c r="CP10" s="128">
        <v>1</v>
      </c>
      <c r="CQ10" s="128">
        <v>1</v>
      </c>
      <c r="CR10" s="128">
        <v>1</v>
      </c>
      <c r="CS10" s="128">
        <v>1</v>
      </c>
      <c r="CT10" s="128">
        <v>1</v>
      </c>
      <c r="CU10" s="128">
        <v>1</v>
      </c>
      <c r="CV10" s="128">
        <v>1</v>
      </c>
      <c r="CW10" s="128">
        <v>1</v>
      </c>
      <c r="CX10" s="128">
        <v>1</v>
      </c>
      <c r="CY10" s="128">
        <v>1</v>
      </c>
      <c r="CZ10" s="128">
        <v>1</v>
      </c>
      <c r="DA10" s="128">
        <v>1</v>
      </c>
      <c r="DB10" s="128">
        <v>1</v>
      </c>
      <c r="DC10" s="128">
        <v>1</v>
      </c>
      <c r="DD10" s="128">
        <v>1</v>
      </c>
      <c r="DE10" s="128">
        <v>1</v>
      </c>
      <c r="DF10" s="128">
        <v>1</v>
      </c>
      <c r="DG10" s="128">
        <v>1</v>
      </c>
      <c r="DH10" s="128">
        <v>1</v>
      </c>
      <c r="DI10" s="128">
        <v>1</v>
      </c>
      <c r="DJ10" s="128">
        <v>1</v>
      </c>
      <c r="DK10" s="128">
        <v>1</v>
      </c>
      <c r="DL10" s="128">
        <v>1</v>
      </c>
      <c r="DM10" s="128">
        <v>1</v>
      </c>
      <c r="DN10" s="128">
        <v>1</v>
      </c>
      <c r="DO10" s="128">
        <v>1</v>
      </c>
      <c r="DP10" s="128">
        <v>1</v>
      </c>
      <c r="DQ10" s="128">
        <v>1</v>
      </c>
      <c r="DR10" s="128">
        <v>1</v>
      </c>
      <c r="DS10" s="128">
        <v>1</v>
      </c>
      <c r="DT10" s="128">
        <v>1</v>
      </c>
      <c r="DU10" s="128">
        <v>1</v>
      </c>
      <c r="DV10" s="128">
        <v>1</v>
      </c>
      <c r="DW10" s="128">
        <v>1</v>
      </c>
      <c r="DX10" s="128">
        <v>1</v>
      </c>
      <c r="DY10" s="128">
        <v>1</v>
      </c>
      <c r="DZ10" s="128">
        <v>1</v>
      </c>
      <c r="EA10" s="128">
        <v>1</v>
      </c>
      <c r="EB10" s="128">
        <v>1</v>
      </c>
      <c r="EC10" s="128">
        <v>1</v>
      </c>
      <c r="ED10" s="128">
        <v>1</v>
      </c>
      <c r="EE10" s="128">
        <v>1</v>
      </c>
      <c r="EF10" s="128">
        <v>1</v>
      </c>
      <c r="EG10" s="128">
        <v>1</v>
      </c>
      <c r="EH10" s="128">
        <v>1</v>
      </c>
      <c r="EI10" s="128">
        <v>1</v>
      </c>
    </row>
    <row r="11" spans="2:144" hidden="1" outlineLevel="3" x14ac:dyDescent="0.3">
      <c r="B11" s="29"/>
      <c r="C11" s="30"/>
      <c r="D11" s="30"/>
      <c r="E11" s="52" t="s">
        <v>17</v>
      </c>
      <c r="F11" s="33">
        <v>22</v>
      </c>
      <c r="G11" s="35">
        <v>0.25287356321839083</v>
      </c>
      <c r="H11" s="53"/>
      <c r="I11" s="126">
        <v>0</v>
      </c>
      <c r="J11" s="127">
        <v>0.2</v>
      </c>
      <c r="K11" s="127">
        <v>0.4</v>
      </c>
      <c r="L11" s="127">
        <v>0.6</v>
      </c>
      <c r="M11" s="128">
        <v>0.8</v>
      </c>
      <c r="N11" s="128">
        <v>1</v>
      </c>
      <c r="O11" s="127">
        <v>1</v>
      </c>
      <c r="P11" s="127">
        <v>1</v>
      </c>
      <c r="Q11" s="127">
        <v>1</v>
      </c>
      <c r="R11" s="127">
        <v>1</v>
      </c>
      <c r="S11" s="127">
        <v>1</v>
      </c>
      <c r="T11" s="127">
        <v>1</v>
      </c>
      <c r="U11" s="127">
        <v>1</v>
      </c>
      <c r="V11" s="128">
        <v>1</v>
      </c>
      <c r="W11" s="128">
        <v>1</v>
      </c>
      <c r="X11" s="128">
        <v>1</v>
      </c>
      <c r="Y11" s="128">
        <v>1</v>
      </c>
      <c r="Z11" s="128">
        <v>1</v>
      </c>
      <c r="AA11" s="128">
        <v>1</v>
      </c>
      <c r="AB11" s="128">
        <v>1</v>
      </c>
      <c r="AC11" s="128">
        <v>1</v>
      </c>
      <c r="AD11" s="128">
        <v>1</v>
      </c>
      <c r="AE11" s="128">
        <v>1</v>
      </c>
      <c r="AF11" s="128">
        <v>1</v>
      </c>
      <c r="AG11" s="128">
        <v>1</v>
      </c>
      <c r="AH11" s="128">
        <v>1</v>
      </c>
      <c r="AI11" s="128">
        <v>1</v>
      </c>
      <c r="AJ11" s="128">
        <v>1</v>
      </c>
      <c r="AK11" s="128">
        <v>1</v>
      </c>
      <c r="AL11" s="128">
        <v>1</v>
      </c>
      <c r="AM11" s="128">
        <v>1</v>
      </c>
      <c r="AN11" s="128">
        <v>1</v>
      </c>
      <c r="AO11" s="128">
        <v>1</v>
      </c>
      <c r="AP11" s="128">
        <v>1</v>
      </c>
      <c r="AQ11" s="128">
        <v>1</v>
      </c>
      <c r="AR11" s="128">
        <v>1</v>
      </c>
      <c r="AS11" s="128">
        <v>1</v>
      </c>
      <c r="AT11" s="128">
        <v>1</v>
      </c>
      <c r="AU11" s="128">
        <v>1</v>
      </c>
      <c r="AV11" s="128">
        <v>1</v>
      </c>
      <c r="AW11" s="128">
        <v>1</v>
      </c>
      <c r="AX11" s="128">
        <v>1</v>
      </c>
      <c r="AY11" s="128">
        <v>1</v>
      </c>
      <c r="AZ11" s="128">
        <v>1</v>
      </c>
      <c r="BA11" s="128">
        <v>1</v>
      </c>
      <c r="BB11" s="128">
        <v>1</v>
      </c>
      <c r="BC11" s="128">
        <v>1</v>
      </c>
      <c r="BD11" s="128">
        <v>1</v>
      </c>
      <c r="BE11" s="128">
        <v>1</v>
      </c>
      <c r="BF11" s="128">
        <v>1</v>
      </c>
      <c r="BG11" s="128">
        <v>1</v>
      </c>
      <c r="BH11" s="128">
        <v>1</v>
      </c>
      <c r="BI11" s="128">
        <v>1</v>
      </c>
      <c r="BJ11" s="128">
        <v>1</v>
      </c>
      <c r="BK11" s="128">
        <v>1</v>
      </c>
      <c r="BL11" s="128">
        <v>1</v>
      </c>
      <c r="BM11" s="128">
        <v>1</v>
      </c>
      <c r="BN11" s="128">
        <v>1</v>
      </c>
      <c r="BO11" s="128">
        <v>1</v>
      </c>
      <c r="BP11" s="128">
        <v>1</v>
      </c>
      <c r="BQ11" s="128">
        <v>1</v>
      </c>
      <c r="BR11" s="128">
        <v>1</v>
      </c>
      <c r="BS11" s="128">
        <v>1</v>
      </c>
      <c r="BT11" s="128">
        <v>1</v>
      </c>
      <c r="BU11" s="128">
        <v>1</v>
      </c>
      <c r="BV11" s="128">
        <v>1</v>
      </c>
      <c r="BW11" s="128">
        <v>1</v>
      </c>
      <c r="BX11" s="128">
        <v>1</v>
      </c>
      <c r="BY11" s="128">
        <v>1</v>
      </c>
      <c r="BZ11" s="128">
        <v>1</v>
      </c>
      <c r="CA11" s="128">
        <v>1</v>
      </c>
      <c r="CB11" s="128">
        <v>1</v>
      </c>
      <c r="CC11" s="128">
        <v>1</v>
      </c>
      <c r="CD11" s="128">
        <v>1</v>
      </c>
      <c r="CE11" s="128">
        <v>1</v>
      </c>
      <c r="CF11" s="128">
        <v>1</v>
      </c>
      <c r="CG11" s="128">
        <v>1</v>
      </c>
      <c r="CH11" s="128">
        <v>1</v>
      </c>
      <c r="CI11" s="128">
        <v>1</v>
      </c>
      <c r="CJ11" s="128">
        <v>1</v>
      </c>
      <c r="CK11" s="128">
        <v>1</v>
      </c>
      <c r="CL11" s="128">
        <v>1</v>
      </c>
      <c r="CM11" s="128">
        <v>1</v>
      </c>
      <c r="CN11" s="128">
        <v>1</v>
      </c>
      <c r="CO11" s="128">
        <v>1</v>
      </c>
      <c r="CP11" s="128">
        <v>1</v>
      </c>
      <c r="CQ11" s="128">
        <v>1</v>
      </c>
      <c r="CR11" s="128">
        <v>1</v>
      </c>
      <c r="CS11" s="128">
        <v>1</v>
      </c>
      <c r="CT11" s="128">
        <v>1</v>
      </c>
      <c r="CU11" s="128">
        <v>1</v>
      </c>
      <c r="CV11" s="128">
        <v>1</v>
      </c>
      <c r="CW11" s="128">
        <v>1</v>
      </c>
      <c r="CX11" s="128">
        <v>1</v>
      </c>
      <c r="CY11" s="128">
        <v>1</v>
      </c>
      <c r="CZ11" s="128">
        <v>1</v>
      </c>
      <c r="DA11" s="128">
        <v>1</v>
      </c>
      <c r="DB11" s="128">
        <v>1</v>
      </c>
      <c r="DC11" s="128">
        <v>1</v>
      </c>
      <c r="DD11" s="128">
        <v>1</v>
      </c>
      <c r="DE11" s="128">
        <v>1</v>
      </c>
      <c r="DF11" s="128">
        <v>1</v>
      </c>
      <c r="DG11" s="128">
        <v>1</v>
      </c>
      <c r="DH11" s="128">
        <v>1</v>
      </c>
      <c r="DI11" s="128">
        <v>1</v>
      </c>
      <c r="DJ11" s="128">
        <v>1</v>
      </c>
      <c r="DK11" s="128">
        <v>1</v>
      </c>
      <c r="DL11" s="128">
        <v>1</v>
      </c>
      <c r="DM11" s="128">
        <v>1</v>
      </c>
      <c r="DN11" s="128">
        <v>1</v>
      </c>
      <c r="DO11" s="128">
        <v>1</v>
      </c>
      <c r="DP11" s="128">
        <v>1</v>
      </c>
      <c r="DQ11" s="128">
        <v>1</v>
      </c>
      <c r="DR11" s="128">
        <v>1</v>
      </c>
      <c r="DS11" s="128">
        <v>1</v>
      </c>
      <c r="DT11" s="128">
        <v>1</v>
      </c>
      <c r="DU11" s="128">
        <v>1</v>
      </c>
      <c r="DV11" s="128">
        <v>1</v>
      </c>
      <c r="DW11" s="128">
        <v>1</v>
      </c>
      <c r="DX11" s="128">
        <v>1</v>
      </c>
      <c r="DY11" s="128">
        <v>1</v>
      </c>
      <c r="DZ11" s="128">
        <v>1</v>
      </c>
      <c r="EA11" s="128">
        <v>1</v>
      </c>
      <c r="EB11" s="128">
        <v>1</v>
      </c>
      <c r="EC11" s="128">
        <v>1</v>
      </c>
      <c r="ED11" s="128">
        <v>1</v>
      </c>
      <c r="EE11" s="128">
        <v>1</v>
      </c>
      <c r="EF11" s="128">
        <v>1</v>
      </c>
      <c r="EG11" s="128">
        <v>1</v>
      </c>
      <c r="EH11" s="128">
        <v>1</v>
      </c>
      <c r="EI11" s="128">
        <v>1</v>
      </c>
    </row>
    <row r="12" spans="2:144" hidden="1" outlineLevel="3" x14ac:dyDescent="0.3">
      <c r="B12" s="29"/>
      <c r="C12" s="30"/>
      <c r="D12" s="30"/>
      <c r="E12" s="52" t="s">
        <v>18</v>
      </c>
      <c r="F12" s="33">
        <v>40</v>
      </c>
      <c r="G12" s="35">
        <v>0.45977011494252873</v>
      </c>
      <c r="H12" s="53"/>
      <c r="I12" s="126">
        <v>0</v>
      </c>
      <c r="J12" s="127">
        <v>0.05</v>
      </c>
      <c r="K12" s="127">
        <v>0.2</v>
      </c>
      <c r="L12" s="127">
        <v>0.3</v>
      </c>
      <c r="M12" s="128">
        <v>0.5</v>
      </c>
      <c r="N12" s="128">
        <v>0.6</v>
      </c>
      <c r="O12" s="127">
        <v>1</v>
      </c>
      <c r="P12" s="127">
        <v>1</v>
      </c>
      <c r="Q12" s="127">
        <v>1</v>
      </c>
      <c r="R12" s="127">
        <v>1</v>
      </c>
      <c r="S12" s="127">
        <v>1</v>
      </c>
      <c r="T12" s="127">
        <v>1</v>
      </c>
      <c r="U12" s="127">
        <v>1</v>
      </c>
      <c r="V12" s="128">
        <v>1</v>
      </c>
      <c r="W12" s="128">
        <v>1</v>
      </c>
      <c r="X12" s="128">
        <v>1</v>
      </c>
      <c r="Y12" s="128">
        <v>1</v>
      </c>
      <c r="Z12" s="128">
        <v>1</v>
      </c>
      <c r="AA12" s="128">
        <v>1</v>
      </c>
      <c r="AB12" s="128">
        <v>1</v>
      </c>
      <c r="AC12" s="128">
        <v>1</v>
      </c>
      <c r="AD12" s="128">
        <v>1</v>
      </c>
      <c r="AE12" s="128">
        <v>1</v>
      </c>
      <c r="AF12" s="128">
        <v>1</v>
      </c>
      <c r="AG12" s="128">
        <v>1</v>
      </c>
      <c r="AH12" s="128">
        <v>1</v>
      </c>
      <c r="AI12" s="128">
        <v>1</v>
      </c>
      <c r="AJ12" s="128">
        <v>1</v>
      </c>
      <c r="AK12" s="128">
        <v>1</v>
      </c>
      <c r="AL12" s="128">
        <v>1</v>
      </c>
      <c r="AM12" s="128">
        <v>1</v>
      </c>
      <c r="AN12" s="128">
        <v>1</v>
      </c>
      <c r="AO12" s="128">
        <v>1</v>
      </c>
      <c r="AP12" s="128">
        <v>1</v>
      </c>
      <c r="AQ12" s="128">
        <v>1</v>
      </c>
      <c r="AR12" s="128">
        <v>1</v>
      </c>
      <c r="AS12" s="128">
        <v>1</v>
      </c>
      <c r="AT12" s="128">
        <v>1</v>
      </c>
      <c r="AU12" s="128">
        <v>1</v>
      </c>
      <c r="AV12" s="128">
        <v>1</v>
      </c>
      <c r="AW12" s="128">
        <v>1</v>
      </c>
      <c r="AX12" s="128">
        <v>1</v>
      </c>
      <c r="AY12" s="128">
        <v>1</v>
      </c>
      <c r="AZ12" s="128">
        <v>1</v>
      </c>
      <c r="BA12" s="128">
        <v>1</v>
      </c>
      <c r="BB12" s="128">
        <v>1</v>
      </c>
      <c r="BC12" s="128">
        <v>1</v>
      </c>
      <c r="BD12" s="128">
        <v>1</v>
      </c>
      <c r="BE12" s="128">
        <v>1</v>
      </c>
      <c r="BF12" s="128">
        <v>1</v>
      </c>
      <c r="BG12" s="128">
        <v>1</v>
      </c>
      <c r="BH12" s="128">
        <v>1</v>
      </c>
      <c r="BI12" s="128">
        <v>1</v>
      </c>
      <c r="BJ12" s="128">
        <v>1</v>
      </c>
      <c r="BK12" s="128">
        <v>1</v>
      </c>
      <c r="BL12" s="128">
        <v>1</v>
      </c>
      <c r="BM12" s="128">
        <v>1</v>
      </c>
      <c r="BN12" s="128">
        <v>1</v>
      </c>
      <c r="BO12" s="128">
        <v>1</v>
      </c>
      <c r="BP12" s="128">
        <v>1</v>
      </c>
      <c r="BQ12" s="128">
        <v>1</v>
      </c>
      <c r="BR12" s="128">
        <v>1</v>
      </c>
      <c r="BS12" s="128">
        <v>1</v>
      </c>
      <c r="BT12" s="128">
        <v>1</v>
      </c>
      <c r="BU12" s="128">
        <v>1</v>
      </c>
      <c r="BV12" s="128">
        <v>1</v>
      </c>
      <c r="BW12" s="128">
        <v>1</v>
      </c>
      <c r="BX12" s="128">
        <v>1</v>
      </c>
      <c r="BY12" s="128">
        <v>1</v>
      </c>
      <c r="BZ12" s="128">
        <v>1</v>
      </c>
      <c r="CA12" s="128">
        <v>1</v>
      </c>
      <c r="CB12" s="128">
        <v>1</v>
      </c>
      <c r="CC12" s="128">
        <v>1</v>
      </c>
      <c r="CD12" s="128">
        <v>1</v>
      </c>
      <c r="CE12" s="128">
        <v>1</v>
      </c>
      <c r="CF12" s="128">
        <v>1</v>
      </c>
      <c r="CG12" s="128">
        <v>1</v>
      </c>
      <c r="CH12" s="128">
        <v>1</v>
      </c>
      <c r="CI12" s="128">
        <v>1</v>
      </c>
      <c r="CJ12" s="128">
        <v>1</v>
      </c>
      <c r="CK12" s="128">
        <v>1</v>
      </c>
      <c r="CL12" s="128">
        <v>1</v>
      </c>
      <c r="CM12" s="128">
        <v>1</v>
      </c>
      <c r="CN12" s="128">
        <v>1</v>
      </c>
      <c r="CO12" s="128">
        <v>1</v>
      </c>
      <c r="CP12" s="128">
        <v>1</v>
      </c>
      <c r="CQ12" s="128">
        <v>1</v>
      </c>
      <c r="CR12" s="128">
        <v>1</v>
      </c>
      <c r="CS12" s="128">
        <v>1</v>
      </c>
      <c r="CT12" s="128">
        <v>1</v>
      </c>
      <c r="CU12" s="128">
        <v>1</v>
      </c>
      <c r="CV12" s="128">
        <v>1</v>
      </c>
      <c r="CW12" s="128">
        <v>1</v>
      </c>
      <c r="CX12" s="128">
        <v>1</v>
      </c>
      <c r="CY12" s="128">
        <v>1</v>
      </c>
      <c r="CZ12" s="128">
        <v>1</v>
      </c>
      <c r="DA12" s="128">
        <v>1</v>
      </c>
      <c r="DB12" s="128">
        <v>1</v>
      </c>
      <c r="DC12" s="128">
        <v>1</v>
      </c>
      <c r="DD12" s="128">
        <v>1</v>
      </c>
      <c r="DE12" s="128">
        <v>1</v>
      </c>
      <c r="DF12" s="128">
        <v>1</v>
      </c>
      <c r="DG12" s="128">
        <v>1</v>
      </c>
      <c r="DH12" s="128">
        <v>1</v>
      </c>
      <c r="DI12" s="128">
        <v>1</v>
      </c>
      <c r="DJ12" s="128">
        <v>1</v>
      </c>
      <c r="DK12" s="128">
        <v>1</v>
      </c>
      <c r="DL12" s="128">
        <v>1</v>
      </c>
      <c r="DM12" s="128">
        <v>1</v>
      </c>
      <c r="DN12" s="128">
        <v>1</v>
      </c>
      <c r="DO12" s="128">
        <v>1</v>
      </c>
      <c r="DP12" s="128">
        <v>1</v>
      </c>
      <c r="DQ12" s="128">
        <v>1</v>
      </c>
      <c r="DR12" s="128">
        <v>1</v>
      </c>
      <c r="DS12" s="128">
        <v>1</v>
      </c>
      <c r="DT12" s="128">
        <v>1</v>
      </c>
      <c r="DU12" s="128">
        <v>1</v>
      </c>
      <c r="DV12" s="128">
        <v>1</v>
      </c>
      <c r="DW12" s="128">
        <v>1</v>
      </c>
      <c r="DX12" s="128">
        <v>1</v>
      </c>
      <c r="DY12" s="128">
        <v>1</v>
      </c>
      <c r="DZ12" s="128">
        <v>1</v>
      </c>
      <c r="EA12" s="128">
        <v>1</v>
      </c>
      <c r="EB12" s="128">
        <v>1</v>
      </c>
      <c r="EC12" s="128">
        <v>1</v>
      </c>
      <c r="ED12" s="128">
        <v>1</v>
      </c>
      <c r="EE12" s="128">
        <v>1</v>
      </c>
      <c r="EF12" s="128">
        <v>1</v>
      </c>
      <c r="EG12" s="128">
        <v>1</v>
      </c>
      <c r="EH12" s="128">
        <v>1</v>
      </c>
      <c r="EI12" s="128">
        <v>1</v>
      </c>
    </row>
    <row r="13" spans="2:144" ht="16.8" hidden="1" outlineLevel="1" collapsed="1" x14ac:dyDescent="0.3">
      <c r="B13" s="15"/>
      <c r="C13" s="16" t="s">
        <v>19</v>
      </c>
      <c r="D13" s="16"/>
      <c r="E13" s="48"/>
      <c r="F13" s="19">
        <f>+F14+F17+F24+F26+F34+F38+F41+F43+F48+F58+F72+F74</f>
        <v>1775</v>
      </c>
      <c r="G13" s="21">
        <v>0.77282549416377599</v>
      </c>
      <c r="H13" s="49"/>
      <c r="I13" s="124">
        <f>+I14*$G$14+I17*$G$17+I24*$G$24+I26*$G$26+I34*$G$34+I38*$G$38+I41*$G$41+I43*$G$43+I48*$G$48+I58*$G$58+I72*$G$72+I74*$G$74</f>
        <v>0</v>
      </c>
      <c r="J13" s="21">
        <f>+J14*$G$14+J17*$G$17+J24*$G$24+J26*$G$26+J34*$G$34+J38*$G$38+J41*$G$41+J43*$G$43+J48*$G$48+J58*$G$58+J72*$G$72+J74*$G$74</f>
        <v>5.3986962477996139E-4</v>
      </c>
      <c r="K13" s="21">
        <f t="shared" ref="K13:BB13" si="92">+K14*$G$14+K17*$G$17+K24*$G$24+K26*$G$26+K34*$G$34+K38*$G$38+K41*$G$41+K43*$G$43+K48*$G$48+K58*$G$58+K72*$G$72+K74*$G$74</f>
        <v>1.0914668926610568E-3</v>
      </c>
      <c r="L13" s="21">
        <f t="shared" si="92"/>
        <v>2.5762419941652188E-3</v>
      </c>
      <c r="M13" s="63">
        <f t="shared" si="92"/>
        <v>4.0823564205607664E-3</v>
      </c>
      <c r="N13" s="63">
        <f t="shared" si="92"/>
        <v>5.3810507023992239E-3</v>
      </c>
      <c r="O13" s="21">
        <f>+O14*$G$14+O17*$G$17+O24*$G$24+O26*$G$26+O34*$G$34+O38*$G$38+O41*$G$41+O43*$G$43+O48*$G$48+O58*$G$58+O72*$G$72+O74*$G$74</f>
        <v>2.1646270550170994E-2</v>
      </c>
      <c r="P13" s="21">
        <f t="shared" si="92"/>
        <v>4.6910127539881469E-2</v>
      </c>
      <c r="Q13" s="21">
        <f t="shared" si="92"/>
        <v>8.1176780469240692E-2</v>
      </c>
      <c r="R13" s="21">
        <f t="shared" si="92"/>
        <v>9.9084351568841877E-2</v>
      </c>
      <c r="S13" s="21">
        <f t="shared" si="92"/>
        <v>0.14595810273815393</v>
      </c>
      <c r="T13" s="21">
        <f t="shared" si="92"/>
        <v>0.15184483208704802</v>
      </c>
      <c r="U13" s="21">
        <f t="shared" si="92"/>
        <v>0.17747798110847807</v>
      </c>
      <c r="V13" s="21">
        <f t="shared" si="92"/>
        <v>0.19525694282220687</v>
      </c>
      <c r="W13" s="21">
        <f t="shared" si="92"/>
        <v>0.20552526791357717</v>
      </c>
      <c r="X13" s="21">
        <f t="shared" si="92"/>
        <v>0.21810966328090151</v>
      </c>
      <c r="Y13" s="21">
        <f t="shared" si="92"/>
        <v>0.24881461678397965</v>
      </c>
      <c r="Z13" s="21">
        <f t="shared" si="92"/>
        <v>0.28748286374451876</v>
      </c>
      <c r="AA13" s="21">
        <f t="shared" si="92"/>
        <v>0.32452651571883234</v>
      </c>
      <c r="AB13" s="21">
        <f t="shared" si="92"/>
        <v>0.34628853894604605</v>
      </c>
      <c r="AC13" s="21">
        <f t="shared" si="92"/>
        <v>0.37695697719304799</v>
      </c>
      <c r="AD13" s="21">
        <f t="shared" si="92"/>
        <v>0.39633601580674849</v>
      </c>
      <c r="AE13" s="21">
        <f t="shared" si="92"/>
        <v>0.42373299725857255</v>
      </c>
      <c r="AF13" s="21">
        <f t="shared" si="92"/>
        <v>0.43918860721210362</v>
      </c>
      <c r="AG13" s="21">
        <f t="shared" si="92"/>
        <v>0.46438523117898528</v>
      </c>
      <c r="AH13" s="21">
        <f t="shared" si="92"/>
        <v>0.47183938519262214</v>
      </c>
      <c r="AI13" s="21">
        <f>+AI14*$G$14+AI17*$G$17+AI24*$G$24+AI26*$G$26+AI34*$G$34+AI38*$G$38+AI41*$G$41+AI43*$G$43+AI48*$G$48+AI58*$G$58+AI72*$G$72+AI74*$G$74</f>
        <v>0.47183938519262214</v>
      </c>
      <c r="AJ13" s="21">
        <f>+AJ14*$G$14+AJ17*$G$17+AJ24*$G$24+AJ26*$G$26+AJ34*$G$34+AJ38*$G$38+AJ41*$G$41+AJ43*$G$43+AJ48*$G$48+AJ58*$G$58+AJ72*$G$72+AJ74*$G$74</f>
        <v>0.47183938519262214</v>
      </c>
      <c r="AK13" s="21">
        <f t="shared" si="92"/>
        <v>0.47746679346783022</v>
      </c>
      <c r="AL13" s="21">
        <f>+AL14*$G$14+AL17*$G$17+AL24*$G$24+AL26*$G$26+AL34*$G$34+AL38*$G$38+AL41*$G$41+AL43*$G$43+AL48*$G$48+AL58*$G$58+AL72*$G$72+AL74*$G$74</f>
        <v>0.48886881336448734</v>
      </c>
      <c r="AM13" s="21">
        <f t="shared" si="92"/>
        <v>0.49714512691148782</v>
      </c>
      <c r="AN13" s="21">
        <f t="shared" si="92"/>
        <v>0.5040198838722425</v>
      </c>
      <c r="AO13" s="21">
        <f t="shared" si="92"/>
        <v>0.52529883574855973</v>
      </c>
      <c r="AP13" s="21">
        <f t="shared" si="92"/>
        <v>0.54369533656080726</v>
      </c>
      <c r="AQ13" s="21">
        <f t="shared" si="92"/>
        <v>0.56092574318126864</v>
      </c>
      <c r="AR13" s="21">
        <f t="shared" si="92"/>
        <v>0.57969555889450497</v>
      </c>
      <c r="AS13" s="21">
        <f t="shared" si="92"/>
        <v>0.58236171696556649</v>
      </c>
      <c r="AT13" s="21">
        <f t="shared" si="92"/>
        <v>0.58552634757849054</v>
      </c>
      <c r="AU13" s="21">
        <f t="shared" si="92"/>
        <v>0.58788967894422817</v>
      </c>
      <c r="AV13" s="21">
        <f t="shared" si="92"/>
        <v>0.59881684875112884</v>
      </c>
      <c r="AW13" s="21">
        <f t="shared" si="92"/>
        <v>0.61287335738017867</v>
      </c>
      <c r="AX13" s="21">
        <f t="shared" si="92"/>
        <v>0.62579105515127109</v>
      </c>
      <c r="AY13" s="21">
        <f t="shared" si="92"/>
        <v>0.62579105515127109</v>
      </c>
      <c r="AZ13" s="21">
        <f t="shared" si="92"/>
        <v>0.6379334411569737</v>
      </c>
      <c r="BA13" s="21">
        <f t="shared" si="92"/>
        <v>0.65284673933339754</v>
      </c>
      <c r="BB13" s="21">
        <f t="shared" si="92"/>
        <v>0.66007606194541579</v>
      </c>
      <c r="BC13" s="21">
        <f t="shared" ref="BC13:CE13" si="93">+BC14*$G$14+BC17*$G$17+BC24*$G$24+BC26*$G$26+BC34*$G$34+BC38*$G$38+BC41*$G$41+BC43*$G$43+BC48*$G$48+BC58*$G$58+BC72*$G$72+BC74*$G$74</f>
        <v>0.66852624283001383</v>
      </c>
      <c r="BD13" s="21">
        <f t="shared" si="93"/>
        <v>0.6782290478337667</v>
      </c>
      <c r="BE13" s="21">
        <f t="shared" si="93"/>
        <v>0.68835172297150993</v>
      </c>
      <c r="BF13" s="21">
        <f t="shared" si="93"/>
        <v>0.69917121242191194</v>
      </c>
      <c r="BG13" s="21">
        <f t="shared" si="93"/>
        <v>0.70960155347287346</v>
      </c>
      <c r="BH13" s="21">
        <f t="shared" si="93"/>
        <v>0.71898303238851868</v>
      </c>
      <c r="BI13" s="21">
        <f t="shared" si="93"/>
        <v>0.72689527634137807</v>
      </c>
      <c r="BJ13" s="21">
        <f t="shared" si="93"/>
        <v>0.73619509378123149</v>
      </c>
      <c r="BK13" s="21">
        <f t="shared" si="93"/>
        <v>0.74612129143795625</v>
      </c>
      <c r="BL13" s="21">
        <f t="shared" si="93"/>
        <v>0.75718039629961453</v>
      </c>
      <c r="BM13" s="21">
        <f t="shared" si="93"/>
        <v>0.76733577946163534</v>
      </c>
      <c r="BN13" s="21">
        <f t="shared" si="93"/>
        <v>0.77740066799601248</v>
      </c>
      <c r="BO13" s="21">
        <f t="shared" si="93"/>
        <v>0.78861542975541654</v>
      </c>
      <c r="BP13" s="21">
        <f t="shared" si="93"/>
        <v>0.7996296172737879</v>
      </c>
      <c r="BQ13" s="21">
        <f t="shared" si="93"/>
        <v>0.81122676566769414</v>
      </c>
      <c r="BR13" s="21">
        <f t="shared" si="93"/>
        <v>0.82316123814166919</v>
      </c>
      <c r="BS13" s="21">
        <f t="shared" si="93"/>
        <v>0.83929826506814464</v>
      </c>
      <c r="BT13" s="21">
        <f t="shared" si="93"/>
        <v>0.85543529199461998</v>
      </c>
      <c r="BU13" s="21">
        <f t="shared" si="93"/>
        <v>0.87160979937443639</v>
      </c>
      <c r="BV13" s="21">
        <f t="shared" si="93"/>
        <v>0.88753804908468326</v>
      </c>
      <c r="BW13" s="21">
        <f t="shared" si="93"/>
        <v>0.90271507682422447</v>
      </c>
      <c r="BX13" s="21">
        <f t="shared" si="93"/>
        <v>0.91457847800546621</v>
      </c>
      <c r="BY13" s="21">
        <f t="shared" si="93"/>
        <v>0.92644187918670817</v>
      </c>
      <c r="BZ13" s="21">
        <f t="shared" si="93"/>
        <v>0.93830528036795002</v>
      </c>
      <c r="CA13" s="21">
        <f t="shared" si="93"/>
        <v>0.94736622122679826</v>
      </c>
      <c r="CB13" s="21">
        <f t="shared" si="93"/>
        <v>0.95665809771908872</v>
      </c>
      <c r="CC13" s="21">
        <f t="shared" si="93"/>
        <v>0.9660651479879504</v>
      </c>
      <c r="CD13" s="21">
        <f t="shared" si="93"/>
        <v>0.97428350229661764</v>
      </c>
      <c r="CE13" s="21">
        <f t="shared" si="93"/>
        <v>0.97812289105803907</v>
      </c>
      <c r="CF13" s="21">
        <f t="shared" ref="CF13:CI13" si="94">+CF14*$G$14+CF17*$G$17+CF24*$G$24+CF26*$G$26+CF34*$G$34+CF38*$G$38+CF41*$G$41+CF43*$G$43+CF48*$G$48+CF58*$G$58+CF72*$G$72+CF74*$G$74</f>
        <v>0.99962519546659001</v>
      </c>
      <c r="CG13" s="21">
        <f t="shared" si="94"/>
        <v>1</v>
      </c>
      <c r="CH13" s="21">
        <f t="shared" si="94"/>
        <v>1</v>
      </c>
      <c r="CI13" s="21">
        <f t="shared" si="94"/>
        <v>1</v>
      </c>
      <c r="CJ13" s="21">
        <f t="shared" ref="CJ13:CK13" si="95">+CJ14*$G$14+CJ17*$G$17+CJ24*$G$24+CJ26*$G$26+CJ34*$G$34+CJ38*$G$38+CJ41*$G$41+CJ43*$G$43+CJ48*$G$48+CJ58*$G$58+CJ72*$G$72+CJ74*$G$74</f>
        <v>1</v>
      </c>
      <c r="CK13" s="21">
        <f t="shared" si="95"/>
        <v>1</v>
      </c>
      <c r="CL13" s="21">
        <f t="shared" ref="CL13" si="96">+CL14*$G$14+CL17*$G$17+CL24*$G$24+CL26*$G$26+CL34*$G$34+CL38*$G$38+CL41*$G$41+CL43*$G$43+CL48*$G$48+CL58*$G$58+CL72*$G$72+CL74*$G$74</f>
        <v>1</v>
      </c>
      <c r="CM13" s="21">
        <f t="shared" ref="CM13:CV13" si="97">+CM14*$G$14+CM17*$G$17+CM24*$G$24+CM26*$G$26+CM34*$G$34+CM38*$G$38+CM41*$G$41+CM43*$G$43+CM48*$G$48+CM58*$G$58+CM72*$G$72+CM74*$G$74</f>
        <v>1</v>
      </c>
      <c r="CN13" s="21">
        <f t="shared" si="97"/>
        <v>1</v>
      </c>
      <c r="CO13" s="21">
        <f t="shared" si="97"/>
        <v>1</v>
      </c>
      <c r="CP13" s="21">
        <f t="shared" si="97"/>
        <v>1</v>
      </c>
      <c r="CQ13" s="21">
        <f t="shared" si="97"/>
        <v>1</v>
      </c>
      <c r="CR13" s="21">
        <f t="shared" si="97"/>
        <v>1</v>
      </c>
      <c r="CS13" s="21">
        <f t="shared" si="97"/>
        <v>1</v>
      </c>
      <c r="CT13" s="21">
        <f t="shared" si="97"/>
        <v>1</v>
      </c>
      <c r="CU13" s="21">
        <f t="shared" si="97"/>
        <v>1</v>
      </c>
      <c r="CV13" s="21">
        <f t="shared" si="97"/>
        <v>1</v>
      </c>
      <c r="CW13" s="21">
        <f t="shared" ref="CW13" si="98">+CW14*$G$14+CW17*$G$17+CW24*$G$24+CW26*$G$26+CW34*$G$34+CW38*$G$38+CW41*$G$41+CW43*$G$43+CW48*$G$48+CW58*$G$58+CW72*$G$72+CW74*$G$74</f>
        <v>1</v>
      </c>
      <c r="CX13" s="21">
        <f t="shared" ref="CX13:CY13" si="99">+CX14*$G$14+CX17*$G$17+CX24*$G$24+CX26*$G$26+CX34*$G$34+CX38*$G$38+CX41*$G$41+CX43*$G$43+CX48*$G$48+CX58*$G$58+CX72*$G$72+CX74*$G$74</f>
        <v>1</v>
      </c>
      <c r="CY13" s="21">
        <f t="shared" si="99"/>
        <v>1</v>
      </c>
      <c r="CZ13" s="21">
        <f t="shared" ref="CZ13:DA13" si="100">+CZ14*$G$14+CZ17*$G$17+CZ24*$G$24+CZ26*$G$26+CZ34*$G$34+CZ38*$G$38+CZ41*$G$41+CZ43*$G$43+CZ48*$G$48+CZ58*$G$58+CZ72*$G$72+CZ74*$G$74</f>
        <v>1</v>
      </c>
      <c r="DA13" s="21">
        <f t="shared" si="100"/>
        <v>1</v>
      </c>
      <c r="DB13" s="21">
        <f t="shared" ref="DB13:DC13" si="101">+DB14*$G$14+DB17*$G$17+DB24*$G$24+DB26*$G$26+DB34*$G$34+DB38*$G$38+DB41*$G$41+DB43*$G$43+DB48*$G$48+DB58*$G$58+DB72*$G$72+DB74*$G$74</f>
        <v>1</v>
      </c>
      <c r="DC13" s="21">
        <f t="shared" si="101"/>
        <v>1</v>
      </c>
      <c r="DD13" s="21">
        <f t="shared" ref="DD13:DE13" si="102">+DD14*$G$14+DD17*$G$17+DD24*$G$24+DD26*$G$26+DD34*$G$34+DD38*$G$38+DD41*$G$41+DD43*$G$43+DD48*$G$48+DD58*$G$58+DD72*$G$72+DD74*$G$74</f>
        <v>1</v>
      </c>
      <c r="DE13" s="21">
        <f t="shared" si="102"/>
        <v>1</v>
      </c>
      <c r="DF13" s="21">
        <f t="shared" ref="DF13:DJ13" si="103">+DF14*$G$14+DF17*$G$17+DF24*$G$24+DF26*$G$26+DF34*$G$34+DF38*$G$38+DF41*$G$41+DF43*$G$43+DF48*$G$48+DF58*$G$58+DF72*$G$72+DF74*$G$74</f>
        <v>1</v>
      </c>
      <c r="DG13" s="21">
        <f t="shared" si="103"/>
        <v>1</v>
      </c>
      <c r="DH13" s="21">
        <f t="shared" si="103"/>
        <v>1</v>
      </c>
      <c r="DI13" s="21">
        <f t="shared" si="103"/>
        <v>1</v>
      </c>
      <c r="DJ13" s="21">
        <f t="shared" si="103"/>
        <v>1</v>
      </c>
      <c r="DK13" s="21">
        <f t="shared" ref="DK13:EI13" si="104">+DK14*$G$14+DK17*$G$17+DK24*$G$24+DK26*$G$26+DK34*$G$34+DK38*$G$38+DK41*$G$41+DK43*$G$43+DK48*$G$48+DK58*$G$58+DK72*$G$72+DK74*$G$74</f>
        <v>1</v>
      </c>
      <c r="DL13" s="21">
        <f t="shared" si="104"/>
        <v>1</v>
      </c>
      <c r="DM13" s="21">
        <f t="shared" si="104"/>
        <v>1</v>
      </c>
      <c r="DN13" s="21">
        <f t="shared" si="104"/>
        <v>1</v>
      </c>
      <c r="DO13" s="21">
        <f t="shared" si="104"/>
        <v>1</v>
      </c>
      <c r="DP13" s="21">
        <f t="shared" si="104"/>
        <v>1</v>
      </c>
      <c r="DQ13" s="21">
        <f t="shared" si="104"/>
        <v>1</v>
      </c>
      <c r="DR13" s="21">
        <f t="shared" si="104"/>
        <v>1</v>
      </c>
      <c r="DS13" s="21">
        <f t="shared" si="104"/>
        <v>1</v>
      </c>
      <c r="DT13" s="21">
        <f t="shared" si="104"/>
        <v>1</v>
      </c>
      <c r="DU13" s="21">
        <f t="shared" si="104"/>
        <v>1</v>
      </c>
      <c r="DV13" s="21">
        <f t="shared" si="104"/>
        <v>1</v>
      </c>
      <c r="DW13" s="21">
        <f t="shared" si="104"/>
        <v>1</v>
      </c>
      <c r="DX13" s="21">
        <f t="shared" si="104"/>
        <v>1</v>
      </c>
      <c r="DY13" s="21">
        <f t="shared" si="104"/>
        <v>1</v>
      </c>
      <c r="DZ13" s="21">
        <f t="shared" si="104"/>
        <v>1</v>
      </c>
      <c r="EA13" s="21">
        <f t="shared" si="104"/>
        <v>1</v>
      </c>
      <c r="EB13" s="21">
        <f t="shared" si="104"/>
        <v>1</v>
      </c>
      <c r="EC13" s="21">
        <f t="shared" si="104"/>
        <v>1</v>
      </c>
      <c r="ED13" s="21">
        <f t="shared" si="104"/>
        <v>1</v>
      </c>
      <c r="EE13" s="21">
        <f t="shared" si="104"/>
        <v>1</v>
      </c>
      <c r="EF13" s="21">
        <f t="shared" si="104"/>
        <v>1</v>
      </c>
      <c r="EG13" s="21">
        <f t="shared" si="104"/>
        <v>1</v>
      </c>
      <c r="EH13" s="21">
        <f t="shared" si="104"/>
        <v>1</v>
      </c>
      <c r="EI13" s="21">
        <f t="shared" si="104"/>
        <v>1</v>
      </c>
    </row>
    <row r="14" spans="2:144" ht="15" hidden="1" outlineLevel="2" collapsed="1" x14ac:dyDescent="0.3">
      <c r="B14" s="22"/>
      <c r="C14" s="23"/>
      <c r="D14" s="23" t="s">
        <v>13</v>
      </c>
      <c r="E14" s="50"/>
      <c r="F14" s="26">
        <f>+SUM(F15:F16)</f>
        <v>75</v>
      </c>
      <c r="G14" s="28">
        <v>0.02</v>
      </c>
      <c r="H14" s="51"/>
      <c r="I14" s="125">
        <f>+SUMPRODUCT($G$15:$G$16,I15:I16)</f>
        <v>0</v>
      </c>
      <c r="J14" s="28">
        <f>+SUMPRODUCT($G$15:$G$16,J15:J16)</f>
        <v>2.6666666666666668E-2</v>
      </c>
      <c r="K14" s="28">
        <f t="shared" ref="K14:BB14" si="105">+SUMPRODUCT($G$15:$G$16,K15:K16)</f>
        <v>5.3333333333333337E-2</v>
      </c>
      <c r="L14" s="28">
        <f t="shared" si="105"/>
        <v>0.10666666666666667</v>
      </c>
      <c r="M14" s="64">
        <f t="shared" si="105"/>
        <v>0.16</v>
      </c>
      <c r="N14" s="64">
        <f t="shared" si="105"/>
        <v>0.21333333333333335</v>
      </c>
      <c r="O14" s="28">
        <f t="shared" si="105"/>
        <v>0.24</v>
      </c>
      <c r="P14" s="28">
        <f t="shared" si="105"/>
        <v>0.26666666666666666</v>
      </c>
      <c r="Q14" s="28">
        <f t="shared" si="105"/>
        <v>0.26666666666666666</v>
      </c>
      <c r="R14" s="28">
        <f t="shared" si="105"/>
        <v>0.37666666666666665</v>
      </c>
      <c r="S14" s="28">
        <f t="shared" si="105"/>
        <v>0.38547505627554857</v>
      </c>
      <c r="T14" s="28">
        <f t="shared" si="105"/>
        <v>0.43226925434798685</v>
      </c>
      <c r="U14" s="28">
        <f t="shared" si="105"/>
        <v>0.43226925434798685</v>
      </c>
      <c r="V14" s="28">
        <f t="shared" si="105"/>
        <v>0.53840172512088014</v>
      </c>
      <c r="W14" s="28">
        <f t="shared" si="105"/>
        <v>0.71007801178546359</v>
      </c>
      <c r="X14" s="28">
        <f t="shared" si="105"/>
        <v>0.76590619178134478</v>
      </c>
      <c r="Y14" s="28">
        <f t="shared" si="105"/>
        <v>0.82274736632022716</v>
      </c>
      <c r="Z14" s="28">
        <f t="shared" si="105"/>
        <v>1</v>
      </c>
      <c r="AA14" s="28">
        <f t="shared" si="105"/>
        <v>1</v>
      </c>
      <c r="AB14" s="28">
        <f t="shared" si="105"/>
        <v>1</v>
      </c>
      <c r="AC14" s="28">
        <f t="shared" si="105"/>
        <v>1</v>
      </c>
      <c r="AD14" s="28">
        <f t="shared" si="105"/>
        <v>1</v>
      </c>
      <c r="AE14" s="28">
        <f t="shared" si="105"/>
        <v>1</v>
      </c>
      <c r="AF14" s="28">
        <f t="shared" si="105"/>
        <v>1</v>
      </c>
      <c r="AG14" s="28">
        <f t="shared" si="105"/>
        <v>1</v>
      </c>
      <c r="AH14" s="28">
        <f t="shared" si="105"/>
        <v>1</v>
      </c>
      <c r="AI14" s="28">
        <f>+SUMPRODUCT($G$15:$G$16,AI15:AI16)</f>
        <v>1</v>
      </c>
      <c r="AJ14" s="28">
        <f>+SUMPRODUCT($G$15:$G$16,AJ15:AJ16)</f>
        <v>1</v>
      </c>
      <c r="AK14" s="28">
        <f t="shared" si="105"/>
        <v>1</v>
      </c>
      <c r="AL14" s="28">
        <f>+SUMPRODUCT($G$15:$G$16,AL15:AL16)</f>
        <v>1</v>
      </c>
      <c r="AM14" s="28">
        <f t="shared" si="105"/>
        <v>1</v>
      </c>
      <c r="AN14" s="28">
        <f t="shared" si="105"/>
        <v>1</v>
      </c>
      <c r="AO14" s="28">
        <f t="shared" si="105"/>
        <v>1</v>
      </c>
      <c r="AP14" s="28">
        <f t="shared" si="105"/>
        <v>1</v>
      </c>
      <c r="AQ14" s="28">
        <f t="shared" si="105"/>
        <v>1</v>
      </c>
      <c r="AR14" s="28">
        <f t="shared" si="105"/>
        <v>1</v>
      </c>
      <c r="AS14" s="28">
        <f t="shared" si="105"/>
        <v>1</v>
      </c>
      <c r="AT14" s="28">
        <f t="shared" si="105"/>
        <v>1</v>
      </c>
      <c r="AU14" s="28">
        <f t="shared" si="105"/>
        <v>1</v>
      </c>
      <c r="AV14" s="28">
        <f t="shared" si="105"/>
        <v>1</v>
      </c>
      <c r="AW14" s="28">
        <f t="shared" si="105"/>
        <v>1</v>
      </c>
      <c r="AX14" s="28">
        <f t="shared" si="105"/>
        <v>1</v>
      </c>
      <c r="AY14" s="28">
        <f t="shared" si="105"/>
        <v>1</v>
      </c>
      <c r="AZ14" s="28">
        <f t="shared" si="105"/>
        <v>1</v>
      </c>
      <c r="BA14" s="28">
        <f t="shared" si="105"/>
        <v>1</v>
      </c>
      <c r="BB14" s="28">
        <f t="shared" si="105"/>
        <v>1</v>
      </c>
      <c r="BC14" s="28">
        <f t="shared" ref="BC14:CE14" si="106">+SUMPRODUCT($G$15:$G$16,BC15:BC16)</f>
        <v>1</v>
      </c>
      <c r="BD14" s="28">
        <f t="shared" si="106"/>
        <v>1</v>
      </c>
      <c r="BE14" s="28">
        <f t="shared" si="106"/>
        <v>1</v>
      </c>
      <c r="BF14" s="28">
        <f t="shared" si="106"/>
        <v>1</v>
      </c>
      <c r="BG14" s="28">
        <f t="shared" si="106"/>
        <v>1</v>
      </c>
      <c r="BH14" s="28">
        <f t="shared" si="106"/>
        <v>1</v>
      </c>
      <c r="BI14" s="28">
        <f t="shared" si="106"/>
        <v>1</v>
      </c>
      <c r="BJ14" s="28">
        <f t="shared" si="106"/>
        <v>1</v>
      </c>
      <c r="BK14" s="28">
        <f t="shared" si="106"/>
        <v>1</v>
      </c>
      <c r="BL14" s="28">
        <f t="shared" si="106"/>
        <v>1</v>
      </c>
      <c r="BM14" s="28">
        <f t="shared" si="106"/>
        <v>1</v>
      </c>
      <c r="BN14" s="28">
        <f t="shared" si="106"/>
        <v>1</v>
      </c>
      <c r="BO14" s="28">
        <f t="shared" si="106"/>
        <v>1</v>
      </c>
      <c r="BP14" s="28">
        <f t="shared" si="106"/>
        <v>1</v>
      </c>
      <c r="BQ14" s="28">
        <f t="shared" si="106"/>
        <v>1</v>
      </c>
      <c r="BR14" s="28">
        <f t="shared" si="106"/>
        <v>1</v>
      </c>
      <c r="BS14" s="28">
        <f t="shared" si="106"/>
        <v>1</v>
      </c>
      <c r="BT14" s="28">
        <f t="shared" si="106"/>
        <v>1</v>
      </c>
      <c r="BU14" s="28">
        <f t="shared" si="106"/>
        <v>1</v>
      </c>
      <c r="BV14" s="28">
        <f t="shared" si="106"/>
        <v>1</v>
      </c>
      <c r="BW14" s="28">
        <f t="shared" si="106"/>
        <v>1</v>
      </c>
      <c r="BX14" s="28">
        <f t="shared" si="106"/>
        <v>1</v>
      </c>
      <c r="BY14" s="28">
        <f t="shared" si="106"/>
        <v>1</v>
      </c>
      <c r="BZ14" s="28">
        <f t="shared" si="106"/>
        <v>1</v>
      </c>
      <c r="CA14" s="28">
        <f t="shared" si="106"/>
        <v>1</v>
      </c>
      <c r="CB14" s="28">
        <f t="shared" si="106"/>
        <v>1</v>
      </c>
      <c r="CC14" s="28">
        <f t="shared" si="106"/>
        <v>1</v>
      </c>
      <c r="CD14" s="28">
        <f t="shared" si="106"/>
        <v>1</v>
      </c>
      <c r="CE14" s="28">
        <f t="shared" si="106"/>
        <v>1</v>
      </c>
      <c r="CF14" s="28">
        <f t="shared" ref="CF14:CI14" si="107">+SUMPRODUCT($G$15:$G$16,CF15:CF16)</f>
        <v>1</v>
      </c>
      <c r="CG14" s="28">
        <f t="shared" si="107"/>
        <v>1</v>
      </c>
      <c r="CH14" s="28">
        <f t="shared" si="107"/>
        <v>1</v>
      </c>
      <c r="CI14" s="28">
        <f t="shared" si="107"/>
        <v>1</v>
      </c>
      <c r="CJ14" s="28">
        <f t="shared" ref="CJ14:CK14" si="108">+SUMPRODUCT($G$15:$G$16,CJ15:CJ16)</f>
        <v>1</v>
      </c>
      <c r="CK14" s="28">
        <f t="shared" si="108"/>
        <v>1</v>
      </c>
      <c r="CL14" s="28">
        <f t="shared" ref="CL14" si="109">+SUMPRODUCT($G$15:$G$16,CL15:CL16)</f>
        <v>1</v>
      </c>
      <c r="CM14" s="28">
        <f t="shared" ref="CM14:CV14" si="110">+SUMPRODUCT($G$15:$G$16,CM15:CM16)</f>
        <v>1</v>
      </c>
      <c r="CN14" s="28">
        <f t="shared" si="110"/>
        <v>1</v>
      </c>
      <c r="CO14" s="28">
        <f t="shared" si="110"/>
        <v>1</v>
      </c>
      <c r="CP14" s="28">
        <f t="shared" si="110"/>
        <v>1</v>
      </c>
      <c r="CQ14" s="28">
        <f t="shared" si="110"/>
        <v>1</v>
      </c>
      <c r="CR14" s="28">
        <f t="shared" si="110"/>
        <v>1</v>
      </c>
      <c r="CS14" s="28">
        <f t="shared" si="110"/>
        <v>1</v>
      </c>
      <c r="CT14" s="28">
        <f t="shared" si="110"/>
        <v>1</v>
      </c>
      <c r="CU14" s="28">
        <f t="shared" si="110"/>
        <v>1</v>
      </c>
      <c r="CV14" s="28">
        <f t="shared" si="110"/>
        <v>1</v>
      </c>
      <c r="CW14" s="28">
        <f t="shared" ref="CW14" si="111">+SUMPRODUCT($G$15:$G$16,CW15:CW16)</f>
        <v>1</v>
      </c>
      <c r="CX14" s="28">
        <f t="shared" ref="CX14:CY14" si="112">+SUMPRODUCT($G$15:$G$16,CX15:CX16)</f>
        <v>1</v>
      </c>
      <c r="CY14" s="28">
        <f t="shared" si="112"/>
        <v>1</v>
      </c>
      <c r="CZ14" s="28">
        <f t="shared" ref="CZ14:DA14" si="113">+SUMPRODUCT($G$15:$G$16,CZ15:CZ16)</f>
        <v>1</v>
      </c>
      <c r="DA14" s="28">
        <f t="shared" si="113"/>
        <v>1</v>
      </c>
      <c r="DB14" s="28">
        <f t="shared" ref="DB14:DC14" si="114">+SUMPRODUCT($G$15:$G$16,DB15:DB16)</f>
        <v>1</v>
      </c>
      <c r="DC14" s="28">
        <f t="shared" si="114"/>
        <v>1</v>
      </c>
      <c r="DD14" s="28">
        <f t="shared" ref="DD14:DE14" si="115">+SUMPRODUCT($G$15:$G$16,DD15:DD16)</f>
        <v>1</v>
      </c>
      <c r="DE14" s="28">
        <f t="shared" si="115"/>
        <v>1</v>
      </c>
      <c r="DF14" s="28">
        <f t="shared" ref="DF14" si="116">+SUMPRODUCT($G$15:$G$16,DF15:DF16)</f>
        <v>1</v>
      </c>
      <c r="DG14" s="28">
        <f t="shared" ref="DG14:DJ14" si="117">+SUMPRODUCT($G$15:$G$16,DG15:DG16)</f>
        <v>1</v>
      </c>
      <c r="DH14" s="28">
        <f t="shared" si="117"/>
        <v>1</v>
      </c>
      <c r="DI14" s="28">
        <f t="shared" si="117"/>
        <v>1</v>
      </c>
      <c r="DJ14" s="28">
        <f t="shared" si="117"/>
        <v>1</v>
      </c>
      <c r="DK14" s="28">
        <f t="shared" ref="DK14:EI14" si="118">+SUMPRODUCT($G$15:$G$16,DK15:DK16)</f>
        <v>1</v>
      </c>
      <c r="DL14" s="28">
        <f t="shared" si="118"/>
        <v>1</v>
      </c>
      <c r="DM14" s="28">
        <f t="shared" si="118"/>
        <v>1</v>
      </c>
      <c r="DN14" s="28">
        <f t="shared" si="118"/>
        <v>1</v>
      </c>
      <c r="DO14" s="28">
        <f t="shared" si="118"/>
        <v>1</v>
      </c>
      <c r="DP14" s="28">
        <f t="shared" si="118"/>
        <v>1</v>
      </c>
      <c r="DQ14" s="28">
        <f t="shared" si="118"/>
        <v>1</v>
      </c>
      <c r="DR14" s="28">
        <f t="shared" si="118"/>
        <v>1</v>
      </c>
      <c r="DS14" s="28">
        <f t="shared" si="118"/>
        <v>1</v>
      </c>
      <c r="DT14" s="28">
        <f t="shared" si="118"/>
        <v>1</v>
      </c>
      <c r="DU14" s="28">
        <f t="shared" si="118"/>
        <v>1</v>
      </c>
      <c r="DV14" s="28">
        <f t="shared" si="118"/>
        <v>1</v>
      </c>
      <c r="DW14" s="28">
        <f t="shared" si="118"/>
        <v>1</v>
      </c>
      <c r="DX14" s="28">
        <f t="shared" si="118"/>
        <v>1</v>
      </c>
      <c r="DY14" s="28">
        <f t="shared" si="118"/>
        <v>1</v>
      </c>
      <c r="DZ14" s="28">
        <f t="shared" si="118"/>
        <v>1</v>
      </c>
      <c r="EA14" s="28">
        <f t="shared" si="118"/>
        <v>1</v>
      </c>
      <c r="EB14" s="28">
        <f t="shared" si="118"/>
        <v>1</v>
      </c>
      <c r="EC14" s="28">
        <f t="shared" si="118"/>
        <v>1</v>
      </c>
      <c r="ED14" s="28">
        <f t="shared" si="118"/>
        <v>1</v>
      </c>
      <c r="EE14" s="28">
        <f t="shared" si="118"/>
        <v>1</v>
      </c>
      <c r="EF14" s="28">
        <f t="shared" si="118"/>
        <v>1</v>
      </c>
      <c r="EG14" s="28">
        <f t="shared" si="118"/>
        <v>1</v>
      </c>
      <c r="EH14" s="28">
        <f t="shared" si="118"/>
        <v>1</v>
      </c>
      <c r="EI14" s="28">
        <f t="shared" si="118"/>
        <v>1</v>
      </c>
    </row>
    <row r="15" spans="2:144" hidden="1" outlineLevel="3" x14ac:dyDescent="0.3">
      <c r="B15" s="29"/>
      <c r="C15" s="30"/>
      <c r="D15" s="30"/>
      <c r="E15" s="52" t="s">
        <v>20</v>
      </c>
      <c r="F15" s="33">
        <v>20</v>
      </c>
      <c r="G15" s="35">
        <v>0.26666666666666666</v>
      </c>
      <c r="H15" s="53"/>
      <c r="I15" s="126">
        <v>0</v>
      </c>
      <c r="J15" s="127">
        <v>0.1</v>
      </c>
      <c r="K15" s="127">
        <v>0.2</v>
      </c>
      <c r="L15" s="127">
        <v>0.4</v>
      </c>
      <c r="M15" s="128">
        <v>0.6</v>
      </c>
      <c r="N15" s="128">
        <v>0.8</v>
      </c>
      <c r="O15" s="127">
        <v>0.9</v>
      </c>
      <c r="P15" s="127">
        <v>1</v>
      </c>
      <c r="Q15" s="127">
        <v>1</v>
      </c>
      <c r="R15" s="127">
        <v>1</v>
      </c>
      <c r="S15" s="127">
        <v>1</v>
      </c>
      <c r="T15" s="127">
        <v>1</v>
      </c>
      <c r="U15" s="127">
        <v>1</v>
      </c>
      <c r="V15" s="127">
        <v>1</v>
      </c>
      <c r="W15" s="127">
        <v>1</v>
      </c>
      <c r="X15" s="127">
        <v>1</v>
      </c>
      <c r="Y15" s="127">
        <v>1</v>
      </c>
      <c r="Z15" s="127">
        <v>1</v>
      </c>
      <c r="AA15" s="127">
        <v>1</v>
      </c>
      <c r="AB15" s="127">
        <v>1</v>
      </c>
      <c r="AC15" s="127">
        <v>1</v>
      </c>
      <c r="AD15" s="127">
        <v>1</v>
      </c>
      <c r="AE15" s="127">
        <v>1</v>
      </c>
      <c r="AF15" s="127">
        <v>1</v>
      </c>
      <c r="AG15" s="127">
        <v>1</v>
      </c>
      <c r="AH15" s="127">
        <v>1</v>
      </c>
      <c r="AI15" s="127">
        <v>1</v>
      </c>
      <c r="AJ15" s="127">
        <v>1</v>
      </c>
      <c r="AK15" s="127">
        <v>1</v>
      </c>
      <c r="AL15" s="127">
        <v>1</v>
      </c>
      <c r="AM15" s="127">
        <v>1</v>
      </c>
      <c r="AN15" s="127">
        <v>1</v>
      </c>
      <c r="AO15" s="127">
        <v>1</v>
      </c>
      <c r="AP15" s="127">
        <v>1</v>
      </c>
      <c r="AQ15" s="127">
        <v>1</v>
      </c>
      <c r="AR15" s="127">
        <v>1</v>
      </c>
      <c r="AS15" s="127">
        <v>1</v>
      </c>
      <c r="AT15" s="127">
        <v>1</v>
      </c>
      <c r="AU15" s="127">
        <v>1</v>
      </c>
      <c r="AV15" s="127">
        <v>1</v>
      </c>
      <c r="AW15" s="127">
        <v>1</v>
      </c>
      <c r="AX15" s="127">
        <v>1</v>
      </c>
      <c r="AY15" s="127">
        <v>1</v>
      </c>
      <c r="AZ15" s="127">
        <v>1</v>
      </c>
      <c r="BA15" s="127">
        <v>1</v>
      </c>
      <c r="BB15" s="127">
        <v>1</v>
      </c>
      <c r="BC15" s="127">
        <v>1</v>
      </c>
      <c r="BD15" s="127">
        <v>1</v>
      </c>
      <c r="BE15" s="127">
        <v>1</v>
      </c>
      <c r="BF15" s="127">
        <v>1</v>
      </c>
      <c r="BG15" s="127">
        <v>1</v>
      </c>
      <c r="BH15" s="127">
        <v>1</v>
      </c>
      <c r="BI15" s="127">
        <v>1</v>
      </c>
      <c r="BJ15" s="127">
        <v>1</v>
      </c>
      <c r="BK15" s="127">
        <v>1</v>
      </c>
      <c r="BL15" s="127">
        <v>1</v>
      </c>
      <c r="BM15" s="127">
        <v>1</v>
      </c>
      <c r="BN15" s="127">
        <v>1</v>
      </c>
      <c r="BO15" s="127">
        <v>1</v>
      </c>
      <c r="BP15" s="127">
        <v>1</v>
      </c>
      <c r="BQ15" s="127">
        <v>1</v>
      </c>
      <c r="BR15" s="127">
        <v>1</v>
      </c>
      <c r="BS15" s="127">
        <v>1</v>
      </c>
      <c r="BT15" s="127">
        <v>1</v>
      </c>
      <c r="BU15" s="127">
        <v>1</v>
      </c>
      <c r="BV15" s="127">
        <v>1</v>
      </c>
      <c r="BW15" s="127">
        <v>1</v>
      </c>
      <c r="BX15" s="127">
        <v>1</v>
      </c>
      <c r="BY15" s="127">
        <v>1</v>
      </c>
      <c r="BZ15" s="127">
        <v>1</v>
      </c>
      <c r="CA15" s="127">
        <v>1</v>
      </c>
      <c r="CB15" s="127">
        <v>1</v>
      </c>
      <c r="CC15" s="127">
        <v>1</v>
      </c>
      <c r="CD15" s="127">
        <v>1</v>
      </c>
      <c r="CE15" s="127">
        <v>1</v>
      </c>
      <c r="CF15" s="127">
        <v>1</v>
      </c>
      <c r="CG15" s="127">
        <v>1</v>
      </c>
      <c r="CH15" s="127">
        <v>1</v>
      </c>
      <c r="CI15" s="127">
        <v>1</v>
      </c>
      <c r="CJ15" s="127">
        <v>1</v>
      </c>
      <c r="CK15" s="127">
        <v>1</v>
      </c>
      <c r="CL15" s="127">
        <v>1</v>
      </c>
      <c r="CM15" s="127">
        <v>1</v>
      </c>
      <c r="CN15" s="127">
        <v>1</v>
      </c>
      <c r="CO15" s="127">
        <v>1</v>
      </c>
      <c r="CP15" s="127">
        <v>1</v>
      </c>
      <c r="CQ15" s="127">
        <v>1</v>
      </c>
      <c r="CR15" s="127">
        <v>1</v>
      </c>
      <c r="CS15" s="127">
        <v>1</v>
      </c>
      <c r="CT15" s="127">
        <v>1</v>
      </c>
      <c r="CU15" s="127">
        <v>1</v>
      </c>
      <c r="CV15" s="127">
        <v>1</v>
      </c>
      <c r="CW15" s="127">
        <v>1</v>
      </c>
      <c r="CX15" s="127">
        <v>1</v>
      </c>
      <c r="CY15" s="127">
        <v>1</v>
      </c>
      <c r="CZ15" s="127">
        <v>1</v>
      </c>
      <c r="DA15" s="127">
        <v>1</v>
      </c>
      <c r="DB15" s="127">
        <v>1</v>
      </c>
      <c r="DC15" s="127">
        <v>1</v>
      </c>
      <c r="DD15" s="127">
        <v>1</v>
      </c>
      <c r="DE15" s="127">
        <v>1</v>
      </c>
      <c r="DF15" s="127">
        <v>1</v>
      </c>
      <c r="DG15" s="127">
        <v>1</v>
      </c>
      <c r="DH15" s="127">
        <v>1</v>
      </c>
      <c r="DI15" s="127">
        <v>1</v>
      </c>
      <c r="DJ15" s="127">
        <v>1</v>
      </c>
      <c r="DK15" s="127">
        <v>1</v>
      </c>
      <c r="DL15" s="127">
        <v>1</v>
      </c>
      <c r="DM15" s="127">
        <v>1</v>
      </c>
      <c r="DN15" s="127">
        <v>1</v>
      </c>
      <c r="DO15" s="127">
        <v>1</v>
      </c>
      <c r="DP15" s="127">
        <v>1</v>
      </c>
      <c r="DQ15" s="127">
        <v>1</v>
      </c>
      <c r="DR15" s="127">
        <v>1</v>
      </c>
      <c r="DS15" s="127">
        <v>1</v>
      </c>
      <c r="DT15" s="127">
        <v>1</v>
      </c>
      <c r="DU15" s="127">
        <v>1</v>
      </c>
      <c r="DV15" s="127">
        <v>1</v>
      </c>
      <c r="DW15" s="127">
        <v>1</v>
      </c>
      <c r="DX15" s="127">
        <v>1</v>
      </c>
      <c r="DY15" s="127">
        <v>1</v>
      </c>
      <c r="DZ15" s="127">
        <v>1</v>
      </c>
      <c r="EA15" s="127">
        <v>1</v>
      </c>
      <c r="EB15" s="127">
        <v>1</v>
      </c>
      <c r="EC15" s="127">
        <v>1</v>
      </c>
      <c r="ED15" s="127">
        <v>1</v>
      </c>
      <c r="EE15" s="127">
        <v>1</v>
      </c>
      <c r="EF15" s="127">
        <v>1</v>
      </c>
      <c r="EG15" s="127">
        <v>1</v>
      </c>
      <c r="EH15" s="127">
        <v>1</v>
      </c>
      <c r="EI15" s="127">
        <v>1</v>
      </c>
    </row>
    <row r="16" spans="2:144" hidden="1" outlineLevel="3" x14ac:dyDescent="0.3">
      <c r="B16" s="29"/>
      <c r="C16" s="30"/>
      <c r="D16" s="30"/>
      <c r="E16" s="52" t="s">
        <v>21</v>
      </c>
      <c r="F16" s="33">
        <v>55</v>
      </c>
      <c r="G16" s="35">
        <v>0.73333333333333328</v>
      </c>
      <c r="H16" s="53"/>
      <c r="I16" s="126">
        <v>0</v>
      </c>
      <c r="J16" s="127">
        <v>0</v>
      </c>
      <c r="K16" s="127">
        <v>0</v>
      </c>
      <c r="L16" s="127">
        <v>0</v>
      </c>
      <c r="M16" s="128">
        <v>0</v>
      </c>
      <c r="N16" s="128">
        <v>0</v>
      </c>
      <c r="O16" s="127">
        <v>0</v>
      </c>
      <c r="P16" s="127">
        <v>0</v>
      </c>
      <c r="Q16" s="127">
        <v>0</v>
      </c>
      <c r="R16" s="127">
        <v>0.15</v>
      </c>
      <c r="S16" s="127">
        <v>0.16201144037574811</v>
      </c>
      <c r="T16" s="127">
        <v>0.22582171047452754</v>
      </c>
      <c r="U16" s="127">
        <v>0.22582171047452754</v>
      </c>
      <c r="V16" s="127">
        <v>0.37054780698301837</v>
      </c>
      <c r="W16" s="127">
        <v>0.60465183425290492</v>
      </c>
      <c r="X16" s="127">
        <v>0.68078117061092469</v>
      </c>
      <c r="Y16" s="127">
        <v>0.75829186316394614</v>
      </c>
      <c r="Z16" s="127">
        <v>1</v>
      </c>
      <c r="AA16" s="127">
        <v>1</v>
      </c>
      <c r="AB16" s="127">
        <v>1</v>
      </c>
      <c r="AC16" s="127">
        <v>1</v>
      </c>
      <c r="AD16" s="127">
        <v>1</v>
      </c>
      <c r="AE16" s="127">
        <v>1</v>
      </c>
      <c r="AF16" s="127">
        <v>1</v>
      </c>
      <c r="AG16" s="127">
        <v>1</v>
      </c>
      <c r="AH16" s="127">
        <v>1</v>
      </c>
      <c r="AI16" s="127">
        <v>1</v>
      </c>
      <c r="AJ16" s="127">
        <v>1</v>
      </c>
      <c r="AK16" s="127">
        <v>1</v>
      </c>
      <c r="AL16" s="127">
        <v>1</v>
      </c>
      <c r="AM16" s="127">
        <v>1</v>
      </c>
      <c r="AN16" s="127">
        <v>1</v>
      </c>
      <c r="AO16" s="127">
        <v>1</v>
      </c>
      <c r="AP16" s="127">
        <v>1</v>
      </c>
      <c r="AQ16" s="127">
        <v>1</v>
      </c>
      <c r="AR16" s="127">
        <v>1</v>
      </c>
      <c r="AS16" s="127">
        <v>1</v>
      </c>
      <c r="AT16" s="127">
        <v>1</v>
      </c>
      <c r="AU16" s="127">
        <v>1</v>
      </c>
      <c r="AV16" s="127">
        <v>1</v>
      </c>
      <c r="AW16" s="127">
        <v>1</v>
      </c>
      <c r="AX16" s="127">
        <v>1</v>
      </c>
      <c r="AY16" s="127">
        <v>1</v>
      </c>
      <c r="AZ16" s="127">
        <v>1</v>
      </c>
      <c r="BA16" s="127">
        <v>1</v>
      </c>
      <c r="BB16" s="127">
        <v>1</v>
      </c>
      <c r="BC16" s="127">
        <v>1</v>
      </c>
      <c r="BD16" s="127">
        <v>1</v>
      </c>
      <c r="BE16" s="127">
        <v>1</v>
      </c>
      <c r="BF16" s="127">
        <v>1</v>
      </c>
      <c r="BG16" s="127">
        <v>1</v>
      </c>
      <c r="BH16" s="127">
        <v>1</v>
      </c>
      <c r="BI16" s="127">
        <v>1</v>
      </c>
      <c r="BJ16" s="127">
        <v>1</v>
      </c>
      <c r="BK16" s="127">
        <v>1</v>
      </c>
      <c r="BL16" s="127">
        <v>1</v>
      </c>
      <c r="BM16" s="127">
        <v>1</v>
      </c>
      <c r="BN16" s="127">
        <v>1</v>
      </c>
      <c r="BO16" s="127">
        <v>1</v>
      </c>
      <c r="BP16" s="127">
        <v>1</v>
      </c>
      <c r="BQ16" s="127">
        <v>1</v>
      </c>
      <c r="BR16" s="127">
        <v>1</v>
      </c>
      <c r="BS16" s="127">
        <v>1</v>
      </c>
      <c r="BT16" s="127">
        <v>1</v>
      </c>
      <c r="BU16" s="127">
        <v>1</v>
      </c>
      <c r="BV16" s="127">
        <v>1</v>
      </c>
      <c r="BW16" s="127">
        <v>1</v>
      </c>
      <c r="BX16" s="127">
        <v>1</v>
      </c>
      <c r="BY16" s="127">
        <v>1</v>
      </c>
      <c r="BZ16" s="127">
        <v>1</v>
      </c>
      <c r="CA16" s="127">
        <v>1</v>
      </c>
      <c r="CB16" s="127">
        <v>1</v>
      </c>
      <c r="CC16" s="127">
        <v>1</v>
      </c>
      <c r="CD16" s="127">
        <v>1</v>
      </c>
      <c r="CE16" s="127">
        <v>1</v>
      </c>
      <c r="CF16" s="127">
        <v>1</v>
      </c>
      <c r="CG16" s="127">
        <v>1</v>
      </c>
      <c r="CH16" s="127">
        <v>1</v>
      </c>
      <c r="CI16" s="127">
        <v>1</v>
      </c>
      <c r="CJ16" s="127">
        <v>1</v>
      </c>
      <c r="CK16" s="127">
        <v>1</v>
      </c>
      <c r="CL16" s="127">
        <v>1</v>
      </c>
      <c r="CM16" s="127">
        <v>1</v>
      </c>
      <c r="CN16" s="127">
        <v>1</v>
      </c>
      <c r="CO16" s="127">
        <v>1</v>
      </c>
      <c r="CP16" s="127">
        <v>1</v>
      </c>
      <c r="CQ16" s="127">
        <v>1</v>
      </c>
      <c r="CR16" s="127">
        <v>1</v>
      </c>
      <c r="CS16" s="127">
        <v>1</v>
      </c>
      <c r="CT16" s="127">
        <v>1</v>
      </c>
      <c r="CU16" s="127">
        <v>1</v>
      </c>
      <c r="CV16" s="127">
        <v>1</v>
      </c>
      <c r="CW16" s="127">
        <v>1</v>
      </c>
      <c r="CX16" s="127">
        <v>1</v>
      </c>
      <c r="CY16" s="127">
        <v>1</v>
      </c>
      <c r="CZ16" s="127">
        <v>1</v>
      </c>
      <c r="DA16" s="127">
        <v>1</v>
      </c>
      <c r="DB16" s="127">
        <v>1</v>
      </c>
      <c r="DC16" s="127">
        <v>1</v>
      </c>
      <c r="DD16" s="127">
        <v>1</v>
      </c>
      <c r="DE16" s="127">
        <v>1</v>
      </c>
      <c r="DF16" s="127">
        <v>1</v>
      </c>
      <c r="DG16" s="127">
        <v>1</v>
      </c>
      <c r="DH16" s="127">
        <v>1</v>
      </c>
      <c r="DI16" s="127">
        <v>1</v>
      </c>
      <c r="DJ16" s="127">
        <v>1</v>
      </c>
      <c r="DK16" s="127">
        <v>1</v>
      </c>
      <c r="DL16" s="127">
        <v>1</v>
      </c>
      <c r="DM16" s="127">
        <v>1</v>
      </c>
      <c r="DN16" s="127">
        <v>1</v>
      </c>
      <c r="DO16" s="127">
        <v>1</v>
      </c>
      <c r="DP16" s="127">
        <v>1</v>
      </c>
      <c r="DQ16" s="127">
        <v>1</v>
      </c>
      <c r="DR16" s="127">
        <v>1</v>
      </c>
      <c r="DS16" s="127">
        <v>1</v>
      </c>
      <c r="DT16" s="127">
        <v>1</v>
      </c>
      <c r="DU16" s="127">
        <v>1</v>
      </c>
      <c r="DV16" s="127">
        <v>1</v>
      </c>
      <c r="DW16" s="127">
        <v>1</v>
      </c>
      <c r="DX16" s="127">
        <v>1</v>
      </c>
      <c r="DY16" s="127">
        <v>1</v>
      </c>
      <c r="DZ16" s="127">
        <v>1</v>
      </c>
      <c r="EA16" s="127">
        <v>1</v>
      </c>
      <c r="EB16" s="127">
        <v>1</v>
      </c>
      <c r="EC16" s="127">
        <v>1</v>
      </c>
      <c r="ED16" s="127">
        <v>1</v>
      </c>
      <c r="EE16" s="127">
        <v>1</v>
      </c>
      <c r="EF16" s="127">
        <v>1</v>
      </c>
      <c r="EG16" s="127">
        <v>1</v>
      </c>
      <c r="EH16" s="127">
        <v>1</v>
      </c>
      <c r="EI16" s="127">
        <v>1</v>
      </c>
    </row>
    <row r="17" spans="2:139" ht="15" hidden="1" outlineLevel="2" collapsed="1" x14ac:dyDescent="0.3">
      <c r="B17" s="22"/>
      <c r="C17" s="23"/>
      <c r="D17" s="23" t="s">
        <v>22</v>
      </c>
      <c r="E17" s="50"/>
      <c r="F17" s="26">
        <f>+SUM(F18:F23)</f>
        <v>195</v>
      </c>
      <c r="G17" s="28">
        <v>0.20327658227712506</v>
      </c>
      <c r="H17" s="51"/>
      <c r="I17" s="125">
        <f>+SUMPRODUCT($G$18:$G$23,I18:I23)</f>
        <v>0</v>
      </c>
      <c r="J17" s="28">
        <f>+SUMPRODUCT($G$18:$G$23,J18:J23)</f>
        <v>0</v>
      </c>
      <c r="K17" s="28">
        <f t="shared" ref="K17:BB17" si="119">+SUMPRODUCT($G$18:$G$23,K18:K23)</f>
        <v>0</v>
      </c>
      <c r="L17" s="28">
        <f t="shared" si="119"/>
        <v>0</v>
      </c>
      <c r="M17" s="64">
        <f t="shared" si="119"/>
        <v>0</v>
      </c>
      <c r="N17" s="64">
        <f t="shared" si="119"/>
        <v>0</v>
      </c>
      <c r="O17" s="28">
        <f t="shared" si="119"/>
        <v>4.4497231905633518E-2</v>
      </c>
      <c r="P17" s="28">
        <f t="shared" si="119"/>
        <v>0.11434790962780973</v>
      </c>
      <c r="Q17" s="28">
        <f t="shared" si="119"/>
        <v>0.16930294954238911</v>
      </c>
      <c r="R17" s="28">
        <f t="shared" si="119"/>
        <v>0.19432363425605897</v>
      </c>
      <c r="S17" s="28">
        <f t="shared" si="119"/>
        <v>0.2050076899214851</v>
      </c>
      <c r="T17" s="28">
        <f t="shared" si="119"/>
        <v>0.20747184624163564</v>
      </c>
      <c r="U17" s="28">
        <f t="shared" si="119"/>
        <v>0.26031641732596139</v>
      </c>
      <c r="V17" s="28">
        <f t="shared" si="119"/>
        <v>0.28055341483607049</v>
      </c>
      <c r="W17" s="28">
        <f t="shared" si="119"/>
        <v>0.28387537919455558</v>
      </c>
      <c r="X17" s="28">
        <f t="shared" si="119"/>
        <v>0.2995897310162195</v>
      </c>
      <c r="Y17" s="28">
        <f t="shared" si="119"/>
        <v>0.31996535675693016</v>
      </c>
      <c r="Z17" s="28">
        <f t="shared" si="119"/>
        <v>0.32809737671005562</v>
      </c>
      <c r="AA17" s="28">
        <f t="shared" si="119"/>
        <v>0.33066073380050942</v>
      </c>
      <c r="AB17" s="28">
        <f t="shared" si="119"/>
        <v>0.33236672238852438</v>
      </c>
      <c r="AC17" s="28">
        <f t="shared" si="119"/>
        <v>0.42243543929767535</v>
      </c>
      <c r="AD17" s="28">
        <f t="shared" si="119"/>
        <v>0.46397093497542718</v>
      </c>
      <c r="AE17" s="28">
        <f t="shared" si="119"/>
        <v>0.51549243016182067</v>
      </c>
      <c r="AF17" s="28">
        <f t="shared" si="119"/>
        <v>0.5678199957032446</v>
      </c>
      <c r="AG17" s="28">
        <f t="shared" si="119"/>
        <v>0.65288169685770348</v>
      </c>
      <c r="AH17" s="28">
        <f t="shared" si="119"/>
        <v>0.67493414408897245</v>
      </c>
      <c r="AI17" s="28">
        <f>+SUMPRODUCT($G$18:$G$23,AI18:AI23)</f>
        <v>0.67493414408897245</v>
      </c>
      <c r="AJ17" s="28">
        <f>+SUMPRODUCT($G$18:$G$23,AJ18:AJ23)</f>
        <v>0.67493414408897245</v>
      </c>
      <c r="AK17" s="28">
        <f t="shared" si="119"/>
        <v>0.67594525195390998</v>
      </c>
      <c r="AL17" s="28">
        <f t="shared" si="119"/>
        <v>0.67594525195390998</v>
      </c>
      <c r="AM17" s="28">
        <f t="shared" si="119"/>
        <v>0.67594525195390998</v>
      </c>
      <c r="AN17" s="28">
        <f t="shared" si="119"/>
        <v>0.67594525195390998</v>
      </c>
      <c r="AO17" s="28">
        <f t="shared" si="119"/>
        <v>0.6969553346416536</v>
      </c>
      <c r="AP17" s="28">
        <f t="shared" si="119"/>
        <v>0.71259059531828628</v>
      </c>
      <c r="AQ17" s="28">
        <f t="shared" si="119"/>
        <v>0.71259059531828628</v>
      </c>
      <c r="AR17" s="28">
        <f t="shared" si="119"/>
        <v>0.72456325273225786</v>
      </c>
      <c r="AS17" s="28">
        <f t="shared" si="119"/>
        <v>0.72456325273225786</v>
      </c>
      <c r="AT17" s="28">
        <f t="shared" si="119"/>
        <v>0.72565752787224458</v>
      </c>
      <c r="AU17" s="28">
        <f t="shared" si="119"/>
        <v>0.72565752787224458</v>
      </c>
      <c r="AV17" s="28">
        <f t="shared" si="119"/>
        <v>0.73071050425394757</v>
      </c>
      <c r="AW17" s="28">
        <f t="shared" si="119"/>
        <v>0.75025377977224694</v>
      </c>
      <c r="AX17" s="28">
        <f t="shared" si="119"/>
        <v>0.75822172946358224</v>
      </c>
      <c r="AY17" s="28">
        <f t="shared" si="119"/>
        <v>0.75822172946358224</v>
      </c>
      <c r="AZ17" s="28">
        <f t="shared" si="119"/>
        <v>0.78675201185931998</v>
      </c>
      <c r="BA17" s="28">
        <f t="shared" si="119"/>
        <v>0.78675201185931998</v>
      </c>
      <c r="BB17" s="28">
        <f t="shared" si="119"/>
        <v>0.78861432111309926</v>
      </c>
      <c r="BC17" s="28">
        <f t="shared" ref="BC17:CE17" si="120">+SUMPRODUCT($G$18:$G$23,BC18:BC23)</f>
        <v>0.79045632686437473</v>
      </c>
      <c r="BD17" s="28">
        <f t="shared" si="120"/>
        <v>0.79230134471075053</v>
      </c>
      <c r="BE17" s="28">
        <f t="shared" si="120"/>
        <v>0.79414837062052657</v>
      </c>
      <c r="BF17" s="28">
        <f t="shared" si="120"/>
        <v>0.79599740459370283</v>
      </c>
      <c r="BG17" s="28">
        <f t="shared" si="120"/>
        <v>0.79784643856687898</v>
      </c>
      <c r="BH17" s="28">
        <f t="shared" si="120"/>
        <v>0.79969547254005524</v>
      </c>
      <c r="BI17" s="28">
        <f t="shared" si="120"/>
        <v>0.80154249844983116</v>
      </c>
      <c r="BJ17" s="28">
        <f t="shared" si="120"/>
        <v>0.80605558298341007</v>
      </c>
      <c r="BK17" s="28">
        <f t="shared" si="120"/>
        <v>0.81471129589849234</v>
      </c>
      <c r="BL17" s="28">
        <f t="shared" si="120"/>
        <v>0.82894023910032266</v>
      </c>
      <c r="BM17" s="28">
        <f t="shared" si="120"/>
        <v>0.83872340852184835</v>
      </c>
      <c r="BN17" s="28">
        <f t="shared" si="120"/>
        <v>0.8480613981463232</v>
      </c>
      <c r="BO17" s="28">
        <f t="shared" si="120"/>
        <v>0.85739838373909805</v>
      </c>
      <c r="BP17" s="28">
        <f t="shared" si="120"/>
        <v>0.8667353693318729</v>
      </c>
      <c r="BQ17" s="28">
        <f t="shared" si="120"/>
        <v>0.87607235492464786</v>
      </c>
      <c r="BR17" s="28">
        <f t="shared" si="120"/>
        <v>0.8854093405174227</v>
      </c>
      <c r="BS17" s="28">
        <f t="shared" si="120"/>
        <v>0.89474632611019744</v>
      </c>
      <c r="BT17" s="28">
        <f t="shared" si="120"/>
        <v>0.90408331170297229</v>
      </c>
      <c r="BU17" s="28">
        <f t="shared" si="120"/>
        <v>0.91342029729574714</v>
      </c>
      <c r="BV17" s="28">
        <f t="shared" si="120"/>
        <v>0.9227572828885221</v>
      </c>
      <c r="BW17" s="28">
        <f t="shared" si="120"/>
        <v>0.93209426848129695</v>
      </c>
      <c r="BX17" s="28">
        <f t="shared" si="120"/>
        <v>0.9414312540740718</v>
      </c>
      <c r="BY17" s="28">
        <f t="shared" si="120"/>
        <v>0.95076823966684665</v>
      </c>
      <c r="BZ17" s="28">
        <f t="shared" si="120"/>
        <v>0.9601052252596215</v>
      </c>
      <c r="CA17" s="28">
        <f t="shared" si="120"/>
        <v>0.96944221085239635</v>
      </c>
      <c r="CB17" s="28">
        <f t="shared" si="120"/>
        <v>0.97750000000000004</v>
      </c>
      <c r="CC17" s="28">
        <f t="shared" si="120"/>
        <v>0.98499999999999999</v>
      </c>
      <c r="CD17" s="28">
        <f t="shared" si="120"/>
        <v>0.99250000000000005</v>
      </c>
      <c r="CE17" s="28">
        <f t="shared" si="120"/>
        <v>1</v>
      </c>
      <c r="CF17" s="28">
        <f t="shared" ref="CF17:CI17" si="121">+SUMPRODUCT($G$18:$G$23,CF18:CF23)</f>
        <v>1</v>
      </c>
      <c r="CG17" s="28">
        <f t="shared" si="121"/>
        <v>1</v>
      </c>
      <c r="CH17" s="28">
        <f t="shared" si="121"/>
        <v>1</v>
      </c>
      <c r="CI17" s="28">
        <f t="shared" si="121"/>
        <v>1</v>
      </c>
      <c r="CJ17" s="28">
        <f t="shared" ref="CJ17:CK17" si="122">+SUMPRODUCT($G$18:$G$23,CJ18:CJ23)</f>
        <v>1</v>
      </c>
      <c r="CK17" s="28">
        <f t="shared" si="122"/>
        <v>1</v>
      </c>
      <c r="CL17" s="28">
        <f t="shared" ref="CL17" si="123">+SUMPRODUCT($G$18:$G$23,CL18:CL23)</f>
        <v>1</v>
      </c>
      <c r="CM17" s="28">
        <f t="shared" ref="CM17:CV17" si="124">+SUMPRODUCT($G$18:$G$23,CM18:CM23)</f>
        <v>1</v>
      </c>
      <c r="CN17" s="28">
        <f t="shared" si="124"/>
        <v>1</v>
      </c>
      <c r="CO17" s="28">
        <f t="shared" si="124"/>
        <v>1</v>
      </c>
      <c r="CP17" s="28">
        <f t="shared" si="124"/>
        <v>1</v>
      </c>
      <c r="CQ17" s="28">
        <f t="shared" si="124"/>
        <v>1</v>
      </c>
      <c r="CR17" s="28">
        <f t="shared" si="124"/>
        <v>1</v>
      </c>
      <c r="CS17" s="28">
        <f t="shared" si="124"/>
        <v>1</v>
      </c>
      <c r="CT17" s="28">
        <f t="shared" si="124"/>
        <v>1</v>
      </c>
      <c r="CU17" s="28">
        <f t="shared" si="124"/>
        <v>1</v>
      </c>
      <c r="CV17" s="28">
        <f t="shared" si="124"/>
        <v>1</v>
      </c>
      <c r="CW17" s="28">
        <f t="shared" ref="CW17" si="125">+SUMPRODUCT($G$18:$G$23,CW18:CW23)</f>
        <v>1</v>
      </c>
      <c r="CX17" s="28">
        <f t="shared" ref="CX17:CY17" si="126">+SUMPRODUCT($G$18:$G$23,CX18:CX23)</f>
        <v>1</v>
      </c>
      <c r="CY17" s="28">
        <f t="shared" si="126"/>
        <v>1</v>
      </c>
      <c r="CZ17" s="28">
        <f t="shared" ref="CZ17:DA17" si="127">+SUMPRODUCT($G$18:$G$23,CZ18:CZ23)</f>
        <v>1</v>
      </c>
      <c r="DA17" s="28">
        <f t="shared" si="127"/>
        <v>1</v>
      </c>
      <c r="DB17" s="28">
        <f t="shared" ref="DB17:DC17" si="128">+SUMPRODUCT($G$18:$G$23,DB18:DB23)</f>
        <v>1</v>
      </c>
      <c r="DC17" s="28">
        <f t="shared" si="128"/>
        <v>1</v>
      </c>
      <c r="DD17" s="28">
        <f t="shared" ref="DD17:DE17" si="129">+SUMPRODUCT($G$18:$G$23,DD18:DD23)</f>
        <v>1</v>
      </c>
      <c r="DE17" s="28">
        <f t="shared" si="129"/>
        <v>1</v>
      </c>
      <c r="DF17" s="28">
        <f t="shared" ref="DF17" si="130">+SUMPRODUCT($G$18:$G$23,DF18:DF23)</f>
        <v>1</v>
      </c>
      <c r="DG17" s="28">
        <f t="shared" ref="DG17:DJ17" si="131">+SUMPRODUCT($G$18:$G$23,DG18:DG23)</f>
        <v>1</v>
      </c>
      <c r="DH17" s="28">
        <f t="shared" si="131"/>
        <v>1</v>
      </c>
      <c r="DI17" s="28">
        <f t="shared" si="131"/>
        <v>1</v>
      </c>
      <c r="DJ17" s="28">
        <f t="shared" si="131"/>
        <v>1</v>
      </c>
      <c r="DK17" s="28">
        <f t="shared" ref="DK17:EI17" si="132">+SUMPRODUCT($G$18:$G$23,DK18:DK23)</f>
        <v>1</v>
      </c>
      <c r="DL17" s="28">
        <f t="shared" si="132"/>
        <v>1</v>
      </c>
      <c r="DM17" s="28">
        <f t="shared" si="132"/>
        <v>1</v>
      </c>
      <c r="DN17" s="28">
        <f t="shared" si="132"/>
        <v>1</v>
      </c>
      <c r="DO17" s="28">
        <f t="shared" si="132"/>
        <v>1</v>
      </c>
      <c r="DP17" s="28">
        <f t="shared" si="132"/>
        <v>1</v>
      </c>
      <c r="DQ17" s="28">
        <f t="shared" si="132"/>
        <v>1</v>
      </c>
      <c r="DR17" s="28">
        <f t="shared" si="132"/>
        <v>1</v>
      </c>
      <c r="DS17" s="28">
        <f t="shared" si="132"/>
        <v>1</v>
      </c>
      <c r="DT17" s="28">
        <f t="shared" si="132"/>
        <v>1</v>
      </c>
      <c r="DU17" s="28">
        <f t="shared" si="132"/>
        <v>1</v>
      </c>
      <c r="DV17" s="28">
        <f t="shared" si="132"/>
        <v>1</v>
      </c>
      <c r="DW17" s="28">
        <f t="shared" si="132"/>
        <v>1</v>
      </c>
      <c r="DX17" s="28">
        <f t="shared" si="132"/>
        <v>1</v>
      </c>
      <c r="DY17" s="28">
        <f t="shared" si="132"/>
        <v>1</v>
      </c>
      <c r="DZ17" s="28">
        <f t="shared" si="132"/>
        <v>1</v>
      </c>
      <c r="EA17" s="28">
        <f t="shared" si="132"/>
        <v>1</v>
      </c>
      <c r="EB17" s="28">
        <f t="shared" si="132"/>
        <v>1</v>
      </c>
      <c r="EC17" s="28">
        <f t="shared" si="132"/>
        <v>1</v>
      </c>
      <c r="ED17" s="28">
        <f t="shared" si="132"/>
        <v>1</v>
      </c>
      <c r="EE17" s="28">
        <f t="shared" si="132"/>
        <v>1</v>
      </c>
      <c r="EF17" s="28">
        <f t="shared" si="132"/>
        <v>1</v>
      </c>
      <c r="EG17" s="28">
        <f t="shared" si="132"/>
        <v>1</v>
      </c>
      <c r="EH17" s="28">
        <f t="shared" si="132"/>
        <v>1</v>
      </c>
      <c r="EI17" s="28">
        <f t="shared" si="132"/>
        <v>1</v>
      </c>
    </row>
    <row r="18" spans="2:139" hidden="1" outlineLevel="3" x14ac:dyDescent="0.3">
      <c r="B18" s="29"/>
      <c r="C18" s="30"/>
      <c r="D18" s="30"/>
      <c r="E18" s="52" t="s">
        <v>23</v>
      </c>
      <c r="F18" s="33">
        <v>10</v>
      </c>
      <c r="G18" s="35">
        <v>0.05</v>
      </c>
      <c r="H18" s="53"/>
      <c r="I18" s="126">
        <v>0</v>
      </c>
      <c r="J18" s="127">
        <v>0</v>
      </c>
      <c r="K18" s="127">
        <v>0</v>
      </c>
      <c r="L18" s="127">
        <v>0</v>
      </c>
      <c r="M18" s="128">
        <v>0</v>
      </c>
      <c r="N18" s="128">
        <v>0</v>
      </c>
      <c r="O18" s="127">
        <v>0</v>
      </c>
      <c r="P18" s="127">
        <v>0.5</v>
      </c>
      <c r="Q18" s="127">
        <v>0.5</v>
      </c>
      <c r="R18" s="127">
        <v>0.5</v>
      </c>
      <c r="S18" s="127">
        <v>0.5</v>
      </c>
      <c r="T18" s="127">
        <v>0.5</v>
      </c>
      <c r="U18" s="127">
        <v>0.5</v>
      </c>
      <c r="V18" s="127">
        <v>0.5</v>
      </c>
      <c r="W18" s="127">
        <v>0.5</v>
      </c>
      <c r="X18" s="127">
        <v>0.5</v>
      </c>
      <c r="Y18" s="127">
        <v>0.5</v>
      </c>
      <c r="Z18" s="127">
        <v>0.6</v>
      </c>
      <c r="AA18" s="127">
        <v>0.6</v>
      </c>
      <c r="AB18" s="127">
        <v>0.6</v>
      </c>
      <c r="AC18" s="127">
        <v>0.6</v>
      </c>
      <c r="AD18" s="127">
        <v>1</v>
      </c>
      <c r="AE18" s="127">
        <v>1</v>
      </c>
      <c r="AF18" s="127">
        <v>1</v>
      </c>
      <c r="AG18" s="127">
        <v>1</v>
      </c>
      <c r="AH18" s="127">
        <v>1</v>
      </c>
      <c r="AI18" s="127">
        <v>1</v>
      </c>
      <c r="AJ18" s="127">
        <v>1</v>
      </c>
      <c r="AK18" s="127">
        <v>1</v>
      </c>
      <c r="AL18" s="127">
        <v>1</v>
      </c>
      <c r="AM18" s="127">
        <v>1</v>
      </c>
      <c r="AN18" s="127">
        <v>1</v>
      </c>
      <c r="AO18" s="127">
        <v>1</v>
      </c>
      <c r="AP18" s="127">
        <v>1</v>
      </c>
      <c r="AQ18" s="127">
        <v>1</v>
      </c>
      <c r="AR18" s="127">
        <v>1</v>
      </c>
      <c r="AS18" s="127">
        <v>1</v>
      </c>
      <c r="AT18" s="127">
        <v>1</v>
      </c>
      <c r="AU18" s="127">
        <v>1</v>
      </c>
      <c r="AV18" s="127">
        <v>1</v>
      </c>
      <c r="AW18" s="127">
        <v>1</v>
      </c>
      <c r="AX18" s="127">
        <v>1</v>
      </c>
      <c r="AY18" s="127">
        <v>1</v>
      </c>
      <c r="AZ18" s="127">
        <v>1</v>
      </c>
      <c r="BA18" s="127">
        <v>1</v>
      </c>
      <c r="BB18" s="127">
        <v>1</v>
      </c>
      <c r="BC18" s="127">
        <v>1</v>
      </c>
      <c r="BD18" s="127">
        <v>1</v>
      </c>
      <c r="BE18" s="127">
        <v>1</v>
      </c>
      <c r="BF18" s="127">
        <v>1</v>
      </c>
      <c r="BG18" s="127">
        <v>1</v>
      </c>
      <c r="BH18" s="127">
        <v>1</v>
      </c>
      <c r="BI18" s="127">
        <v>1</v>
      </c>
      <c r="BJ18" s="127">
        <v>1</v>
      </c>
      <c r="BK18" s="127">
        <v>1</v>
      </c>
      <c r="BL18" s="127">
        <v>1</v>
      </c>
      <c r="BM18" s="127">
        <v>1</v>
      </c>
      <c r="BN18" s="127">
        <v>1</v>
      </c>
      <c r="BO18" s="127">
        <v>1</v>
      </c>
      <c r="BP18" s="127">
        <v>1</v>
      </c>
      <c r="BQ18" s="127">
        <v>1</v>
      </c>
      <c r="BR18" s="127">
        <v>1</v>
      </c>
      <c r="BS18" s="127">
        <v>1</v>
      </c>
      <c r="BT18" s="127">
        <v>1</v>
      </c>
      <c r="BU18" s="127">
        <v>1</v>
      </c>
      <c r="BV18" s="127">
        <v>1</v>
      </c>
      <c r="BW18" s="127">
        <v>1</v>
      </c>
      <c r="BX18" s="127">
        <v>1</v>
      </c>
      <c r="BY18" s="127">
        <v>1</v>
      </c>
      <c r="BZ18" s="127">
        <v>1</v>
      </c>
      <c r="CA18" s="127">
        <v>1</v>
      </c>
      <c r="CB18" s="127">
        <v>1</v>
      </c>
      <c r="CC18" s="127">
        <v>1</v>
      </c>
      <c r="CD18" s="127">
        <v>1</v>
      </c>
      <c r="CE18" s="127">
        <v>1</v>
      </c>
      <c r="CF18" s="127">
        <v>1</v>
      </c>
      <c r="CG18" s="127">
        <v>1</v>
      </c>
      <c r="CH18" s="127">
        <v>1</v>
      </c>
      <c r="CI18" s="127">
        <v>1</v>
      </c>
      <c r="CJ18" s="127">
        <v>1</v>
      </c>
      <c r="CK18" s="127">
        <v>1</v>
      </c>
      <c r="CL18" s="127">
        <v>1</v>
      </c>
      <c r="CM18" s="127">
        <v>1</v>
      </c>
      <c r="CN18" s="127">
        <v>1</v>
      </c>
      <c r="CO18" s="127">
        <v>1</v>
      </c>
      <c r="CP18" s="127">
        <v>1</v>
      </c>
      <c r="CQ18" s="127">
        <v>1</v>
      </c>
      <c r="CR18" s="127">
        <v>1</v>
      </c>
      <c r="CS18" s="127">
        <v>1</v>
      </c>
      <c r="CT18" s="127">
        <v>1</v>
      </c>
      <c r="CU18" s="127">
        <v>1</v>
      </c>
      <c r="CV18" s="127">
        <v>1</v>
      </c>
      <c r="CW18" s="127">
        <v>1</v>
      </c>
      <c r="CX18" s="127">
        <v>1</v>
      </c>
      <c r="CY18" s="127">
        <v>1</v>
      </c>
      <c r="CZ18" s="127">
        <v>1</v>
      </c>
      <c r="DA18" s="127">
        <v>1</v>
      </c>
      <c r="DB18" s="127">
        <v>1</v>
      </c>
      <c r="DC18" s="127">
        <v>1</v>
      </c>
      <c r="DD18" s="127">
        <v>1</v>
      </c>
      <c r="DE18" s="127">
        <v>1</v>
      </c>
      <c r="DF18" s="127">
        <v>1</v>
      </c>
      <c r="DG18" s="127">
        <v>1</v>
      </c>
      <c r="DH18" s="127">
        <v>1</v>
      </c>
      <c r="DI18" s="127">
        <v>1</v>
      </c>
      <c r="DJ18" s="127">
        <v>1</v>
      </c>
      <c r="DK18" s="127">
        <v>1</v>
      </c>
      <c r="DL18" s="127">
        <v>1</v>
      </c>
      <c r="DM18" s="127">
        <v>1</v>
      </c>
      <c r="DN18" s="127">
        <v>1</v>
      </c>
      <c r="DO18" s="127">
        <v>1</v>
      </c>
      <c r="DP18" s="127">
        <v>1</v>
      </c>
      <c r="DQ18" s="127">
        <v>1</v>
      </c>
      <c r="DR18" s="127">
        <v>1</v>
      </c>
      <c r="DS18" s="127">
        <v>1</v>
      </c>
      <c r="DT18" s="127">
        <v>1</v>
      </c>
      <c r="DU18" s="127">
        <v>1</v>
      </c>
      <c r="DV18" s="127">
        <v>1</v>
      </c>
      <c r="DW18" s="127">
        <v>1</v>
      </c>
      <c r="DX18" s="127">
        <v>1</v>
      </c>
      <c r="DY18" s="127">
        <v>1</v>
      </c>
      <c r="DZ18" s="127">
        <v>1</v>
      </c>
      <c r="EA18" s="127">
        <v>1</v>
      </c>
      <c r="EB18" s="127">
        <v>1</v>
      </c>
      <c r="EC18" s="127">
        <v>1</v>
      </c>
      <c r="ED18" s="127">
        <v>1</v>
      </c>
      <c r="EE18" s="127">
        <v>1</v>
      </c>
      <c r="EF18" s="127">
        <v>1</v>
      </c>
      <c r="EG18" s="127">
        <v>1</v>
      </c>
      <c r="EH18" s="127">
        <v>1</v>
      </c>
      <c r="EI18" s="127">
        <v>1</v>
      </c>
    </row>
    <row r="19" spans="2:139" hidden="1" outlineLevel="3" x14ac:dyDescent="0.3">
      <c r="B19" s="29"/>
      <c r="C19" s="30"/>
      <c r="D19" s="30"/>
      <c r="E19" s="52" t="s">
        <v>24</v>
      </c>
      <c r="F19" s="33">
        <v>40</v>
      </c>
      <c r="G19" s="35">
        <v>0.08</v>
      </c>
      <c r="H19" s="53"/>
      <c r="I19" s="126">
        <v>0</v>
      </c>
      <c r="J19" s="127">
        <v>0</v>
      </c>
      <c r="K19" s="127">
        <v>0</v>
      </c>
      <c r="L19" s="127">
        <v>0</v>
      </c>
      <c r="M19" s="128">
        <v>0</v>
      </c>
      <c r="N19" s="128">
        <v>0</v>
      </c>
      <c r="O19" s="127">
        <v>0</v>
      </c>
      <c r="P19" s="127">
        <v>4.4180727067836415E-3</v>
      </c>
      <c r="Q19" s="127">
        <v>0.28170638427477523</v>
      </c>
      <c r="R19" s="127">
        <v>0.44661817128029491</v>
      </c>
      <c r="S19" s="127">
        <v>0.44682734455115225</v>
      </c>
      <c r="T19" s="127">
        <v>0.44714110445743832</v>
      </c>
      <c r="U19" s="127">
        <v>0.44741302970955293</v>
      </c>
      <c r="V19" s="127">
        <v>0.44749669901789585</v>
      </c>
      <c r="W19" s="127">
        <v>0.44751761634498161</v>
      </c>
      <c r="X19" s="127">
        <v>0.44751761634498161</v>
      </c>
      <c r="Y19" s="127">
        <v>0.44751761634498161</v>
      </c>
      <c r="Z19" s="127">
        <v>0.44751761634498161</v>
      </c>
      <c r="AA19" s="127">
        <v>0.44751761634498161</v>
      </c>
      <c r="AB19" s="127">
        <v>0.44751761634498161</v>
      </c>
      <c r="AC19" s="127">
        <v>0.44751761634498161</v>
      </c>
      <c r="AD19" s="127">
        <v>0.44751761634498161</v>
      </c>
      <c r="AE19" s="127">
        <v>0.50268846060026617</v>
      </c>
      <c r="AF19" s="127">
        <v>0.7437746259304584</v>
      </c>
      <c r="AG19" s="127">
        <v>0.85568156482974034</v>
      </c>
      <c r="AH19" s="127">
        <v>1</v>
      </c>
      <c r="AI19" s="127">
        <v>1</v>
      </c>
      <c r="AJ19" s="127">
        <v>1</v>
      </c>
      <c r="AK19" s="127">
        <v>1</v>
      </c>
      <c r="AL19" s="127">
        <v>1</v>
      </c>
      <c r="AM19" s="127">
        <v>1</v>
      </c>
      <c r="AN19" s="127">
        <v>1</v>
      </c>
      <c r="AO19" s="127">
        <v>1</v>
      </c>
      <c r="AP19" s="127">
        <v>1</v>
      </c>
      <c r="AQ19" s="127">
        <v>1</v>
      </c>
      <c r="AR19" s="127">
        <v>1</v>
      </c>
      <c r="AS19" s="127">
        <v>1</v>
      </c>
      <c r="AT19" s="127">
        <v>1</v>
      </c>
      <c r="AU19" s="127">
        <v>1</v>
      </c>
      <c r="AV19" s="127">
        <v>1</v>
      </c>
      <c r="AW19" s="127">
        <v>1</v>
      </c>
      <c r="AX19" s="127">
        <v>1</v>
      </c>
      <c r="AY19" s="127">
        <v>1</v>
      </c>
      <c r="AZ19" s="127">
        <v>1</v>
      </c>
      <c r="BA19" s="127">
        <v>1</v>
      </c>
      <c r="BB19" s="127">
        <v>1</v>
      </c>
      <c r="BC19" s="127">
        <v>1</v>
      </c>
      <c r="BD19" s="127">
        <v>1</v>
      </c>
      <c r="BE19" s="127">
        <v>1</v>
      </c>
      <c r="BF19" s="127">
        <v>1</v>
      </c>
      <c r="BG19" s="127">
        <v>1</v>
      </c>
      <c r="BH19" s="127">
        <v>1</v>
      </c>
      <c r="BI19" s="127">
        <v>1</v>
      </c>
      <c r="BJ19" s="127">
        <v>1</v>
      </c>
      <c r="BK19" s="127">
        <v>1</v>
      </c>
      <c r="BL19" s="127">
        <v>1</v>
      </c>
      <c r="BM19" s="127">
        <v>1</v>
      </c>
      <c r="BN19" s="127">
        <v>1</v>
      </c>
      <c r="BO19" s="127">
        <v>1</v>
      </c>
      <c r="BP19" s="127">
        <v>1</v>
      </c>
      <c r="BQ19" s="127">
        <v>1</v>
      </c>
      <c r="BR19" s="127">
        <v>1</v>
      </c>
      <c r="BS19" s="127">
        <v>1</v>
      </c>
      <c r="BT19" s="127">
        <v>1</v>
      </c>
      <c r="BU19" s="127">
        <v>1</v>
      </c>
      <c r="BV19" s="127">
        <v>1</v>
      </c>
      <c r="BW19" s="127">
        <v>1</v>
      </c>
      <c r="BX19" s="127">
        <v>1</v>
      </c>
      <c r="BY19" s="127">
        <v>1</v>
      </c>
      <c r="BZ19" s="127">
        <v>1</v>
      </c>
      <c r="CA19" s="127">
        <v>1</v>
      </c>
      <c r="CB19" s="127">
        <v>1</v>
      </c>
      <c r="CC19" s="127">
        <v>1</v>
      </c>
      <c r="CD19" s="127">
        <v>1</v>
      </c>
      <c r="CE19" s="127">
        <v>1</v>
      </c>
      <c r="CF19" s="127">
        <v>1</v>
      </c>
      <c r="CG19" s="127">
        <v>1</v>
      </c>
      <c r="CH19" s="127">
        <v>1</v>
      </c>
      <c r="CI19" s="127">
        <v>1</v>
      </c>
      <c r="CJ19" s="127">
        <v>1</v>
      </c>
      <c r="CK19" s="127">
        <v>1</v>
      </c>
      <c r="CL19" s="127">
        <v>1</v>
      </c>
      <c r="CM19" s="127">
        <v>1</v>
      </c>
      <c r="CN19" s="127">
        <v>1</v>
      </c>
      <c r="CO19" s="127">
        <v>1</v>
      </c>
      <c r="CP19" s="127">
        <v>1</v>
      </c>
      <c r="CQ19" s="127">
        <v>1</v>
      </c>
      <c r="CR19" s="127">
        <v>1</v>
      </c>
      <c r="CS19" s="127">
        <v>1</v>
      </c>
      <c r="CT19" s="127">
        <v>1</v>
      </c>
      <c r="CU19" s="127">
        <v>1</v>
      </c>
      <c r="CV19" s="127">
        <v>1</v>
      </c>
      <c r="CW19" s="127">
        <v>1</v>
      </c>
      <c r="CX19" s="127">
        <v>1</v>
      </c>
      <c r="CY19" s="127">
        <v>1</v>
      </c>
      <c r="CZ19" s="127">
        <v>1</v>
      </c>
      <c r="DA19" s="127">
        <v>1</v>
      </c>
      <c r="DB19" s="127">
        <v>1</v>
      </c>
      <c r="DC19" s="127">
        <v>1</v>
      </c>
      <c r="DD19" s="127">
        <v>1</v>
      </c>
      <c r="DE19" s="127">
        <v>1</v>
      </c>
      <c r="DF19" s="127">
        <v>1</v>
      </c>
      <c r="DG19" s="127">
        <v>1</v>
      </c>
      <c r="DH19" s="127">
        <v>1</v>
      </c>
      <c r="DI19" s="127">
        <v>1</v>
      </c>
      <c r="DJ19" s="127">
        <v>1</v>
      </c>
      <c r="DK19" s="127">
        <v>1</v>
      </c>
      <c r="DL19" s="127">
        <v>1</v>
      </c>
      <c r="DM19" s="127">
        <v>1</v>
      </c>
      <c r="DN19" s="127">
        <v>1</v>
      </c>
      <c r="DO19" s="127">
        <v>1</v>
      </c>
      <c r="DP19" s="127">
        <v>1</v>
      </c>
      <c r="DQ19" s="127">
        <v>1</v>
      </c>
      <c r="DR19" s="127">
        <v>1</v>
      </c>
      <c r="DS19" s="127">
        <v>1</v>
      </c>
      <c r="DT19" s="127">
        <v>1</v>
      </c>
      <c r="DU19" s="127">
        <v>1</v>
      </c>
      <c r="DV19" s="127">
        <v>1</v>
      </c>
      <c r="DW19" s="127">
        <v>1</v>
      </c>
      <c r="DX19" s="127">
        <v>1</v>
      </c>
      <c r="DY19" s="127">
        <v>1</v>
      </c>
      <c r="DZ19" s="127">
        <v>1</v>
      </c>
      <c r="EA19" s="127">
        <v>1</v>
      </c>
      <c r="EB19" s="127">
        <v>1</v>
      </c>
      <c r="EC19" s="127">
        <v>1</v>
      </c>
      <c r="ED19" s="127">
        <v>1</v>
      </c>
      <c r="EE19" s="127">
        <v>1</v>
      </c>
      <c r="EF19" s="127">
        <v>1</v>
      </c>
      <c r="EG19" s="127">
        <v>1</v>
      </c>
      <c r="EH19" s="127">
        <v>1</v>
      </c>
      <c r="EI19" s="127">
        <v>1</v>
      </c>
    </row>
    <row r="20" spans="2:139" hidden="1" outlineLevel="3" x14ac:dyDescent="0.3">
      <c r="B20" s="29"/>
      <c r="C20" s="30"/>
      <c r="D20" s="30"/>
      <c r="E20" s="52" t="s">
        <v>25</v>
      </c>
      <c r="F20" s="33">
        <v>40</v>
      </c>
      <c r="G20" s="35">
        <v>0.2</v>
      </c>
      <c r="H20" s="53"/>
      <c r="I20" s="126">
        <v>0</v>
      </c>
      <c r="J20" s="127">
        <v>0</v>
      </c>
      <c r="K20" s="127">
        <v>0</v>
      </c>
      <c r="L20" s="127">
        <v>0</v>
      </c>
      <c r="M20" s="129">
        <v>0</v>
      </c>
      <c r="N20" s="129">
        <v>0</v>
      </c>
      <c r="O20" s="127">
        <v>0.22248615952816758</v>
      </c>
      <c r="P20" s="127">
        <v>0.44497231905633516</v>
      </c>
      <c r="Q20" s="127">
        <v>0.60883219400203537</v>
      </c>
      <c r="R20" s="127">
        <v>0.66797090276817694</v>
      </c>
      <c r="S20" s="127">
        <v>0.72130751178696462</v>
      </c>
      <c r="T20" s="127">
        <v>0.73350278942520286</v>
      </c>
      <c r="U20" s="127">
        <v>0.75644306225462654</v>
      </c>
      <c r="V20" s="127">
        <v>0.85058690624567956</v>
      </c>
      <c r="W20" s="127">
        <v>0.8671883611072706</v>
      </c>
      <c r="X20" s="127">
        <v>0.9259707057749279</v>
      </c>
      <c r="Y20" s="127">
        <v>0.9259707057749279</v>
      </c>
      <c r="Z20" s="127">
        <v>0.9259707057749279</v>
      </c>
      <c r="AA20" s="127">
        <v>0.9259707057749279</v>
      </c>
      <c r="AB20" s="127">
        <v>0.9259707057749279</v>
      </c>
      <c r="AC20" s="127">
        <v>0.9259707057749279</v>
      </c>
      <c r="AD20" s="127">
        <v>0.9259707057749279</v>
      </c>
      <c r="AE20" s="127">
        <v>0.9259707057749279</v>
      </c>
      <c r="AF20" s="127">
        <v>0.9259707057749279</v>
      </c>
      <c r="AG20" s="127">
        <v>0.9259707057749279</v>
      </c>
      <c r="AH20" s="127">
        <v>0.9259707057749279</v>
      </c>
      <c r="AI20" s="127">
        <v>0.9259707057749279</v>
      </c>
      <c r="AJ20" s="127">
        <v>0.9259707057749279</v>
      </c>
      <c r="AK20" s="127">
        <v>0.9259707057749279</v>
      </c>
      <c r="AL20" s="127">
        <v>0.9259707057749279</v>
      </c>
      <c r="AM20" s="127">
        <v>0.9259707057749279</v>
      </c>
      <c r="AN20" s="127">
        <v>0.9259707057749279</v>
      </c>
      <c r="AO20" s="127">
        <v>0.9259707057749279</v>
      </c>
      <c r="AP20" s="127">
        <v>0.9259707057749279</v>
      </c>
      <c r="AQ20" s="127">
        <v>0.9259707057749279</v>
      </c>
      <c r="AR20" s="127">
        <v>0.9259707057749279</v>
      </c>
      <c r="AS20" s="127">
        <v>0.9259707057749279</v>
      </c>
      <c r="AT20" s="127">
        <v>0.9259707057749279</v>
      </c>
      <c r="AU20" s="127">
        <v>0.9259707057749279</v>
      </c>
      <c r="AV20" s="127">
        <v>0.9259707057749279</v>
      </c>
      <c r="AW20" s="127">
        <v>0.9259707057749279</v>
      </c>
      <c r="AX20" s="127">
        <v>0.9259707057749279</v>
      </c>
      <c r="AY20" s="127">
        <v>0.9259707057749279</v>
      </c>
      <c r="AZ20" s="127">
        <v>0.9259707057749279</v>
      </c>
      <c r="BA20" s="127">
        <v>0.9259707057749279</v>
      </c>
      <c r="BB20" s="127">
        <f>Planbase100[[#This Row],[05/05/25]]+(1-Planbase100[[#This Row],[05/05/25]])*'Plan 39'!I8</f>
        <v>0.9259707057749279</v>
      </c>
      <c r="BC20" s="127">
        <f>Planbase100[[#This Row],[05/05/25]]+(1-Planbase100[[#This Row],[05/05/25]])*'Plan 39'!J8</f>
        <v>0.9259707057749279</v>
      </c>
      <c r="BD20" s="127">
        <f>Planbase100[[#This Row],[05/05/25]]+(1-Planbase100[[#This Row],[05/05/25]])*'Plan 39'!K8</f>
        <v>0.9259707057749279</v>
      </c>
      <c r="BE20" s="127">
        <f>Planbase100[[#This Row],[05/05/25]]+(1-Planbase100[[#This Row],[05/05/25]])*'Plan 39'!L8</f>
        <v>0.9259707057749279</v>
      </c>
      <c r="BF20" s="127">
        <f>Planbase100[[#This Row],[05/05/25]]+(1-Planbase100[[#This Row],[05/05/25]])*'Plan 39'!M8</f>
        <v>0.9259707057749279</v>
      </c>
      <c r="BG20" s="127">
        <f>Planbase100[[#This Row],[05/05/25]]+(1-Planbase100[[#This Row],[05/05/25]])*'Plan 39'!N8</f>
        <v>0.9259707057749279</v>
      </c>
      <c r="BH20" s="127">
        <f>Planbase100[[#This Row],[05/05/25]]+(1-Planbase100[[#This Row],[05/05/25]])*'Plan 39'!O8</f>
        <v>0.9259707057749279</v>
      </c>
      <c r="BI20" s="127">
        <f>Planbase100[[#This Row],[05/05/25]]+(1-Planbase100[[#This Row],[05/05/25]])*'Plan 39'!P8</f>
        <v>0.9259707057749279</v>
      </c>
      <c r="BJ20" s="127">
        <f>Planbase100[[#This Row],[05/05/25]]+(1-Planbase100[[#This Row],[05/05/25]])*'Plan 39'!Q8</f>
        <v>0.93929597873544091</v>
      </c>
      <c r="BK20" s="127">
        <f>Planbase100[[#This Row],[05/05/25]]+(1-Planbase100[[#This Row],[05/05/25]])*'Plan 39'!R8</f>
        <v>0.973349454078974</v>
      </c>
      <c r="BL20" s="127">
        <f>Planbase100[[#This Row],[05/05/25]]+(1-Planbase100[[#This Row],[05/05/25]])*'Plan 39'!S8</f>
        <v>0.99777912117324785</v>
      </c>
      <c r="BM20" s="127">
        <f>Planbase100[[#This Row],[05/05/25]]+(1-Planbase100[[#This Row],[05/05/25]])*'Plan 39'!T8</f>
        <v>1</v>
      </c>
      <c r="BN20" s="127">
        <f>Planbase100[[#This Row],[05/05/25]]+(1-Planbase100[[#This Row],[05/05/25]])*'Plan 39'!U8</f>
        <v>1</v>
      </c>
      <c r="BO20" s="127">
        <f>Planbase100[[#This Row],[05/05/25]]+(1-Planbase100[[#This Row],[05/05/25]])*'Plan 39'!V8</f>
        <v>1</v>
      </c>
      <c r="BP20" s="127">
        <f>Planbase100[[#This Row],[05/05/25]]+(1-Planbase100[[#This Row],[05/05/25]])*'Plan 39'!W8</f>
        <v>1</v>
      </c>
      <c r="BQ20" s="127">
        <f>Planbase100[[#This Row],[05/05/25]]+(1-Planbase100[[#This Row],[05/05/25]])*'Plan 39'!X8</f>
        <v>1</v>
      </c>
      <c r="BR20" s="127">
        <f>Planbase100[[#This Row],[05/05/25]]+(1-Planbase100[[#This Row],[05/05/25]])*'Plan 39'!Y8</f>
        <v>1</v>
      </c>
      <c r="BS20" s="127">
        <f>Planbase100[[#This Row],[05/05/25]]+(1-Planbase100[[#This Row],[05/05/25]])*'Plan 39'!Z8</f>
        <v>1</v>
      </c>
      <c r="BT20" s="127">
        <f>Planbase100[[#This Row],[05/05/25]]+(1-Planbase100[[#This Row],[05/05/25]])*'Plan 39'!AA8</f>
        <v>1</v>
      </c>
      <c r="BU20" s="127">
        <f>Planbase100[[#This Row],[05/05/25]]+(1-Planbase100[[#This Row],[05/05/25]])*'Plan 39'!AB8</f>
        <v>1</v>
      </c>
      <c r="BV20" s="127">
        <f>Planbase100[[#This Row],[05/05/25]]+(1-Planbase100[[#This Row],[05/05/25]])*'Plan 39'!AC8</f>
        <v>1</v>
      </c>
      <c r="BW20" s="127">
        <f>Planbase100[[#This Row],[05/05/25]]+(1-Planbase100[[#This Row],[05/05/25]])*'Plan 39'!AD8</f>
        <v>1</v>
      </c>
      <c r="BX20" s="127">
        <f>Planbase100[[#This Row],[05/05/25]]+(1-Planbase100[[#This Row],[05/05/25]])*'Plan 39'!AE8</f>
        <v>1</v>
      </c>
      <c r="BY20" s="127">
        <f>Planbase100[[#This Row],[05/05/25]]+(1-Planbase100[[#This Row],[05/05/25]])*'Plan 39'!AF8</f>
        <v>1</v>
      </c>
      <c r="BZ20" s="127">
        <f>Planbase100[[#This Row],[05/05/25]]+(1-Planbase100[[#This Row],[05/05/25]])*'Plan 39'!AG8</f>
        <v>1</v>
      </c>
      <c r="CA20" s="127">
        <f>Planbase100[[#This Row],[05/05/25]]+(1-Planbase100[[#This Row],[05/05/25]])*'Plan 39'!AH8</f>
        <v>1</v>
      </c>
      <c r="CB20" s="127">
        <f>Planbase100[[#This Row],[05/05/25]]+(1-Planbase100[[#This Row],[05/05/25]])*'Plan 39'!AI8</f>
        <v>1</v>
      </c>
      <c r="CC20" s="127">
        <f>Planbase100[[#This Row],[05/05/25]]+(1-Planbase100[[#This Row],[05/05/25]])*'Plan 39'!AJ8</f>
        <v>1</v>
      </c>
      <c r="CD20" s="127">
        <f>Planbase100[[#This Row],[05/05/25]]+(1-Planbase100[[#This Row],[05/05/25]])*'Plan 39'!AK8</f>
        <v>1</v>
      </c>
      <c r="CE20" s="127">
        <f>Planbase100[[#This Row],[05/05/25]]+(1-Planbase100[[#This Row],[05/05/25]])*'Plan 39'!AL8</f>
        <v>1</v>
      </c>
      <c r="CF20" s="127">
        <f>Planbase100[[#This Row],[05/05/25]]+(1-Planbase100[[#This Row],[05/05/25]])*'Plan 39'!AM8</f>
        <v>1</v>
      </c>
      <c r="CG20" s="127">
        <f>Planbase100[[#This Row],[05/05/25]]+(1-Planbase100[[#This Row],[05/05/25]])*'Plan 39'!AN8</f>
        <v>1</v>
      </c>
      <c r="CH20" s="127">
        <f>Planbase100[[#This Row],[05/05/25]]+(1-Planbase100[[#This Row],[05/05/25]])*'Plan 39'!AO8</f>
        <v>1</v>
      </c>
      <c r="CI20" s="127">
        <f>Planbase100[[#This Row],[05/05/25]]+(1-Planbase100[[#This Row],[05/05/25]])*'Plan 39'!AP8</f>
        <v>1</v>
      </c>
      <c r="CJ20" s="127">
        <f>Planbase100[[#This Row],[05/05/25]]+(1-Planbase100[[#This Row],[05/05/25]])*'Plan 39'!AQ8</f>
        <v>1</v>
      </c>
      <c r="CK20" s="127">
        <f>Planbase100[[#This Row],[05/05/25]]+(1-Planbase100[[#This Row],[05/05/25]])*'Plan 39'!AR8</f>
        <v>1</v>
      </c>
      <c r="CL20" s="127">
        <f>Planbase100[[#This Row],[05/05/25]]+(1-Planbase100[[#This Row],[05/05/25]])*'Plan 39'!AS8</f>
        <v>1</v>
      </c>
      <c r="CM20" s="127">
        <f>Planbase100[[#This Row],[05/05/25]]+(1-Planbase100[[#This Row],[05/05/25]])*'Plan 39'!AT8</f>
        <v>1</v>
      </c>
      <c r="CN20" s="127">
        <f>Planbase100[[#This Row],[05/05/25]]+(1-Planbase100[[#This Row],[05/05/25]])*'Plan 39'!AU8</f>
        <v>1</v>
      </c>
      <c r="CO20" s="127">
        <f>Planbase100[[#This Row],[05/05/25]]+(1-Planbase100[[#This Row],[05/05/25]])*'Plan 39'!AV8</f>
        <v>1</v>
      </c>
      <c r="CP20" s="127">
        <f>Planbase100[[#This Row],[05/05/25]]+(1-Planbase100[[#This Row],[05/05/25]])*'Plan 39'!AW8</f>
        <v>1</v>
      </c>
      <c r="CQ20" s="127">
        <f>Planbase100[[#This Row],[05/05/25]]+(1-Planbase100[[#This Row],[05/05/25]])*'Plan 39'!AX8</f>
        <v>1</v>
      </c>
      <c r="CR20" s="127">
        <f>Planbase100[[#This Row],[05/05/25]]+(1-Planbase100[[#This Row],[05/05/25]])*'Plan 39'!AY8</f>
        <v>1</v>
      </c>
      <c r="CS20" s="127">
        <f>Planbase100[[#This Row],[05/05/25]]+(1-Planbase100[[#This Row],[05/05/25]])*'Plan 39'!AZ8</f>
        <v>1</v>
      </c>
      <c r="CT20" s="127">
        <f>Planbase100[[#This Row],[05/05/25]]+(1-Planbase100[[#This Row],[05/05/25]])*'Plan 39'!BA8</f>
        <v>1</v>
      </c>
      <c r="CU20" s="127">
        <f>Planbase100[[#This Row],[05/05/25]]+(1-Planbase100[[#This Row],[05/05/25]])*'Plan 39'!BB8</f>
        <v>1</v>
      </c>
      <c r="CV20" s="127">
        <f>Planbase100[[#This Row],[05/05/25]]+(1-Planbase100[[#This Row],[05/05/25]])*'Plan 39'!BC8</f>
        <v>1</v>
      </c>
      <c r="CW20" s="127">
        <f>Planbase100[[#This Row],[05/05/25]]+(1-Planbase100[[#This Row],[05/05/25]])*'Plan 39'!BD8</f>
        <v>1</v>
      </c>
      <c r="CX20" s="127">
        <f>Planbase100[[#This Row],[05/05/25]]+(1-Planbase100[[#This Row],[05/05/25]])*'Plan 39'!BE8</f>
        <v>1</v>
      </c>
      <c r="CY20" s="127">
        <f>Planbase100[[#This Row],[05/05/25]]+(1-Planbase100[[#This Row],[05/05/25]])*'Plan 39'!BF8</f>
        <v>1</v>
      </c>
      <c r="CZ20" s="127">
        <f>Planbase100[[#This Row],[05/05/25]]+(1-Planbase100[[#This Row],[05/05/25]])*'Plan 39'!BG8</f>
        <v>1</v>
      </c>
      <c r="DA20" s="127">
        <f>Planbase100[[#This Row],[05/05/25]]+(1-Planbase100[[#This Row],[05/05/25]])*'Plan 39'!BH8</f>
        <v>1</v>
      </c>
      <c r="DB20" s="127">
        <f>Planbase100[[#This Row],[05/05/25]]+(1-Planbase100[[#This Row],[05/05/25]])*'Plan 39'!BI8</f>
        <v>1</v>
      </c>
      <c r="DC20" s="127">
        <f>Planbase100[[#This Row],[05/05/25]]+(1-Planbase100[[#This Row],[05/05/25]])*'Plan 39'!BJ8</f>
        <v>1</v>
      </c>
      <c r="DD20" s="127">
        <f>Planbase100[[#This Row],[05/05/25]]+(1-Planbase100[[#This Row],[05/05/25]])*'Plan 39'!BK8</f>
        <v>1</v>
      </c>
      <c r="DE20" s="127">
        <f>Planbase100[[#This Row],[05/05/25]]+(1-Planbase100[[#This Row],[05/05/25]])*'Plan 39'!BL8</f>
        <v>1</v>
      </c>
      <c r="DF20" s="127">
        <v>1</v>
      </c>
      <c r="DG20" s="127">
        <v>1</v>
      </c>
      <c r="DH20" s="127">
        <v>1</v>
      </c>
      <c r="DI20" s="127">
        <v>1</v>
      </c>
      <c r="DJ20" s="127">
        <v>1</v>
      </c>
      <c r="DK20" s="127">
        <v>1</v>
      </c>
      <c r="DL20" s="127">
        <v>1</v>
      </c>
      <c r="DM20" s="127">
        <v>1</v>
      </c>
      <c r="DN20" s="127">
        <v>1</v>
      </c>
      <c r="DO20" s="127">
        <v>1</v>
      </c>
      <c r="DP20" s="127">
        <v>1</v>
      </c>
      <c r="DQ20" s="127">
        <v>1</v>
      </c>
      <c r="DR20" s="127">
        <v>1</v>
      </c>
      <c r="DS20" s="127">
        <v>1</v>
      </c>
      <c r="DT20" s="127">
        <v>1</v>
      </c>
      <c r="DU20" s="127">
        <v>1</v>
      </c>
      <c r="DV20" s="127">
        <v>1</v>
      </c>
      <c r="DW20" s="127">
        <v>1</v>
      </c>
      <c r="DX20" s="127">
        <v>1</v>
      </c>
      <c r="DY20" s="127">
        <v>1</v>
      </c>
      <c r="DZ20" s="127">
        <v>1</v>
      </c>
      <c r="EA20" s="127">
        <v>1</v>
      </c>
      <c r="EB20" s="127">
        <v>1</v>
      </c>
      <c r="EC20" s="127">
        <v>1</v>
      </c>
      <c r="ED20" s="127">
        <v>1</v>
      </c>
      <c r="EE20" s="127">
        <v>1</v>
      </c>
      <c r="EF20" s="127">
        <v>1</v>
      </c>
      <c r="EG20" s="127">
        <v>1</v>
      </c>
      <c r="EH20" s="127">
        <v>1</v>
      </c>
      <c r="EI20" s="127">
        <v>1</v>
      </c>
    </row>
    <row r="21" spans="2:139" hidden="1" outlineLevel="3" x14ac:dyDescent="0.3">
      <c r="B21" s="29"/>
      <c r="C21" s="30"/>
      <c r="D21" s="30"/>
      <c r="E21" s="52" t="s">
        <v>26</v>
      </c>
      <c r="F21" s="33">
        <v>35</v>
      </c>
      <c r="G21" s="35">
        <v>0.4</v>
      </c>
      <c r="H21" s="53"/>
      <c r="I21" s="126">
        <v>0</v>
      </c>
      <c r="J21" s="127">
        <v>0</v>
      </c>
      <c r="K21" s="127">
        <v>0</v>
      </c>
      <c r="L21" s="127">
        <v>0</v>
      </c>
      <c r="M21" s="128">
        <v>0</v>
      </c>
      <c r="N21" s="128">
        <v>0</v>
      </c>
      <c r="O21" s="127">
        <v>0</v>
      </c>
      <c r="P21" s="127">
        <v>0</v>
      </c>
      <c r="Q21" s="127">
        <v>0</v>
      </c>
      <c r="R21" s="127">
        <v>0</v>
      </c>
      <c r="S21" s="127">
        <v>0</v>
      </c>
      <c r="T21" s="127">
        <v>0</v>
      </c>
      <c r="U21" s="127">
        <v>0</v>
      </c>
      <c r="V21" s="127">
        <v>0</v>
      </c>
      <c r="W21" s="127">
        <v>0</v>
      </c>
      <c r="X21" s="127">
        <v>0</v>
      </c>
      <c r="Y21" s="127">
        <v>5.0939064351776628E-2</v>
      </c>
      <c r="Z21" s="127">
        <v>5.8769114234590192E-2</v>
      </c>
      <c r="AA21" s="127">
        <v>6.5177506960724621E-2</v>
      </c>
      <c r="AB21" s="127">
        <v>6.9442478430762025E-2</v>
      </c>
      <c r="AC21" s="127">
        <v>0.29461427070363955</v>
      </c>
      <c r="AD21" s="127">
        <v>0.34845300989801925</v>
      </c>
      <c r="AE21" s="127">
        <v>0.45892498751449445</v>
      </c>
      <c r="AF21" s="127">
        <v>0.54152666830201579</v>
      </c>
      <c r="AG21" s="127">
        <v>0.66956246242384254</v>
      </c>
      <c r="AH21" s="127">
        <v>0.69582989346796309</v>
      </c>
      <c r="AI21" s="127">
        <v>0.69582989346796309</v>
      </c>
      <c r="AJ21" s="127">
        <v>0.69582989346796309</v>
      </c>
      <c r="AK21" s="127">
        <v>0.69835766313030723</v>
      </c>
      <c r="AL21" s="127">
        <v>0.69835766313030723</v>
      </c>
      <c r="AM21" s="127">
        <v>0.69835766313030723</v>
      </c>
      <c r="AN21" s="127">
        <v>0.69835766313030723</v>
      </c>
      <c r="AO21" s="127">
        <v>0.75088286984966612</v>
      </c>
      <c r="AP21" s="127">
        <v>0.78997102154124788</v>
      </c>
      <c r="AQ21" s="127">
        <v>0.78997102154124788</v>
      </c>
      <c r="AR21" s="127">
        <v>0.81990266507617671</v>
      </c>
      <c r="AS21" s="127">
        <v>0.81990266507617671</v>
      </c>
      <c r="AT21" s="127">
        <v>0.8226383529261434</v>
      </c>
      <c r="AU21" s="127">
        <v>0.8226383529261434</v>
      </c>
      <c r="AV21" s="127">
        <v>0.83527079388040093</v>
      </c>
      <c r="AW21" s="127">
        <v>0.85836321779041325</v>
      </c>
      <c r="AX21" s="127">
        <v>0.86974266642118558</v>
      </c>
      <c r="AY21" s="127">
        <v>0.86974266642118558</v>
      </c>
      <c r="AZ21" s="127">
        <v>0.87914568468586485</v>
      </c>
      <c r="BA21" s="127">
        <v>0.87914568468586485</v>
      </c>
      <c r="BB21" s="127">
        <f>Planbase100[[#This Row],[05/05/25]]+(1-Planbase100[[#This Row],[05/05/25]])*'Plan 39'!I9</f>
        <v>0.88379392758256237</v>
      </c>
      <c r="BC21" s="127">
        <f>Planbase100[[#This Row],[05/05/25]]+(1-Planbase100[[#This Row],[05/05/25]])*'Plan 39'!J9</f>
        <v>0.8883863915644995</v>
      </c>
      <c r="BD21" s="127">
        <f>Planbase100[[#This Row],[05/05/25]]+(1-Planbase100[[#This Row],[05/05/25]])*'Plan 39'!K9</f>
        <v>0.89297885554643663</v>
      </c>
      <c r="BE21" s="127">
        <f>Planbase100[[#This Row],[05/05/25]]+(1-Planbase100[[#This Row],[05/05/25]])*'Plan 39'!L9</f>
        <v>0.89757131952837377</v>
      </c>
      <c r="BF21" s="127">
        <f>Planbase100[[#This Row],[05/05/25]]+(1-Planbase100[[#This Row],[05/05/25]])*'Plan 39'!M9</f>
        <v>0.9021637835103109</v>
      </c>
      <c r="BG21" s="127">
        <f>Planbase100[[#This Row],[05/05/25]]+(1-Planbase100[[#This Row],[05/05/25]])*'Plan 39'!N9</f>
        <v>0.90675624749224804</v>
      </c>
      <c r="BH21" s="127">
        <f>Planbase100[[#This Row],[05/05/25]]+(1-Planbase100[[#This Row],[05/05/25]])*'Plan 39'!O9</f>
        <v>0.91134871147418517</v>
      </c>
      <c r="BI21" s="127">
        <f>Planbase100[[#This Row],[05/05/25]]+(1-Planbase100[[#This Row],[05/05/25]])*'Plan 39'!P9</f>
        <v>0.9159411754561223</v>
      </c>
      <c r="BJ21" s="127">
        <f>Planbase100[[#This Row],[05/05/25]]+(1-Planbase100[[#This Row],[05/05/25]])*'Plan 39'!Q9</f>
        <v>0.92053363943805944</v>
      </c>
      <c r="BK21" s="127">
        <f>Planbase100[[#This Row],[05/05/25]]+(1-Planbase100[[#This Row],[05/05/25]])*'Plan 39'!R9</f>
        <v>0.92512610341999657</v>
      </c>
      <c r="BL21" s="127">
        <f>Planbase100[[#This Row],[05/05/25]]+(1-Planbase100[[#This Row],[05/05/25]])*'Plan 39'!S9</f>
        <v>0.9297185674019337</v>
      </c>
      <c r="BM21" s="127">
        <f>Planbase100[[#This Row],[05/05/25]]+(1-Planbase100[[#This Row],[05/05/25]])*'Plan 39'!T9</f>
        <v>0.93431103138387084</v>
      </c>
      <c r="BN21" s="127">
        <f>Planbase100[[#This Row],[05/05/25]]+(1-Planbase100[[#This Row],[05/05/25]])*'Plan 39'!U9</f>
        <v>0.93890349536580797</v>
      </c>
      <c r="BO21" s="127">
        <f>Planbase100[[#This Row],[05/05/25]]+(1-Planbase100[[#This Row],[05/05/25]])*'Plan 39'!V9</f>
        <v>0.94349595934774511</v>
      </c>
      <c r="BP21" s="127">
        <f>Planbase100[[#This Row],[05/05/25]]+(1-Planbase100[[#This Row],[05/05/25]])*'Plan 39'!W9</f>
        <v>0.94808842332968224</v>
      </c>
      <c r="BQ21" s="127">
        <f>Planbase100[[#This Row],[05/05/25]]+(1-Planbase100[[#This Row],[05/05/25]])*'Plan 39'!X9</f>
        <v>0.95268088731161937</v>
      </c>
      <c r="BR21" s="127">
        <f>Planbase100[[#This Row],[05/05/25]]+(1-Planbase100[[#This Row],[05/05/25]])*'Plan 39'!Y9</f>
        <v>0.95727335129355651</v>
      </c>
      <c r="BS21" s="127">
        <f>Planbase100[[#This Row],[05/05/25]]+(1-Planbase100[[#This Row],[05/05/25]])*'Plan 39'!Z9</f>
        <v>0.96186581527549364</v>
      </c>
      <c r="BT21" s="127">
        <f>Planbase100[[#This Row],[05/05/25]]+(1-Planbase100[[#This Row],[05/05/25]])*'Plan 39'!AA9</f>
        <v>0.96645827925743077</v>
      </c>
      <c r="BU21" s="127">
        <f>Planbase100[[#This Row],[05/05/25]]+(1-Planbase100[[#This Row],[05/05/25]])*'Plan 39'!AB9</f>
        <v>0.97105074323936791</v>
      </c>
      <c r="BV21" s="127">
        <f>Planbase100[[#This Row],[05/05/25]]+(1-Planbase100[[#This Row],[05/05/25]])*'Plan 39'!AC9</f>
        <v>0.97564320722130504</v>
      </c>
      <c r="BW21" s="127">
        <f>Planbase100[[#This Row],[05/05/25]]+(1-Planbase100[[#This Row],[05/05/25]])*'Plan 39'!AD9</f>
        <v>0.98023567120324218</v>
      </c>
      <c r="BX21" s="127">
        <f>Planbase100[[#This Row],[05/05/25]]+(1-Planbase100[[#This Row],[05/05/25]])*'Plan 39'!AE9</f>
        <v>0.98482813518517931</v>
      </c>
      <c r="BY21" s="127">
        <f>Planbase100[[#This Row],[05/05/25]]+(1-Planbase100[[#This Row],[05/05/25]])*'Plan 39'!AF9</f>
        <v>0.98942059916711655</v>
      </c>
      <c r="BZ21" s="127">
        <f>Planbase100[[#This Row],[05/05/25]]+(1-Planbase100[[#This Row],[05/05/25]])*'Plan 39'!AG9</f>
        <v>0.99401306314905369</v>
      </c>
      <c r="CA21" s="127">
        <f>Planbase100[[#This Row],[05/05/25]]+(1-Planbase100[[#This Row],[05/05/25]])*'Plan 39'!AH9</f>
        <v>0.99860552713099082</v>
      </c>
      <c r="CB21" s="127">
        <f>Planbase100[[#This Row],[05/05/25]]+(1-Planbase100[[#This Row],[05/05/25]])*'Plan 39'!AI9</f>
        <v>1</v>
      </c>
      <c r="CC21" s="127">
        <f>Planbase100[[#This Row],[05/05/25]]+(1-Planbase100[[#This Row],[05/05/25]])*'Plan 39'!AJ9</f>
        <v>1</v>
      </c>
      <c r="CD21" s="127">
        <f>Planbase100[[#This Row],[05/05/25]]+(1-Planbase100[[#This Row],[05/05/25]])*'Plan 39'!AK9</f>
        <v>1</v>
      </c>
      <c r="CE21" s="127">
        <f>Planbase100[[#This Row],[05/05/25]]+(1-Planbase100[[#This Row],[05/05/25]])*'Plan 39'!AL9</f>
        <v>1</v>
      </c>
      <c r="CF21" s="127">
        <f>Planbase100[[#This Row],[05/05/25]]+(1-Planbase100[[#This Row],[05/05/25]])*'Plan 39'!AM9</f>
        <v>1</v>
      </c>
      <c r="CG21" s="127">
        <f>Planbase100[[#This Row],[05/05/25]]+(1-Planbase100[[#This Row],[05/05/25]])*'Plan 39'!AN9</f>
        <v>1</v>
      </c>
      <c r="CH21" s="127">
        <f>Planbase100[[#This Row],[05/05/25]]+(1-Planbase100[[#This Row],[05/05/25]])*'Plan 39'!AO9</f>
        <v>1</v>
      </c>
      <c r="CI21" s="127">
        <f>Planbase100[[#This Row],[05/05/25]]+(1-Planbase100[[#This Row],[05/05/25]])*'Plan 39'!AP9</f>
        <v>1</v>
      </c>
      <c r="CJ21" s="127">
        <f>Planbase100[[#This Row],[05/05/25]]+(1-Planbase100[[#This Row],[05/05/25]])*'Plan 39'!AQ9</f>
        <v>1</v>
      </c>
      <c r="CK21" s="127">
        <f>Planbase100[[#This Row],[05/05/25]]+(1-Planbase100[[#This Row],[05/05/25]])*'Plan 39'!AR9</f>
        <v>1</v>
      </c>
      <c r="CL21" s="127">
        <f>Planbase100[[#This Row],[05/05/25]]+(1-Planbase100[[#This Row],[05/05/25]])*'Plan 39'!AS9</f>
        <v>1</v>
      </c>
      <c r="CM21" s="127">
        <f>Planbase100[[#This Row],[05/05/25]]+(1-Planbase100[[#This Row],[05/05/25]])*'Plan 39'!AT9</f>
        <v>1</v>
      </c>
      <c r="CN21" s="127">
        <f>Planbase100[[#This Row],[05/05/25]]+(1-Planbase100[[#This Row],[05/05/25]])*'Plan 39'!AU9</f>
        <v>1</v>
      </c>
      <c r="CO21" s="127">
        <f>Planbase100[[#This Row],[05/05/25]]+(1-Planbase100[[#This Row],[05/05/25]])*'Plan 39'!AV9</f>
        <v>1</v>
      </c>
      <c r="CP21" s="127">
        <f>Planbase100[[#This Row],[05/05/25]]+(1-Planbase100[[#This Row],[05/05/25]])*'Plan 39'!AW9</f>
        <v>1</v>
      </c>
      <c r="CQ21" s="127">
        <f>Planbase100[[#This Row],[05/05/25]]+(1-Planbase100[[#This Row],[05/05/25]])*'Plan 39'!AX9</f>
        <v>1</v>
      </c>
      <c r="CR21" s="127">
        <f>Planbase100[[#This Row],[05/05/25]]+(1-Planbase100[[#This Row],[05/05/25]])*'Plan 39'!AY9</f>
        <v>1</v>
      </c>
      <c r="CS21" s="127">
        <f>Planbase100[[#This Row],[05/05/25]]+(1-Planbase100[[#This Row],[05/05/25]])*'Plan 39'!AZ9</f>
        <v>1</v>
      </c>
      <c r="CT21" s="127">
        <f>Planbase100[[#This Row],[05/05/25]]+(1-Planbase100[[#This Row],[05/05/25]])*'Plan 39'!BA9</f>
        <v>1</v>
      </c>
      <c r="CU21" s="127">
        <f>Planbase100[[#This Row],[05/05/25]]+(1-Planbase100[[#This Row],[05/05/25]])*'Plan 39'!BB9</f>
        <v>1</v>
      </c>
      <c r="CV21" s="127">
        <f>Planbase100[[#This Row],[05/05/25]]+(1-Planbase100[[#This Row],[05/05/25]])*'Plan 39'!BC9</f>
        <v>1</v>
      </c>
      <c r="CW21" s="127">
        <f>Planbase100[[#This Row],[05/05/25]]+(1-Planbase100[[#This Row],[05/05/25]])*'Plan 39'!BD9</f>
        <v>1</v>
      </c>
      <c r="CX21" s="127">
        <f>Planbase100[[#This Row],[05/05/25]]+(1-Planbase100[[#This Row],[05/05/25]])*'Plan 39'!BE9</f>
        <v>1</v>
      </c>
      <c r="CY21" s="127">
        <f>Planbase100[[#This Row],[05/05/25]]+(1-Planbase100[[#This Row],[05/05/25]])*'Plan 39'!BF9</f>
        <v>1</v>
      </c>
      <c r="CZ21" s="127">
        <f>Planbase100[[#This Row],[05/05/25]]+(1-Planbase100[[#This Row],[05/05/25]])*'Plan 39'!BG9</f>
        <v>1</v>
      </c>
      <c r="DA21" s="127">
        <f>Planbase100[[#This Row],[05/05/25]]+(1-Planbase100[[#This Row],[05/05/25]])*'Plan 39'!BH9</f>
        <v>1</v>
      </c>
      <c r="DB21" s="127">
        <f>Planbase100[[#This Row],[05/05/25]]+(1-Planbase100[[#This Row],[05/05/25]])*'Plan 39'!BI9</f>
        <v>1</v>
      </c>
      <c r="DC21" s="127">
        <f>Planbase100[[#This Row],[05/05/25]]+(1-Planbase100[[#This Row],[05/05/25]])*'Plan 39'!BJ9</f>
        <v>1</v>
      </c>
      <c r="DD21" s="127">
        <f>Planbase100[[#This Row],[05/05/25]]+(1-Planbase100[[#This Row],[05/05/25]])*'Plan 39'!BK9</f>
        <v>1</v>
      </c>
      <c r="DE21" s="127">
        <f>Planbase100[[#This Row],[05/05/25]]+(1-Planbase100[[#This Row],[05/05/25]])*'Plan 39'!BL9</f>
        <v>1</v>
      </c>
      <c r="DF21" s="127">
        <v>1</v>
      </c>
      <c r="DG21" s="127">
        <v>1</v>
      </c>
      <c r="DH21" s="127">
        <v>1</v>
      </c>
      <c r="DI21" s="127">
        <v>1</v>
      </c>
      <c r="DJ21" s="127">
        <v>1</v>
      </c>
      <c r="DK21" s="127">
        <v>1</v>
      </c>
      <c r="DL21" s="127">
        <v>1</v>
      </c>
      <c r="DM21" s="127">
        <v>1</v>
      </c>
      <c r="DN21" s="127">
        <v>1</v>
      </c>
      <c r="DO21" s="127">
        <v>1</v>
      </c>
      <c r="DP21" s="127">
        <v>1</v>
      </c>
      <c r="DQ21" s="127">
        <v>1</v>
      </c>
      <c r="DR21" s="127">
        <v>1</v>
      </c>
      <c r="DS21" s="127">
        <v>1</v>
      </c>
      <c r="DT21" s="127">
        <v>1</v>
      </c>
      <c r="DU21" s="127">
        <v>1</v>
      </c>
      <c r="DV21" s="127">
        <v>1</v>
      </c>
      <c r="DW21" s="127">
        <v>1</v>
      </c>
      <c r="DX21" s="127">
        <v>1</v>
      </c>
      <c r="DY21" s="127">
        <v>1</v>
      </c>
      <c r="DZ21" s="127">
        <v>1</v>
      </c>
      <c r="EA21" s="127">
        <v>1</v>
      </c>
      <c r="EB21" s="127">
        <v>1</v>
      </c>
      <c r="EC21" s="127">
        <v>1</v>
      </c>
      <c r="ED21" s="127">
        <v>1</v>
      </c>
      <c r="EE21" s="127">
        <v>1</v>
      </c>
      <c r="EF21" s="127">
        <v>1</v>
      </c>
      <c r="EG21" s="127">
        <v>1</v>
      </c>
      <c r="EH21" s="127">
        <v>1</v>
      </c>
      <c r="EI21" s="127">
        <v>1</v>
      </c>
    </row>
    <row r="22" spans="2:139" hidden="1" outlineLevel="3" x14ac:dyDescent="0.3">
      <c r="B22" s="29"/>
      <c r="C22" s="30"/>
      <c r="D22" s="30"/>
      <c r="E22" s="52" t="s">
        <v>27</v>
      </c>
      <c r="F22" s="33">
        <v>35</v>
      </c>
      <c r="G22" s="35">
        <v>0.12</v>
      </c>
      <c r="H22" s="53"/>
      <c r="I22" s="126">
        <v>0</v>
      </c>
      <c r="J22" s="127">
        <v>0</v>
      </c>
      <c r="K22" s="127">
        <v>0</v>
      </c>
      <c r="L22" s="127">
        <v>0</v>
      </c>
      <c r="M22" s="128">
        <v>0</v>
      </c>
      <c r="N22" s="128">
        <v>0</v>
      </c>
      <c r="O22" s="127">
        <v>0</v>
      </c>
      <c r="P22" s="127">
        <v>0</v>
      </c>
      <c r="Q22" s="127">
        <v>0</v>
      </c>
      <c r="R22" s="127">
        <v>0</v>
      </c>
      <c r="S22" s="127">
        <v>0</v>
      </c>
      <c r="T22" s="127">
        <v>0</v>
      </c>
      <c r="U22" s="127">
        <v>0.40195635415226544</v>
      </c>
      <c r="V22" s="127">
        <v>0.41363581387919096</v>
      </c>
      <c r="W22" s="127">
        <v>0.41363581387919096</v>
      </c>
      <c r="X22" s="127">
        <v>0.44661817128029491</v>
      </c>
      <c r="Y22" s="127">
        <v>0.44661817128029491</v>
      </c>
      <c r="Z22" s="127">
        <v>0.44661817128029491</v>
      </c>
      <c r="AA22" s="127">
        <v>0.44661817128029491</v>
      </c>
      <c r="AB22" s="127">
        <v>0.44661817128029491</v>
      </c>
      <c r="AC22" s="127">
        <v>0.44661817128029491</v>
      </c>
      <c r="AD22" s="127">
        <v>0.44661817128029491</v>
      </c>
      <c r="AE22" s="127">
        <v>0.470943476275133</v>
      </c>
      <c r="AF22" s="127">
        <v>0.470943476275133</v>
      </c>
      <c r="AG22" s="127">
        <v>0.67840037955667998</v>
      </c>
      <c r="AH22" s="127">
        <v>0.67840037955667998</v>
      </c>
      <c r="AI22" s="127">
        <v>0.67840037955667998</v>
      </c>
      <c r="AJ22" s="127">
        <v>0.67840037955667998</v>
      </c>
      <c r="AK22" s="127">
        <v>0.67840037955667998</v>
      </c>
      <c r="AL22" s="127">
        <v>0.67840037955667998</v>
      </c>
      <c r="AM22" s="127">
        <v>0.67840037955667998</v>
      </c>
      <c r="AN22" s="127">
        <v>0.67840037955667998</v>
      </c>
      <c r="AO22" s="127">
        <v>0.67840037955667998</v>
      </c>
      <c r="AP22" s="127">
        <v>0.67840037955667998</v>
      </c>
      <c r="AQ22" s="127">
        <v>0.67840037955667998</v>
      </c>
      <c r="AR22" s="127">
        <v>0.67840037955667998</v>
      </c>
      <c r="AS22" s="127">
        <v>0.67840037955667998</v>
      </c>
      <c r="AT22" s="127">
        <v>0.67840037955667998</v>
      </c>
      <c r="AU22" s="127">
        <v>0.67840037955667998</v>
      </c>
      <c r="AV22" s="127">
        <v>0.67840037955667998</v>
      </c>
      <c r="AW22" s="127">
        <v>0.76428626250913412</v>
      </c>
      <c r="AX22" s="127">
        <v>0.79275434783435328</v>
      </c>
      <c r="AY22" s="127">
        <v>0.79275434783435328</v>
      </c>
      <c r="AZ22" s="127">
        <v>0.9991633069165704</v>
      </c>
      <c r="BA22" s="127">
        <v>0.9991633069165704</v>
      </c>
      <c r="BB22" s="127">
        <f>Planbase100[[#This Row],[05/05/25]]+(1-Planbase100[[#This Row],[05/05/25]])*'Plan 39'!I10</f>
        <v>0.99918840770907325</v>
      </c>
      <c r="BC22" s="127">
        <f>Planbase100[[#This Row],[05/05/25]]+(1-Planbase100[[#This Row],[05/05/25]])*'Plan 39'!J10</f>
        <v>0.99923024236324476</v>
      </c>
      <c r="BD22" s="127">
        <f>Planbase100[[#This Row],[05/05/25]]+(1-Planbase100[[#This Row],[05/05/25]])*'Plan 39'!K10</f>
        <v>0.99929717780991911</v>
      </c>
      <c r="BE22" s="127">
        <f>Planbase100[[#This Row],[05/05/25]]+(1-Planbase100[[#This Row],[05/05/25]])*'Plan 39'!L10</f>
        <v>0.99938084711826214</v>
      </c>
      <c r="BF22" s="127">
        <f>Planbase100[[#This Row],[05/05/25]]+(1-Planbase100[[#This Row],[05/05/25]])*'Plan 39'!M10</f>
        <v>0.99948125028827361</v>
      </c>
      <c r="BG22" s="127">
        <f>Planbase100[[#This Row],[05/05/25]]+(1-Planbase100[[#This Row],[05/05/25]])*'Plan 39'!N10</f>
        <v>0.9995816534582852</v>
      </c>
      <c r="BH22" s="127">
        <f>Planbase100[[#This Row],[05/05/25]]+(1-Planbase100[[#This Row],[05/05/25]])*'Plan 39'!O10</f>
        <v>0.99968205662829679</v>
      </c>
      <c r="BI22" s="127">
        <f>Planbase100[[#This Row],[05/05/25]]+(1-Planbase100[[#This Row],[05/05/25]])*'Plan 39'!P10</f>
        <v>0.9997657259366397</v>
      </c>
      <c r="BJ22" s="127">
        <f>Planbase100[[#This Row],[05/05/25]]+(1-Planbase100[[#This Row],[05/05/25]])*'Plan 39'!Q10</f>
        <v>0.99985776217581701</v>
      </c>
      <c r="BK22" s="127">
        <f>Planbase100[[#This Row],[05/05/25]]+(1-Planbase100[[#This Row],[05/05/25]])*'Plan 39'!R10</f>
        <v>0.99992469762249137</v>
      </c>
      <c r="BL22" s="127">
        <f>Planbase100[[#This Row],[05/05/25]]+(1-Planbase100[[#This Row],[05/05/25]])*'Plan 39'!S10</f>
        <v>0.99997489920749716</v>
      </c>
      <c r="BM22" s="127">
        <f>Planbase100[[#This Row],[05/05/25]]+(1-Planbase100[[#This Row],[05/05/25]])*'Plan 39'!T10</f>
        <v>0.99999163306916572</v>
      </c>
      <c r="BN22" s="127">
        <f>Planbase100[[#This Row],[05/05/25]]+(1-Planbase100[[#This Row],[05/05/25]])*'Plan 39'!U10</f>
        <v>1</v>
      </c>
      <c r="BO22" s="127">
        <f>Planbase100[[#This Row],[05/05/25]]+(1-Planbase100[[#This Row],[05/05/25]])*'Plan 39'!V10</f>
        <v>1</v>
      </c>
      <c r="BP22" s="127">
        <f>Planbase100[[#This Row],[05/05/25]]+(1-Planbase100[[#This Row],[05/05/25]])*'Plan 39'!W10</f>
        <v>1</v>
      </c>
      <c r="BQ22" s="127">
        <f>Planbase100[[#This Row],[05/05/25]]+(1-Planbase100[[#This Row],[05/05/25]])*'Plan 39'!X10</f>
        <v>1</v>
      </c>
      <c r="BR22" s="127">
        <f>Planbase100[[#This Row],[05/05/25]]+(1-Planbase100[[#This Row],[05/05/25]])*'Plan 39'!Y10</f>
        <v>1</v>
      </c>
      <c r="BS22" s="127">
        <f>Planbase100[[#This Row],[05/05/25]]+(1-Planbase100[[#This Row],[05/05/25]])*'Plan 39'!Z10</f>
        <v>1</v>
      </c>
      <c r="BT22" s="127">
        <f>Planbase100[[#This Row],[05/05/25]]+(1-Planbase100[[#This Row],[05/05/25]])*'Plan 39'!AA10</f>
        <v>1</v>
      </c>
      <c r="BU22" s="127">
        <f>Planbase100[[#This Row],[05/05/25]]+(1-Planbase100[[#This Row],[05/05/25]])*'Plan 39'!AB10</f>
        <v>1</v>
      </c>
      <c r="BV22" s="127">
        <f>Planbase100[[#This Row],[05/05/25]]+(1-Planbase100[[#This Row],[05/05/25]])*'Plan 39'!AC10</f>
        <v>1</v>
      </c>
      <c r="BW22" s="127">
        <f>Planbase100[[#This Row],[05/05/25]]+(1-Planbase100[[#This Row],[05/05/25]])*'Plan 39'!AD10</f>
        <v>1</v>
      </c>
      <c r="BX22" s="127">
        <f>Planbase100[[#This Row],[05/05/25]]+(1-Planbase100[[#This Row],[05/05/25]])*'Plan 39'!AE10</f>
        <v>1</v>
      </c>
      <c r="BY22" s="127">
        <f>Planbase100[[#This Row],[05/05/25]]+(1-Planbase100[[#This Row],[05/05/25]])*'Plan 39'!AF10</f>
        <v>1</v>
      </c>
      <c r="BZ22" s="127">
        <f>Planbase100[[#This Row],[05/05/25]]+(1-Planbase100[[#This Row],[05/05/25]])*'Plan 39'!AG10</f>
        <v>1</v>
      </c>
      <c r="CA22" s="127">
        <f>Planbase100[[#This Row],[05/05/25]]+(1-Planbase100[[#This Row],[05/05/25]])*'Plan 39'!AH10</f>
        <v>1</v>
      </c>
      <c r="CB22" s="127">
        <f>Planbase100[[#This Row],[05/05/25]]+(1-Planbase100[[#This Row],[05/05/25]])*'Plan 39'!AI10</f>
        <v>1</v>
      </c>
      <c r="CC22" s="127">
        <f>Planbase100[[#This Row],[05/05/25]]+(1-Planbase100[[#This Row],[05/05/25]])*'Plan 39'!AJ10</f>
        <v>1</v>
      </c>
      <c r="CD22" s="127">
        <f>Planbase100[[#This Row],[05/05/25]]+(1-Planbase100[[#This Row],[05/05/25]])*'Plan 39'!AK10</f>
        <v>1</v>
      </c>
      <c r="CE22" s="127">
        <f>Planbase100[[#This Row],[05/05/25]]+(1-Planbase100[[#This Row],[05/05/25]])*'Plan 39'!AL10</f>
        <v>1</v>
      </c>
      <c r="CF22" s="127">
        <f>Planbase100[[#This Row],[05/05/25]]+(1-Planbase100[[#This Row],[05/05/25]])*'Plan 39'!AM10</f>
        <v>1</v>
      </c>
      <c r="CG22" s="127">
        <f>Planbase100[[#This Row],[05/05/25]]+(1-Planbase100[[#This Row],[05/05/25]])*'Plan 39'!AN10</f>
        <v>1</v>
      </c>
      <c r="CH22" s="127">
        <f>Planbase100[[#This Row],[05/05/25]]+(1-Planbase100[[#This Row],[05/05/25]])*'Plan 39'!AO10</f>
        <v>1</v>
      </c>
      <c r="CI22" s="127">
        <f>Planbase100[[#This Row],[05/05/25]]+(1-Planbase100[[#This Row],[05/05/25]])*'Plan 39'!AP10</f>
        <v>1</v>
      </c>
      <c r="CJ22" s="127">
        <f>Planbase100[[#This Row],[05/05/25]]+(1-Planbase100[[#This Row],[05/05/25]])*'Plan 39'!AQ10</f>
        <v>1</v>
      </c>
      <c r="CK22" s="127">
        <f>Planbase100[[#This Row],[05/05/25]]+(1-Planbase100[[#This Row],[05/05/25]])*'Plan 39'!AR10</f>
        <v>1</v>
      </c>
      <c r="CL22" s="127">
        <f>Planbase100[[#This Row],[05/05/25]]+(1-Planbase100[[#This Row],[05/05/25]])*'Plan 39'!AS10</f>
        <v>1</v>
      </c>
      <c r="CM22" s="127">
        <f>Planbase100[[#This Row],[05/05/25]]+(1-Planbase100[[#This Row],[05/05/25]])*'Plan 39'!AT10</f>
        <v>1</v>
      </c>
      <c r="CN22" s="127">
        <f>Planbase100[[#This Row],[05/05/25]]+(1-Planbase100[[#This Row],[05/05/25]])*'Plan 39'!AU10</f>
        <v>1</v>
      </c>
      <c r="CO22" s="127">
        <f>Planbase100[[#This Row],[05/05/25]]+(1-Planbase100[[#This Row],[05/05/25]])*'Plan 39'!AV10</f>
        <v>1</v>
      </c>
      <c r="CP22" s="127">
        <f>Planbase100[[#This Row],[05/05/25]]+(1-Planbase100[[#This Row],[05/05/25]])*'Plan 39'!AW10</f>
        <v>1</v>
      </c>
      <c r="CQ22" s="127">
        <f>Planbase100[[#This Row],[05/05/25]]+(1-Planbase100[[#This Row],[05/05/25]])*'Plan 39'!AX10</f>
        <v>1</v>
      </c>
      <c r="CR22" s="127">
        <f>Planbase100[[#This Row],[05/05/25]]+(1-Planbase100[[#This Row],[05/05/25]])*'Plan 39'!AY10</f>
        <v>1</v>
      </c>
      <c r="CS22" s="127">
        <f>Planbase100[[#This Row],[05/05/25]]+(1-Planbase100[[#This Row],[05/05/25]])*'Plan 39'!AZ10</f>
        <v>1</v>
      </c>
      <c r="CT22" s="127">
        <f>Planbase100[[#This Row],[05/05/25]]+(1-Planbase100[[#This Row],[05/05/25]])*'Plan 39'!BA10</f>
        <v>1</v>
      </c>
      <c r="CU22" s="127">
        <f>Planbase100[[#This Row],[05/05/25]]+(1-Planbase100[[#This Row],[05/05/25]])*'Plan 39'!BB10</f>
        <v>1</v>
      </c>
      <c r="CV22" s="127">
        <f>Planbase100[[#This Row],[05/05/25]]+(1-Planbase100[[#This Row],[05/05/25]])*'Plan 39'!BC10</f>
        <v>1</v>
      </c>
      <c r="CW22" s="127">
        <f>Planbase100[[#This Row],[05/05/25]]+(1-Planbase100[[#This Row],[05/05/25]])*'Plan 39'!BD10</f>
        <v>1</v>
      </c>
      <c r="CX22" s="127">
        <f>Planbase100[[#This Row],[05/05/25]]+(1-Planbase100[[#This Row],[05/05/25]])*'Plan 39'!BE10</f>
        <v>1</v>
      </c>
      <c r="CY22" s="127">
        <f>Planbase100[[#This Row],[05/05/25]]+(1-Planbase100[[#This Row],[05/05/25]])*'Plan 39'!BF10</f>
        <v>1</v>
      </c>
      <c r="CZ22" s="127">
        <f>Planbase100[[#This Row],[05/05/25]]+(1-Planbase100[[#This Row],[05/05/25]])*'Plan 39'!BG10</f>
        <v>1</v>
      </c>
      <c r="DA22" s="127">
        <f>Planbase100[[#This Row],[05/05/25]]+(1-Planbase100[[#This Row],[05/05/25]])*'Plan 39'!BH10</f>
        <v>1</v>
      </c>
      <c r="DB22" s="127">
        <f>Planbase100[[#This Row],[05/05/25]]+(1-Planbase100[[#This Row],[05/05/25]])*'Plan 39'!BI10</f>
        <v>1</v>
      </c>
      <c r="DC22" s="127">
        <f>Planbase100[[#This Row],[05/05/25]]+(1-Planbase100[[#This Row],[05/05/25]])*'Plan 39'!BJ10</f>
        <v>1</v>
      </c>
      <c r="DD22" s="127">
        <f>Planbase100[[#This Row],[05/05/25]]+(1-Planbase100[[#This Row],[05/05/25]])*'Plan 39'!BK10</f>
        <v>1</v>
      </c>
      <c r="DE22" s="127">
        <f>Planbase100[[#This Row],[05/05/25]]+(1-Planbase100[[#This Row],[05/05/25]])*'Plan 39'!BL10</f>
        <v>1</v>
      </c>
      <c r="DF22" s="127">
        <v>1</v>
      </c>
      <c r="DG22" s="127">
        <v>1</v>
      </c>
      <c r="DH22" s="127">
        <v>1</v>
      </c>
      <c r="DI22" s="127">
        <v>1</v>
      </c>
      <c r="DJ22" s="127">
        <v>1</v>
      </c>
      <c r="DK22" s="127">
        <v>1</v>
      </c>
      <c r="DL22" s="127">
        <v>1</v>
      </c>
      <c r="DM22" s="127">
        <v>1</v>
      </c>
      <c r="DN22" s="127">
        <v>1</v>
      </c>
      <c r="DO22" s="127">
        <v>1</v>
      </c>
      <c r="DP22" s="127">
        <v>1</v>
      </c>
      <c r="DQ22" s="127">
        <v>1</v>
      </c>
      <c r="DR22" s="127">
        <v>1</v>
      </c>
      <c r="DS22" s="127">
        <v>1</v>
      </c>
      <c r="DT22" s="127">
        <v>1</v>
      </c>
      <c r="DU22" s="127">
        <v>1</v>
      </c>
      <c r="DV22" s="127">
        <v>1</v>
      </c>
      <c r="DW22" s="127">
        <v>1</v>
      </c>
      <c r="DX22" s="127">
        <v>1</v>
      </c>
      <c r="DY22" s="127">
        <v>1</v>
      </c>
      <c r="DZ22" s="127">
        <v>1</v>
      </c>
      <c r="EA22" s="127">
        <v>1</v>
      </c>
      <c r="EB22" s="127">
        <v>1</v>
      </c>
      <c r="EC22" s="127">
        <v>1</v>
      </c>
      <c r="ED22" s="127">
        <v>1</v>
      </c>
      <c r="EE22" s="127">
        <v>1</v>
      </c>
      <c r="EF22" s="127">
        <v>1</v>
      </c>
      <c r="EG22" s="127">
        <v>1</v>
      </c>
      <c r="EH22" s="127">
        <v>1</v>
      </c>
      <c r="EI22" s="127">
        <v>1</v>
      </c>
    </row>
    <row r="23" spans="2:139" hidden="1" outlineLevel="3" x14ac:dyDescent="0.3">
      <c r="B23" s="29"/>
      <c r="C23" s="30"/>
      <c r="D23" s="30"/>
      <c r="E23" s="52" t="s">
        <v>28</v>
      </c>
      <c r="F23" s="33">
        <v>35</v>
      </c>
      <c r="G23" s="35">
        <v>0.15</v>
      </c>
      <c r="H23" s="53"/>
      <c r="I23" s="126">
        <v>0</v>
      </c>
      <c r="J23" s="127">
        <v>0</v>
      </c>
      <c r="K23" s="127">
        <v>0</v>
      </c>
      <c r="L23" s="127">
        <v>0</v>
      </c>
      <c r="M23" s="128">
        <v>0</v>
      </c>
      <c r="N23" s="128">
        <v>0</v>
      </c>
      <c r="O23" s="127">
        <v>0</v>
      </c>
      <c r="P23" s="127">
        <v>0</v>
      </c>
      <c r="Q23" s="127">
        <v>0</v>
      </c>
      <c r="R23" s="127">
        <v>0</v>
      </c>
      <c r="S23" s="127">
        <v>0</v>
      </c>
      <c r="T23" s="127">
        <v>0</v>
      </c>
      <c r="U23" s="127">
        <v>0</v>
      </c>
      <c r="V23" s="127">
        <v>0</v>
      </c>
      <c r="W23" s="127">
        <v>0</v>
      </c>
      <c r="X23" s="127">
        <v>0</v>
      </c>
      <c r="Y23" s="127">
        <v>0</v>
      </c>
      <c r="Z23" s="127">
        <v>0</v>
      </c>
      <c r="AA23" s="127">
        <v>0</v>
      </c>
      <c r="AB23" s="127">
        <v>0</v>
      </c>
      <c r="AC23" s="127">
        <v>0</v>
      </c>
      <c r="AD23" s="127">
        <v>0</v>
      </c>
      <c r="AE23" s="127">
        <v>0</v>
      </c>
      <c r="AF23" s="127">
        <v>0</v>
      </c>
      <c r="AG23" s="127">
        <v>0</v>
      </c>
      <c r="AH23" s="127">
        <v>0</v>
      </c>
      <c r="AI23" s="127">
        <v>0</v>
      </c>
      <c r="AJ23" s="127">
        <v>0</v>
      </c>
      <c r="AK23" s="127">
        <v>0</v>
      </c>
      <c r="AL23" s="127">
        <v>0</v>
      </c>
      <c r="AM23" s="127">
        <v>0</v>
      </c>
      <c r="AN23" s="127">
        <v>0</v>
      </c>
      <c r="AO23" s="127">
        <v>0</v>
      </c>
      <c r="AP23" s="127">
        <v>0</v>
      </c>
      <c r="AQ23" s="127">
        <v>0</v>
      </c>
      <c r="AR23" s="127">
        <v>0</v>
      </c>
      <c r="AS23" s="127">
        <v>0</v>
      </c>
      <c r="AT23" s="127">
        <v>0</v>
      </c>
      <c r="AU23" s="127">
        <v>0</v>
      </c>
      <c r="AV23" s="127">
        <v>0</v>
      </c>
      <c r="AW23" s="127">
        <v>0</v>
      </c>
      <c r="AX23" s="127">
        <v>0</v>
      </c>
      <c r="AY23" s="127">
        <v>0</v>
      </c>
      <c r="AZ23" s="127">
        <v>0</v>
      </c>
      <c r="BA23" s="127">
        <v>0</v>
      </c>
      <c r="BB23" s="127">
        <f>Planbase100[[#This Row],[05/05/25]]+(1-Planbase100[[#This Row],[05/05/25]])*'Plan 39'!I11</f>
        <v>0</v>
      </c>
      <c r="BC23" s="127">
        <f>Planbase100[[#This Row],[05/05/25]]+(1-Planbase100[[#This Row],[05/05/25]])*'Plan 39'!J11</f>
        <v>0</v>
      </c>
      <c r="BD23" s="127">
        <f>Planbase100[[#This Row],[05/05/25]]+(1-Planbase100[[#This Row],[05/05/25]])*'Plan 39'!K11</f>
        <v>0</v>
      </c>
      <c r="BE23" s="127">
        <f>Planbase100[[#This Row],[05/05/25]]+(1-Planbase100[[#This Row],[05/05/25]])*'Plan 39'!L11</f>
        <v>0</v>
      </c>
      <c r="BF23" s="127">
        <f>Planbase100[[#This Row],[05/05/25]]+(1-Planbase100[[#This Row],[05/05/25]])*'Plan 39'!M11</f>
        <v>0</v>
      </c>
      <c r="BG23" s="127">
        <f>Planbase100[[#This Row],[05/05/25]]+(1-Planbase100[[#This Row],[05/05/25]])*'Plan 39'!N11</f>
        <v>0</v>
      </c>
      <c r="BH23" s="127">
        <f>Planbase100[[#This Row],[05/05/25]]+(1-Planbase100[[#This Row],[05/05/25]])*'Plan 39'!O11</f>
        <v>0</v>
      </c>
      <c r="BI23" s="127">
        <f>Planbase100[[#This Row],[05/05/25]]+(1-Planbase100[[#This Row],[05/05/25]])*'Plan 39'!P11</f>
        <v>0</v>
      </c>
      <c r="BJ23" s="127">
        <f>Planbase100[[#This Row],[05/05/25]]+(1-Planbase100[[#This Row],[05/05/25]])*'Plan 39'!Q11</f>
        <v>0</v>
      </c>
      <c r="BK23" s="127">
        <f>Planbase100[[#This Row],[05/05/25]]+(1-Planbase100[[#This Row],[05/05/25]])*'Plan 39'!R11</f>
        <v>0</v>
      </c>
      <c r="BL23" s="127">
        <f>Planbase100[[#This Row],[05/05/25]]+(1-Planbase100[[#This Row],[05/05/25]])*'Plan 39'!S11</f>
        <v>0.05</v>
      </c>
      <c r="BM23" s="127">
        <f>Planbase100[[#This Row],[05/05/25]]+(1-Planbase100[[#This Row],[05/05/25]])*'Plan 39'!T11</f>
        <v>0.1</v>
      </c>
      <c r="BN23" s="127">
        <f>Planbase100[[#This Row],[05/05/25]]+(1-Planbase100[[#This Row],[05/05/25]])*'Plan 39'!U11</f>
        <v>0.15000000000000002</v>
      </c>
      <c r="BO23" s="127">
        <f>Planbase100[[#This Row],[05/05/25]]+(1-Planbase100[[#This Row],[05/05/25]])*'Plan 39'!V11</f>
        <v>0.2</v>
      </c>
      <c r="BP23" s="127">
        <f>Planbase100[[#This Row],[05/05/25]]+(1-Planbase100[[#This Row],[05/05/25]])*'Plan 39'!W11</f>
        <v>0.25</v>
      </c>
      <c r="BQ23" s="127">
        <f>Planbase100[[#This Row],[05/05/25]]+(1-Planbase100[[#This Row],[05/05/25]])*'Plan 39'!X11</f>
        <v>0.3</v>
      </c>
      <c r="BR23" s="127">
        <f>Planbase100[[#This Row],[05/05/25]]+(1-Planbase100[[#This Row],[05/05/25]])*'Plan 39'!Y11</f>
        <v>0.35</v>
      </c>
      <c r="BS23" s="127">
        <f>Planbase100[[#This Row],[05/05/25]]+(1-Planbase100[[#This Row],[05/05/25]])*'Plan 39'!Z11</f>
        <v>0.39999999999999997</v>
      </c>
      <c r="BT23" s="127">
        <f>Planbase100[[#This Row],[05/05/25]]+(1-Planbase100[[#This Row],[05/05/25]])*'Plan 39'!AA11</f>
        <v>0.44999999999999996</v>
      </c>
      <c r="BU23" s="127">
        <f>Planbase100[[#This Row],[05/05/25]]+(1-Planbase100[[#This Row],[05/05/25]])*'Plan 39'!AB11</f>
        <v>0.49999999999999994</v>
      </c>
      <c r="BV23" s="127">
        <f>Planbase100[[#This Row],[05/05/25]]+(1-Planbase100[[#This Row],[05/05/25]])*'Plan 39'!AC11</f>
        <v>0.54999999999999993</v>
      </c>
      <c r="BW23" s="127">
        <f>Planbase100[[#This Row],[05/05/25]]+(1-Planbase100[[#This Row],[05/05/25]])*'Plan 39'!AD11</f>
        <v>0.6</v>
      </c>
      <c r="BX23" s="127">
        <f>Planbase100[[#This Row],[05/05/25]]+(1-Planbase100[[#This Row],[05/05/25]])*'Plan 39'!AE11</f>
        <v>0.65</v>
      </c>
      <c r="BY23" s="127">
        <f>Planbase100[[#This Row],[05/05/25]]+(1-Planbase100[[#This Row],[05/05/25]])*'Plan 39'!AF11</f>
        <v>0.70000000000000007</v>
      </c>
      <c r="BZ23" s="127">
        <f>Planbase100[[#This Row],[05/05/25]]+(1-Planbase100[[#This Row],[05/05/25]])*'Plan 39'!AG11</f>
        <v>0.75000000000000011</v>
      </c>
      <c r="CA23" s="127">
        <f>Planbase100[[#This Row],[05/05/25]]+(1-Planbase100[[#This Row],[05/05/25]])*'Plan 39'!AH11</f>
        <v>0.80000000000000016</v>
      </c>
      <c r="CB23" s="127">
        <f>Planbase100[[#This Row],[05/05/25]]+(1-Planbase100[[#This Row],[05/05/25]])*'Plan 39'!AI11</f>
        <v>0.8500000000000002</v>
      </c>
      <c r="CC23" s="127">
        <f>Planbase100[[#This Row],[05/05/25]]+(1-Planbase100[[#This Row],[05/05/25]])*'Plan 39'!AJ11</f>
        <v>0.90000000000000024</v>
      </c>
      <c r="CD23" s="127">
        <f>Planbase100[[#This Row],[05/05/25]]+(1-Planbase100[[#This Row],[05/05/25]])*'Plan 39'!AK11</f>
        <v>0.95000000000000029</v>
      </c>
      <c r="CE23" s="127">
        <f>Planbase100[[#This Row],[05/05/25]]+(1-Planbase100[[#This Row],[05/05/25]])*'Plan 39'!AL11</f>
        <v>1.0000000000000002</v>
      </c>
      <c r="CF23" s="127">
        <f>Planbase100[[#This Row],[05/05/25]]+(1-Planbase100[[#This Row],[05/05/25]])*'Plan 39'!AM11</f>
        <v>1</v>
      </c>
      <c r="CG23" s="127">
        <f>Planbase100[[#This Row],[05/05/25]]+(1-Planbase100[[#This Row],[05/05/25]])*'Plan 39'!AN11</f>
        <v>1</v>
      </c>
      <c r="CH23" s="127">
        <f>Planbase100[[#This Row],[05/05/25]]+(1-Planbase100[[#This Row],[05/05/25]])*'Plan 39'!AO11</f>
        <v>1</v>
      </c>
      <c r="CI23" s="127">
        <f>Planbase100[[#This Row],[05/05/25]]+(1-Planbase100[[#This Row],[05/05/25]])*'Plan 39'!AP11</f>
        <v>1</v>
      </c>
      <c r="CJ23" s="127">
        <f>Planbase100[[#This Row],[05/05/25]]+(1-Planbase100[[#This Row],[05/05/25]])*'Plan 39'!AQ11</f>
        <v>1</v>
      </c>
      <c r="CK23" s="127">
        <f>Planbase100[[#This Row],[05/05/25]]+(1-Planbase100[[#This Row],[05/05/25]])*'Plan 39'!AR11</f>
        <v>1</v>
      </c>
      <c r="CL23" s="127">
        <f>Planbase100[[#This Row],[05/05/25]]+(1-Planbase100[[#This Row],[05/05/25]])*'Plan 39'!AS11</f>
        <v>1</v>
      </c>
      <c r="CM23" s="127">
        <f>Planbase100[[#This Row],[05/05/25]]+(1-Planbase100[[#This Row],[05/05/25]])*'Plan 39'!AT11</f>
        <v>1</v>
      </c>
      <c r="CN23" s="127">
        <f>Planbase100[[#This Row],[05/05/25]]+(1-Planbase100[[#This Row],[05/05/25]])*'Plan 39'!AU11</f>
        <v>1</v>
      </c>
      <c r="CO23" s="127">
        <f>Planbase100[[#This Row],[05/05/25]]+(1-Planbase100[[#This Row],[05/05/25]])*'Plan 39'!AV11</f>
        <v>1</v>
      </c>
      <c r="CP23" s="127">
        <f>Planbase100[[#This Row],[05/05/25]]+(1-Planbase100[[#This Row],[05/05/25]])*'Plan 39'!AW11</f>
        <v>1</v>
      </c>
      <c r="CQ23" s="127">
        <f>Planbase100[[#This Row],[05/05/25]]+(1-Planbase100[[#This Row],[05/05/25]])*'Plan 39'!AX11</f>
        <v>1</v>
      </c>
      <c r="CR23" s="127">
        <f>Planbase100[[#This Row],[05/05/25]]+(1-Planbase100[[#This Row],[05/05/25]])*'Plan 39'!AY11</f>
        <v>1</v>
      </c>
      <c r="CS23" s="127">
        <f>Planbase100[[#This Row],[05/05/25]]+(1-Planbase100[[#This Row],[05/05/25]])*'Plan 39'!AZ11</f>
        <v>1</v>
      </c>
      <c r="CT23" s="127">
        <f>Planbase100[[#This Row],[05/05/25]]+(1-Planbase100[[#This Row],[05/05/25]])*'Plan 39'!BA11</f>
        <v>1</v>
      </c>
      <c r="CU23" s="127">
        <f>Planbase100[[#This Row],[05/05/25]]+(1-Planbase100[[#This Row],[05/05/25]])*'Plan 39'!BB11</f>
        <v>1</v>
      </c>
      <c r="CV23" s="127">
        <f>Planbase100[[#This Row],[05/05/25]]+(1-Planbase100[[#This Row],[05/05/25]])*'Plan 39'!BC11</f>
        <v>1</v>
      </c>
      <c r="CW23" s="127">
        <f>Planbase100[[#This Row],[05/05/25]]+(1-Planbase100[[#This Row],[05/05/25]])*'Plan 39'!BD11</f>
        <v>1</v>
      </c>
      <c r="CX23" s="127">
        <f>Planbase100[[#This Row],[05/05/25]]+(1-Planbase100[[#This Row],[05/05/25]])*'Plan 39'!BE11</f>
        <v>1</v>
      </c>
      <c r="CY23" s="127">
        <f>Planbase100[[#This Row],[05/05/25]]+(1-Planbase100[[#This Row],[05/05/25]])*'Plan 39'!BF11</f>
        <v>1</v>
      </c>
      <c r="CZ23" s="127">
        <f>Planbase100[[#This Row],[05/05/25]]+(1-Planbase100[[#This Row],[05/05/25]])*'Plan 39'!BG11</f>
        <v>1</v>
      </c>
      <c r="DA23" s="127">
        <f>Planbase100[[#This Row],[05/05/25]]+(1-Planbase100[[#This Row],[05/05/25]])*'Plan 39'!BH11</f>
        <v>1</v>
      </c>
      <c r="DB23" s="127">
        <f>Planbase100[[#This Row],[05/05/25]]+(1-Planbase100[[#This Row],[05/05/25]])*'Plan 39'!BI11</f>
        <v>1</v>
      </c>
      <c r="DC23" s="127">
        <f>Planbase100[[#This Row],[05/05/25]]+(1-Planbase100[[#This Row],[05/05/25]])*'Plan 39'!BJ11</f>
        <v>1</v>
      </c>
      <c r="DD23" s="127">
        <f>Planbase100[[#This Row],[05/05/25]]+(1-Planbase100[[#This Row],[05/05/25]])*'Plan 39'!BK11</f>
        <v>1</v>
      </c>
      <c r="DE23" s="127">
        <f>Planbase100[[#This Row],[05/05/25]]+(1-Planbase100[[#This Row],[05/05/25]])*'Plan 39'!BL11</f>
        <v>1</v>
      </c>
      <c r="DF23" s="127">
        <v>1</v>
      </c>
      <c r="DG23" s="127">
        <v>1</v>
      </c>
      <c r="DH23" s="127">
        <v>1</v>
      </c>
      <c r="DI23" s="127">
        <v>1</v>
      </c>
      <c r="DJ23" s="127">
        <v>1</v>
      </c>
      <c r="DK23" s="127">
        <v>1</v>
      </c>
      <c r="DL23" s="127">
        <v>1</v>
      </c>
      <c r="DM23" s="127">
        <v>1</v>
      </c>
      <c r="DN23" s="127">
        <v>1</v>
      </c>
      <c r="DO23" s="127">
        <v>1</v>
      </c>
      <c r="DP23" s="127">
        <v>1</v>
      </c>
      <c r="DQ23" s="127">
        <v>1</v>
      </c>
      <c r="DR23" s="127">
        <v>1</v>
      </c>
      <c r="DS23" s="127">
        <v>1</v>
      </c>
      <c r="DT23" s="127">
        <v>1</v>
      </c>
      <c r="DU23" s="127">
        <v>1</v>
      </c>
      <c r="DV23" s="127">
        <v>1</v>
      </c>
      <c r="DW23" s="127">
        <v>1</v>
      </c>
      <c r="DX23" s="127">
        <v>1</v>
      </c>
      <c r="DY23" s="127">
        <v>1</v>
      </c>
      <c r="DZ23" s="127">
        <v>1</v>
      </c>
      <c r="EA23" s="127">
        <v>1</v>
      </c>
      <c r="EB23" s="127">
        <v>1</v>
      </c>
      <c r="EC23" s="127">
        <v>1</v>
      </c>
      <c r="ED23" s="127">
        <v>1</v>
      </c>
      <c r="EE23" s="127">
        <v>1</v>
      </c>
      <c r="EF23" s="127">
        <v>1</v>
      </c>
      <c r="EG23" s="127">
        <v>1</v>
      </c>
      <c r="EH23" s="127">
        <v>1</v>
      </c>
      <c r="EI23" s="127">
        <v>1</v>
      </c>
    </row>
    <row r="24" spans="2:139" ht="15" hidden="1" outlineLevel="2" collapsed="1" x14ac:dyDescent="0.3">
      <c r="B24" s="22"/>
      <c r="C24" s="23"/>
      <c r="D24" s="23" t="s">
        <v>29</v>
      </c>
      <c r="E24" s="50"/>
      <c r="F24" s="26">
        <f>+F25</f>
        <v>60</v>
      </c>
      <c r="G24" s="28">
        <v>6.2393862231159891E-2</v>
      </c>
      <c r="H24" s="51"/>
      <c r="I24" s="125">
        <f>+I25*$G$25</f>
        <v>0</v>
      </c>
      <c r="J24" s="28">
        <f>+J25*$G$25</f>
        <v>0</v>
      </c>
      <c r="K24" s="28">
        <f t="shared" ref="K24:BV24" si="133">+K25*$G$25</f>
        <v>0</v>
      </c>
      <c r="L24" s="28">
        <f t="shared" si="133"/>
        <v>0</v>
      </c>
      <c r="M24" s="64">
        <f t="shared" si="133"/>
        <v>0</v>
      </c>
      <c r="N24" s="64">
        <f t="shared" si="133"/>
        <v>0</v>
      </c>
      <c r="O24" s="28">
        <f t="shared" si="133"/>
        <v>2.6718749999999999E-2</v>
      </c>
      <c r="P24" s="28">
        <f t="shared" si="133"/>
        <v>7.3437500000000003E-2</v>
      </c>
      <c r="Q24" s="28">
        <f t="shared" si="133"/>
        <v>0.21999999999999997</v>
      </c>
      <c r="R24" s="28">
        <f t="shared" si="133"/>
        <v>0.24249999999999999</v>
      </c>
      <c r="S24" s="28">
        <f t="shared" si="133"/>
        <v>0.35</v>
      </c>
      <c r="T24" s="28">
        <f t="shared" si="133"/>
        <v>0.35</v>
      </c>
      <c r="U24" s="28">
        <f t="shared" si="133"/>
        <v>0.35</v>
      </c>
      <c r="V24" s="28">
        <f t="shared" si="133"/>
        <v>0.35</v>
      </c>
      <c r="W24" s="28">
        <f t="shared" si="133"/>
        <v>0.35</v>
      </c>
      <c r="X24" s="28">
        <f t="shared" si="133"/>
        <v>0.3725</v>
      </c>
      <c r="Y24" s="28">
        <f t="shared" si="133"/>
        <v>0.5</v>
      </c>
      <c r="Z24" s="28">
        <f t="shared" si="133"/>
        <v>0.57499999999999996</v>
      </c>
      <c r="AA24" s="28">
        <f t="shared" si="133"/>
        <v>0.57781249999999995</v>
      </c>
      <c r="AB24" s="28">
        <f t="shared" si="133"/>
        <v>0.58624999999999994</v>
      </c>
      <c r="AC24" s="28">
        <f t="shared" si="133"/>
        <v>0.58812500000000001</v>
      </c>
      <c r="AD24" s="28">
        <f t="shared" si="133"/>
        <v>0.58981249999999996</v>
      </c>
      <c r="AE24" s="28">
        <f t="shared" si="133"/>
        <v>0.60082812499999994</v>
      </c>
      <c r="AF24" s="28">
        <f t="shared" si="133"/>
        <v>0.60481249999999998</v>
      </c>
      <c r="AG24" s="28">
        <f t="shared" si="133"/>
        <v>0.60783593749999998</v>
      </c>
      <c r="AH24" s="28">
        <f t="shared" si="133"/>
        <v>0.608515625</v>
      </c>
      <c r="AI24" s="28">
        <f t="shared" si="133"/>
        <v>0.608515625</v>
      </c>
      <c r="AJ24" s="28">
        <f t="shared" si="133"/>
        <v>0.608515625</v>
      </c>
      <c r="AK24" s="28">
        <f t="shared" si="133"/>
        <v>0.61564062499999994</v>
      </c>
      <c r="AL24" s="28">
        <f t="shared" si="133"/>
        <v>0.62201562499999996</v>
      </c>
      <c r="AM24" s="28">
        <f t="shared" si="133"/>
        <v>0.6263749999999999</v>
      </c>
      <c r="AN24" s="28">
        <f t="shared" si="133"/>
        <v>0.63550000000000006</v>
      </c>
      <c r="AO24" s="28">
        <f t="shared" si="133"/>
        <v>0.64654687499999997</v>
      </c>
      <c r="AP24" s="28">
        <f t="shared" si="133"/>
        <v>0.65668749999999998</v>
      </c>
      <c r="AQ24" s="28">
        <f t="shared" si="133"/>
        <v>0.66239062500000001</v>
      </c>
      <c r="AR24" s="28">
        <f t="shared" si="133"/>
        <v>0.67928906249999998</v>
      </c>
      <c r="AS24" s="28">
        <f t="shared" si="133"/>
        <v>0.69327343750000003</v>
      </c>
      <c r="AT24" s="28">
        <f t="shared" si="133"/>
        <v>0.70527343750000004</v>
      </c>
      <c r="AU24" s="28">
        <f t="shared" si="133"/>
        <v>0.70948437499999994</v>
      </c>
      <c r="AV24" s="28">
        <f t="shared" si="133"/>
        <v>0.7207265625</v>
      </c>
      <c r="AW24" s="28">
        <f t="shared" si="133"/>
        <v>0.72535937500000003</v>
      </c>
      <c r="AX24" s="28">
        <f t="shared" si="133"/>
        <v>0.72882812499999994</v>
      </c>
      <c r="AY24" s="28">
        <f t="shared" si="133"/>
        <v>0.72882812499999994</v>
      </c>
      <c r="AZ24" s="28">
        <f t="shared" si="133"/>
        <v>0.76813312499999997</v>
      </c>
      <c r="BA24" s="28">
        <f t="shared" si="133"/>
        <v>0.77113312499999997</v>
      </c>
      <c r="BB24" s="28">
        <f t="shared" si="133"/>
        <v>0.78203154761904758</v>
      </c>
      <c r="BC24" s="28">
        <f t="shared" si="133"/>
        <v>0.79301715761904756</v>
      </c>
      <c r="BD24" s="28">
        <f t="shared" si="133"/>
        <v>0.80400276761904754</v>
      </c>
      <c r="BE24" s="28">
        <f t="shared" si="133"/>
        <v>0.81498837761904763</v>
      </c>
      <c r="BF24" s="28">
        <f t="shared" si="133"/>
        <v>0.82597398761904761</v>
      </c>
      <c r="BG24" s="28">
        <f t="shared" si="133"/>
        <v>0.83695959761904759</v>
      </c>
      <c r="BH24" s="28">
        <f t="shared" si="133"/>
        <v>0.84794520761904757</v>
      </c>
      <c r="BI24" s="28">
        <f t="shared" si="133"/>
        <v>0.85893081761904755</v>
      </c>
      <c r="BJ24" s="28">
        <f t="shared" si="133"/>
        <v>0.86991642761904764</v>
      </c>
      <c r="BK24" s="28">
        <f t="shared" si="133"/>
        <v>0.88090203761904762</v>
      </c>
      <c r="BL24" s="28">
        <f t="shared" si="133"/>
        <v>0.8918876476190476</v>
      </c>
      <c r="BM24" s="28">
        <f t="shared" si="133"/>
        <v>0.90287325761904758</v>
      </c>
      <c r="BN24" s="28">
        <f t="shared" si="133"/>
        <v>0.91385886761904755</v>
      </c>
      <c r="BO24" s="28">
        <f t="shared" si="133"/>
        <v>0.92484447761904764</v>
      </c>
      <c r="BP24" s="28">
        <f t="shared" si="133"/>
        <v>0.93583008761904762</v>
      </c>
      <c r="BQ24" s="28">
        <f t="shared" si="133"/>
        <v>0.9468156976190476</v>
      </c>
      <c r="BR24" s="28">
        <f t="shared" si="133"/>
        <v>0.95780130761904769</v>
      </c>
      <c r="BS24" s="28">
        <f t="shared" si="133"/>
        <v>0.96878691761904767</v>
      </c>
      <c r="BT24" s="28">
        <f t="shared" si="133"/>
        <v>0.97977252761904765</v>
      </c>
      <c r="BU24" s="28">
        <f t="shared" si="133"/>
        <v>0.99075813761904774</v>
      </c>
      <c r="BV24" s="28">
        <f t="shared" si="133"/>
        <v>1</v>
      </c>
      <c r="BW24" s="28">
        <f t="shared" ref="BW24:EH24" si="134">+BW25*$G$25</f>
        <v>1</v>
      </c>
      <c r="BX24" s="28">
        <f t="shared" si="134"/>
        <v>1</v>
      </c>
      <c r="BY24" s="28">
        <f t="shared" si="134"/>
        <v>1</v>
      </c>
      <c r="BZ24" s="28">
        <f t="shared" si="134"/>
        <v>1</v>
      </c>
      <c r="CA24" s="28">
        <f t="shared" si="134"/>
        <v>1</v>
      </c>
      <c r="CB24" s="28">
        <f t="shared" si="134"/>
        <v>1</v>
      </c>
      <c r="CC24" s="28">
        <f t="shared" si="134"/>
        <v>1</v>
      </c>
      <c r="CD24" s="28">
        <f t="shared" si="134"/>
        <v>1</v>
      </c>
      <c r="CE24" s="28">
        <f t="shared" si="134"/>
        <v>1</v>
      </c>
      <c r="CF24" s="28">
        <f t="shared" si="134"/>
        <v>1</v>
      </c>
      <c r="CG24" s="28">
        <f t="shared" si="134"/>
        <v>1</v>
      </c>
      <c r="CH24" s="28">
        <f t="shared" si="134"/>
        <v>1</v>
      </c>
      <c r="CI24" s="28">
        <f t="shared" si="134"/>
        <v>1</v>
      </c>
      <c r="CJ24" s="28">
        <f t="shared" si="134"/>
        <v>1</v>
      </c>
      <c r="CK24" s="28">
        <f t="shared" si="134"/>
        <v>1</v>
      </c>
      <c r="CL24" s="28">
        <f t="shared" si="134"/>
        <v>1</v>
      </c>
      <c r="CM24" s="28">
        <f t="shared" si="134"/>
        <v>1</v>
      </c>
      <c r="CN24" s="28">
        <f t="shared" si="134"/>
        <v>1</v>
      </c>
      <c r="CO24" s="28">
        <f t="shared" si="134"/>
        <v>1</v>
      </c>
      <c r="CP24" s="28">
        <f t="shared" si="134"/>
        <v>1</v>
      </c>
      <c r="CQ24" s="28">
        <f t="shared" si="134"/>
        <v>1</v>
      </c>
      <c r="CR24" s="28">
        <f t="shared" si="134"/>
        <v>1</v>
      </c>
      <c r="CS24" s="28">
        <f t="shared" si="134"/>
        <v>1</v>
      </c>
      <c r="CT24" s="28">
        <f t="shared" si="134"/>
        <v>1</v>
      </c>
      <c r="CU24" s="28">
        <f t="shared" si="134"/>
        <v>1</v>
      </c>
      <c r="CV24" s="28">
        <f t="shared" si="134"/>
        <v>1</v>
      </c>
      <c r="CW24" s="28">
        <f t="shared" si="134"/>
        <v>1</v>
      </c>
      <c r="CX24" s="28">
        <f t="shared" si="134"/>
        <v>1</v>
      </c>
      <c r="CY24" s="28">
        <f t="shared" si="134"/>
        <v>1</v>
      </c>
      <c r="CZ24" s="28">
        <f t="shared" si="134"/>
        <v>1</v>
      </c>
      <c r="DA24" s="28">
        <f t="shared" si="134"/>
        <v>1</v>
      </c>
      <c r="DB24" s="28">
        <f t="shared" si="134"/>
        <v>1</v>
      </c>
      <c r="DC24" s="28">
        <f t="shared" si="134"/>
        <v>1</v>
      </c>
      <c r="DD24" s="28">
        <f t="shared" si="134"/>
        <v>1</v>
      </c>
      <c r="DE24" s="28">
        <f t="shared" si="134"/>
        <v>1</v>
      </c>
      <c r="DF24" s="28">
        <f t="shared" si="134"/>
        <v>1</v>
      </c>
      <c r="DG24" s="28">
        <f t="shared" si="134"/>
        <v>1</v>
      </c>
      <c r="DH24" s="28">
        <f t="shared" si="134"/>
        <v>1</v>
      </c>
      <c r="DI24" s="28">
        <f t="shared" si="134"/>
        <v>1</v>
      </c>
      <c r="DJ24" s="28">
        <f t="shared" si="134"/>
        <v>1</v>
      </c>
      <c r="DK24" s="28">
        <f t="shared" si="134"/>
        <v>1</v>
      </c>
      <c r="DL24" s="28">
        <f t="shared" si="134"/>
        <v>1</v>
      </c>
      <c r="DM24" s="28">
        <f t="shared" si="134"/>
        <v>1</v>
      </c>
      <c r="DN24" s="28">
        <f t="shared" si="134"/>
        <v>1</v>
      </c>
      <c r="DO24" s="28">
        <f t="shared" si="134"/>
        <v>1</v>
      </c>
      <c r="DP24" s="28">
        <f t="shared" si="134"/>
        <v>1</v>
      </c>
      <c r="DQ24" s="28">
        <f t="shared" si="134"/>
        <v>1</v>
      </c>
      <c r="DR24" s="28">
        <f t="shared" si="134"/>
        <v>1</v>
      </c>
      <c r="DS24" s="28">
        <f t="shared" si="134"/>
        <v>1</v>
      </c>
      <c r="DT24" s="28">
        <f t="shared" si="134"/>
        <v>1</v>
      </c>
      <c r="DU24" s="28">
        <f t="shared" si="134"/>
        <v>1</v>
      </c>
      <c r="DV24" s="28">
        <f t="shared" si="134"/>
        <v>1</v>
      </c>
      <c r="DW24" s="28">
        <f t="shared" si="134"/>
        <v>1</v>
      </c>
      <c r="DX24" s="28">
        <f t="shared" si="134"/>
        <v>1</v>
      </c>
      <c r="DY24" s="28">
        <f t="shared" si="134"/>
        <v>1</v>
      </c>
      <c r="DZ24" s="28">
        <f t="shared" si="134"/>
        <v>1</v>
      </c>
      <c r="EA24" s="28">
        <f t="shared" si="134"/>
        <v>1</v>
      </c>
      <c r="EB24" s="28">
        <f t="shared" si="134"/>
        <v>1</v>
      </c>
      <c r="EC24" s="28">
        <f t="shared" si="134"/>
        <v>1</v>
      </c>
      <c r="ED24" s="28">
        <f t="shared" si="134"/>
        <v>1</v>
      </c>
      <c r="EE24" s="28">
        <f t="shared" si="134"/>
        <v>1</v>
      </c>
      <c r="EF24" s="28">
        <f t="shared" si="134"/>
        <v>1</v>
      </c>
      <c r="EG24" s="28">
        <f t="shared" si="134"/>
        <v>1</v>
      </c>
      <c r="EH24" s="28">
        <f t="shared" si="134"/>
        <v>1</v>
      </c>
      <c r="EI24" s="28">
        <f t="shared" ref="EI24" si="135">+EI25*$G$25</f>
        <v>1</v>
      </c>
    </row>
    <row r="25" spans="2:139" hidden="1" outlineLevel="3" x14ac:dyDescent="0.3">
      <c r="B25" s="36"/>
      <c r="C25" s="37"/>
      <c r="D25" s="37"/>
      <c r="E25" s="54" t="s">
        <v>30</v>
      </c>
      <c r="F25" s="33">
        <v>60</v>
      </c>
      <c r="G25" s="35">
        <v>1</v>
      </c>
      <c r="H25" s="53"/>
      <c r="I25" s="126">
        <v>0</v>
      </c>
      <c r="J25" s="127">
        <v>0</v>
      </c>
      <c r="K25" s="127">
        <v>0</v>
      </c>
      <c r="L25" s="127">
        <v>0</v>
      </c>
      <c r="M25" s="128">
        <v>0</v>
      </c>
      <c r="N25" s="128">
        <v>0</v>
      </c>
      <c r="O25" s="127">
        <v>2.6718749999999999E-2</v>
      </c>
      <c r="P25" s="127">
        <v>7.3437500000000003E-2</v>
      </c>
      <c r="Q25" s="127">
        <v>0.21999999999999997</v>
      </c>
      <c r="R25" s="127">
        <v>0.24249999999999999</v>
      </c>
      <c r="S25" s="127">
        <v>0.35</v>
      </c>
      <c r="T25" s="127">
        <v>0.35</v>
      </c>
      <c r="U25" s="127">
        <v>0.35</v>
      </c>
      <c r="V25" s="127">
        <v>0.35</v>
      </c>
      <c r="W25" s="127">
        <v>0.35</v>
      </c>
      <c r="X25" s="127">
        <v>0.3725</v>
      </c>
      <c r="Y25" s="127">
        <v>0.5</v>
      </c>
      <c r="Z25" s="127">
        <v>0.57499999999999996</v>
      </c>
      <c r="AA25" s="127">
        <v>0.57781249999999995</v>
      </c>
      <c r="AB25" s="127">
        <v>0.58624999999999994</v>
      </c>
      <c r="AC25" s="127">
        <v>0.58812500000000001</v>
      </c>
      <c r="AD25" s="127">
        <v>0.58981249999999996</v>
      </c>
      <c r="AE25" s="127">
        <v>0.60082812499999994</v>
      </c>
      <c r="AF25" s="127">
        <v>0.60481249999999998</v>
      </c>
      <c r="AG25" s="127">
        <v>0.60783593749999998</v>
      </c>
      <c r="AH25" s="127">
        <v>0.608515625</v>
      </c>
      <c r="AI25" s="127">
        <v>0.608515625</v>
      </c>
      <c r="AJ25" s="127">
        <v>0.608515625</v>
      </c>
      <c r="AK25" s="127">
        <v>0.61564062499999994</v>
      </c>
      <c r="AL25" s="127">
        <v>0.62201562499999996</v>
      </c>
      <c r="AM25" s="127">
        <v>0.6263749999999999</v>
      </c>
      <c r="AN25" s="127">
        <v>0.63550000000000006</v>
      </c>
      <c r="AO25" s="127">
        <v>0.64654687499999997</v>
      </c>
      <c r="AP25" s="127">
        <v>0.65668749999999998</v>
      </c>
      <c r="AQ25" s="127">
        <v>0.66239062500000001</v>
      </c>
      <c r="AR25" s="127">
        <v>0.67928906249999998</v>
      </c>
      <c r="AS25" s="127">
        <v>0.69327343750000003</v>
      </c>
      <c r="AT25" s="127">
        <v>0.70527343750000004</v>
      </c>
      <c r="AU25" s="127">
        <v>0.70948437499999994</v>
      </c>
      <c r="AV25" s="127">
        <v>0.7207265625</v>
      </c>
      <c r="AW25" s="127">
        <v>0.72535937500000003</v>
      </c>
      <c r="AX25" s="127">
        <v>0.72882812499999994</v>
      </c>
      <c r="AY25" s="127">
        <v>0.72882812499999994</v>
      </c>
      <c r="AZ25" s="127">
        <v>0.76813312499999997</v>
      </c>
      <c r="BA25" s="127">
        <v>0.77113312499999997</v>
      </c>
      <c r="BB25" s="127">
        <f>Planbase100[[#This Row],[05/05/25]]+(1-Planbase100[[#This Row],[05/05/25]])*'Plan 39'!I13</f>
        <v>0.78203154761904758</v>
      </c>
      <c r="BC25" s="127">
        <f>Planbase100[[#This Row],[05/05/25]]+(1-Planbase100[[#This Row],[05/05/25]])*'Plan 39'!J13</f>
        <v>0.79301715761904756</v>
      </c>
      <c r="BD25" s="127">
        <f>Planbase100[[#This Row],[05/05/25]]+(1-Planbase100[[#This Row],[05/05/25]])*'Plan 39'!K13</f>
        <v>0.80400276761904754</v>
      </c>
      <c r="BE25" s="127">
        <f>Planbase100[[#This Row],[05/05/25]]+(1-Planbase100[[#This Row],[05/05/25]])*'Plan 39'!L13</f>
        <v>0.81498837761904763</v>
      </c>
      <c r="BF25" s="127">
        <f>Planbase100[[#This Row],[05/05/25]]+(1-Planbase100[[#This Row],[05/05/25]])*'Plan 39'!M13</f>
        <v>0.82597398761904761</v>
      </c>
      <c r="BG25" s="127">
        <f>Planbase100[[#This Row],[05/05/25]]+(1-Planbase100[[#This Row],[05/05/25]])*'Plan 39'!N13</f>
        <v>0.83695959761904759</v>
      </c>
      <c r="BH25" s="127">
        <f>Planbase100[[#This Row],[05/05/25]]+(1-Planbase100[[#This Row],[05/05/25]])*'Plan 39'!O13</f>
        <v>0.84794520761904757</v>
      </c>
      <c r="BI25" s="127">
        <f>Planbase100[[#This Row],[05/05/25]]+(1-Planbase100[[#This Row],[05/05/25]])*'Plan 39'!P13</f>
        <v>0.85893081761904755</v>
      </c>
      <c r="BJ25" s="127">
        <f>Planbase100[[#This Row],[05/05/25]]+(1-Planbase100[[#This Row],[05/05/25]])*'Plan 39'!Q13</f>
        <v>0.86991642761904764</v>
      </c>
      <c r="BK25" s="127">
        <f>Planbase100[[#This Row],[05/05/25]]+(1-Planbase100[[#This Row],[05/05/25]])*'Plan 39'!R13</f>
        <v>0.88090203761904762</v>
      </c>
      <c r="BL25" s="127">
        <f>Planbase100[[#This Row],[05/05/25]]+(1-Planbase100[[#This Row],[05/05/25]])*'Plan 39'!S13</f>
        <v>0.8918876476190476</v>
      </c>
      <c r="BM25" s="127">
        <f>Planbase100[[#This Row],[05/05/25]]+(1-Planbase100[[#This Row],[05/05/25]])*'Plan 39'!T13</f>
        <v>0.90287325761904758</v>
      </c>
      <c r="BN25" s="127">
        <f>Planbase100[[#This Row],[05/05/25]]+(1-Planbase100[[#This Row],[05/05/25]])*'Plan 39'!U13</f>
        <v>0.91385886761904755</v>
      </c>
      <c r="BO25" s="127">
        <f>Planbase100[[#This Row],[05/05/25]]+(1-Planbase100[[#This Row],[05/05/25]])*'Plan 39'!V13</f>
        <v>0.92484447761904764</v>
      </c>
      <c r="BP25" s="127">
        <f>Planbase100[[#This Row],[05/05/25]]+(1-Planbase100[[#This Row],[05/05/25]])*'Plan 39'!W13</f>
        <v>0.93583008761904762</v>
      </c>
      <c r="BQ25" s="127">
        <f>Planbase100[[#This Row],[05/05/25]]+(1-Planbase100[[#This Row],[05/05/25]])*'Plan 39'!X13</f>
        <v>0.9468156976190476</v>
      </c>
      <c r="BR25" s="127">
        <f>Planbase100[[#This Row],[05/05/25]]+(1-Planbase100[[#This Row],[05/05/25]])*'Plan 39'!Y13</f>
        <v>0.95780130761904769</v>
      </c>
      <c r="BS25" s="127">
        <f>Planbase100[[#This Row],[05/05/25]]+(1-Planbase100[[#This Row],[05/05/25]])*'Plan 39'!Z13</f>
        <v>0.96878691761904767</v>
      </c>
      <c r="BT25" s="127">
        <f>Planbase100[[#This Row],[05/05/25]]+(1-Planbase100[[#This Row],[05/05/25]])*'Plan 39'!AA13</f>
        <v>0.97977252761904765</v>
      </c>
      <c r="BU25" s="127">
        <f>Planbase100[[#This Row],[05/05/25]]+(1-Planbase100[[#This Row],[05/05/25]])*'Plan 39'!AB13</f>
        <v>0.99075813761904774</v>
      </c>
      <c r="BV25" s="127">
        <f>Planbase100[[#This Row],[05/05/25]]+(1-Planbase100[[#This Row],[05/05/25]])*'Plan 39'!AC13</f>
        <v>1</v>
      </c>
      <c r="BW25" s="127">
        <f>Planbase100[[#This Row],[05/05/25]]+(1-Planbase100[[#This Row],[05/05/25]])*'Plan 39'!AD13</f>
        <v>1</v>
      </c>
      <c r="BX25" s="127">
        <f>Planbase100[[#This Row],[05/05/25]]+(1-Planbase100[[#This Row],[05/05/25]])*'Plan 39'!AE13</f>
        <v>1</v>
      </c>
      <c r="BY25" s="127">
        <f>Planbase100[[#This Row],[05/05/25]]+(1-Planbase100[[#This Row],[05/05/25]])*'Plan 39'!AF13</f>
        <v>1</v>
      </c>
      <c r="BZ25" s="127">
        <f>Planbase100[[#This Row],[05/05/25]]+(1-Planbase100[[#This Row],[05/05/25]])*'Plan 39'!AG13</f>
        <v>1</v>
      </c>
      <c r="CA25" s="127">
        <f>Planbase100[[#This Row],[05/05/25]]+(1-Planbase100[[#This Row],[05/05/25]])*'Plan 39'!AH13</f>
        <v>1</v>
      </c>
      <c r="CB25" s="127">
        <f>Planbase100[[#This Row],[05/05/25]]+(1-Planbase100[[#This Row],[05/05/25]])*'Plan 39'!AI13</f>
        <v>1</v>
      </c>
      <c r="CC25" s="127">
        <f>Planbase100[[#This Row],[05/05/25]]+(1-Planbase100[[#This Row],[05/05/25]])*'Plan 39'!AJ13</f>
        <v>1</v>
      </c>
      <c r="CD25" s="127">
        <f>Planbase100[[#This Row],[05/05/25]]+(1-Planbase100[[#This Row],[05/05/25]])*'Plan 39'!AK13</f>
        <v>1</v>
      </c>
      <c r="CE25" s="127">
        <f>Planbase100[[#This Row],[05/05/25]]+(1-Planbase100[[#This Row],[05/05/25]])*'Plan 39'!AL13</f>
        <v>1</v>
      </c>
      <c r="CF25" s="127">
        <f>Planbase100[[#This Row],[05/05/25]]+(1-Planbase100[[#This Row],[05/05/25]])*'Plan 39'!AM13</f>
        <v>1</v>
      </c>
      <c r="CG25" s="127">
        <f>Planbase100[[#This Row],[05/05/25]]+(1-Planbase100[[#This Row],[05/05/25]])*'Plan 39'!AN13</f>
        <v>1</v>
      </c>
      <c r="CH25" s="127">
        <f>Planbase100[[#This Row],[05/05/25]]+(1-Planbase100[[#This Row],[05/05/25]])*'Plan 39'!AO13</f>
        <v>1</v>
      </c>
      <c r="CI25" s="127">
        <f>Planbase100[[#This Row],[05/05/25]]+(1-Planbase100[[#This Row],[05/05/25]])*'Plan 39'!AP13</f>
        <v>1</v>
      </c>
      <c r="CJ25" s="127">
        <f>Planbase100[[#This Row],[05/05/25]]+(1-Planbase100[[#This Row],[05/05/25]])*'Plan 39'!AQ13</f>
        <v>1</v>
      </c>
      <c r="CK25" s="127">
        <f>Planbase100[[#This Row],[05/05/25]]+(1-Planbase100[[#This Row],[05/05/25]])*'Plan 39'!AR13</f>
        <v>1</v>
      </c>
      <c r="CL25" s="127">
        <f>Planbase100[[#This Row],[05/05/25]]+(1-Planbase100[[#This Row],[05/05/25]])*'Plan 39'!AS13</f>
        <v>1</v>
      </c>
      <c r="CM25" s="127">
        <f>Planbase100[[#This Row],[05/05/25]]+(1-Planbase100[[#This Row],[05/05/25]])*'Plan 39'!AT13</f>
        <v>1</v>
      </c>
      <c r="CN25" s="127">
        <f>Planbase100[[#This Row],[05/05/25]]+(1-Planbase100[[#This Row],[05/05/25]])*'Plan 39'!AU13</f>
        <v>1</v>
      </c>
      <c r="CO25" s="127">
        <f>Planbase100[[#This Row],[05/05/25]]+(1-Planbase100[[#This Row],[05/05/25]])*'Plan 39'!AV13</f>
        <v>1</v>
      </c>
      <c r="CP25" s="127">
        <f>Planbase100[[#This Row],[05/05/25]]+(1-Planbase100[[#This Row],[05/05/25]])*'Plan 39'!AW13</f>
        <v>1</v>
      </c>
      <c r="CQ25" s="127">
        <f>Planbase100[[#This Row],[05/05/25]]+(1-Planbase100[[#This Row],[05/05/25]])*'Plan 39'!AX13</f>
        <v>1</v>
      </c>
      <c r="CR25" s="127">
        <f>Planbase100[[#This Row],[05/05/25]]+(1-Planbase100[[#This Row],[05/05/25]])*'Plan 39'!AY13</f>
        <v>1</v>
      </c>
      <c r="CS25" s="127">
        <f>Planbase100[[#This Row],[05/05/25]]+(1-Planbase100[[#This Row],[05/05/25]])*'Plan 39'!AZ13</f>
        <v>1</v>
      </c>
      <c r="CT25" s="127">
        <f>Planbase100[[#This Row],[05/05/25]]+(1-Planbase100[[#This Row],[05/05/25]])*'Plan 39'!BA13</f>
        <v>1</v>
      </c>
      <c r="CU25" s="127">
        <f>Planbase100[[#This Row],[05/05/25]]+(1-Planbase100[[#This Row],[05/05/25]])*'Plan 39'!BB13</f>
        <v>1</v>
      </c>
      <c r="CV25" s="127">
        <f>Planbase100[[#This Row],[05/05/25]]+(1-Planbase100[[#This Row],[05/05/25]])*'Plan 39'!BC13</f>
        <v>1</v>
      </c>
      <c r="CW25" s="127">
        <f>Planbase100[[#This Row],[05/05/25]]+(1-Planbase100[[#This Row],[05/05/25]])*'Plan 39'!BD13</f>
        <v>1</v>
      </c>
      <c r="CX25" s="127">
        <f>Planbase100[[#This Row],[05/05/25]]+(1-Planbase100[[#This Row],[05/05/25]])*'Plan 39'!BE13</f>
        <v>1</v>
      </c>
      <c r="CY25" s="127">
        <f>Planbase100[[#This Row],[05/05/25]]+(1-Planbase100[[#This Row],[05/05/25]])*'Plan 39'!BF13</f>
        <v>1</v>
      </c>
      <c r="CZ25" s="127">
        <f>Planbase100[[#This Row],[05/05/25]]+(1-Planbase100[[#This Row],[05/05/25]])*'Plan 39'!BG13</f>
        <v>1</v>
      </c>
      <c r="DA25" s="127">
        <f>Planbase100[[#This Row],[05/05/25]]+(1-Planbase100[[#This Row],[05/05/25]])*'Plan 39'!BH13</f>
        <v>1</v>
      </c>
      <c r="DB25" s="127">
        <f>Planbase100[[#This Row],[05/05/25]]+(1-Planbase100[[#This Row],[05/05/25]])*'Plan 39'!BI13</f>
        <v>1</v>
      </c>
      <c r="DC25" s="127">
        <f>Planbase100[[#This Row],[05/05/25]]+(1-Planbase100[[#This Row],[05/05/25]])*'Plan 39'!BJ13</f>
        <v>1</v>
      </c>
      <c r="DD25" s="127">
        <f>Planbase100[[#This Row],[05/05/25]]+(1-Planbase100[[#This Row],[05/05/25]])*'Plan 39'!BK13</f>
        <v>1</v>
      </c>
      <c r="DE25" s="127">
        <f>Planbase100[[#This Row],[05/05/25]]+(1-Planbase100[[#This Row],[05/05/25]])*'Plan 39'!BL13</f>
        <v>1</v>
      </c>
      <c r="DF25" s="127">
        <v>1</v>
      </c>
      <c r="DG25" s="127">
        <v>1</v>
      </c>
      <c r="DH25" s="127">
        <v>1</v>
      </c>
      <c r="DI25" s="127">
        <v>1</v>
      </c>
      <c r="DJ25" s="127">
        <v>1</v>
      </c>
      <c r="DK25" s="127">
        <v>1</v>
      </c>
      <c r="DL25" s="127">
        <v>1</v>
      </c>
      <c r="DM25" s="127">
        <v>1</v>
      </c>
      <c r="DN25" s="127">
        <v>1</v>
      </c>
      <c r="DO25" s="127">
        <v>1</v>
      </c>
      <c r="DP25" s="127">
        <v>1</v>
      </c>
      <c r="DQ25" s="127">
        <v>1</v>
      </c>
      <c r="DR25" s="127">
        <v>1</v>
      </c>
      <c r="DS25" s="127">
        <v>1</v>
      </c>
      <c r="DT25" s="127">
        <v>1</v>
      </c>
      <c r="DU25" s="127">
        <v>1</v>
      </c>
      <c r="DV25" s="127">
        <v>1</v>
      </c>
      <c r="DW25" s="127">
        <v>1</v>
      </c>
      <c r="DX25" s="127">
        <v>1</v>
      </c>
      <c r="DY25" s="127">
        <v>1</v>
      </c>
      <c r="DZ25" s="127">
        <v>1</v>
      </c>
      <c r="EA25" s="127">
        <v>1</v>
      </c>
      <c r="EB25" s="127">
        <v>1</v>
      </c>
      <c r="EC25" s="127">
        <v>1</v>
      </c>
      <c r="ED25" s="127">
        <v>1</v>
      </c>
      <c r="EE25" s="127">
        <v>1</v>
      </c>
      <c r="EF25" s="127">
        <v>1</v>
      </c>
      <c r="EG25" s="127">
        <v>1</v>
      </c>
      <c r="EH25" s="127">
        <v>1</v>
      </c>
      <c r="EI25" s="127">
        <v>1</v>
      </c>
    </row>
    <row r="26" spans="2:139" ht="15" hidden="1" outlineLevel="2" collapsed="1" x14ac:dyDescent="0.3">
      <c r="B26" s="22"/>
      <c r="C26" s="23"/>
      <c r="D26" s="23" t="s">
        <v>31</v>
      </c>
      <c r="E26" s="50"/>
      <c r="F26" s="26">
        <f>+SUM(F27:F33)</f>
        <v>320</v>
      </c>
      <c r="G26" s="28">
        <v>0.12500840447381109</v>
      </c>
      <c r="H26" s="51"/>
      <c r="I26" s="125">
        <f>+SUMPRODUCT($G$27:$G$33,I27:I33)</f>
        <v>0</v>
      </c>
      <c r="J26" s="28">
        <f>+SUMPRODUCT($G$27:$G$33,J27:J33)</f>
        <v>0</v>
      </c>
      <c r="K26" s="28">
        <f t="shared" ref="K26:BB26" si="136">+SUMPRODUCT($G$27:$G$33,K27:K33)</f>
        <v>0</v>
      </c>
      <c r="L26" s="28">
        <f t="shared" si="136"/>
        <v>0</v>
      </c>
      <c r="M26" s="64">
        <f t="shared" si="136"/>
        <v>0</v>
      </c>
      <c r="N26" s="64">
        <f t="shared" si="136"/>
        <v>0</v>
      </c>
      <c r="O26" s="28">
        <f t="shared" si="136"/>
        <v>3.5000000000000003E-2</v>
      </c>
      <c r="P26" s="28">
        <f t="shared" si="136"/>
        <v>7.3062500000000002E-2</v>
      </c>
      <c r="Q26" s="28">
        <f t="shared" si="136"/>
        <v>8.8350499999999998E-2</v>
      </c>
      <c r="R26" s="28">
        <f t="shared" si="136"/>
        <v>0.1138305</v>
      </c>
      <c r="S26" s="28">
        <f t="shared" si="136"/>
        <v>0.341059</v>
      </c>
      <c r="T26" s="28">
        <f t="shared" si="136"/>
        <v>0.341059</v>
      </c>
      <c r="U26" s="28">
        <f t="shared" si="136"/>
        <v>0.39271900000000004</v>
      </c>
      <c r="V26" s="28">
        <f t="shared" si="136"/>
        <v>0.40937900000000005</v>
      </c>
      <c r="W26" s="28">
        <f t="shared" si="136"/>
        <v>0.40937900000000005</v>
      </c>
      <c r="X26" s="28">
        <f t="shared" si="136"/>
        <v>0.40937900000000005</v>
      </c>
      <c r="Y26" s="28">
        <f t="shared" si="136"/>
        <v>0.45800733333333332</v>
      </c>
      <c r="Z26" s="28">
        <f t="shared" si="136"/>
        <v>0.55937899999999996</v>
      </c>
      <c r="AA26" s="28">
        <f t="shared" si="136"/>
        <v>0.55937899999999996</v>
      </c>
      <c r="AB26" s="28">
        <f t="shared" si="136"/>
        <v>0.56861899999999999</v>
      </c>
      <c r="AC26" s="28">
        <f t="shared" si="136"/>
        <v>0.57475100000000001</v>
      </c>
      <c r="AD26" s="28">
        <f t="shared" si="136"/>
        <v>0.57475100000000001</v>
      </c>
      <c r="AE26" s="28">
        <f t="shared" si="136"/>
        <v>0.57475100000000001</v>
      </c>
      <c r="AF26" s="28">
        <f t="shared" si="136"/>
        <v>0.57475100000000001</v>
      </c>
      <c r="AG26" s="28">
        <f t="shared" si="136"/>
        <v>0.58823132</v>
      </c>
      <c r="AH26" s="28">
        <f t="shared" si="136"/>
        <v>0.59012299999999995</v>
      </c>
      <c r="AI26" s="28">
        <f>+SUMPRODUCT($G$27:$G$33,AI27:AI33)</f>
        <v>0.59012299999999995</v>
      </c>
      <c r="AJ26" s="28">
        <f>+SUMPRODUCT($G$27:$G$33,AJ27:AJ33)</f>
        <v>0.59012299999999995</v>
      </c>
      <c r="AK26" s="28">
        <f t="shared" si="136"/>
        <v>0.59012299999999995</v>
      </c>
      <c r="AL26" s="28">
        <f t="shared" si="136"/>
        <v>0.59362300000000001</v>
      </c>
      <c r="AM26" s="28">
        <f t="shared" si="136"/>
        <v>0.6</v>
      </c>
      <c r="AN26" s="28">
        <f t="shared" si="136"/>
        <v>0.6</v>
      </c>
      <c r="AO26" s="28">
        <f t="shared" si="136"/>
        <v>0.6</v>
      </c>
      <c r="AP26" s="28">
        <f t="shared" si="136"/>
        <v>0.6</v>
      </c>
      <c r="AQ26" s="28">
        <f t="shared" si="136"/>
        <v>0.6</v>
      </c>
      <c r="AR26" s="28">
        <f t="shared" si="136"/>
        <v>0.6</v>
      </c>
      <c r="AS26" s="28">
        <f t="shared" si="136"/>
        <v>0.6</v>
      </c>
      <c r="AT26" s="28">
        <f t="shared" si="136"/>
        <v>0.6</v>
      </c>
      <c r="AU26" s="28">
        <f t="shared" si="136"/>
        <v>0.6</v>
      </c>
      <c r="AV26" s="28">
        <f t="shared" si="136"/>
        <v>0.6</v>
      </c>
      <c r="AW26" s="28">
        <f t="shared" si="136"/>
        <v>0.6</v>
      </c>
      <c r="AX26" s="28">
        <f t="shared" si="136"/>
        <v>0.6</v>
      </c>
      <c r="AY26" s="28">
        <f t="shared" si="136"/>
        <v>0.6</v>
      </c>
      <c r="AZ26" s="28">
        <f t="shared" si="136"/>
        <v>0.6</v>
      </c>
      <c r="BA26" s="28">
        <f t="shared" si="136"/>
        <v>0.6</v>
      </c>
      <c r="BB26" s="28">
        <f t="shared" si="136"/>
        <v>0.6</v>
      </c>
      <c r="BC26" s="28">
        <f t="shared" ref="BC26:CE26" si="137">+SUMPRODUCT($G$27:$G$33,BC27:BC33)</f>
        <v>0.6</v>
      </c>
      <c r="BD26" s="28">
        <f t="shared" si="137"/>
        <v>0.6</v>
      </c>
      <c r="BE26" s="28">
        <f t="shared" si="137"/>
        <v>0.6</v>
      </c>
      <c r="BF26" s="28">
        <f t="shared" si="137"/>
        <v>0.6</v>
      </c>
      <c r="BG26" s="28">
        <f t="shared" si="137"/>
        <v>0.6</v>
      </c>
      <c r="BH26" s="28">
        <f t="shared" si="137"/>
        <v>0.6</v>
      </c>
      <c r="BI26" s="28">
        <f t="shared" si="137"/>
        <v>0.6</v>
      </c>
      <c r="BJ26" s="28">
        <f t="shared" si="137"/>
        <v>0.6</v>
      </c>
      <c r="BK26" s="28">
        <f t="shared" si="137"/>
        <v>0.6</v>
      </c>
      <c r="BL26" s="28">
        <f t="shared" si="137"/>
        <v>0.6</v>
      </c>
      <c r="BM26" s="28">
        <f t="shared" si="137"/>
        <v>0.6</v>
      </c>
      <c r="BN26" s="28">
        <f t="shared" si="137"/>
        <v>0.6</v>
      </c>
      <c r="BO26" s="28">
        <f t="shared" si="137"/>
        <v>0.60920000000000007</v>
      </c>
      <c r="BP26" s="28">
        <f t="shared" si="137"/>
        <v>0.61839999999999995</v>
      </c>
      <c r="BQ26" s="28">
        <f t="shared" si="137"/>
        <v>0.63239999999999996</v>
      </c>
      <c r="BR26" s="28">
        <f t="shared" si="137"/>
        <v>0.64639999999999997</v>
      </c>
      <c r="BS26" s="28">
        <f t="shared" si="137"/>
        <v>0.67159999999999997</v>
      </c>
      <c r="BT26" s="28">
        <f t="shared" si="137"/>
        <v>0.69679999999999997</v>
      </c>
      <c r="BU26" s="28">
        <f t="shared" si="137"/>
        <v>0.72199999999999998</v>
      </c>
      <c r="BV26" s="28">
        <f t="shared" si="137"/>
        <v>0.74719999999999986</v>
      </c>
      <c r="BW26" s="28">
        <f t="shared" si="137"/>
        <v>0.77239999999999998</v>
      </c>
      <c r="BX26" s="28">
        <f t="shared" si="137"/>
        <v>0.80639999999999989</v>
      </c>
      <c r="BY26" s="28">
        <f t="shared" si="137"/>
        <v>0.84040000000000004</v>
      </c>
      <c r="BZ26" s="28">
        <f t="shared" si="137"/>
        <v>0.87439999999999996</v>
      </c>
      <c r="CA26" s="28">
        <f t="shared" si="137"/>
        <v>0.90839999999999987</v>
      </c>
      <c r="CB26" s="28">
        <f t="shared" si="137"/>
        <v>0.94240000000000002</v>
      </c>
      <c r="CC26" s="28">
        <f t="shared" si="137"/>
        <v>0.97639999999999982</v>
      </c>
      <c r="CD26" s="28">
        <f t="shared" si="137"/>
        <v>0.99999999999999989</v>
      </c>
      <c r="CE26" s="28">
        <f t="shared" si="137"/>
        <v>0.99999999999999989</v>
      </c>
      <c r="CF26" s="28">
        <f t="shared" ref="CF26:CI26" si="138">+SUMPRODUCT($G$27:$G$33,CF27:CF33)</f>
        <v>0.99999999999999989</v>
      </c>
      <c r="CG26" s="28">
        <f t="shared" si="138"/>
        <v>0.99999999999999989</v>
      </c>
      <c r="CH26" s="28">
        <f t="shared" si="138"/>
        <v>0.99999999999999989</v>
      </c>
      <c r="CI26" s="28">
        <f t="shared" si="138"/>
        <v>0.99999999999999989</v>
      </c>
      <c r="CJ26" s="28">
        <f t="shared" ref="CJ26:CK26" si="139">+SUMPRODUCT($G$27:$G$33,CJ27:CJ33)</f>
        <v>0.99999999999999989</v>
      </c>
      <c r="CK26" s="28">
        <f t="shared" si="139"/>
        <v>0.99999999999999989</v>
      </c>
      <c r="CL26" s="28">
        <f t="shared" ref="CL26" si="140">+SUMPRODUCT($G$27:$G$33,CL27:CL33)</f>
        <v>0.99999999999999989</v>
      </c>
      <c r="CM26" s="28">
        <f t="shared" ref="CM26:CV26" si="141">+SUMPRODUCT($G$27:$G$33,CM27:CM33)</f>
        <v>0.99999999999999989</v>
      </c>
      <c r="CN26" s="28">
        <f t="shared" si="141"/>
        <v>0.99999999999999989</v>
      </c>
      <c r="CO26" s="28">
        <f t="shared" si="141"/>
        <v>0.99999999999999989</v>
      </c>
      <c r="CP26" s="28">
        <f t="shared" si="141"/>
        <v>0.99999999999999989</v>
      </c>
      <c r="CQ26" s="28">
        <f t="shared" si="141"/>
        <v>0.99999999999999989</v>
      </c>
      <c r="CR26" s="28">
        <f t="shared" si="141"/>
        <v>0.99999999999999989</v>
      </c>
      <c r="CS26" s="28">
        <f t="shared" si="141"/>
        <v>0.99999999999999989</v>
      </c>
      <c r="CT26" s="28">
        <f t="shared" si="141"/>
        <v>0.99999999999999989</v>
      </c>
      <c r="CU26" s="28">
        <f t="shared" si="141"/>
        <v>0.99999999999999989</v>
      </c>
      <c r="CV26" s="28">
        <f t="shared" si="141"/>
        <v>0.99999999999999989</v>
      </c>
      <c r="CW26" s="28">
        <f t="shared" ref="CW26" si="142">+SUMPRODUCT($G$27:$G$33,CW27:CW33)</f>
        <v>0.99999999999999989</v>
      </c>
      <c r="CX26" s="28">
        <f t="shared" ref="CX26:CY26" si="143">+SUMPRODUCT($G$27:$G$33,CX27:CX33)</f>
        <v>0.99999999999999989</v>
      </c>
      <c r="CY26" s="28">
        <f t="shared" si="143"/>
        <v>0.99999999999999989</v>
      </c>
      <c r="CZ26" s="28">
        <f t="shared" ref="CZ26:DA26" si="144">+SUMPRODUCT($G$27:$G$33,CZ27:CZ33)</f>
        <v>0.99999999999999989</v>
      </c>
      <c r="DA26" s="28">
        <f t="shared" si="144"/>
        <v>0.99999999999999989</v>
      </c>
      <c r="DB26" s="28">
        <f t="shared" ref="DB26:DC26" si="145">+SUMPRODUCT($G$27:$G$33,DB27:DB33)</f>
        <v>0.99999999999999989</v>
      </c>
      <c r="DC26" s="28">
        <f t="shared" si="145"/>
        <v>0.99999999999999989</v>
      </c>
      <c r="DD26" s="28">
        <f t="shared" ref="DD26:DE26" si="146">+SUMPRODUCT($G$27:$G$33,DD27:DD33)</f>
        <v>0.99999999999999989</v>
      </c>
      <c r="DE26" s="28">
        <f t="shared" si="146"/>
        <v>0.99999999999999989</v>
      </c>
      <c r="DF26" s="28">
        <f t="shared" ref="DF26" si="147">+SUMPRODUCT($G$27:$G$33,DF27:DF33)</f>
        <v>0.99999999999999989</v>
      </c>
      <c r="DG26" s="28">
        <f t="shared" ref="DG26:DJ26" si="148">+SUMPRODUCT($G$27:$G$33,DG27:DG33)</f>
        <v>0.99999999999999989</v>
      </c>
      <c r="DH26" s="28">
        <f t="shared" si="148"/>
        <v>0.99999999999999989</v>
      </c>
      <c r="DI26" s="28">
        <f t="shared" si="148"/>
        <v>0.99999999999999989</v>
      </c>
      <c r="DJ26" s="28">
        <f t="shared" si="148"/>
        <v>0.99999999999999989</v>
      </c>
      <c r="DK26" s="28">
        <f t="shared" ref="DK26:EI26" si="149">+SUMPRODUCT($G$27:$G$33,DK27:DK33)</f>
        <v>0.99999999999999989</v>
      </c>
      <c r="DL26" s="28">
        <f t="shared" si="149"/>
        <v>0.99999999999999989</v>
      </c>
      <c r="DM26" s="28">
        <f t="shared" si="149"/>
        <v>0.99999999999999989</v>
      </c>
      <c r="DN26" s="28">
        <f t="shared" si="149"/>
        <v>0.99999999999999989</v>
      </c>
      <c r="DO26" s="28">
        <f t="shared" si="149"/>
        <v>0.99999999999999989</v>
      </c>
      <c r="DP26" s="28">
        <f t="shared" si="149"/>
        <v>0.99999999999999989</v>
      </c>
      <c r="DQ26" s="28">
        <f t="shared" si="149"/>
        <v>0.99999999999999989</v>
      </c>
      <c r="DR26" s="28">
        <f t="shared" si="149"/>
        <v>0.99999999999999989</v>
      </c>
      <c r="DS26" s="28">
        <f t="shared" si="149"/>
        <v>0.99999999999999989</v>
      </c>
      <c r="DT26" s="28">
        <f t="shared" si="149"/>
        <v>0.99999999999999989</v>
      </c>
      <c r="DU26" s="28">
        <f t="shared" si="149"/>
        <v>0.99999999999999989</v>
      </c>
      <c r="DV26" s="28">
        <f t="shared" si="149"/>
        <v>0.99999999999999989</v>
      </c>
      <c r="DW26" s="28">
        <f t="shared" si="149"/>
        <v>0.99999999999999989</v>
      </c>
      <c r="DX26" s="28">
        <f t="shared" si="149"/>
        <v>0.99999999999999989</v>
      </c>
      <c r="DY26" s="28">
        <f t="shared" si="149"/>
        <v>0.99999999999999989</v>
      </c>
      <c r="DZ26" s="28">
        <f t="shared" si="149"/>
        <v>0.99999999999999989</v>
      </c>
      <c r="EA26" s="28">
        <f t="shared" si="149"/>
        <v>0.99999999999999989</v>
      </c>
      <c r="EB26" s="28">
        <f t="shared" si="149"/>
        <v>0.99999999999999989</v>
      </c>
      <c r="EC26" s="28">
        <f t="shared" si="149"/>
        <v>0.99999999999999989</v>
      </c>
      <c r="ED26" s="28">
        <f t="shared" si="149"/>
        <v>0.99999999999999989</v>
      </c>
      <c r="EE26" s="28">
        <f t="shared" si="149"/>
        <v>0.99999999999999989</v>
      </c>
      <c r="EF26" s="28">
        <f t="shared" si="149"/>
        <v>0.99999999999999989</v>
      </c>
      <c r="EG26" s="28">
        <f t="shared" si="149"/>
        <v>0.99999999999999989</v>
      </c>
      <c r="EH26" s="28">
        <f t="shared" si="149"/>
        <v>0.99999999999999989</v>
      </c>
      <c r="EI26" s="28">
        <f t="shared" si="149"/>
        <v>0.99999999999999989</v>
      </c>
    </row>
    <row r="27" spans="2:139" hidden="1" outlineLevel="3" x14ac:dyDescent="0.3">
      <c r="B27" s="29"/>
      <c r="C27" s="30"/>
      <c r="D27" s="30"/>
      <c r="E27" s="52" t="s">
        <v>32</v>
      </c>
      <c r="F27" s="33">
        <v>30</v>
      </c>
      <c r="G27" s="35">
        <v>0.05</v>
      </c>
      <c r="H27" s="53"/>
      <c r="I27" s="126">
        <v>0</v>
      </c>
      <c r="J27" s="127">
        <v>0</v>
      </c>
      <c r="K27" s="127">
        <v>0</v>
      </c>
      <c r="L27" s="127">
        <v>0</v>
      </c>
      <c r="M27" s="128">
        <v>0</v>
      </c>
      <c r="N27" s="128">
        <v>0</v>
      </c>
      <c r="O27" s="127">
        <v>0</v>
      </c>
      <c r="P27" s="127">
        <v>0</v>
      </c>
      <c r="Q27" s="127">
        <v>0</v>
      </c>
      <c r="R27" s="127">
        <v>0</v>
      </c>
      <c r="S27" s="127">
        <v>0</v>
      </c>
      <c r="T27" s="127">
        <v>0</v>
      </c>
      <c r="U27" s="127">
        <v>0</v>
      </c>
      <c r="V27" s="127">
        <v>0</v>
      </c>
      <c r="W27" s="127">
        <v>0</v>
      </c>
      <c r="X27" s="127">
        <v>0</v>
      </c>
      <c r="Y27" s="127">
        <v>0</v>
      </c>
      <c r="Z27" s="127">
        <v>1</v>
      </c>
      <c r="AA27" s="127">
        <v>1</v>
      </c>
      <c r="AB27" s="127">
        <v>1</v>
      </c>
      <c r="AC27" s="127">
        <v>1</v>
      </c>
      <c r="AD27" s="127">
        <v>1</v>
      </c>
      <c r="AE27" s="127">
        <v>1</v>
      </c>
      <c r="AF27" s="127">
        <v>1</v>
      </c>
      <c r="AG27" s="127">
        <v>1</v>
      </c>
      <c r="AH27" s="127">
        <v>1</v>
      </c>
      <c r="AI27" s="127">
        <v>1</v>
      </c>
      <c r="AJ27" s="127">
        <v>1</v>
      </c>
      <c r="AK27" s="127">
        <v>1</v>
      </c>
      <c r="AL27" s="127">
        <v>1</v>
      </c>
      <c r="AM27" s="127">
        <v>1</v>
      </c>
      <c r="AN27" s="127">
        <v>1</v>
      </c>
      <c r="AO27" s="127">
        <v>1</v>
      </c>
      <c r="AP27" s="127">
        <v>1</v>
      </c>
      <c r="AQ27" s="127">
        <v>1</v>
      </c>
      <c r="AR27" s="127">
        <v>1</v>
      </c>
      <c r="AS27" s="127">
        <v>1</v>
      </c>
      <c r="AT27" s="127">
        <v>1</v>
      </c>
      <c r="AU27" s="127">
        <v>1</v>
      </c>
      <c r="AV27" s="127">
        <v>1</v>
      </c>
      <c r="AW27" s="127">
        <v>1</v>
      </c>
      <c r="AX27" s="127">
        <v>1</v>
      </c>
      <c r="AY27" s="127">
        <v>1</v>
      </c>
      <c r="AZ27" s="127">
        <v>1</v>
      </c>
      <c r="BA27" s="127">
        <v>1</v>
      </c>
      <c r="BB27" s="127">
        <v>1</v>
      </c>
      <c r="BC27" s="127">
        <v>1</v>
      </c>
      <c r="BD27" s="127">
        <v>1</v>
      </c>
      <c r="BE27" s="127">
        <v>1</v>
      </c>
      <c r="BF27" s="127">
        <v>1</v>
      </c>
      <c r="BG27" s="127">
        <v>1</v>
      </c>
      <c r="BH27" s="127">
        <v>1</v>
      </c>
      <c r="BI27" s="127">
        <v>1</v>
      </c>
      <c r="BJ27" s="127">
        <v>1</v>
      </c>
      <c r="BK27" s="127">
        <v>1</v>
      </c>
      <c r="BL27" s="127">
        <v>1</v>
      </c>
      <c r="BM27" s="127">
        <v>1</v>
      </c>
      <c r="BN27" s="127">
        <v>1</v>
      </c>
      <c r="BO27" s="127">
        <v>1</v>
      </c>
      <c r="BP27" s="127">
        <v>1</v>
      </c>
      <c r="BQ27" s="127">
        <v>1</v>
      </c>
      <c r="BR27" s="127">
        <v>1</v>
      </c>
      <c r="BS27" s="127">
        <v>1</v>
      </c>
      <c r="BT27" s="127">
        <v>1</v>
      </c>
      <c r="BU27" s="127">
        <v>1</v>
      </c>
      <c r="BV27" s="127">
        <v>1</v>
      </c>
      <c r="BW27" s="127">
        <v>1</v>
      </c>
      <c r="BX27" s="127">
        <v>1</v>
      </c>
      <c r="BY27" s="127">
        <v>1</v>
      </c>
      <c r="BZ27" s="127">
        <v>1</v>
      </c>
      <c r="CA27" s="127">
        <v>1</v>
      </c>
      <c r="CB27" s="127">
        <v>1</v>
      </c>
      <c r="CC27" s="127">
        <v>1</v>
      </c>
      <c r="CD27" s="127">
        <v>1</v>
      </c>
      <c r="CE27" s="127">
        <v>1</v>
      </c>
      <c r="CF27" s="127">
        <v>1</v>
      </c>
      <c r="CG27" s="127">
        <v>1</v>
      </c>
      <c r="CH27" s="127">
        <v>1</v>
      </c>
      <c r="CI27" s="127">
        <v>1</v>
      </c>
      <c r="CJ27" s="127">
        <v>1</v>
      </c>
      <c r="CK27" s="127">
        <v>1</v>
      </c>
      <c r="CL27" s="127">
        <v>1</v>
      </c>
      <c r="CM27" s="127">
        <v>1</v>
      </c>
      <c r="CN27" s="127">
        <v>1</v>
      </c>
      <c r="CO27" s="127">
        <v>1</v>
      </c>
      <c r="CP27" s="127">
        <v>1</v>
      </c>
      <c r="CQ27" s="127">
        <v>1</v>
      </c>
      <c r="CR27" s="127">
        <v>1</v>
      </c>
      <c r="CS27" s="127">
        <v>1</v>
      </c>
      <c r="CT27" s="127">
        <v>1</v>
      </c>
      <c r="CU27" s="127">
        <v>1</v>
      </c>
      <c r="CV27" s="127">
        <v>1</v>
      </c>
      <c r="CW27" s="127">
        <v>1</v>
      </c>
      <c r="CX27" s="127">
        <v>1</v>
      </c>
      <c r="CY27" s="127">
        <v>1</v>
      </c>
      <c r="CZ27" s="127">
        <v>1</v>
      </c>
      <c r="DA27" s="127">
        <v>1</v>
      </c>
      <c r="DB27" s="127">
        <v>1</v>
      </c>
      <c r="DC27" s="127">
        <v>1</v>
      </c>
      <c r="DD27" s="127">
        <v>1</v>
      </c>
      <c r="DE27" s="127">
        <v>1</v>
      </c>
      <c r="DF27" s="127">
        <v>1</v>
      </c>
      <c r="DG27" s="127">
        <v>1</v>
      </c>
      <c r="DH27" s="127">
        <v>1</v>
      </c>
      <c r="DI27" s="127">
        <v>1</v>
      </c>
      <c r="DJ27" s="127">
        <v>1</v>
      </c>
      <c r="DK27" s="127">
        <v>1</v>
      </c>
      <c r="DL27" s="127">
        <v>1</v>
      </c>
      <c r="DM27" s="127">
        <v>1</v>
      </c>
      <c r="DN27" s="127">
        <v>1</v>
      </c>
      <c r="DO27" s="127">
        <v>1</v>
      </c>
      <c r="DP27" s="127">
        <v>1</v>
      </c>
      <c r="DQ27" s="127">
        <v>1</v>
      </c>
      <c r="DR27" s="127">
        <v>1</v>
      </c>
      <c r="DS27" s="127">
        <v>1</v>
      </c>
      <c r="DT27" s="127">
        <v>1</v>
      </c>
      <c r="DU27" s="127">
        <v>1</v>
      </c>
      <c r="DV27" s="127">
        <v>1</v>
      </c>
      <c r="DW27" s="127">
        <v>1</v>
      </c>
      <c r="DX27" s="127">
        <v>1</v>
      </c>
      <c r="DY27" s="127">
        <v>1</v>
      </c>
      <c r="DZ27" s="127">
        <v>1</v>
      </c>
      <c r="EA27" s="127">
        <v>1</v>
      </c>
      <c r="EB27" s="127">
        <v>1</v>
      </c>
      <c r="EC27" s="127">
        <v>1</v>
      </c>
      <c r="ED27" s="127">
        <v>1</v>
      </c>
      <c r="EE27" s="127">
        <v>1</v>
      </c>
      <c r="EF27" s="127">
        <v>1</v>
      </c>
      <c r="EG27" s="127">
        <v>1</v>
      </c>
      <c r="EH27" s="127">
        <v>1</v>
      </c>
      <c r="EI27" s="127">
        <v>1</v>
      </c>
    </row>
    <row r="28" spans="2:139" hidden="1" outlineLevel="3" x14ac:dyDescent="0.3">
      <c r="B28" s="36"/>
      <c r="C28" s="37"/>
      <c r="D28" s="37"/>
      <c r="E28" s="54" t="s">
        <v>33</v>
      </c>
      <c r="F28" s="33">
        <v>55</v>
      </c>
      <c r="G28" s="35">
        <v>0.21</v>
      </c>
      <c r="H28" s="53"/>
      <c r="I28" s="126">
        <v>0</v>
      </c>
      <c r="J28" s="127">
        <v>0</v>
      </c>
      <c r="K28" s="127">
        <v>0</v>
      </c>
      <c r="L28" s="127">
        <v>0</v>
      </c>
      <c r="M28" s="128">
        <v>0</v>
      </c>
      <c r="N28" s="128">
        <v>0</v>
      </c>
      <c r="O28" s="127">
        <v>0.1</v>
      </c>
      <c r="P28" s="127">
        <v>0.20874999999999999</v>
      </c>
      <c r="Q28" s="127">
        <v>0.28155000000000002</v>
      </c>
      <c r="R28" s="127">
        <v>0.35435</v>
      </c>
      <c r="S28" s="127">
        <v>0.68874000000000002</v>
      </c>
      <c r="T28" s="127">
        <v>0.68874000000000002</v>
      </c>
      <c r="U28" s="127">
        <v>0.83634000000000008</v>
      </c>
      <c r="V28" s="127">
        <v>0.88394000000000006</v>
      </c>
      <c r="W28" s="127">
        <v>0.88394000000000006</v>
      </c>
      <c r="X28" s="127">
        <v>0.88394000000000006</v>
      </c>
      <c r="Y28" s="127">
        <v>0.88394000000000006</v>
      </c>
      <c r="Z28" s="127">
        <v>0.88394000000000006</v>
      </c>
      <c r="AA28" s="127">
        <v>0.88394000000000006</v>
      </c>
      <c r="AB28" s="127">
        <v>0.91034000000000004</v>
      </c>
      <c r="AC28" s="127">
        <v>0.92786000000000002</v>
      </c>
      <c r="AD28" s="127">
        <v>0.92786000000000002</v>
      </c>
      <c r="AE28" s="127">
        <v>0.92786000000000002</v>
      </c>
      <c r="AF28" s="127">
        <v>0.92786000000000002</v>
      </c>
      <c r="AG28" s="127">
        <v>0.97177999999999998</v>
      </c>
      <c r="AH28" s="127">
        <v>0.97177999999999998</v>
      </c>
      <c r="AI28" s="127">
        <v>0.97177999999999998</v>
      </c>
      <c r="AJ28" s="127">
        <v>0.97177999999999998</v>
      </c>
      <c r="AK28" s="127">
        <v>0.97177999999999998</v>
      </c>
      <c r="AL28" s="127">
        <v>0.98177999999999999</v>
      </c>
      <c r="AM28" s="127">
        <v>1</v>
      </c>
      <c r="AN28" s="127">
        <v>1</v>
      </c>
      <c r="AO28" s="127">
        <v>1</v>
      </c>
      <c r="AP28" s="127">
        <v>1</v>
      </c>
      <c r="AQ28" s="127">
        <v>1</v>
      </c>
      <c r="AR28" s="127">
        <v>1</v>
      </c>
      <c r="AS28" s="127">
        <v>1</v>
      </c>
      <c r="AT28" s="127">
        <v>1</v>
      </c>
      <c r="AU28" s="127">
        <v>1</v>
      </c>
      <c r="AV28" s="127">
        <v>1</v>
      </c>
      <c r="AW28" s="127">
        <v>1</v>
      </c>
      <c r="AX28" s="127">
        <v>1</v>
      </c>
      <c r="AY28" s="127">
        <v>1</v>
      </c>
      <c r="AZ28" s="127">
        <v>1</v>
      </c>
      <c r="BA28" s="127">
        <v>1</v>
      </c>
      <c r="BB28" s="127">
        <v>1</v>
      </c>
      <c r="BC28" s="127">
        <v>1</v>
      </c>
      <c r="BD28" s="127">
        <v>1</v>
      </c>
      <c r="BE28" s="127">
        <v>1</v>
      </c>
      <c r="BF28" s="127">
        <v>1</v>
      </c>
      <c r="BG28" s="127">
        <v>1</v>
      </c>
      <c r="BH28" s="127">
        <v>1</v>
      </c>
      <c r="BI28" s="127">
        <v>1</v>
      </c>
      <c r="BJ28" s="127">
        <v>1</v>
      </c>
      <c r="BK28" s="127">
        <v>1</v>
      </c>
      <c r="BL28" s="127">
        <v>1</v>
      </c>
      <c r="BM28" s="127">
        <v>1</v>
      </c>
      <c r="BN28" s="127">
        <v>1</v>
      </c>
      <c r="BO28" s="127">
        <v>1</v>
      </c>
      <c r="BP28" s="127">
        <v>1</v>
      </c>
      <c r="BQ28" s="127">
        <v>1</v>
      </c>
      <c r="BR28" s="127">
        <v>1</v>
      </c>
      <c r="BS28" s="127">
        <v>1</v>
      </c>
      <c r="BT28" s="127">
        <v>1</v>
      </c>
      <c r="BU28" s="127">
        <v>1</v>
      </c>
      <c r="BV28" s="127">
        <v>1</v>
      </c>
      <c r="BW28" s="127">
        <v>1</v>
      </c>
      <c r="BX28" s="127">
        <v>1</v>
      </c>
      <c r="BY28" s="127">
        <v>1</v>
      </c>
      <c r="BZ28" s="127">
        <v>1</v>
      </c>
      <c r="CA28" s="127">
        <v>1</v>
      </c>
      <c r="CB28" s="127">
        <v>1</v>
      </c>
      <c r="CC28" s="127">
        <v>1</v>
      </c>
      <c r="CD28" s="127">
        <v>1</v>
      </c>
      <c r="CE28" s="127">
        <v>1</v>
      </c>
      <c r="CF28" s="127">
        <v>1</v>
      </c>
      <c r="CG28" s="127">
        <v>1</v>
      </c>
      <c r="CH28" s="127">
        <v>1</v>
      </c>
      <c r="CI28" s="127">
        <v>1</v>
      </c>
      <c r="CJ28" s="127">
        <v>1</v>
      </c>
      <c r="CK28" s="127">
        <v>1</v>
      </c>
      <c r="CL28" s="127">
        <v>1</v>
      </c>
      <c r="CM28" s="127">
        <v>1</v>
      </c>
      <c r="CN28" s="127">
        <v>1</v>
      </c>
      <c r="CO28" s="127">
        <v>1</v>
      </c>
      <c r="CP28" s="127">
        <v>1</v>
      </c>
      <c r="CQ28" s="127">
        <v>1</v>
      </c>
      <c r="CR28" s="127">
        <v>1</v>
      </c>
      <c r="CS28" s="127">
        <v>1</v>
      </c>
      <c r="CT28" s="127">
        <v>1</v>
      </c>
      <c r="CU28" s="127">
        <v>1</v>
      </c>
      <c r="CV28" s="127">
        <v>1</v>
      </c>
      <c r="CW28" s="127">
        <v>1</v>
      </c>
      <c r="CX28" s="127">
        <v>1</v>
      </c>
      <c r="CY28" s="127">
        <v>1</v>
      </c>
      <c r="CZ28" s="127">
        <v>1</v>
      </c>
      <c r="DA28" s="127">
        <v>1</v>
      </c>
      <c r="DB28" s="127">
        <v>1</v>
      </c>
      <c r="DC28" s="127">
        <v>1</v>
      </c>
      <c r="DD28" s="127">
        <v>1</v>
      </c>
      <c r="DE28" s="127">
        <v>1</v>
      </c>
      <c r="DF28" s="127">
        <v>1</v>
      </c>
      <c r="DG28" s="127">
        <v>1</v>
      </c>
      <c r="DH28" s="127">
        <v>1</v>
      </c>
      <c r="DI28" s="127">
        <v>1</v>
      </c>
      <c r="DJ28" s="127">
        <v>1</v>
      </c>
      <c r="DK28" s="127">
        <v>1</v>
      </c>
      <c r="DL28" s="127">
        <v>1</v>
      </c>
      <c r="DM28" s="127">
        <v>1</v>
      </c>
      <c r="DN28" s="127">
        <v>1</v>
      </c>
      <c r="DO28" s="127">
        <v>1</v>
      </c>
      <c r="DP28" s="127">
        <v>1</v>
      </c>
      <c r="DQ28" s="127">
        <v>1</v>
      </c>
      <c r="DR28" s="127">
        <v>1</v>
      </c>
      <c r="DS28" s="127">
        <v>1</v>
      </c>
      <c r="DT28" s="127">
        <v>1</v>
      </c>
      <c r="DU28" s="127">
        <v>1</v>
      </c>
      <c r="DV28" s="127">
        <v>1</v>
      </c>
      <c r="DW28" s="127">
        <v>1</v>
      </c>
      <c r="DX28" s="127">
        <v>1</v>
      </c>
      <c r="DY28" s="127">
        <v>1</v>
      </c>
      <c r="DZ28" s="127">
        <v>1</v>
      </c>
      <c r="EA28" s="127">
        <v>1</v>
      </c>
      <c r="EB28" s="127">
        <v>1</v>
      </c>
      <c r="EC28" s="127">
        <v>1</v>
      </c>
      <c r="ED28" s="127">
        <v>1</v>
      </c>
      <c r="EE28" s="127">
        <v>1</v>
      </c>
      <c r="EF28" s="127">
        <v>1</v>
      </c>
      <c r="EG28" s="127">
        <v>1</v>
      </c>
      <c r="EH28" s="127">
        <v>1</v>
      </c>
      <c r="EI28" s="127">
        <v>1</v>
      </c>
    </row>
    <row r="29" spans="2:139" hidden="1" outlineLevel="3" x14ac:dyDescent="0.3">
      <c r="B29" s="36"/>
      <c r="C29" s="37"/>
      <c r="D29" s="37"/>
      <c r="E29" s="54" t="s">
        <v>34</v>
      </c>
      <c r="F29" s="33">
        <v>55</v>
      </c>
      <c r="G29" s="35">
        <v>0.14000000000000001</v>
      </c>
      <c r="H29" s="53"/>
      <c r="I29" s="126">
        <v>0</v>
      </c>
      <c r="J29" s="127">
        <v>0</v>
      </c>
      <c r="K29" s="127">
        <v>0</v>
      </c>
      <c r="L29" s="127">
        <v>0</v>
      </c>
      <c r="M29" s="128">
        <v>0</v>
      </c>
      <c r="N29" s="128">
        <v>0</v>
      </c>
      <c r="O29" s="127">
        <v>0.1</v>
      </c>
      <c r="P29" s="127">
        <v>0.20874999999999999</v>
      </c>
      <c r="Q29" s="127">
        <v>0.20874999999999999</v>
      </c>
      <c r="R29" s="127">
        <v>0.28155000000000002</v>
      </c>
      <c r="S29" s="127">
        <v>0.68874000000000002</v>
      </c>
      <c r="T29" s="127">
        <v>0.68874000000000002</v>
      </c>
      <c r="U29" s="127">
        <v>0.83634000000000008</v>
      </c>
      <c r="V29" s="127">
        <v>0.88394000000000006</v>
      </c>
      <c r="W29" s="127">
        <v>0.88394000000000006</v>
      </c>
      <c r="X29" s="127">
        <v>0.88394000000000006</v>
      </c>
      <c r="Y29" s="127">
        <v>0.88394000000000006</v>
      </c>
      <c r="Z29" s="127">
        <v>0.88394000000000006</v>
      </c>
      <c r="AA29" s="127">
        <v>0.88394000000000006</v>
      </c>
      <c r="AB29" s="127">
        <v>0.91034000000000004</v>
      </c>
      <c r="AC29" s="127">
        <v>0.92786000000000002</v>
      </c>
      <c r="AD29" s="127">
        <v>0.92786000000000002</v>
      </c>
      <c r="AE29" s="127">
        <v>0.92786000000000002</v>
      </c>
      <c r="AF29" s="127">
        <v>0.92786000000000002</v>
      </c>
      <c r="AG29" s="127">
        <v>0.95826800000000001</v>
      </c>
      <c r="AH29" s="127">
        <v>0.97177999999999998</v>
      </c>
      <c r="AI29" s="127">
        <v>0.97177999999999998</v>
      </c>
      <c r="AJ29" s="127">
        <v>0.97177999999999998</v>
      </c>
      <c r="AK29" s="127">
        <v>0.97177999999999998</v>
      </c>
      <c r="AL29" s="127">
        <v>0.98177999999999999</v>
      </c>
      <c r="AM29" s="127">
        <v>1</v>
      </c>
      <c r="AN29" s="127">
        <v>1</v>
      </c>
      <c r="AO29" s="127">
        <v>1</v>
      </c>
      <c r="AP29" s="127">
        <v>1</v>
      </c>
      <c r="AQ29" s="127">
        <v>1</v>
      </c>
      <c r="AR29" s="127">
        <v>1</v>
      </c>
      <c r="AS29" s="127">
        <v>1</v>
      </c>
      <c r="AT29" s="127">
        <v>1</v>
      </c>
      <c r="AU29" s="127">
        <v>1</v>
      </c>
      <c r="AV29" s="127">
        <v>1</v>
      </c>
      <c r="AW29" s="127">
        <v>1</v>
      </c>
      <c r="AX29" s="127">
        <v>1</v>
      </c>
      <c r="AY29" s="127">
        <v>1</v>
      </c>
      <c r="AZ29" s="127">
        <v>1</v>
      </c>
      <c r="BA29" s="127">
        <v>1</v>
      </c>
      <c r="BB29" s="127">
        <v>1</v>
      </c>
      <c r="BC29" s="127">
        <v>1</v>
      </c>
      <c r="BD29" s="127">
        <v>1</v>
      </c>
      <c r="BE29" s="127">
        <v>1</v>
      </c>
      <c r="BF29" s="127">
        <v>1</v>
      </c>
      <c r="BG29" s="127">
        <v>1</v>
      </c>
      <c r="BH29" s="127">
        <v>1</v>
      </c>
      <c r="BI29" s="127">
        <v>1</v>
      </c>
      <c r="BJ29" s="127">
        <v>1</v>
      </c>
      <c r="BK29" s="127">
        <v>1</v>
      </c>
      <c r="BL29" s="127">
        <v>1</v>
      </c>
      <c r="BM29" s="127">
        <v>1</v>
      </c>
      <c r="BN29" s="127">
        <v>1</v>
      </c>
      <c r="BO29" s="127">
        <v>1</v>
      </c>
      <c r="BP29" s="127">
        <v>1</v>
      </c>
      <c r="BQ29" s="127">
        <v>1</v>
      </c>
      <c r="BR29" s="127">
        <v>1</v>
      </c>
      <c r="BS29" s="127">
        <v>1</v>
      </c>
      <c r="BT29" s="127">
        <v>1</v>
      </c>
      <c r="BU29" s="127">
        <v>1</v>
      </c>
      <c r="BV29" s="127">
        <v>1</v>
      </c>
      <c r="BW29" s="127">
        <v>1</v>
      </c>
      <c r="BX29" s="127">
        <v>1</v>
      </c>
      <c r="BY29" s="127">
        <v>1</v>
      </c>
      <c r="BZ29" s="127">
        <v>1</v>
      </c>
      <c r="CA29" s="127">
        <v>1</v>
      </c>
      <c r="CB29" s="127">
        <v>1</v>
      </c>
      <c r="CC29" s="127">
        <v>1</v>
      </c>
      <c r="CD29" s="127">
        <v>1</v>
      </c>
      <c r="CE29" s="127">
        <v>1</v>
      </c>
      <c r="CF29" s="127">
        <v>1</v>
      </c>
      <c r="CG29" s="127">
        <v>1</v>
      </c>
      <c r="CH29" s="127">
        <v>1</v>
      </c>
      <c r="CI29" s="127">
        <v>1</v>
      </c>
      <c r="CJ29" s="127">
        <v>1</v>
      </c>
      <c r="CK29" s="127">
        <v>1</v>
      </c>
      <c r="CL29" s="127">
        <v>1</v>
      </c>
      <c r="CM29" s="127">
        <v>1</v>
      </c>
      <c r="CN29" s="127">
        <v>1</v>
      </c>
      <c r="CO29" s="127">
        <v>1</v>
      </c>
      <c r="CP29" s="127">
        <v>1</v>
      </c>
      <c r="CQ29" s="127">
        <v>1</v>
      </c>
      <c r="CR29" s="127">
        <v>1</v>
      </c>
      <c r="CS29" s="127">
        <v>1</v>
      </c>
      <c r="CT29" s="127">
        <v>1</v>
      </c>
      <c r="CU29" s="127">
        <v>1</v>
      </c>
      <c r="CV29" s="127">
        <v>1</v>
      </c>
      <c r="CW29" s="127">
        <v>1</v>
      </c>
      <c r="CX29" s="127">
        <v>1</v>
      </c>
      <c r="CY29" s="127">
        <v>1</v>
      </c>
      <c r="CZ29" s="127">
        <v>1</v>
      </c>
      <c r="DA29" s="127">
        <v>1</v>
      </c>
      <c r="DB29" s="127">
        <v>1</v>
      </c>
      <c r="DC29" s="127">
        <v>1</v>
      </c>
      <c r="DD29" s="127">
        <v>1</v>
      </c>
      <c r="DE29" s="127">
        <v>1</v>
      </c>
      <c r="DF29" s="127">
        <v>1</v>
      </c>
      <c r="DG29" s="127">
        <v>1</v>
      </c>
      <c r="DH29" s="127">
        <v>1</v>
      </c>
      <c r="DI29" s="127">
        <v>1</v>
      </c>
      <c r="DJ29" s="127">
        <v>1</v>
      </c>
      <c r="DK29" s="127">
        <v>1</v>
      </c>
      <c r="DL29" s="127">
        <v>1</v>
      </c>
      <c r="DM29" s="127">
        <v>1</v>
      </c>
      <c r="DN29" s="127">
        <v>1</v>
      </c>
      <c r="DO29" s="127">
        <v>1</v>
      </c>
      <c r="DP29" s="127">
        <v>1</v>
      </c>
      <c r="DQ29" s="127">
        <v>1</v>
      </c>
      <c r="DR29" s="127">
        <v>1</v>
      </c>
      <c r="DS29" s="127">
        <v>1</v>
      </c>
      <c r="DT29" s="127">
        <v>1</v>
      </c>
      <c r="DU29" s="127">
        <v>1</v>
      </c>
      <c r="DV29" s="127">
        <v>1</v>
      </c>
      <c r="DW29" s="127">
        <v>1</v>
      </c>
      <c r="DX29" s="127">
        <v>1</v>
      </c>
      <c r="DY29" s="127">
        <v>1</v>
      </c>
      <c r="DZ29" s="127">
        <v>1</v>
      </c>
      <c r="EA29" s="127">
        <v>1</v>
      </c>
      <c r="EB29" s="127">
        <v>1</v>
      </c>
      <c r="EC29" s="127">
        <v>1</v>
      </c>
      <c r="ED29" s="127">
        <v>1</v>
      </c>
      <c r="EE29" s="127">
        <v>1</v>
      </c>
      <c r="EF29" s="127">
        <v>1</v>
      </c>
      <c r="EG29" s="127">
        <v>1</v>
      </c>
      <c r="EH29" s="127">
        <v>1</v>
      </c>
      <c r="EI29" s="127">
        <v>1</v>
      </c>
    </row>
    <row r="30" spans="2:139" hidden="1" outlineLevel="3" x14ac:dyDescent="0.3">
      <c r="B30" s="29"/>
      <c r="C30" s="30"/>
      <c r="D30" s="30"/>
      <c r="E30" s="52" t="s">
        <v>35</v>
      </c>
      <c r="F30" s="33">
        <v>40</v>
      </c>
      <c r="G30" s="35">
        <v>0.3</v>
      </c>
      <c r="H30" s="53"/>
      <c r="I30" s="126">
        <v>0</v>
      </c>
      <c r="J30" s="127">
        <v>0</v>
      </c>
      <c r="K30" s="127">
        <v>0</v>
      </c>
      <c r="L30" s="127">
        <v>0</v>
      </c>
      <c r="M30" s="128">
        <v>0</v>
      </c>
      <c r="N30" s="128">
        <v>0</v>
      </c>
      <c r="O30" s="127">
        <v>0</v>
      </c>
      <c r="P30" s="127">
        <v>0</v>
      </c>
      <c r="Q30" s="127">
        <v>0</v>
      </c>
      <c r="R30" s="127">
        <v>0</v>
      </c>
      <c r="S30" s="127">
        <v>0</v>
      </c>
      <c r="T30" s="127">
        <v>0</v>
      </c>
      <c r="U30" s="127">
        <v>0</v>
      </c>
      <c r="V30" s="127">
        <v>0</v>
      </c>
      <c r="W30" s="127">
        <v>0</v>
      </c>
      <c r="X30" s="127">
        <v>0</v>
      </c>
      <c r="Y30" s="127">
        <v>0</v>
      </c>
      <c r="Z30" s="127">
        <v>0</v>
      </c>
      <c r="AA30" s="127">
        <v>0</v>
      </c>
      <c r="AB30" s="127">
        <v>0</v>
      </c>
      <c r="AC30" s="127">
        <v>0</v>
      </c>
      <c r="AD30" s="127">
        <v>0</v>
      </c>
      <c r="AE30" s="127">
        <v>0</v>
      </c>
      <c r="AF30" s="127">
        <v>0</v>
      </c>
      <c r="AG30" s="127">
        <v>0</v>
      </c>
      <c r="AH30" s="127">
        <v>0</v>
      </c>
      <c r="AI30" s="127">
        <v>0</v>
      </c>
      <c r="AJ30" s="127">
        <v>0</v>
      </c>
      <c r="AK30" s="127">
        <v>0</v>
      </c>
      <c r="AL30" s="127">
        <v>0</v>
      </c>
      <c r="AM30" s="127">
        <v>0</v>
      </c>
      <c r="AN30" s="127">
        <v>0</v>
      </c>
      <c r="AO30" s="127">
        <v>0</v>
      </c>
      <c r="AP30" s="127">
        <v>0</v>
      </c>
      <c r="AQ30" s="127">
        <v>0</v>
      </c>
      <c r="AR30" s="127">
        <v>0</v>
      </c>
      <c r="AS30" s="127">
        <v>0</v>
      </c>
      <c r="AT30" s="127">
        <v>0</v>
      </c>
      <c r="AU30" s="127">
        <v>0</v>
      </c>
      <c r="AV30" s="127">
        <v>0</v>
      </c>
      <c r="AW30" s="127">
        <v>0</v>
      </c>
      <c r="AX30" s="127">
        <v>0</v>
      </c>
      <c r="AY30" s="127">
        <v>0</v>
      </c>
      <c r="AZ30" s="127">
        <v>0</v>
      </c>
      <c r="BA30" s="127">
        <v>0</v>
      </c>
      <c r="BB30" s="127">
        <f>Planbase100[[#This Row],[05/05/25]]+(1-Planbase100[[#This Row],[05/05/25]])*'Plan 39'!I15</f>
        <v>0</v>
      </c>
      <c r="BC30" s="127">
        <f>Planbase100[[#This Row],[05/05/25]]+(1-Planbase100[[#This Row],[05/05/25]])*'Plan 39'!J15</f>
        <v>0</v>
      </c>
      <c r="BD30" s="127">
        <f>Planbase100[[#This Row],[05/05/25]]+(1-Planbase100[[#This Row],[05/05/25]])*'Plan 39'!K15</f>
        <v>0</v>
      </c>
      <c r="BE30" s="127">
        <f>Planbase100[[#This Row],[05/05/25]]+(1-Planbase100[[#This Row],[05/05/25]])*'Plan 39'!L15</f>
        <v>0</v>
      </c>
      <c r="BF30" s="127">
        <f>Planbase100[[#This Row],[05/05/25]]+(1-Planbase100[[#This Row],[05/05/25]])*'Plan 39'!M15</f>
        <v>0</v>
      </c>
      <c r="BG30" s="127">
        <f>Planbase100[[#This Row],[05/05/25]]+(1-Planbase100[[#This Row],[05/05/25]])*'Plan 39'!N15</f>
        <v>0</v>
      </c>
      <c r="BH30" s="127">
        <f>Planbase100[[#This Row],[05/05/25]]+(1-Planbase100[[#This Row],[05/05/25]])*'Plan 39'!O15</f>
        <v>0</v>
      </c>
      <c r="BI30" s="127">
        <f>Planbase100[[#This Row],[05/05/25]]+(1-Planbase100[[#This Row],[05/05/25]])*'Plan 39'!P15</f>
        <v>0</v>
      </c>
      <c r="BJ30" s="127">
        <f>Planbase100[[#This Row],[05/05/25]]+(1-Planbase100[[#This Row],[05/05/25]])*'Plan 39'!Q15</f>
        <v>0</v>
      </c>
      <c r="BK30" s="127">
        <f>Planbase100[[#This Row],[05/05/25]]+(1-Planbase100[[#This Row],[05/05/25]])*'Plan 39'!R15</f>
        <v>0</v>
      </c>
      <c r="BL30" s="127">
        <f>Planbase100[[#This Row],[05/05/25]]+(1-Planbase100[[#This Row],[05/05/25]])*'Plan 39'!S15</f>
        <v>0</v>
      </c>
      <c r="BM30" s="127">
        <f>Planbase100[[#This Row],[05/05/25]]+(1-Planbase100[[#This Row],[05/05/25]])*'Plan 39'!T15</f>
        <v>0</v>
      </c>
      <c r="BN30" s="127">
        <f>Planbase100[[#This Row],[05/05/25]]+(1-Planbase100[[#This Row],[05/05/25]])*'Plan 39'!U15</f>
        <v>0</v>
      </c>
      <c r="BO30" s="127">
        <f>Planbase100[[#This Row],[05/05/25]]+(1-Planbase100[[#This Row],[05/05/25]])*'Plan 39'!V15</f>
        <v>2.3E-2</v>
      </c>
      <c r="BP30" s="127">
        <f>Planbase100[[#This Row],[05/05/25]]+(1-Planbase100[[#This Row],[05/05/25]])*'Plan 39'!W15</f>
        <v>4.5999999999999999E-2</v>
      </c>
      <c r="BQ30" s="127">
        <f>Planbase100[[#This Row],[05/05/25]]+(1-Planbase100[[#This Row],[05/05/25]])*'Plan 39'!X15</f>
        <v>8.1000000000000003E-2</v>
      </c>
      <c r="BR30" s="127">
        <f>Planbase100[[#This Row],[05/05/25]]+(1-Planbase100[[#This Row],[05/05/25]])*'Plan 39'!Y15</f>
        <v>0.11600000000000001</v>
      </c>
      <c r="BS30" s="127">
        <f>Planbase100[[#This Row],[05/05/25]]+(1-Planbase100[[#This Row],[05/05/25]])*'Plan 39'!Z15</f>
        <v>0.17899999999999999</v>
      </c>
      <c r="BT30" s="127">
        <f>Planbase100[[#This Row],[05/05/25]]+(1-Planbase100[[#This Row],[05/05/25]])*'Plan 39'!AA15</f>
        <v>0.24199999999999999</v>
      </c>
      <c r="BU30" s="127">
        <f>Planbase100[[#This Row],[05/05/25]]+(1-Planbase100[[#This Row],[05/05/25]])*'Plan 39'!AB15</f>
        <v>0.30499999999999999</v>
      </c>
      <c r="BV30" s="127">
        <f>Planbase100[[#This Row],[05/05/25]]+(1-Planbase100[[#This Row],[05/05/25]])*'Plan 39'!AC15</f>
        <v>0.36799999999999999</v>
      </c>
      <c r="BW30" s="127">
        <f>Planbase100[[#This Row],[05/05/25]]+(1-Planbase100[[#This Row],[05/05/25]])*'Plan 39'!AD15</f>
        <v>0.43099999999999999</v>
      </c>
      <c r="BX30" s="127">
        <f>Planbase100[[#This Row],[05/05/25]]+(1-Planbase100[[#This Row],[05/05/25]])*'Plan 39'!AE15</f>
        <v>0.51600000000000001</v>
      </c>
      <c r="BY30" s="127">
        <f>Planbase100[[#This Row],[05/05/25]]+(1-Planbase100[[#This Row],[05/05/25]])*'Plan 39'!AF15</f>
        <v>0.60099999999999998</v>
      </c>
      <c r="BZ30" s="127">
        <f>Planbase100[[#This Row],[05/05/25]]+(1-Planbase100[[#This Row],[05/05/25]])*'Plan 39'!AG15</f>
        <v>0.68599999999999994</v>
      </c>
      <c r="CA30" s="127">
        <f>Planbase100[[#This Row],[05/05/25]]+(1-Planbase100[[#This Row],[05/05/25]])*'Plan 39'!AH15</f>
        <v>0.77099999999999991</v>
      </c>
      <c r="CB30" s="127">
        <f>Planbase100[[#This Row],[05/05/25]]+(1-Planbase100[[#This Row],[05/05/25]])*'Plan 39'!AI15</f>
        <v>0.85599999999999987</v>
      </c>
      <c r="CC30" s="127">
        <f>Planbase100[[#This Row],[05/05/25]]+(1-Planbase100[[#This Row],[05/05/25]])*'Plan 39'!AJ15</f>
        <v>0.94099999999999984</v>
      </c>
      <c r="CD30" s="127">
        <f>Planbase100[[#This Row],[05/05/25]]+(1-Planbase100[[#This Row],[05/05/25]])*'Plan 39'!AK15</f>
        <v>1</v>
      </c>
      <c r="CE30" s="127">
        <f>Planbase100[[#This Row],[05/05/25]]+(1-Planbase100[[#This Row],[05/05/25]])*'Plan 39'!AL15</f>
        <v>1</v>
      </c>
      <c r="CF30" s="127">
        <f>Planbase100[[#This Row],[05/05/25]]+(1-Planbase100[[#This Row],[05/05/25]])*'Plan 39'!AM15</f>
        <v>1</v>
      </c>
      <c r="CG30" s="127">
        <f>Planbase100[[#This Row],[05/05/25]]+(1-Planbase100[[#This Row],[05/05/25]])*'Plan 39'!AN15</f>
        <v>1</v>
      </c>
      <c r="CH30" s="127">
        <f>Planbase100[[#This Row],[05/05/25]]+(1-Planbase100[[#This Row],[05/05/25]])*'Plan 39'!AO15</f>
        <v>1</v>
      </c>
      <c r="CI30" s="127">
        <f>Planbase100[[#This Row],[05/05/25]]+(1-Planbase100[[#This Row],[05/05/25]])*'Plan 39'!AP15</f>
        <v>1</v>
      </c>
      <c r="CJ30" s="127">
        <f>Planbase100[[#This Row],[05/05/25]]+(1-Planbase100[[#This Row],[05/05/25]])*'Plan 39'!AQ15</f>
        <v>1</v>
      </c>
      <c r="CK30" s="127">
        <f>Planbase100[[#This Row],[05/05/25]]+(1-Planbase100[[#This Row],[05/05/25]])*'Plan 39'!AR15</f>
        <v>1</v>
      </c>
      <c r="CL30" s="127">
        <f>Planbase100[[#This Row],[05/05/25]]+(1-Planbase100[[#This Row],[05/05/25]])*'Plan 39'!AS15</f>
        <v>1</v>
      </c>
      <c r="CM30" s="127">
        <f>Planbase100[[#This Row],[05/05/25]]+(1-Planbase100[[#This Row],[05/05/25]])*'Plan 39'!AT15</f>
        <v>1</v>
      </c>
      <c r="CN30" s="127">
        <f>Planbase100[[#This Row],[05/05/25]]+(1-Planbase100[[#This Row],[05/05/25]])*'Plan 39'!AU15</f>
        <v>1</v>
      </c>
      <c r="CO30" s="127">
        <f>Planbase100[[#This Row],[05/05/25]]+(1-Planbase100[[#This Row],[05/05/25]])*'Plan 39'!AV15</f>
        <v>1</v>
      </c>
      <c r="CP30" s="127">
        <f>Planbase100[[#This Row],[05/05/25]]+(1-Planbase100[[#This Row],[05/05/25]])*'Plan 39'!AW15</f>
        <v>1</v>
      </c>
      <c r="CQ30" s="127">
        <f>Planbase100[[#This Row],[05/05/25]]+(1-Planbase100[[#This Row],[05/05/25]])*'Plan 39'!AX15</f>
        <v>1</v>
      </c>
      <c r="CR30" s="127">
        <f>Planbase100[[#This Row],[05/05/25]]+(1-Planbase100[[#This Row],[05/05/25]])*'Plan 39'!AY15</f>
        <v>1</v>
      </c>
      <c r="CS30" s="127">
        <f>Planbase100[[#This Row],[05/05/25]]+(1-Planbase100[[#This Row],[05/05/25]])*'Plan 39'!AZ15</f>
        <v>1</v>
      </c>
      <c r="CT30" s="127">
        <f>Planbase100[[#This Row],[05/05/25]]+(1-Planbase100[[#This Row],[05/05/25]])*'Plan 39'!BA15</f>
        <v>1</v>
      </c>
      <c r="CU30" s="127">
        <f>Planbase100[[#This Row],[05/05/25]]+(1-Planbase100[[#This Row],[05/05/25]])*'Plan 39'!BB15</f>
        <v>1</v>
      </c>
      <c r="CV30" s="127">
        <f>Planbase100[[#This Row],[05/05/25]]+(1-Planbase100[[#This Row],[05/05/25]])*'Plan 39'!BC15</f>
        <v>1</v>
      </c>
      <c r="CW30" s="127">
        <f>Planbase100[[#This Row],[05/05/25]]+(1-Planbase100[[#This Row],[05/05/25]])*'Plan 39'!BD15</f>
        <v>1</v>
      </c>
      <c r="CX30" s="127">
        <f>Planbase100[[#This Row],[05/05/25]]+(1-Planbase100[[#This Row],[05/05/25]])*'Plan 39'!BE15</f>
        <v>1</v>
      </c>
      <c r="CY30" s="127">
        <f>Planbase100[[#This Row],[05/05/25]]+(1-Planbase100[[#This Row],[05/05/25]])*'Plan 39'!BF15</f>
        <v>1</v>
      </c>
      <c r="CZ30" s="127">
        <f>Planbase100[[#This Row],[05/05/25]]+(1-Planbase100[[#This Row],[05/05/25]])*'Plan 39'!BG15</f>
        <v>1</v>
      </c>
      <c r="DA30" s="127">
        <f>Planbase100[[#This Row],[05/05/25]]+(1-Planbase100[[#This Row],[05/05/25]])*'Plan 39'!BH15</f>
        <v>1</v>
      </c>
      <c r="DB30" s="127">
        <f>Planbase100[[#This Row],[05/05/25]]+(1-Planbase100[[#This Row],[05/05/25]])*'Plan 39'!BI15</f>
        <v>1</v>
      </c>
      <c r="DC30" s="127">
        <f>Planbase100[[#This Row],[05/05/25]]+(1-Planbase100[[#This Row],[05/05/25]])*'Plan 39'!BJ15</f>
        <v>1</v>
      </c>
      <c r="DD30" s="127">
        <f>Planbase100[[#This Row],[05/05/25]]+(1-Planbase100[[#This Row],[05/05/25]])*'Plan 39'!BK15</f>
        <v>1</v>
      </c>
      <c r="DE30" s="127">
        <f>Planbase100[[#This Row],[05/05/25]]+(1-Planbase100[[#This Row],[05/05/25]])*'Plan 39'!BL15</f>
        <v>1</v>
      </c>
      <c r="DF30" s="127">
        <f>Planbase100[[#This Row],[05/05/25]]+(1-Planbase100[[#This Row],[05/05/25]])*'Plan 39'!BM15</f>
        <v>1</v>
      </c>
      <c r="DG30" s="127">
        <f>Planbase100[[#This Row],[19/05/25]]+(1-Planbase100[[#This Row],[19/05/25]])*'Plan 39'!BN15</f>
        <v>1</v>
      </c>
      <c r="DH30" s="127">
        <f>Planbase100[[#This Row],[26/05/25]]+(1-Planbase100[[#This Row],[26/05/25]])*'Plan 39'!BO15</f>
        <v>1</v>
      </c>
      <c r="DI30" s="127">
        <f>Planbase100[[#This Row],[02/06/25]]+(1-Planbase100[[#This Row],[02/06/25]])*'Plan 39'!BP15</f>
        <v>1</v>
      </c>
      <c r="DJ30" s="127">
        <f>Planbase100[[#This Row],[09/06/25]]+(1-Planbase100[[#This Row],[09/06/25]])*'Plan 39'!BQ15</f>
        <v>1</v>
      </c>
      <c r="DK30" s="127">
        <f>Planbase100[[#This Row],[16/06/25]]+(1-Planbase100[[#This Row],[16/06/25]])*'Plan 39'!BR15</f>
        <v>1</v>
      </c>
      <c r="DL30" s="127">
        <f>Planbase100[[#This Row],[23/06/25]]+(1-Planbase100[[#This Row],[23/06/25]])*'Plan 39'!BS15</f>
        <v>1</v>
      </c>
      <c r="DM30" s="127">
        <f>Planbase100[[#This Row],[30/06/25]]+(1-Planbase100[[#This Row],[30/06/25]])*'Plan 39'!BT15</f>
        <v>1</v>
      </c>
      <c r="DN30" s="127">
        <f>Planbase100[[#This Row],[07/07/25]]+(1-Planbase100[[#This Row],[07/07/25]])*'Plan 39'!BU15</f>
        <v>1</v>
      </c>
      <c r="DO30" s="127">
        <f>Planbase100[[#This Row],[14/07/25]]+(1-Planbase100[[#This Row],[14/07/25]])*'Plan 39'!BV15</f>
        <v>1</v>
      </c>
      <c r="DP30" s="127">
        <f>Planbase100[[#This Row],[21/07/25]]+(1-Planbase100[[#This Row],[21/07/25]])*'Plan 39'!BW15</f>
        <v>1</v>
      </c>
      <c r="DQ30" s="127">
        <f>Planbase100[[#This Row],[28/07/25]]+(1-Planbase100[[#This Row],[28/07/25]])*'Plan 39'!BX15</f>
        <v>1</v>
      </c>
      <c r="DR30" s="127">
        <f>Planbase100[[#This Row],[04/08/25]]+(1-Planbase100[[#This Row],[04/08/25]])*'Plan 39'!BY15</f>
        <v>1</v>
      </c>
      <c r="DS30" s="127">
        <f>Planbase100[[#This Row],[11/08/25]]+(1-Planbase100[[#This Row],[11/08/25]])*'Plan 39'!BZ15</f>
        <v>1</v>
      </c>
      <c r="DT30" s="127">
        <f>Planbase100[[#This Row],[18/08/25]]+(1-Planbase100[[#This Row],[18/08/25]])*'Plan 39'!CA15</f>
        <v>1</v>
      </c>
      <c r="DU30" s="127">
        <f>Planbase100[[#This Row],[25/08/25]]+(1-Planbase100[[#This Row],[25/08/25]])*'Plan 39'!CB15</f>
        <v>1</v>
      </c>
      <c r="DV30" s="127">
        <f>Planbase100[[#This Row],[01/09/25]]+(1-Planbase100[[#This Row],[01/09/25]])*'Plan 39'!CC15</f>
        <v>1</v>
      </c>
      <c r="DW30" s="127">
        <f>Planbase100[[#This Row],[08/09/25]]+(1-Planbase100[[#This Row],[08/09/25]])*'Plan 39'!CD15</f>
        <v>1</v>
      </c>
      <c r="DX30" s="127">
        <f>Planbase100[[#This Row],[15/09/25]]+(1-Planbase100[[#This Row],[15/09/25]])*'Plan 39'!CE15</f>
        <v>1</v>
      </c>
      <c r="DY30" s="127">
        <f>Planbase100[[#This Row],[22/09/25]]+(1-Planbase100[[#This Row],[22/09/25]])*'Plan 39'!CF15</f>
        <v>1</v>
      </c>
      <c r="DZ30" s="127">
        <f>Planbase100[[#This Row],[29/09/25]]+(1-Planbase100[[#This Row],[29/09/25]])*'Plan 39'!CG15</f>
        <v>1</v>
      </c>
      <c r="EA30" s="127">
        <f>Planbase100[[#This Row],[06/10/25]]+(1-Planbase100[[#This Row],[06/10/25]])*'Plan 39'!CH15</f>
        <v>1</v>
      </c>
      <c r="EB30" s="127">
        <f>Planbase100[[#This Row],[13/10/25]]+(1-Planbase100[[#This Row],[13/10/25]])*'Plan 39'!CI15</f>
        <v>1</v>
      </c>
      <c r="EC30" s="127">
        <f>Planbase100[[#This Row],[20/10/25]]+(1-Planbase100[[#This Row],[20/10/25]])*'Plan 39'!CJ15</f>
        <v>1</v>
      </c>
      <c r="ED30" s="127">
        <f>Planbase100[[#This Row],[27/10/25]]+(1-Planbase100[[#This Row],[27/10/25]])*'Plan 39'!CK15</f>
        <v>1</v>
      </c>
      <c r="EE30" s="127">
        <f>Planbase100[[#This Row],[03/11/25]]+(1-Planbase100[[#This Row],[03/11/25]])*'Plan 39'!CL15</f>
        <v>1</v>
      </c>
      <c r="EF30" s="127">
        <f>Planbase100[[#This Row],[10/11/25]]+(1-Planbase100[[#This Row],[10/11/25]])*'Plan 39'!CM15</f>
        <v>1</v>
      </c>
      <c r="EG30" s="127">
        <f>Planbase100[[#This Row],[17/11/25]]+(1-Planbase100[[#This Row],[17/11/25]])*'Plan 39'!CN15</f>
        <v>1</v>
      </c>
      <c r="EH30" s="127">
        <f>Planbase100[[#This Row],[24/11/25]]+(1-Planbase100[[#This Row],[24/11/25]])*'Plan 39'!CO15</f>
        <v>1</v>
      </c>
      <c r="EI30" s="127">
        <f>Planbase100[[#This Row],[01/12/25]]+(1-Planbase100[[#This Row],[01/12/25]])*'Plan 39'!CP15</f>
        <v>1</v>
      </c>
    </row>
    <row r="31" spans="2:139" hidden="1" outlineLevel="3" x14ac:dyDescent="0.3">
      <c r="B31" s="29"/>
      <c r="C31" s="30"/>
      <c r="D31" s="30"/>
      <c r="E31" s="52" t="s">
        <v>36</v>
      </c>
      <c r="F31" s="33">
        <v>55</v>
      </c>
      <c r="G31" s="35">
        <v>0.1</v>
      </c>
      <c r="H31" s="53"/>
      <c r="I31" s="126">
        <v>0</v>
      </c>
      <c r="J31" s="127">
        <v>0</v>
      </c>
      <c r="K31" s="127">
        <v>0</v>
      </c>
      <c r="L31" s="127">
        <v>0</v>
      </c>
      <c r="M31" s="128">
        <v>0</v>
      </c>
      <c r="N31" s="128">
        <v>0</v>
      </c>
      <c r="O31" s="127">
        <v>0</v>
      </c>
      <c r="P31" s="127">
        <v>0</v>
      </c>
      <c r="Q31" s="127">
        <v>0</v>
      </c>
      <c r="R31" s="127">
        <v>0</v>
      </c>
      <c r="S31" s="127">
        <v>0</v>
      </c>
      <c r="T31" s="127">
        <v>0</v>
      </c>
      <c r="U31" s="127">
        <v>0</v>
      </c>
      <c r="V31" s="127">
        <v>0</v>
      </c>
      <c r="W31" s="127">
        <v>0</v>
      </c>
      <c r="X31" s="127">
        <v>0</v>
      </c>
      <c r="Y31" s="127">
        <v>0</v>
      </c>
      <c r="Z31" s="127">
        <v>0</v>
      </c>
      <c r="AA31" s="127">
        <v>0</v>
      </c>
      <c r="AB31" s="127">
        <v>0</v>
      </c>
      <c r="AC31" s="127">
        <v>0</v>
      </c>
      <c r="AD31" s="127">
        <v>0</v>
      </c>
      <c r="AE31" s="127">
        <v>0</v>
      </c>
      <c r="AF31" s="127">
        <v>0</v>
      </c>
      <c r="AG31" s="127">
        <v>0</v>
      </c>
      <c r="AH31" s="127">
        <v>0</v>
      </c>
      <c r="AI31" s="127">
        <v>0</v>
      </c>
      <c r="AJ31" s="127">
        <v>0</v>
      </c>
      <c r="AK31" s="127">
        <v>0</v>
      </c>
      <c r="AL31" s="127">
        <v>0</v>
      </c>
      <c r="AM31" s="127">
        <v>0</v>
      </c>
      <c r="AN31" s="127">
        <v>0</v>
      </c>
      <c r="AO31" s="127">
        <v>0</v>
      </c>
      <c r="AP31" s="127">
        <v>0</v>
      </c>
      <c r="AQ31" s="127">
        <v>0</v>
      </c>
      <c r="AR31" s="127">
        <v>0</v>
      </c>
      <c r="AS31" s="127">
        <v>0</v>
      </c>
      <c r="AT31" s="127">
        <v>0</v>
      </c>
      <c r="AU31" s="127">
        <v>0</v>
      </c>
      <c r="AV31" s="127">
        <v>0</v>
      </c>
      <c r="AW31" s="127">
        <v>0</v>
      </c>
      <c r="AX31" s="127">
        <v>0</v>
      </c>
      <c r="AY31" s="127">
        <v>0</v>
      </c>
      <c r="AZ31" s="127">
        <v>0</v>
      </c>
      <c r="BA31" s="127">
        <v>0</v>
      </c>
      <c r="BB31" s="127">
        <f>Planbase100[[#This Row],[05/05/25]]+(1-Planbase100[[#This Row],[05/05/25]])*'Plan 39'!I16</f>
        <v>0</v>
      </c>
      <c r="BC31" s="127">
        <f>Planbase100[[#This Row],[05/05/25]]+(1-Planbase100[[#This Row],[05/05/25]])*'Plan 39'!J16</f>
        <v>0</v>
      </c>
      <c r="BD31" s="127">
        <f>Planbase100[[#This Row],[05/05/25]]+(1-Planbase100[[#This Row],[05/05/25]])*'Plan 39'!K16</f>
        <v>0</v>
      </c>
      <c r="BE31" s="127">
        <f>Planbase100[[#This Row],[05/05/25]]+(1-Planbase100[[#This Row],[05/05/25]])*'Plan 39'!L16</f>
        <v>0</v>
      </c>
      <c r="BF31" s="127">
        <f>Planbase100[[#This Row],[05/05/25]]+(1-Planbase100[[#This Row],[05/05/25]])*'Plan 39'!M16</f>
        <v>0</v>
      </c>
      <c r="BG31" s="127">
        <f>Planbase100[[#This Row],[05/05/25]]+(1-Planbase100[[#This Row],[05/05/25]])*'Plan 39'!N16</f>
        <v>0</v>
      </c>
      <c r="BH31" s="127">
        <f>Planbase100[[#This Row],[05/05/25]]+(1-Planbase100[[#This Row],[05/05/25]])*'Plan 39'!O16</f>
        <v>0</v>
      </c>
      <c r="BI31" s="127">
        <f>Planbase100[[#This Row],[05/05/25]]+(1-Planbase100[[#This Row],[05/05/25]])*'Plan 39'!P16</f>
        <v>0</v>
      </c>
      <c r="BJ31" s="127">
        <f>Planbase100[[#This Row],[05/05/25]]+(1-Planbase100[[#This Row],[05/05/25]])*'Plan 39'!Q16</f>
        <v>0</v>
      </c>
      <c r="BK31" s="127">
        <f>Planbase100[[#This Row],[05/05/25]]+(1-Planbase100[[#This Row],[05/05/25]])*'Plan 39'!R16</f>
        <v>0</v>
      </c>
      <c r="BL31" s="127">
        <f>Planbase100[[#This Row],[05/05/25]]+(1-Planbase100[[#This Row],[05/05/25]])*'Plan 39'!S16</f>
        <v>0</v>
      </c>
      <c r="BM31" s="127">
        <f>Planbase100[[#This Row],[05/05/25]]+(1-Planbase100[[#This Row],[05/05/25]])*'Plan 39'!T16</f>
        <v>0</v>
      </c>
      <c r="BN31" s="127">
        <f>Planbase100[[#This Row],[05/05/25]]+(1-Planbase100[[#This Row],[05/05/25]])*'Plan 39'!U16</f>
        <v>0</v>
      </c>
      <c r="BO31" s="127">
        <f>Planbase100[[#This Row],[05/05/25]]+(1-Planbase100[[#This Row],[05/05/25]])*'Plan 39'!V16</f>
        <v>2.3E-2</v>
      </c>
      <c r="BP31" s="127">
        <f>Planbase100[[#This Row],[05/05/25]]+(1-Planbase100[[#This Row],[05/05/25]])*'Plan 39'!W16</f>
        <v>4.5999999999999999E-2</v>
      </c>
      <c r="BQ31" s="127">
        <f>Planbase100[[#This Row],[05/05/25]]+(1-Planbase100[[#This Row],[05/05/25]])*'Plan 39'!X16</f>
        <v>8.1000000000000003E-2</v>
      </c>
      <c r="BR31" s="127">
        <f>Planbase100[[#This Row],[05/05/25]]+(1-Planbase100[[#This Row],[05/05/25]])*'Plan 39'!Y16</f>
        <v>0.11600000000000001</v>
      </c>
      <c r="BS31" s="127">
        <f>Planbase100[[#This Row],[05/05/25]]+(1-Planbase100[[#This Row],[05/05/25]])*'Plan 39'!Z16</f>
        <v>0.17899999999999999</v>
      </c>
      <c r="BT31" s="127">
        <f>Planbase100[[#This Row],[05/05/25]]+(1-Planbase100[[#This Row],[05/05/25]])*'Plan 39'!AA16</f>
        <v>0.24199999999999999</v>
      </c>
      <c r="BU31" s="127">
        <f>Planbase100[[#This Row],[05/05/25]]+(1-Planbase100[[#This Row],[05/05/25]])*'Plan 39'!AB16</f>
        <v>0.30499999999999999</v>
      </c>
      <c r="BV31" s="127">
        <f>Planbase100[[#This Row],[05/05/25]]+(1-Planbase100[[#This Row],[05/05/25]])*'Plan 39'!AC16</f>
        <v>0.36799999999999999</v>
      </c>
      <c r="BW31" s="127">
        <f>Planbase100[[#This Row],[05/05/25]]+(1-Planbase100[[#This Row],[05/05/25]])*'Plan 39'!AD16</f>
        <v>0.43099999999999999</v>
      </c>
      <c r="BX31" s="127">
        <f>Planbase100[[#This Row],[05/05/25]]+(1-Planbase100[[#This Row],[05/05/25]])*'Plan 39'!AE16</f>
        <v>0.51600000000000001</v>
      </c>
      <c r="BY31" s="127">
        <f>Planbase100[[#This Row],[05/05/25]]+(1-Planbase100[[#This Row],[05/05/25]])*'Plan 39'!AF16</f>
        <v>0.60099999999999998</v>
      </c>
      <c r="BZ31" s="127">
        <f>Planbase100[[#This Row],[05/05/25]]+(1-Planbase100[[#This Row],[05/05/25]])*'Plan 39'!AG16</f>
        <v>0.68599999999999994</v>
      </c>
      <c r="CA31" s="127">
        <f>Planbase100[[#This Row],[05/05/25]]+(1-Planbase100[[#This Row],[05/05/25]])*'Plan 39'!AH16</f>
        <v>0.77099999999999991</v>
      </c>
      <c r="CB31" s="127">
        <f>Planbase100[[#This Row],[05/05/25]]+(1-Planbase100[[#This Row],[05/05/25]])*'Plan 39'!AI16</f>
        <v>0.85599999999999987</v>
      </c>
      <c r="CC31" s="127">
        <f>Planbase100[[#This Row],[05/05/25]]+(1-Planbase100[[#This Row],[05/05/25]])*'Plan 39'!AJ16</f>
        <v>0.94099999999999984</v>
      </c>
      <c r="CD31" s="127">
        <f>Planbase100[[#This Row],[05/05/25]]+(1-Planbase100[[#This Row],[05/05/25]])*'Plan 39'!AK16</f>
        <v>1</v>
      </c>
      <c r="CE31" s="127">
        <f>Planbase100[[#This Row],[05/05/25]]+(1-Planbase100[[#This Row],[05/05/25]])*'Plan 39'!AL16</f>
        <v>1</v>
      </c>
      <c r="CF31" s="127">
        <f>Planbase100[[#This Row],[05/05/25]]+(1-Planbase100[[#This Row],[05/05/25]])*'Plan 39'!AM16</f>
        <v>1</v>
      </c>
      <c r="CG31" s="127">
        <f>Planbase100[[#This Row],[05/05/25]]+(1-Planbase100[[#This Row],[05/05/25]])*'Plan 39'!AN16</f>
        <v>1</v>
      </c>
      <c r="CH31" s="127">
        <f>Planbase100[[#This Row],[05/05/25]]+(1-Planbase100[[#This Row],[05/05/25]])*'Plan 39'!AO16</f>
        <v>1</v>
      </c>
      <c r="CI31" s="127">
        <f>Planbase100[[#This Row],[05/05/25]]+(1-Planbase100[[#This Row],[05/05/25]])*'Plan 39'!AP16</f>
        <v>1</v>
      </c>
      <c r="CJ31" s="127">
        <f>Planbase100[[#This Row],[05/05/25]]+(1-Planbase100[[#This Row],[05/05/25]])*'Plan 39'!AQ16</f>
        <v>1</v>
      </c>
      <c r="CK31" s="127">
        <f>Planbase100[[#This Row],[05/05/25]]+(1-Planbase100[[#This Row],[05/05/25]])*'Plan 39'!AR16</f>
        <v>1</v>
      </c>
      <c r="CL31" s="127">
        <f>Planbase100[[#This Row],[05/05/25]]+(1-Planbase100[[#This Row],[05/05/25]])*'Plan 39'!AS16</f>
        <v>1</v>
      </c>
      <c r="CM31" s="127">
        <f>Planbase100[[#This Row],[05/05/25]]+(1-Planbase100[[#This Row],[05/05/25]])*'Plan 39'!AT16</f>
        <v>1</v>
      </c>
      <c r="CN31" s="127">
        <f>Planbase100[[#This Row],[05/05/25]]+(1-Planbase100[[#This Row],[05/05/25]])*'Plan 39'!AU16</f>
        <v>1</v>
      </c>
      <c r="CO31" s="127">
        <f>Planbase100[[#This Row],[05/05/25]]+(1-Planbase100[[#This Row],[05/05/25]])*'Plan 39'!AV16</f>
        <v>1</v>
      </c>
      <c r="CP31" s="127">
        <f>Planbase100[[#This Row],[05/05/25]]+(1-Planbase100[[#This Row],[05/05/25]])*'Plan 39'!AW16</f>
        <v>1</v>
      </c>
      <c r="CQ31" s="127">
        <f>Planbase100[[#This Row],[05/05/25]]+(1-Planbase100[[#This Row],[05/05/25]])*'Plan 39'!AX16</f>
        <v>1</v>
      </c>
      <c r="CR31" s="127">
        <f>Planbase100[[#This Row],[05/05/25]]+(1-Planbase100[[#This Row],[05/05/25]])*'Plan 39'!AY16</f>
        <v>1</v>
      </c>
      <c r="CS31" s="127">
        <f>Planbase100[[#This Row],[05/05/25]]+(1-Planbase100[[#This Row],[05/05/25]])*'Plan 39'!AZ16</f>
        <v>1</v>
      </c>
      <c r="CT31" s="127">
        <f>Planbase100[[#This Row],[05/05/25]]+(1-Planbase100[[#This Row],[05/05/25]])*'Plan 39'!BA16</f>
        <v>1</v>
      </c>
      <c r="CU31" s="127">
        <f>Planbase100[[#This Row],[05/05/25]]+(1-Planbase100[[#This Row],[05/05/25]])*'Plan 39'!BB16</f>
        <v>1</v>
      </c>
      <c r="CV31" s="127">
        <f>Planbase100[[#This Row],[05/05/25]]+(1-Planbase100[[#This Row],[05/05/25]])*'Plan 39'!BC16</f>
        <v>1</v>
      </c>
      <c r="CW31" s="127">
        <f>Planbase100[[#This Row],[05/05/25]]+(1-Planbase100[[#This Row],[05/05/25]])*'Plan 39'!BD16</f>
        <v>1</v>
      </c>
      <c r="CX31" s="127">
        <f>Planbase100[[#This Row],[05/05/25]]+(1-Planbase100[[#This Row],[05/05/25]])*'Plan 39'!BE16</f>
        <v>1</v>
      </c>
      <c r="CY31" s="127">
        <f>Planbase100[[#This Row],[05/05/25]]+(1-Planbase100[[#This Row],[05/05/25]])*'Plan 39'!BF16</f>
        <v>1</v>
      </c>
      <c r="CZ31" s="127">
        <f>Planbase100[[#This Row],[05/05/25]]+(1-Planbase100[[#This Row],[05/05/25]])*'Plan 39'!BG16</f>
        <v>1</v>
      </c>
      <c r="DA31" s="127">
        <f>Planbase100[[#This Row],[05/05/25]]+(1-Planbase100[[#This Row],[05/05/25]])*'Plan 39'!BH16</f>
        <v>1</v>
      </c>
      <c r="DB31" s="127">
        <f>Planbase100[[#This Row],[05/05/25]]+(1-Planbase100[[#This Row],[05/05/25]])*'Plan 39'!BI16</f>
        <v>1</v>
      </c>
      <c r="DC31" s="127">
        <f>Planbase100[[#This Row],[05/05/25]]+(1-Planbase100[[#This Row],[05/05/25]])*'Plan 39'!BJ16</f>
        <v>1</v>
      </c>
      <c r="DD31" s="127">
        <f>Planbase100[[#This Row],[05/05/25]]+(1-Planbase100[[#This Row],[05/05/25]])*'Plan 39'!BK16</f>
        <v>1</v>
      </c>
      <c r="DE31" s="127">
        <f>Planbase100[[#This Row],[05/05/25]]+(1-Planbase100[[#This Row],[05/05/25]])*'Plan 39'!BL16</f>
        <v>1</v>
      </c>
      <c r="DF31" s="127">
        <f>Planbase100[[#This Row],[05/05/25]]+(1-Planbase100[[#This Row],[05/05/25]])*'Plan 39'!BM16</f>
        <v>1</v>
      </c>
      <c r="DG31" s="127">
        <f>Planbase100[[#This Row],[19/05/25]]+(1-Planbase100[[#This Row],[19/05/25]])*'Plan 39'!BN16</f>
        <v>1</v>
      </c>
      <c r="DH31" s="127">
        <f>Planbase100[[#This Row],[26/05/25]]+(1-Planbase100[[#This Row],[26/05/25]])*'Plan 39'!BO16</f>
        <v>1</v>
      </c>
      <c r="DI31" s="127">
        <f>Planbase100[[#This Row],[02/06/25]]+(1-Planbase100[[#This Row],[02/06/25]])*'Plan 39'!BP16</f>
        <v>1</v>
      </c>
      <c r="DJ31" s="127">
        <f>Planbase100[[#This Row],[09/06/25]]+(1-Planbase100[[#This Row],[09/06/25]])*'Plan 39'!BQ16</f>
        <v>1</v>
      </c>
      <c r="DK31" s="127">
        <f>Planbase100[[#This Row],[16/06/25]]+(1-Planbase100[[#This Row],[16/06/25]])*'Plan 39'!BR16</f>
        <v>1</v>
      </c>
      <c r="DL31" s="127">
        <f>Planbase100[[#This Row],[23/06/25]]+(1-Planbase100[[#This Row],[23/06/25]])*'Plan 39'!BS16</f>
        <v>1</v>
      </c>
      <c r="DM31" s="127">
        <f>Planbase100[[#This Row],[30/06/25]]+(1-Planbase100[[#This Row],[30/06/25]])*'Plan 39'!BT16</f>
        <v>1</v>
      </c>
      <c r="DN31" s="127">
        <f>Planbase100[[#This Row],[07/07/25]]+(1-Planbase100[[#This Row],[07/07/25]])*'Plan 39'!BU16</f>
        <v>1</v>
      </c>
      <c r="DO31" s="127">
        <f>Planbase100[[#This Row],[14/07/25]]+(1-Planbase100[[#This Row],[14/07/25]])*'Plan 39'!BV16</f>
        <v>1</v>
      </c>
      <c r="DP31" s="127">
        <f>Planbase100[[#This Row],[21/07/25]]+(1-Planbase100[[#This Row],[21/07/25]])*'Plan 39'!BW16</f>
        <v>1</v>
      </c>
      <c r="DQ31" s="127">
        <f>Planbase100[[#This Row],[28/07/25]]+(1-Planbase100[[#This Row],[28/07/25]])*'Plan 39'!BX16</f>
        <v>1</v>
      </c>
      <c r="DR31" s="127">
        <f>Planbase100[[#This Row],[04/08/25]]+(1-Planbase100[[#This Row],[04/08/25]])*'Plan 39'!BY16</f>
        <v>1</v>
      </c>
      <c r="DS31" s="127">
        <f>Planbase100[[#This Row],[11/08/25]]+(1-Planbase100[[#This Row],[11/08/25]])*'Plan 39'!BZ16</f>
        <v>1</v>
      </c>
      <c r="DT31" s="127">
        <f>Planbase100[[#This Row],[18/08/25]]+(1-Planbase100[[#This Row],[18/08/25]])*'Plan 39'!CA16</f>
        <v>1</v>
      </c>
      <c r="DU31" s="127">
        <f>Planbase100[[#This Row],[25/08/25]]+(1-Planbase100[[#This Row],[25/08/25]])*'Plan 39'!CB16</f>
        <v>1</v>
      </c>
      <c r="DV31" s="127">
        <f>Planbase100[[#This Row],[01/09/25]]+(1-Planbase100[[#This Row],[01/09/25]])*'Plan 39'!CC16</f>
        <v>1</v>
      </c>
      <c r="DW31" s="127">
        <f>Planbase100[[#This Row],[08/09/25]]+(1-Planbase100[[#This Row],[08/09/25]])*'Plan 39'!CD16</f>
        <v>1</v>
      </c>
      <c r="DX31" s="127">
        <f>Planbase100[[#This Row],[15/09/25]]+(1-Planbase100[[#This Row],[15/09/25]])*'Plan 39'!CE16</f>
        <v>1</v>
      </c>
      <c r="DY31" s="127">
        <f>Planbase100[[#This Row],[22/09/25]]+(1-Planbase100[[#This Row],[22/09/25]])*'Plan 39'!CF16</f>
        <v>1</v>
      </c>
      <c r="DZ31" s="127">
        <f>Planbase100[[#This Row],[29/09/25]]+(1-Planbase100[[#This Row],[29/09/25]])*'Plan 39'!CG16</f>
        <v>1</v>
      </c>
      <c r="EA31" s="127">
        <f>Planbase100[[#This Row],[06/10/25]]+(1-Planbase100[[#This Row],[06/10/25]])*'Plan 39'!CH16</f>
        <v>1</v>
      </c>
      <c r="EB31" s="127">
        <f>Planbase100[[#This Row],[13/10/25]]+(1-Planbase100[[#This Row],[13/10/25]])*'Plan 39'!CI16</f>
        <v>1</v>
      </c>
      <c r="EC31" s="127">
        <f>Planbase100[[#This Row],[20/10/25]]+(1-Planbase100[[#This Row],[20/10/25]])*'Plan 39'!CJ16</f>
        <v>1</v>
      </c>
      <c r="ED31" s="127">
        <f>Planbase100[[#This Row],[27/10/25]]+(1-Planbase100[[#This Row],[27/10/25]])*'Plan 39'!CK16</f>
        <v>1</v>
      </c>
      <c r="EE31" s="127">
        <f>Planbase100[[#This Row],[03/11/25]]+(1-Planbase100[[#This Row],[03/11/25]])*'Plan 39'!CL16</f>
        <v>1</v>
      </c>
      <c r="EF31" s="127">
        <f>Planbase100[[#This Row],[10/11/25]]+(1-Planbase100[[#This Row],[10/11/25]])*'Plan 39'!CM16</f>
        <v>1</v>
      </c>
      <c r="EG31" s="127">
        <f>Planbase100[[#This Row],[17/11/25]]+(1-Planbase100[[#This Row],[17/11/25]])*'Plan 39'!CN16</f>
        <v>1</v>
      </c>
      <c r="EH31" s="127">
        <f>Planbase100[[#This Row],[24/11/25]]+(1-Planbase100[[#This Row],[24/11/25]])*'Plan 39'!CO16</f>
        <v>1</v>
      </c>
      <c r="EI31" s="127">
        <f>Planbase100[[#This Row],[01/12/25]]+(1-Planbase100[[#This Row],[01/12/25]])*'Plan 39'!CP16</f>
        <v>1</v>
      </c>
    </row>
    <row r="32" spans="2:139" ht="28.8" hidden="1" outlineLevel="3" x14ac:dyDescent="0.3">
      <c r="B32" s="29"/>
      <c r="C32" s="30"/>
      <c r="D32" s="30"/>
      <c r="E32" s="52" t="s">
        <v>37</v>
      </c>
      <c r="F32" s="33">
        <v>55</v>
      </c>
      <c r="G32" s="35">
        <v>0.1</v>
      </c>
      <c r="H32" s="53"/>
      <c r="I32" s="126">
        <v>0</v>
      </c>
      <c r="J32" s="127">
        <v>0</v>
      </c>
      <c r="K32" s="127">
        <v>0</v>
      </c>
      <c r="L32" s="127">
        <v>0</v>
      </c>
      <c r="M32" s="128">
        <v>0</v>
      </c>
      <c r="N32" s="128">
        <v>0</v>
      </c>
      <c r="O32" s="127">
        <v>0</v>
      </c>
      <c r="P32" s="127">
        <v>0</v>
      </c>
      <c r="Q32" s="127">
        <v>0</v>
      </c>
      <c r="R32" s="127">
        <v>0</v>
      </c>
      <c r="S32" s="127">
        <v>0</v>
      </c>
      <c r="T32" s="127">
        <v>0</v>
      </c>
      <c r="U32" s="127">
        <v>0</v>
      </c>
      <c r="V32" s="127">
        <v>0</v>
      </c>
      <c r="W32" s="127">
        <v>0</v>
      </c>
      <c r="X32" s="127">
        <v>0</v>
      </c>
      <c r="Y32" s="127">
        <v>0.48628333333333329</v>
      </c>
      <c r="Z32" s="127">
        <v>1</v>
      </c>
      <c r="AA32" s="127">
        <v>1</v>
      </c>
      <c r="AB32" s="127">
        <v>1</v>
      </c>
      <c r="AC32" s="127">
        <v>1</v>
      </c>
      <c r="AD32" s="127">
        <v>1</v>
      </c>
      <c r="AE32" s="127">
        <v>1</v>
      </c>
      <c r="AF32" s="127">
        <v>1</v>
      </c>
      <c r="AG32" s="127">
        <v>1</v>
      </c>
      <c r="AH32" s="127">
        <v>1</v>
      </c>
      <c r="AI32" s="127">
        <v>1</v>
      </c>
      <c r="AJ32" s="127">
        <v>1</v>
      </c>
      <c r="AK32" s="127">
        <v>1</v>
      </c>
      <c r="AL32" s="127">
        <v>1</v>
      </c>
      <c r="AM32" s="127">
        <v>1</v>
      </c>
      <c r="AN32" s="127">
        <v>1</v>
      </c>
      <c r="AO32" s="127">
        <v>1</v>
      </c>
      <c r="AP32" s="127">
        <v>1</v>
      </c>
      <c r="AQ32" s="127">
        <v>1</v>
      </c>
      <c r="AR32" s="127">
        <v>1</v>
      </c>
      <c r="AS32" s="127">
        <v>1</v>
      </c>
      <c r="AT32" s="127">
        <v>1</v>
      </c>
      <c r="AU32" s="127">
        <v>1</v>
      </c>
      <c r="AV32" s="127">
        <v>1</v>
      </c>
      <c r="AW32" s="127">
        <v>1</v>
      </c>
      <c r="AX32" s="127">
        <v>1</v>
      </c>
      <c r="AY32" s="127">
        <v>1</v>
      </c>
      <c r="AZ32" s="127">
        <v>1</v>
      </c>
      <c r="BA32" s="127">
        <v>1</v>
      </c>
      <c r="BB32" s="127">
        <v>1</v>
      </c>
      <c r="BC32" s="127">
        <v>1</v>
      </c>
      <c r="BD32" s="127">
        <v>1</v>
      </c>
      <c r="BE32" s="127">
        <v>1</v>
      </c>
      <c r="BF32" s="127">
        <v>1</v>
      </c>
      <c r="BG32" s="127">
        <v>1</v>
      </c>
      <c r="BH32" s="127">
        <v>1</v>
      </c>
      <c r="BI32" s="127">
        <v>1</v>
      </c>
      <c r="BJ32" s="127">
        <v>1</v>
      </c>
      <c r="BK32" s="127">
        <v>1</v>
      </c>
      <c r="BL32" s="127">
        <v>1</v>
      </c>
      <c r="BM32" s="127">
        <v>1</v>
      </c>
      <c r="BN32" s="127">
        <v>1</v>
      </c>
      <c r="BO32" s="127">
        <v>1</v>
      </c>
      <c r="BP32" s="127">
        <v>1</v>
      </c>
      <c r="BQ32" s="127">
        <v>1</v>
      </c>
      <c r="BR32" s="127">
        <v>1</v>
      </c>
      <c r="BS32" s="127">
        <v>1</v>
      </c>
      <c r="BT32" s="127">
        <v>1</v>
      </c>
      <c r="BU32" s="127">
        <v>1</v>
      </c>
      <c r="BV32" s="127">
        <v>1</v>
      </c>
      <c r="BW32" s="127">
        <v>1</v>
      </c>
      <c r="BX32" s="127">
        <v>1</v>
      </c>
      <c r="BY32" s="127">
        <v>1</v>
      </c>
      <c r="BZ32" s="127">
        <v>1</v>
      </c>
      <c r="CA32" s="127">
        <v>1</v>
      </c>
      <c r="CB32" s="127">
        <v>1</v>
      </c>
      <c r="CC32" s="127">
        <v>1</v>
      </c>
      <c r="CD32" s="127">
        <v>1</v>
      </c>
      <c r="CE32" s="127">
        <v>1</v>
      </c>
      <c r="CF32" s="127">
        <v>1</v>
      </c>
      <c r="CG32" s="127">
        <v>1</v>
      </c>
      <c r="CH32" s="127">
        <v>1</v>
      </c>
      <c r="CI32" s="127">
        <v>1</v>
      </c>
      <c r="CJ32" s="127">
        <v>1</v>
      </c>
      <c r="CK32" s="127">
        <v>1</v>
      </c>
      <c r="CL32" s="127">
        <v>1</v>
      </c>
      <c r="CM32" s="127">
        <v>1</v>
      </c>
      <c r="CN32" s="127">
        <v>1</v>
      </c>
      <c r="CO32" s="127">
        <v>1</v>
      </c>
      <c r="CP32" s="127">
        <v>1</v>
      </c>
      <c r="CQ32" s="127">
        <v>1</v>
      </c>
      <c r="CR32" s="127">
        <v>1</v>
      </c>
      <c r="CS32" s="127">
        <v>1</v>
      </c>
      <c r="CT32" s="127">
        <v>1</v>
      </c>
      <c r="CU32" s="127">
        <v>1</v>
      </c>
      <c r="CV32" s="127">
        <v>1</v>
      </c>
      <c r="CW32" s="127">
        <v>1</v>
      </c>
      <c r="CX32" s="127">
        <v>1</v>
      </c>
      <c r="CY32" s="127">
        <v>1</v>
      </c>
      <c r="CZ32" s="127">
        <v>1</v>
      </c>
      <c r="DA32" s="127">
        <v>1</v>
      </c>
      <c r="DB32" s="127">
        <v>1</v>
      </c>
      <c r="DC32" s="127">
        <v>1</v>
      </c>
      <c r="DD32" s="127">
        <v>1</v>
      </c>
      <c r="DE32" s="127">
        <v>1</v>
      </c>
      <c r="DF32" s="127">
        <v>1</v>
      </c>
      <c r="DG32" s="127">
        <v>1</v>
      </c>
      <c r="DH32" s="127">
        <v>1</v>
      </c>
      <c r="DI32" s="127">
        <v>1</v>
      </c>
      <c r="DJ32" s="127">
        <v>1</v>
      </c>
      <c r="DK32" s="127">
        <v>1</v>
      </c>
      <c r="DL32" s="127">
        <v>1</v>
      </c>
      <c r="DM32" s="127">
        <v>1</v>
      </c>
      <c r="DN32" s="127">
        <v>1</v>
      </c>
      <c r="DO32" s="127">
        <v>1</v>
      </c>
      <c r="DP32" s="127">
        <v>1</v>
      </c>
      <c r="DQ32" s="127">
        <v>1</v>
      </c>
      <c r="DR32" s="127">
        <v>1</v>
      </c>
      <c r="DS32" s="127">
        <v>1</v>
      </c>
      <c r="DT32" s="127">
        <v>1</v>
      </c>
      <c r="DU32" s="127">
        <v>1</v>
      </c>
      <c r="DV32" s="127">
        <v>1</v>
      </c>
      <c r="DW32" s="127">
        <v>1</v>
      </c>
      <c r="DX32" s="127">
        <v>1</v>
      </c>
      <c r="DY32" s="127">
        <v>1</v>
      </c>
      <c r="DZ32" s="127">
        <v>1</v>
      </c>
      <c r="EA32" s="127">
        <v>1</v>
      </c>
      <c r="EB32" s="127">
        <v>1</v>
      </c>
      <c r="EC32" s="127">
        <v>1</v>
      </c>
      <c r="ED32" s="127">
        <v>1</v>
      </c>
      <c r="EE32" s="127">
        <v>1</v>
      </c>
      <c r="EF32" s="127">
        <v>1</v>
      </c>
      <c r="EG32" s="127">
        <v>1</v>
      </c>
      <c r="EH32" s="127">
        <v>1</v>
      </c>
      <c r="EI32" s="127">
        <v>1</v>
      </c>
    </row>
    <row r="33" spans="2:139" hidden="1" outlineLevel="3" x14ac:dyDescent="0.3">
      <c r="B33" s="29"/>
      <c r="C33" s="30"/>
      <c r="D33" s="30"/>
      <c r="E33" s="52" t="s">
        <v>38</v>
      </c>
      <c r="F33" s="33">
        <v>30</v>
      </c>
      <c r="G33" s="35">
        <v>0.1</v>
      </c>
      <c r="H33" s="53"/>
      <c r="I33" s="126">
        <v>0</v>
      </c>
      <c r="J33" s="127">
        <v>0</v>
      </c>
      <c r="K33" s="127">
        <v>0</v>
      </c>
      <c r="L33" s="127">
        <v>0</v>
      </c>
      <c r="M33" s="128">
        <v>0</v>
      </c>
      <c r="N33" s="128">
        <v>0</v>
      </c>
      <c r="O33" s="127">
        <v>0</v>
      </c>
      <c r="P33" s="127">
        <v>0</v>
      </c>
      <c r="Q33" s="127">
        <v>0</v>
      </c>
      <c r="R33" s="127">
        <v>0</v>
      </c>
      <c r="S33" s="127">
        <v>1</v>
      </c>
      <c r="T33" s="127">
        <v>1</v>
      </c>
      <c r="U33" s="127">
        <v>1</v>
      </c>
      <c r="V33" s="127">
        <v>1</v>
      </c>
      <c r="W33" s="127">
        <v>1</v>
      </c>
      <c r="X33" s="127">
        <v>1</v>
      </c>
      <c r="Y33" s="127">
        <v>1</v>
      </c>
      <c r="Z33" s="127">
        <v>1</v>
      </c>
      <c r="AA33" s="127">
        <v>1</v>
      </c>
      <c r="AB33" s="127">
        <v>1</v>
      </c>
      <c r="AC33" s="127">
        <v>1</v>
      </c>
      <c r="AD33" s="127">
        <v>1</v>
      </c>
      <c r="AE33" s="127">
        <v>1</v>
      </c>
      <c r="AF33" s="127">
        <v>1</v>
      </c>
      <c r="AG33" s="127">
        <v>1</v>
      </c>
      <c r="AH33" s="127">
        <v>1</v>
      </c>
      <c r="AI33" s="127">
        <v>1</v>
      </c>
      <c r="AJ33" s="127">
        <v>1</v>
      </c>
      <c r="AK33" s="127">
        <v>1</v>
      </c>
      <c r="AL33" s="127">
        <v>1</v>
      </c>
      <c r="AM33" s="127">
        <v>1</v>
      </c>
      <c r="AN33" s="127">
        <v>1</v>
      </c>
      <c r="AO33" s="127">
        <v>1</v>
      </c>
      <c r="AP33" s="127">
        <v>1</v>
      </c>
      <c r="AQ33" s="127">
        <v>1</v>
      </c>
      <c r="AR33" s="127">
        <v>1</v>
      </c>
      <c r="AS33" s="127">
        <v>1</v>
      </c>
      <c r="AT33" s="127">
        <v>1</v>
      </c>
      <c r="AU33" s="127">
        <v>1</v>
      </c>
      <c r="AV33" s="127">
        <v>1</v>
      </c>
      <c r="AW33" s="127">
        <v>1</v>
      </c>
      <c r="AX33" s="127">
        <v>1</v>
      </c>
      <c r="AY33" s="127">
        <v>1</v>
      </c>
      <c r="AZ33" s="127">
        <v>1</v>
      </c>
      <c r="BA33" s="127">
        <v>1</v>
      </c>
      <c r="BB33" s="127">
        <v>1</v>
      </c>
      <c r="BC33" s="127">
        <v>1</v>
      </c>
      <c r="BD33" s="127">
        <v>1</v>
      </c>
      <c r="BE33" s="127">
        <v>1</v>
      </c>
      <c r="BF33" s="127">
        <v>1</v>
      </c>
      <c r="BG33" s="127">
        <v>1</v>
      </c>
      <c r="BH33" s="127">
        <v>1</v>
      </c>
      <c r="BI33" s="127">
        <v>1</v>
      </c>
      <c r="BJ33" s="127">
        <v>1</v>
      </c>
      <c r="BK33" s="127">
        <v>1</v>
      </c>
      <c r="BL33" s="127">
        <v>1</v>
      </c>
      <c r="BM33" s="127">
        <v>1</v>
      </c>
      <c r="BN33" s="127">
        <v>1</v>
      </c>
      <c r="BO33" s="127">
        <v>1</v>
      </c>
      <c r="BP33" s="127">
        <v>1</v>
      </c>
      <c r="BQ33" s="127">
        <v>1</v>
      </c>
      <c r="BR33" s="127">
        <v>1</v>
      </c>
      <c r="BS33" s="127">
        <v>1</v>
      </c>
      <c r="BT33" s="127">
        <v>1</v>
      </c>
      <c r="BU33" s="127">
        <v>1</v>
      </c>
      <c r="BV33" s="127">
        <v>1</v>
      </c>
      <c r="BW33" s="127">
        <v>1</v>
      </c>
      <c r="BX33" s="127">
        <v>1</v>
      </c>
      <c r="BY33" s="127">
        <v>1</v>
      </c>
      <c r="BZ33" s="127">
        <v>1</v>
      </c>
      <c r="CA33" s="127">
        <v>1</v>
      </c>
      <c r="CB33" s="127">
        <v>1</v>
      </c>
      <c r="CC33" s="127">
        <v>1</v>
      </c>
      <c r="CD33" s="127">
        <v>1</v>
      </c>
      <c r="CE33" s="127">
        <v>1</v>
      </c>
      <c r="CF33" s="127">
        <v>1</v>
      </c>
      <c r="CG33" s="127">
        <v>1</v>
      </c>
      <c r="CH33" s="127">
        <v>1</v>
      </c>
      <c r="CI33" s="127">
        <v>1</v>
      </c>
      <c r="CJ33" s="127">
        <v>1</v>
      </c>
      <c r="CK33" s="127">
        <v>1</v>
      </c>
      <c r="CL33" s="127">
        <v>1</v>
      </c>
      <c r="CM33" s="127">
        <v>1</v>
      </c>
      <c r="CN33" s="127">
        <v>1</v>
      </c>
      <c r="CO33" s="127">
        <v>1</v>
      </c>
      <c r="CP33" s="127">
        <v>1</v>
      </c>
      <c r="CQ33" s="127">
        <v>1</v>
      </c>
      <c r="CR33" s="127">
        <v>1</v>
      </c>
      <c r="CS33" s="127">
        <v>1</v>
      </c>
      <c r="CT33" s="127">
        <v>1</v>
      </c>
      <c r="CU33" s="127">
        <v>1</v>
      </c>
      <c r="CV33" s="127">
        <v>1</v>
      </c>
      <c r="CW33" s="127">
        <v>1</v>
      </c>
      <c r="CX33" s="127">
        <v>1</v>
      </c>
      <c r="CY33" s="127">
        <v>1</v>
      </c>
      <c r="CZ33" s="127">
        <v>1</v>
      </c>
      <c r="DA33" s="127">
        <v>1</v>
      </c>
      <c r="DB33" s="127">
        <v>1</v>
      </c>
      <c r="DC33" s="127">
        <v>1</v>
      </c>
      <c r="DD33" s="127">
        <v>1</v>
      </c>
      <c r="DE33" s="127">
        <v>1</v>
      </c>
      <c r="DF33" s="127">
        <v>1</v>
      </c>
      <c r="DG33" s="127">
        <v>1</v>
      </c>
      <c r="DH33" s="127">
        <v>1</v>
      </c>
      <c r="DI33" s="127">
        <v>1</v>
      </c>
      <c r="DJ33" s="127">
        <v>1</v>
      </c>
      <c r="DK33" s="127">
        <v>1</v>
      </c>
      <c r="DL33" s="127">
        <v>1</v>
      </c>
      <c r="DM33" s="127">
        <v>1</v>
      </c>
      <c r="DN33" s="127">
        <v>1</v>
      </c>
      <c r="DO33" s="127">
        <v>1</v>
      </c>
      <c r="DP33" s="127">
        <v>1</v>
      </c>
      <c r="DQ33" s="127">
        <v>1</v>
      </c>
      <c r="DR33" s="127">
        <v>1</v>
      </c>
      <c r="DS33" s="127">
        <v>1</v>
      </c>
      <c r="DT33" s="127">
        <v>1</v>
      </c>
      <c r="DU33" s="127">
        <v>1</v>
      </c>
      <c r="DV33" s="127">
        <v>1</v>
      </c>
      <c r="DW33" s="127">
        <v>1</v>
      </c>
      <c r="DX33" s="127">
        <v>1</v>
      </c>
      <c r="DY33" s="127">
        <v>1</v>
      </c>
      <c r="DZ33" s="127">
        <v>1</v>
      </c>
      <c r="EA33" s="127">
        <v>1</v>
      </c>
      <c r="EB33" s="127">
        <v>1</v>
      </c>
      <c r="EC33" s="127">
        <v>1</v>
      </c>
      <c r="ED33" s="127">
        <v>1</v>
      </c>
      <c r="EE33" s="127">
        <v>1</v>
      </c>
      <c r="EF33" s="127">
        <v>1</v>
      </c>
      <c r="EG33" s="127">
        <v>1</v>
      </c>
      <c r="EH33" s="127">
        <v>1</v>
      </c>
      <c r="EI33" s="127">
        <v>1</v>
      </c>
    </row>
    <row r="34" spans="2:139" ht="15" hidden="1" outlineLevel="2" collapsed="1" x14ac:dyDescent="0.3">
      <c r="B34" s="22"/>
      <c r="C34" s="23"/>
      <c r="D34" s="23" t="s">
        <v>39</v>
      </c>
      <c r="E34" s="50"/>
      <c r="F34" s="26">
        <f>+SUM(F35:F37)</f>
        <v>75</v>
      </c>
      <c r="G34" s="28">
        <v>7.0220680011491288E-2</v>
      </c>
      <c r="H34" s="51"/>
      <c r="I34" s="125">
        <f>+SUMPRODUCT($G$35:$G$37,I35:I37)</f>
        <v>0</v>
      </c>
      <c r="J34" s="28">
        <f>+SUMPRODUCT($G$35:$G$37,J35:J37)</f>
        <v>0</v>
      </c>
      <c r="K34" s="28">
        <f t="shared" ref="K34:BB34" si="150">+SUMPRODUCT($G$35:$G$37,K35:K37)</f>
        <v>0</v>
      </c>
      <c r="L34" s="28">
        <f t="shared" si="150"/>
        <v>0</v>
      </c>
      <c r="M34" s="64">
        <f t="shared" si="150"/>
        <v>0</v>
      </c>
      <c r="N34" s="64">
        <f t="shared" si="150"/>
        <v>0</v>
      </c>
      <c r="O34" s="28">
        <f t="shared" si="150"/>
        <v>0</v>
      </c>
      <c r="P34" s="28">
        <f t="shared" si="150"/>
        <v>1.4999999999999999E-2</v>
      </c>
      <c r="Q34" s="28">
        <f t="shared" si="150"/>
        <v>0.08</v>
      </c>
      <c r="R34" s="28">
        <f t="shared" si="150"/>
        <v>0.11</v>
      </c>
      <c r="S34" s="28">
        <f t="shared" si="150"/>
        <v>0.17250000000000001</v>
      </c>
      <c r="T34" s="28">
        <f t="shared" si="150"/>
        <v>0.17550000000000002</v>
      </c>
      <c r="U34" s="28">
        <f t="shared" si="150"/>
        <v>0.18149999999999999</v>
      </c>
      <c r="V34" s="28">
        <f t="shared" si="150"/>
        <v>0.1875</v>
      </c>
      <c r="W34" s="28">
        <f t="shared" si="150"/>
        <v>0.19750000000000001</v>
      </c>
      <c r="X34" s="28">
        <f t="shared" si="150"/>
        <v>0.20350000000000001</v>
      </c>
      <c r="Y34" s="28">
        <f t="shared" si="150"/>
        <v>0.20950000000000002</v>
      </c>
      <c r="Z34" s="28">
        <f t="shared" si="150"/>
        <v>0.21950000000000003</v>
      </c>
      <c r="AA34" s="28">
        <f t="shared" si="150"/>
        <v>0.24912499999999999</v>
      </c>
      <c r="AB34" s="28">
        <f t="shared" si="150"/>
        <v>0.25580000000000003</v>
      </c>
      <c r="AC34" s="28">
        <f t="shared" si="150"/>
        <v>0.25700000000000001</v>
      </c>
      <c r="AD34" s="28">
        <f t="shared" si="150"/>
        <v>0.26350000000000001</v>
      </c>
      <c r="AE34" s="28">
        <f t="shared" si="150"/>
        <v>0.26502500000000001</v>
      </c>
      <c r="AF34" s="28">
        <f t="shared" si="150"/>
        <v>0.26895000000000002</v>
      </c>
      <c r="AG34" s="28">
        <f t="shared" si="150"/>
        <v>0.30317</v>
      </c>
      <c r="AH34" s="28">
        <f t="shared" si="150"/>
        <v>0.30993000000000004</v>
      </c>
      <c r="AI34" s="28">
        <f>+SUMPRODUCT($G$35:$G$37,AI35:AI37)</f>
        <v>0.30993000000000004</v>
      </c>
      <c r="AJ34" s="28">
        <f>+SUMPRODUCT($G$35:$G$37,AJ35:AJ37)</f>
        <v>0.30993000000000004</v>
      </c>
      <c r="AK34" s="28">
        <f t="shared" si="150"/>
        <v>0.31029400000000001</v>
      </c>
      <c r="AL34" s="28">
        <f t="shared" si="150"/>
        <v>0.31149000000000004</v>
      </c>
      <c r="AM34" s="28">
        <f t="shared" si="150"/>
        <v>0.31331000000000003</v>
      </c>
      <c r="AN34" s="28">
        <f t="shared" si="150"/>
        <v>0.32982</v>
      </c>
      <c r="AO34" s="28">
        <f t="shared" si="150"/>
        <v>0.33261499999999999</v>
      </c>
      <c r="AP34" s="28">
        <f t="shared" si="150"/>
        <v>0.33352500000000002</v>
      </c>
      <c r="AQ34" s="28">
        <f t="shared" si="150"/>
        <v>0.33463000000000004</v>
      </c>
      <c r="AR34" s="28">
        <f t="shared" si="150"/>
        <v>0.36050000000000004</v>
      </c>
      <c r="AS34" s="28">
        <f t="shared" si="150"/>
        <v>0.36348999999999998</v>
      </c>
      <c r="AT34" s="28">
        <f t="shared" si="150"/>
        <v>0.36985999999999997</v>
      </c>
      <c r="AU34" s="28">
        <f t="shared" si="150"/>
        <v>0.37531999999999999</v>
      </c>
      <c r="AV34" s="28">
        <f t="shared" si="150"/>
        <v>0.3891</v>
      </c>
      <c r="AW34" s="28">
        <f t="shared" si="150"/>
        <v>0.4476</v>
      </c>
      <c r="AX34" s="28">
        <f t="shared" si="150"/>
        <v>0.44929000000000002</v>
      </c>
      <c r="AY34" s="28">
        <f t="shared" si="150"/>
        <v>0.44929000000000002</v>
      </c>
      <c r="AZ34" s="28">
        <f t="shared" si="150"/>
        <v>0.45435999999999999</v>
      </c>
      <c r="BA34" s="28">
        <f t="shared" si="150"/>
        <v>0.48536500000000005</v>
      </c>
      <c r="BB34" s="28">
        <f t="shared" si="150"/>
        <v>0.4955857142857143</v>
      </c>
      <c r="BC34" s="28">
        <f t="shared" ref="BC34:CE34" si="151">+SUMPRODUCT($G$35:$G$37,BC35:BC37)</f>
        <v>0.5058881942857143</v>
      </c>
      <c r="BD34" s="28">
        <f t="shared" si="151"/>
        <v>0.5161906742857143</v>
      </c>
      <c r="BE34" s="28">
        <f t="shared" si="151"/>
        <v>0.5264931542857143</v>
      </c>
      <c r="BF34" s="28">
        <f t="shared" si="151"/>
        <v>0.53679563428571431</v>
      </c>
      <c r="BG34" s="28">
        <f t="shared" si="151"/>
        <v>0.54709811428571442</v>
      </c>
      <c r="BH34" s="28">
        <f t="shared" si="151"/>
        <v>0.55740059428571431</v>
      </c>
      <c r="BI34" s="28">
        <f t="shared" si="151"/>
        <v>0.56770307428571432</v>
      </c>
      <c r="BJ34" s="28">
        <f t="shared" si="151"/>
        <v>0.59104903254658392</v>
      </c>
      <c r="BK34" s="28">
        <f t="shared" si="151"/>
        <v>0.61425151254658394</v>
      </c>
      <c r="BL34" s="28">
        <f t="shared" si="151"/>
        <v>0.63745399254658386</v>
      </c>
      <c r="BM34" s="28">
        <f t="shared" si="151"/>
        <v>0.66065647254658388</v>
      </c>
      <c r="BN34" s="28">
        <f t="shared" si="151"/>
        <v>0.68385895254658391</v>
      </c>
      <c r="BO34" s="28">
        <f t="shared" si="151"/>
        <v>0.70706143254658393</v>
      </c>
      <c r="BP34" s="28">
        <f t="shared" si="151"/>
        <v>0.73026391254658374</v>
      </c>
      <c r="BQ34" s="28">
        <f t="shared" si="151"/>
        <v>0.75346639254658387</v>
      </c>
      <c r="BR34" s="28">
        <f t="shared" si="151"/>
        <v>0.77666887254658379</v>
      </c>
      <c r="BS34" s="28">
        <f t="shared" si="151"/>
        <v>0.79987135254658392</v>
      </c>
      <c r="BT34" s="28">
        <f t="shared" si="151"/>
        <v>0.82307383254658384</v>
      </c>
      <c r="BU34" s="28">
        <f t="shared" si="151"/>
        <v>0.84627631254658386</v>
      </c>
      <c r="BV34" s="28">
        <f t="shared" si="151"/>
        <v>0.86784347826086949</v>
      </c>
      <c r="BW34" s="28">
        <f t="shared" si="151"/>
        <v>0.88074347826086963</v>
      </c>
      <c r="BX34" s="28">
        <f t="shared" si="151"/>
        <v>0.89364347826086954</v>
      </c>
      <c r="BY34" s="28">
        <f t="shared" si="151"/>
        <v>0.90654347826086967</v>
      </c>
      <c r="BZ34" s="28">
        <f t="shared" si="151"/>
        <v>0.91944347826086958</v>
      </c>
      <c r="CA34" s="28">
        <f t="shared" si="151"/>
        <v>0.93234347826086972</v>
      </c>
      <c r="CB34" s="28">
        <f t="shared" si="151"/>
        <v>0.94524347826086963</v>
      </c>
      <c r="CC34" s="28">
        <f t="shared" si="151"/>
        <v>0.95814347826086954</v>
      </c>
      <c r="CD34" s="28">
        <f t="shared" si="151"/>
        <v>0.97104347826086967</v>
      </c>
      <c r="CE34" s="28">
        <f t="shared" si="151"/>
        <v>0.98394347826086959</v>
      </c>
      <c r="CF34" s="28">
        <f t="shared" ref="CF34:CI34" si="152">+SUMPRODUCT($G$35:$G$37,CF35:CF37)</f>
        <v>1</v>
      </c>
      <c r="CG34" s="28">
        <f t="shared" si="152"/>
        <v>1</v>
      </c>
      <c r="CH34" s="28">
        <f t="shared" si="152"/>
        <v>1</v>
      </c>
      <c r="CI34" s="28">
        <f t="shared" si="152"/>
        <v>1</v>
      </c>
      <c r="CJ34" s="28">
        <f t="shared" ref="CJ34:CK34" si="153">+SUMPRODUCT($G$35:$G$37,CJ35:CJ37)</f>
        <v>1</v>
      </c>
      <c r="CK34" s="28">
        <f t="shared" si="153"/>
        <v>1</v>
      </c>
      <c r="CL34" s="28">
        <f t="shared" ref="CL34" si="154">+SUMPRODUCT($G$35:$G$37,CL35:CL37)</f>
        <v>1</v>
      </c>
      <c r="CM34" s="28">
        <f t="shared" ref="CM34:CV34" si="155">+SUMPRODUCT($G$35:$G$37,CM35:CM37)</f>
        <v>1</v>
      </c>
      <c r="CN34" s="28">
        <f t="shared" si="155"/>
        <v>1</v>
      </c>
      <c r="CO34" s="28">
        <f t="shared" si="155"/>
        <v>1</v>
      </c>
      <c r="CP34" s="28">
        <f t="shared" si="155"/>
        <v>1</v>
      </c>
      <c r="CQ34" s="28">
        <f t="shared" si="155"/>
        <v>1</v>
      </c>
      <c r="CR34" s="28">
        <f t="shared" si="155"/>
        <v>1</v>
      </c>
      <c r="CS34" s="28">
        <f t="shared" si="155"/>
        <v>1</v>
      </c>
      <c r="CT34" s="28">
        <f t="shared" si="155"/>
        <v>1</v>
      </c>
      <c r="CU34" s="28">
        <f t="shared" si="155"/>
        <v>1</v>
      </c>
      <c r="CV34" s="28">
        <f t="shared" si="155"/>
        <v>1</v>
      </c>
      <c r="CW34" s="28">
        <f t="shared" ref="CW34" si="156">+SUMPRODUCT($G$35:$G$37,CW35:CW37)</f>
        <v>1</v>
      </c>
      <c r="CX34" s="28">
        <f t="shared" ref="CX34:CY34" si="157">+SUMPRODUCT($G$35:$G$37,CX35:CX37)</f>
        <v>1</v>
      </c>
      <c r="CY34" s="28">
        <f t="shared" si="157"/>
        <v>1</v>
      </c>
      <c r="CZ34" s="28">
        <f t="shared" ref="CZ34:DA34" si="158">+SUMPRODUCT($G$35:$G$37,CZ35:CZ37)</f>
        <v>1</v>
      </c>
      <c r="DA34" s="28">
        <f t="shared" si="158"/>
        <v>1</v>
      </c>
      <c r="DB34" s="28">
        <f t="shared" ref="DB34:DC34" si="159">+SUMPRODUCT($G$35:$G$37,DB35:DB37)</f>
        <v>1</v>
      </c>
      <c r="DC34" s="28">
        <f t="shared" si="159"/>
        <v>1</v>
      </c>
      <c r="DD34" s="28">
        <f t="shared" ref="DD34:DE34" si="160">+SUMPRODUCT($G$35:$G$37,DD35:DD37)</f>
        <v>1</v>
      </c>
      <c r="DE34" s="28">
        <f t="shared" si="160"/>
        <v>1</v>
      </c>
      <c r="DF34" s="28">
        <f t="shared" ref="DF34" si="161">+SUMPRODUCT($G$35:$G$37,DF35:DF37)</f>
        <v>1</v>
      </c>
      <c r="DG34" s="28">
        <f t="shared" ref="DG34:DJ34" si="162">+SUMPRODUCT($G$35:$G$37,DG35:DG37)</f>
        <v>1</v>
      </c>
      <c r="DH34" s="28">
        <f t="shared" si="162"/>
        <v>1</v>
      </c>
      <c r="DI34" s="28">
        <f t="shared" si="162"/>
        <v>1</v>
      </c>
      <c r="DJ34" s="28">
        <f t="shared" si="162"/>
        <v>1</v>
      </c>
      <c r="DK34" s="28">
        <f t="shared" ref="DK34:EI34" si="163">+SUMPRODUCT($G$35:$G$37,DK35:DK37)</f>
        <v>1</v>
      </c>
      <c r="DL34" s="28">
        <f t="shared" si="163"/>
        <v>1</v>
      </c>
      <c r="DM34" s="28">
        <f t="shared" si="163"/>
        <v>1</v>
      </c>
      <c r="DN34" s="28">
        <f t="shared" si="163"/>
        <v>1</v>
      </c>
      <c r="DO34" s="28">
        <f t="shared" si="163"/>
        <v>1</v>
      </c>
      <c r="DP34" s="28">
        <f t="shared" si="163"/>
        <v>1</v>
      </c>
      <c r="DQ34" s="28">
        <f t="shared" si="163"/>
        <v>1</v>
      </c>
      <c r="DR34" s="28">
        <f t="shared" si="163"/>
        <v>1</v>
      </c>
      <c r="DS34" s="28">
        <f t="shared" si="163"/>
        <v>1</v>
      </c>
      <c r="DT34" s="28">
        <f t="shared" si="163"/>
        <v>1</v>
      </c>
      <c r="DU34" s="28">
        <f t="shared" si="163"/>
        <v>1</v>
      </c>
      <c r="DV34" s="28">
        <f t="shared" si="163"/>
        <v>1</v>
      </c>
      <c r="DW34" s="28">
        <f t="shared" si="163"/>
        <v>1</v>
      </c>
      <c r="DX34" s="28">
        <f t="shared" si="163"/>
        <v>1</v>
      </c>
      <c r="DY34" s="28">
        <f t="shared" si="163"/>
        <v>1</v>
      </c>
      <c r="DZ34" s="28">
        <f t="shared" si="163"/>
        <v>1</v>
      </c>
      <c r="EA34" s="28">
        <f t="shared" si="163"/>
        <v>1</v>
      </c>
      <c r="EB34" s="28">
        <f t="shared" si="163"/>
        <v>1</v>
      </c>
      <c r="EC34" s="28">
        <f t="shared" si="163"/>
        <v>1</v>
      </c>
      <c r="ED34" s="28">
        <f t="shared" si="163"/>
        <v>1</v>
      </c>
      <c r="EE34" s="28">
        <f t="shared" si="163"/>
        <v>1</v>
      </c>
      <c r="EF34" s="28">
        <f t="shared" si="163"/>
        <v>1</v>
      </c>
      <c r="EG34" s="28">
        <f t="shared" si="163"/>
        <v>1</v>
      </c>
      <c r="EH34" s="28">
        <f t="shared" si="163"/>
        <v>1</v>
      </c>
      <c r="EI34" s="28">
        <f t="shared" si="163"/>
        <v>1</v>
      </c>
    </row>
    <row r="35" spans="2:139" hidden="1" outlineLevel="3" x14ac:dyDescent="0.3">
      <c r="B35" s="29"/>
      <c r="C35" s="30"/>
      <c r="D35" s="30"/>
      <c r="E35" s="52" t="s">
        <v>40</v>
      </c>
      <c r="F35" s="33">
        <v>25</v>
      </c>
      <c r="G35" s="35">
        <v>0.4</v>
      </c>
      <c r="H35" s="53"/>
      <c r="I35" s="126">
        <v>0</v>
      </c>
      <c r="J35" s="127">
        <v>0</v>
      </c>
      <c r="K35" s="127">
        <v>0</v>
      </c>
      <c r="L35" s="127">
        <v>0</v>
      </c>
      <c r="M35" s="127">
        <v>0</v>
      </c>
      <c r="N35" s="127">
        <v>0</v>
      </c>
      <c r="O35" s="127">
        <v>0</v>
      </c>
      <c r="P35" s="127">
        <v>0</v>
      </c>
      <c r="Q35" s="127">
        <v>0</v>
      </c>
      <c r="R35" s="127">
        <v>0</v>
      </c>
      <c r="S35" s="127">
        <v>7.4999999999999997E-3</v>
      </c>
      <c r="T35" s="127">
        <v>1.4999999999999999E-2</v>
      </c>
      <c r="U35" s="127">
        <v>0.03</v>
      </c>
      <c r="V35" s="127">
        <v>4.4999999999999998E-2</v>
      </c>
      <c r="W35" s="127">
        <v>7.0000000000000007E-2</v>
      </c>
      <c r="X35" s="127">
        <v>8.4999999999999992E-2</v>
      </c>
      <c r="Y35" s="127">
        <v>0.1</v>
      </c>
      <c r="Z35" s="127">
        <v>0.125</v>
      </c>
      <c r="AA35" s="127">
        <v>0.16249999999999998</v>
      </c>
      <c r="AB35" s="127">
        <v>0.16699999999999998</v>
      </c>
      <c r="AC35" s="127">
        <v>0.16999999999999998</v>
      </c>
      <c r="AD35" s="127">
        <v>0.183</v>
      </c>
      <c r="AE35" s="127">
        <v>0.186</v>
      </c>
      <c r="AF35" s="127">
        <v>0.19500000000000001</v>
      </c>
      <c r="AG35" s="127">
        <v>0.25455</v>
      </c>
      <c r="AH35" s="127">
        <v>0.26169999999999999</v>
      </c>
      <c r="AI35" s="127">
        <v>0.26169999999999999</v>
      </c>
      <c r="AJ35" s="127">
        <v>0.26169999999999999</v>
      </c>
      <c r="AK35" s="127">
        <v>0.26261000000000001</v>
      </c>
      <c r="AL35" s="127">
        <v>0.2656</v>
      </c>
      <c r="AM35" s="127">
        <v>0.27015</v>
      </c>
      <c r="AN35" s="127">
        <v>0.30654999999999999</v>
      </c>
      <c r="AO35" s="127">
        <v>0.31109999999999999</v>
      </c>
      <c r="AP35" s="127">
        <v>0.31337500000000001</v>
      </c>
      <c r="AQ35" s="127">
        <v>0.31564999999999999</v>
      </c>
      <c r="AR35" s="127">
        <v>0.37935000000000002</v>
      </c>
      <c r="AS35" s="127">
        <v>0.38585000000000003</v>
      </c>
      <c r="AT35" s="127">
        <v>0.40080000000000005</v>
      </c>
      <c r="AU35" s="127">
        <v>0.41347500000000004</v>
      </c>
      <c r="AV35" s="127">
        <v>0.43525000000000003</v>
      </c>
      <c r="AW35" s="127">
        <v>0.58150000000000002</v>
      </c>
      <c r="AX35" s="127">
        <v>0.58572500000000005</v>
      </c>
      <c r="AY35" s="127">
        <v>0.58572500000000005</v>
      </c>
      <c r="AZ35" s="127">
        <v>0.59840000000000004</v>
      </c>
      <c r="BA35" s="127">
        <v>0.62309999999999999</v>
      </c>
      <c r="BB35" s="127">
        <f>Planbase100[[#This Row],[05/05/25]]+(1-Planbase100[[#This Row],[05/05/25]])*'Plan 39'!I18</f>
        <v>0.64104761904761909</v>
      </c>
      <c r="BC35" s="127">
        <f>Planbase100[[#This Row],[05/05/25]]+(1-Planbase100[[#This Row],[05/05/25]])*'Plan 39'!J18</f>
        <v>0.65913881904761906</v>
      </c>
      <c r="BD35" s="127">
        <f>Planbase100[[#This Row],[05/05/25]]+(1-Planbase100[[#This Row],[05/05/25]])*'Plan 39'!K18</f>
        <v>0.67723001904761904</v>
      </c>
      <c r="BE35" s="127">
        <f>Planbase100[[#This Row],[05/05/25]]+(1-Planbase100[[#This Row],[05/05/25]])*'Plan 39'!L18</f>
        <v>0.69532121904761901</v>
      </c>
      <c r="BF35" s="127">
        <f>Planbase100[[#This Row],[05/05/25]]+(1-Planbase100[[#This Row],[05/05/25]])*'Plan 39'!M18</f>
        <v>0.71341241904761898</v>
      </c>
      <c r="BG35" s="127">
        <f>Planbase100[[#This Row],[05/05/25]]+(1-Planbase100[[#This Row],[05/05/25]])*'Plan 39'!N18</f>
        <v>0.73150361904761907</v>
      </c>
      <c r="BH35" s="127">
        <f>Planbase100[[#This Row],[05/05/25]]+(1-Planbase100[[#This Row],[05/05/25]])*'Plan 39'!O18</f>
        <v>0.74959481904761904</v>
      </c>
      <c r="BI35" s="127">
        <f>Planbase100[[#This Row],[05/05/25]]+(1-Planbase100[[#This Row],[05/05/25]])*'Plan 39'!P18</f>
        <v>0.76768601904761902</v>
      </c>
      <c r="BJ35" s="127">
        <f>Planbase100[[#This Row],[05/05/25]]+(1-Planbase100[[#This Row],[05/05/25]])*'Plan 39'!Q18</f>
        <v>0.78577721904761899</v>
      </c>
      <c r="BK35" s="127">
        <f>Planbase100[[#This Row],[05/05/25]]+(1-Planbase100[[#This Row],[05/05/25]])*'Plan 39'!R18</f>
        <v>0.80386841904761908</v>
      </c>
      <c r="BL35" s="127">
        <f>Planbase100[[#This Row],[05/05/25]]+(1-Planbase100[[#This Row],[05/05/25]])*'Plan 39'!S18</f>
        <v>0.82195961904761905</v>
      </c>
      <c r="BM35" s="127">
        <f>Planbase100[[#This Row],[05/05/25]]+(1-Planbase100[[#This Row],[05/05/25]])*'Plan 39'!T18</f>
        <v>0.84005081904761902</v>
      </c>
      <c r="BN35" s="127">
        <f>Planbase100[[#This Row],[05/05/25]]+(1-Planbase100[[#This Row],[05/05/25]])*'Plan 39'!U18</f>
        <v>0.858142019047619</v>
      </c>
      <c r="BO35" s="127">
        <f>Planbase100[[#This Row],[05/05/25]]+(1-Planbase100[[#This Row],[05/05/25]])*'Plan 39'!V18</f>
        <v>0.87623321904761908</v>
      </c>
      <c r="BP35" s="127">
        <f>Planbase100[[#This Row],[05/05/25]]+(1-Planbase100[[#This Row],[05/05/25]])*'Plan 39'!W18</f>
        <v>0.89432441904761906</v>
      </c>
      <c r="BQ35" s="127">
        <f>Planbase100[[#This Row],[05/05/25]]+(1-Planbase100[[#This Row],[05/05/25]])*'Plan 39'!X18</f>
        <v>0.91241561904761914</v>
      </c>
      <c r="BR35" s="127">
        <f>Planbase100[[#This Row],[05/05/25]]+(1-Planbase100[[#This Row],[05/05/25]])*'Plan 39'!Y18</f>
        <v>0.93050681904761912</v>
      </c>
      <c r="BS35" s="127">
        <f>Planbase100[[#This Row],[05/05/25]]+(1-Planbase100[[#This Row],[05/05/25]])*'Plan 39'!Z18</f>
        <v>0.94859801904761909</v>
      </c>
      <c r="BT35" s="127">
        <f>Planbase100[[#This Row],[05/05/25]]+(1-Planbase100[[#This Row],[05/05/25]])*'Plan 39'!AA18</f>
        <v>0.96668921904761906</v>
      </c>
      <c r="BU35" s="127">
        <f>Planbase100[[#This Row],[05/05/25]]+(1-Planbase100[[#This Row],[05/05/25]])*'Plan 39'!AB18</f>
        <v>0.98478041904761915</v>
      </c>
      <c r="BV35" s="127">
        <f>Planbase100[[#This Row],[05/05/25]]+(1-Planbase100[[#This Row],[05/05/25]])*'Plan 39'!AC18</f>
        <v>1</v>
      </c>
      <c r="BW35" s="127">
        <f>Planbase100[[#This Row],[05/05/25]]+(1-Planbase100[[#This Row],[05/05/25]])*'Plan 39'!AD18</f>
        <v>1</v>
      </c>
      <c r="BX35" s="127">
        <f>Planbase100[[#This Row],[05/05/25]]+(1-Planbase100[[#This Row],[05/05/25]])*'Plan 39'!AE18</f>
        <v>1</v>
      </c>
      <c r="BY35" s="127">
        <f>Planbase100[[#This Row],[05/05/25]]+(1-Planbase100[[#This Row],[05/05/25]])*'Plan 39'!AF18</f>
        <v>1</v>
      </c>
      <c r="BZ35" s="127">
        <f>Planbase100[[#This Row],[05/05/25]]+(1-Planbase100[[#This Row],[05/05/25]])*'Plan 39'!AG18</f>
        <v>1</v>
      </c>
      <c r="CA35" s="127">
        <f>Planbase100[[#This Row],[05/05/25]]+(1-Planbase100[[#This Row],[05/05/25]])*'Plan 39'!AH18</f>
        <v>1</v>
      </c>
      <c r="CB35" s="127">
        <f>Planbase100[[#This Row],[05/05/25]]+(1-Planbase100[[#This Row],[05/05/25]])*'Plan 39'!AI18</f>
        <v>1</v>
      </c>
      <c r="CC35" s="127">
        <f>Planbase100[[#This Row],[05/05/25]]+(1-Planbase100[[#This Row],[05/05/25]])*'Plan 39'!AJ18</f>
        <v>1</v>
      </c>
      <c r="CD35" s="127">
        <f>Planbase100[[#This Row],[05/05/25]]+(1-Planbase100[[#This Row],[05/05/25]])*'Plan 39'!AK18</f>
        <v>1</v>
      </c>
      <c r="CE35" s="127">
        <f>Planbase100[[#This Row],[05/05/25]]+(1-Planbase100[[#This Row],[05/05/25]])*'Plan 39'!AL18</f>
        <v>1</v>
      </c>
      <c r="CF35" s="127">
        <f>Planbase100[[#This Row],[05/05/25]]+(1-Planbase100[[#This Row],[05/05/25]])*'Plan 39'!AM18</f>
        <v>1</v>
      </c>
      <c r="CG35" s="127">
        <f>Planbase100[[#This Row],[05/05/25]]+(1-Planbase100[[#This Row],[05/05/25]])*'Plan 39'!AN18</f>
        <v>1</v>
      </c>
      <c r="CH35" s="127">
        <f>Planbase100[[#This Row],[05/05/25]]+(1-Planbase100[[#This Row],[05/05/25]])*'Plan 39'!AO18</f>
        <v>1</v>
      </c>
      <c r="CI35" s="127">
        <f>Planbase100[[#This Row],[05/05/25]]+(1-Planbase100[[#This Row],[05/05/25]])*'Plan 39'!AP18</f>
        <v>1</v>
      </c>
      <c r="CJ35" s="127">
        <f>Planbase100[[#This Row],[05/05/25]]+(1-Planbase100[[#This Row],[05/05/25]])*'Plan 39'!AQ18</f>
        <v>1</v>
      </c>
      <c r="CK35" s="127">
        <f>Planbase100[[#This Row],[05/05/25]]+(1-Planbase100[[#This Row],[05/05/25]])*'Plan 39'!AR18</f>
        <v>1</v>
      </c>
      <c r="CL35" s="127">
        <f>Planbase100[[#This Row],[05/05/25]]+(1-Planbase100[[#This Row],[05/05/25]])*'Plan 39'!AS18</f>
        <v>1</v>
      </c>
      <c r="CM35" s="127">
        <f>Planbase100[[#This Row],[05/05/25]]+(1-Planbase100[[#This Row],[05/05/25]])*'Plan 39'!AT18</f>
        <v>1</v>
      </c>
      <c r="CN35" s="127">
        <f>Planbase100[[#This Row],[05/05/25]]+(1-Planbase100[[#This Row],[05/05/25]])*'Plan 39'!AU18</f>
        <v>1</v>
      </c>
      <c r="CO35" s="127">
        <f>Planbase100[[#This Row],[05/05/25]]+(1-Planbase100[[#This Row],[05/05/25]])*'Plan 39'!AV18</f>
        <v>1</v>
      </c>
      <c r="CP35" s="127">
        <f>Planbase100[[#This Row],[05/05/25]]+(1-Planbase100[[#This Row],[05/05/25]])*'Plan 39'!AW18</f>
        <v>1</v>
      </c>
      <c r="CQ35" s="127">
        <f>Planbase100[[#This Row],[05/05/25]]+(1-Planbase100[[#This Row],[05/05/25]])*'Plan 39'!AX18</f>
        <v>1</v>
      </c>
      <c r="CR35" s="127">
        <f>Planbase100[[#This Row],[05/05/25]]+(1-Planbase100[[#This Row],[05/05/25]])*'Plan 39'!AY18</f>
        <v>1</v>
      </c>
      <c r="CS35" s="127">
        <f>Planbase100[[#This Row],[05/05/25]]+(1-Planbase100[[#This Row],[05/05/25]])*'Plan 39'!AZ18</f>
        <v>1</v>
      </c>
      <c r="CT35" s="127">
        <f>Planbase100[[#This Row],[05/05/25]]+(1-Planbase100[[#This Row],[05/05/25]])*'Plan 39'!BA18</f>
        <v>1</v>
      </c>
      <c r="CU35" s="127">
        <f>Planbase100[[#This Row],[05/05/25]]+(1-Planbase100[[#This Row],[05/05/25]])*'Plan 39'!BB18</f>
        <v>1</v>
      </c>
      <c r="CV35" s="127">
        <f>Planbase100[[#This Row],[05/05/25]]+(1-Planbase100[[#This Row],[05/05/25]])*'Plan 39'!BC18</f>
        <v>1</v>
      </c>
      <c r="CW35" s="127">
        <f>Planbase100[[#This Row],[05/05/25]]+(1-Planbase100[[#This Row],[05/05/25]])*'Plan 39'!BD18</f>
        <v>1</v>
      </c>
      <c r="CX35" s="127">
        <f>Planbase100[[#This Row],[05/05/25]]+(1-Planbase100[[#This Row],[05/05/25]])*'Plan 39'!BE18</f>
        <v>1</v>
      </c>
      <c r="CY35" s="127">
        <f>Planbase100[[#This Row],[05/05/25]]+(1-Planbase100[[#This Row],[05/05/25]])*'Plan 39'!BF18</f>
        <v>1</v>
      </c>
      <c r="CZ35" s="127">
        <f>Planbase100[[#This Row],[05/05/25]]+(1-Planbase100[[#This Row],[05/05/25]])*'Plan 39'!BG18</f>
        <v>1</v>
      </c>
      <c r="DA35" s="127">
        <f>Planbase100[[#This Row],[05/05/25]]+(1-Planbase100[[#This Row],[05/05/25]])*'Plan 39'!BH18</f>
        <v>1</v>
      </c>
      <c r="DB35" s="127">
        <f>Planbase100[[#This Row],[05/05/25]]+(1-Planbase100[[#This Row],[05/05/25]])*'Plan 39'!BI18</f>
        <v>1</v>
      </c>
      <c r="DC35" s="127">
        <f>Planbase100[[#This Row],[05/05/25]]+(1-Planbase100[[#This Row],[05/05/25]])*'Plan 39'!BJ18</f>
        <v>1</v>
      </c>
      <c r="DD35" s="127">
        <f>Planbase100[[#This Row],[05/05/25]]+(1-Planbase100[[#This Row],[05/05/25]])*'Plan 39'!BK18</f>
        <v>1</v>
      </c>
      <c r="DE35" s="127">
        <f>Planbase100[[#This Row],[05/05/25]]+(1-Planbase100[[#This Row],[05/05/25]])*'Plan 39'!BL18</f>
        <v>1</v>
      </c>
      <c r="DF35" s="127">
        <f>Planbase100[[#This Row],[05/05/25]]+(1-Planbase100[[#This Row],[05/05/25]])*'Plan 39'!BM18</f>
        <v>1</v>
      </c>
      <c r="DG35" s="127">
        <f>Planbase100[[#This Row],[19/05/25]]+(1-Planbase100[[#This Row],[19/05/25]])*'Plan 39'!BN18</f>
        <v>1</v>
      </c>
      <c r="DH35" s="127">
        <f>Planbase100[[#This Row],[26/05/25]]+(1-Planbase100[[#This Row],[26/05/25]])*'Plan 39'!BO18</f>
        <v>1</v>
      </c>
      <c r="DI35" s="127">
        <f>Planbase100[[#This Row],[02/06/25]]+(1-Planbase100[[#This Row],[02/06/25]])*'Plan 39'!BP18</f>
        <v>1</v>
      </c>
      <c r="DJ35" s="127">
        <f>Planbase100[[#This Row],[09/06/25]]+(1-Planbase100[[#This Row],[09/06/25]])*'Plan 39'!BQ18</f>
        <v>1</v>
      </c>
      <c r="DK35" s="127">
        <f>Planbase100[[#This Row],[16/06/25]]+(1-Planbase100[[#This Row],[16/06/25]])*'Plan 39'!BR18</f>
        <v>1</v>
      </c>
      <c r="DL35" s="127">
        <f>Planbase100[[#This Row],[23/06/25]]+(1-Planbase100[[#This Row],[23/06/25]])*'Plan 39'!BS18</f>
        <v>1</v>
      </c>
      <c r="DM35" s="127">
        <f>Planbase100[[#This Row],[30/06/25]]+(1-Planbase100[[#This Row],[30/06/25]])*'Plan 39'!BT18</f>
        <v>1</v>
      </c>
      <c r="DN35" s="127">
        <f>Planbase100[[#This Row],[07/07/25]]+(1-Planbase100[[#This Row],[07/07/25]])*'Plan 39'!BU18</f>
        <v>1</v>
      </c>
      <c r="DO35" s="127">
        <f>Planbase100[[#This Row],[14/07/25]]+(1-Planbase100[[#This Row],[14/07/25]])*'Plan 39'!BV18</f>
        <v>1</v>
      </c>
      <c r="DP35" s="127">
        <f>Planbase100[[#This Row],[21/07/25]]+(1-Planbase100[[#This Row],[21/07/25]])*'Plan 39'!BW18</f>
        <v>1</v>
      </c>
      <c r="DQ35" s="127">
        <f>Planbase100[[#This Row],[28/07/25]]+(1-Planbase100[[#This Row],[28/07/25]])*'Plan 39'!BX18</f>
        <v>1</v>
      </c>
      <c r="DR35" s="127">
        <f>Planbase100[[#This Row],[04/08/25]]+(1-Planbase100[[#This Row],[04/08/25]])*'Plan 39'!BY18</f>
        <v>1</v>
      </c>
      <c r="DS35" s="127">
        <f>Planbase100[[#This Row],[11/08/25]]+(1-Planbase100[[#This Row],[11/08/25]])*'Plan 39'!BZ18</f>
        <v>1</v>
      </c>
      <c r="DT35" s="127">
        <f>Planbase100[[#This Row],[18/08/25]]+(1-Planbase100[[#This Row],[18/08/25]])*'Plan 39'!CA18</f>
        <v>1</v>
      </c>
      <c r="DU35" s="127">
        <f>Planbase100[[#This Row],[25/08/25]]+(1-Planbase100[[#This Row],[25/08/25]])*'Plan 39'!CB18</f>
        <v>1</v>
      </c>
      <c r="DV35" s="127">
        <f>Planbase100[[#This Row],[01/09/25]]+(1-Planbase100[[#This Row],[01/09/25]])*'Plan 39'!CC18</f>
        <v>1</v>
      </c>
      <c r="DW35" s="127">
        <f>Planbase100[[#This Row],[08/09/25]]+(1-Planbase100[[#This Row],[08/09/25]])*'Plan 39'!CD18</f>
        <v>1</v>
      </c>
      <c r="DX35" s="127">
        <f>Planbase100[[#This Row],[15/09/25]]+(1-Planbase100[[#This Row],[15/09/25]])*'Plan 39'!CE18</f>
        <v>1</v>
      </c>
      <c r="DY35" s="127">
        <f>Planbase100[[#This Row],[22/09/25]]+(1-Planbase100[[#This Row],[22/09/25]])*'Plan 39'!CF18</f>
        <v>1</v>
      </c>
      <c r="DZ35" s="127">
        <f>Planbase100[[#This Row],[29/09/25]]+(1-Planbase100[[#This Row],[29/09/25]])*'Plan 39'!CG18</f>
        <v>1</v>
      </c>
      <c r="EA35" s="127">
        <f>Planbase100[[#This Row],[06/10/25]]+(1-Planbase100[[#This Row],[06/10/25]])*'Plan 39'!CH18</f>
        <v>1</v>
      </c>
      <c r="EB35" s="127">
        <f>Planbase100[[#This Row],[13/10/25]]+(1-Planbase100[[#This Row],[13/10/25]])*'Plan 39'!CI18</f>
        <v>1</v>
      </c>
      <c r="EC35" s="127">
        <f>Planbase100[[#This Row],[20/10/25]]+(1-Planbase100[[#This Row],[20/10/25]])*'Plan 39'!CJ18</f>
        <v>1</v>
      </c>
      <c r="ED35" s="127">
        <f>Planbase100[[#This Row],[27/10/25]]+(1-Planbase100[[#This Row],[27/10/25]])*'Plan 39'!CK18</f>
        <v>1</v>
      </c>
      <c r="EE35" s="127">
        <f>Planbase100[[#This Row],[03/11/25]]+(1-Planbase100[[#This Row],[03/11/25]])*'Plan 39'!CL18</f>
        <v>1</v>
      </c>
      <c r="EF35" s="127">
        <f>Planbase100[[#This Row],[10/11/25]]+(1-Planbase100[[#This Row],[10/11/25]])*'Plan 39'!CM18</f>
        <v>1</v>
      </c>
      <c r="EG35" s="127">
        <f>Planbase100[[#This Row],[17/11/25]]+(1-Planbase100[[#This Row],[17/11/25]])*'Plan 39'!CN18</f>
        <v>1</v>
      </c>
      <c r="EH35" s="127">
        <f>Planbase100[[#This Row],[24/11/25]]+(1-Planbase100[[#This Row],[24/11/25]])*'Plan 39'!CO18</f>
        <v>1</v>
      </c>
      <c r="EI35" s="127">
        <f>Planbase100[[#This Row],[01/12/25]]+(1-Planbase100[[#This Row],[01/12/25]])*'Plan 39'!CP18</f>
        <v>1</v>
      </c>
    </row>
    <row r="36" spans="2:139" hidden="1" outlineLevel="3" x14ac:dyDescent="0.3">
      <c r="B36" s="29"/>
      <c r="C36" s="30"/>
      <c r="D36" s="30"/>
      <c r="E36" s="52" t="s">
        <v>41</v>
      </c>
      <c r="F36" s="33">
        <v>25</v>
      </c>
      <c r="G36" s="35">
        <v>0.4</v>
      </c>
      <c r="H36" s="53"/>
      <c r="I36" s="126">
        <v>0</v>
      </c>
      <c r="J36" s="127">
        <v>0</v>
      </c>
      <c r="K36" s="127">
        <v>0</v>
      </c>
      <c r="L36" s="127">
        <v>0</v>
      </c>
      <c r="M36" s="127">
        <v>0</v>
      </c>
      <c r="N36" s="127">
        <v>0</v>
      </c>
      <c r="O36" s="127">
        <v>0</v>
      </c>
      <c r="P36" s="127">
        <v>0</v>
      </c>
      <c r="Q36" s="127">
        <v>7.4999999999999997E-2</v>
      </c>
      <c r="R36" s="127">
        <v>0.15</v>
      </c>
      <c r="S36" s="127">
        <v>0.25</v>
      </c>
      <c r="T36" s="127">
        <v>0.25</v>
      </c>
      <c r="U36" s="127">
        <v>0.25</v>
      </c>
      <c r="V36" s="127">
        <v>0.25</v>
      </c>
      <c r="W36" s="127">
        <v>0.25</v>
      </c>
      <c r="X36" s="127">
        <v>0.25</v>
      </c>
      <c r="Y36" s="127">
        <v>0.25</v>
      </c>
      <c r="Z36" s="127">
        <v>0.25</v>
      </c>
      <c r="AA36" s="127">
        <v>0.25</v>
      </c>
      <c r="AB36" s="127">
        <v>0.25</v>
      </c>
      <c r="AC36" s="127">
        <v>0.25</v>
      </c>
      <c r="AD36" s="127">
        <v>0.25</v>
      </c>
      <c r="AE36" s="127">
        <v>0.25</v>
      </c>
      <c r="AF36" s="127">
        <v>0.25</v>
      </c>
      <c r="AG36" s="127">
        <v>0.25</v>
      </c>
      <c r="AH36" s="127">
        <v>0.25</v>
      </c>
      <c r="AI36" s="127">
        <v>0.25</v>
      </c>
      <c r="AJ36" s="127">
        <v>0.25</v>
      </c>
      <c r="AK36" s="127">
        <v>0.25</v>
      </c>
      <c r="AL36" s="127">
        <v>0.25</v>
      </c>
      <c r="AM36" s="127">
        <v>0.25</v>
      </c>
      <c r="AN36" s="127">
        <v>0.25</v>
      </c>
      <c r="AO36" s="127">
        <v>0.25</v>
      </c>
      <c r="AP36" s="127">
        <v>0.25</v>
      </c>
      <c r="AQ36" s="127">
        <v>0.25</v>
      </c>
      <c r="AR36" s="127">
        <v>0.25</v>
      </c>
      <c r="AS36" s="127">
        <v>0.25</v>
      </c>
      <c r="AT36" s="127">
        <v>0.25</v>
      </c>
      <c r="AU36" s="127">
        <v>0.25</v>
      </c>
      <c r="AV36" s="127">
        <v>0.25</v>
      </c>
      <c r="AW36" s="127">
        <v>0.25</v>
      </c>
      <c r="AX36" s="127">
        <v>0.25</v>
      </c>
      <c r="AY36" s="127">
        <v>0.25</v>
      </c>
      <c r="AZ36" s="127">
        <v>0.25</v>
      </c>
      <c r="BA36" s="127">
        <v>0.25</v>
      </c>
      <c r="BB36" s="127">
        <f>Planbase100[[#This Row],[05/05/25]]+(1-Planbase100[[#This Row],[05/05/25]])*'Plan 39'!I19</f>
        <v>0.25</v>
      </c>
      <c r="BC36" s="127">
        <f>Planbase100[[#This Row],[05/05/25]]+(1-Planbase100[[#This Row],[05/05/25]])*'Plan 39'!J19</f>
        <v>0.25</v>
      </c>
      <c r="BD36" s="127">
        <f>Planbase100[[#This Row],[05/05/25]]+(1-Planbase100[[#This Row],[05/05/25]])*'Plan 39'!K19</f>
        <v>0.25</v>
      </c>
      <c r="BE36" s="127">
        <f>Planbase100[[#This Row],[05/05/25]]+(1-Planbase100[[#This Row],[05/05/25]])*'Plan 39'!L19</f>
        <v>0.25</v>
      </c>
      <c r="BF36" s="127">
        <f>Planbase100[[#This Row],[05/05/25]]+(1-Planbase100[[#This Row],[05/05/25]])*'Plan 39'!M19</f>
        <v>0.25</v>
      </c>
      <c r="BG36" s="127">
        <f>Planbase100[[#This Row],[05/05/25]]+(1-Planbase100[[#This Row],[05/05/25]])*'Plan 39'!N19</f>
        <v>0.25</v>
      </c>
      <c r="BH36" s="127">
        <f>Planbase100[[#This Row],[05/05/25]]+(1-Planbase100[[#This Row],[05/05/25]])*'Plan 39'!O19</f>
        <v>0.25</v>
      </c>
      <c r="BI36" s="127">
        <f>Planbase100[[#This Row],[05/05/25]]+(1-Planbase100[[#This Row],[05/05/25]])*'Plan 39'!P19</f>
        <v>0.25</v>
      </c>
      <c r="BJ36" s="127">
        <f>Planbase100[[#This Row],[05/05/25]]+(1-Planbase100[[#This Row],[05/05/25]])*'Plan 39'!Q19</f>
        <v>0.28260869565217389</v>
      </c>
      <c r="BK36" s="127">
        <f>Planbase100[[#This Row],[05/05/25]]+(1-Planbase100[[#This Row],[05/05/25]])*'Plan 39'!R19</f>
        <v>0.31485869565217389</v>
      </c>
      <c r="BL36" s="127">
        <f>Planbase100[[#This Row],[05/05/25]]+(1-Planbase100[[#This Row],[05/05/25]])*'Plan 39'!S19</f>
        <v>0.34710869565217389</v>
      </c>
      <c r="BM36" s="127">
        <f>Planbase100[[#This Row],[05/05/25]]+(1-Planbase100[[#This Row],[05/05/25]])*'Plan 39'!T19</f>
        <v>0.37935869565217389</v>
      </c>
      <c r="BN36" s="127">
        <f>Planbase100[[#This Row],[05/05/25]]+(1-Planbase100[[#This Row],[05/05/25]])*'Plan 39'!U19</f>
        <v>0.41160869565217389</v>
      </c>
      <c r="BO36" s="127">
        <f>Planbase100[[#This Row],[05/05/25]]+(1-Planbase100[[#This Row],[05/05/25]])*'Plan 39'!V19</f>
        <v>0.44385869565217384</v>
      </c>
      <c r="BP36" s="127">
        <f>Planbase100[[#This Row],[05/05/25]]+(1-Planbase100[[#This Row],[05/05/25]])*'Plan 39'!W19</f>
        <v>0.47610869565217384</v>
      </c>
      <c r="BQ36" s="127">
        <f>Planbase100[[#This Row],[05/05/25]]+(1-Planbase100[[#This Row],[05/05/25]])*'Plan 39'!X19</f>
        <v>0.50835869565217384</v>
      </c>
      <c r="BR36" s="127">
        <f>Planbase100[[#This Row],[05/05/25]]+(1-Planbase100[[#This Row],[05/05/25]])*'Plan 39'!Y19</f>
        <v>0.54060869565217384</v>
      </c>
      <c r="BS36" s="127">
        <f>Planbase100[[#This Row],[05/05/25]]+(1-Planbase100[[#This Row],[05/05/25]])*'Plan 39'!Z19</f>
        <v>0.57285869565217384</v>
      </c>
      <c r="BT36" s="127">
        <f>Planbase100[[#This Row],[05/05/25]]+(1-Planbase100[[#This Row],[05/05/25]])*'Plan 39'!AA19</f>
        <v>0.60510869565217384</v>
      </c>
      <c r="BU36" s="127">
        <f>Planbase100[[#This Row],[05/05/25]]+(1-Planbase100[[#This Row],[05/05/25]])*'Plan 39'!AB19</f>
        <v>0.63735869565217373</v>
      </c>
      <c r="BV36" s="127">
        <f>Planbase100[[#This Row],[05/05/25]]+(1-Planbase100[[#This Row],[05/05/25]])*'Plan 39'!AC19</f>
        <v>0.66960869565217385</v>
      </c>
      <c r="BW36" s="127">
        <f>Planbase100[[#This Row],[05/05/25]]+(1-Planbase100[[#This Row],[05/05/25]])*'Plan 39'!AD19</f>
        <v>0.70185869565217385</v>
      </c>
      <c r="BX36" s="127">
        <f>Planbase100[[#This Row],[05/05/25]]+(1-Planbase100[[#This Row],[05/05/25]])*'Plan 39'!AE19</f>
        <v>0.73410869565217385</v>
      </c>
      <c r="BY36" s="127">
        <f>Planbase100[[#This Row],[05/05/25]]+(1-Planbase100[[#This Row],[05/05/25]])*'Plan 39'!AF19</f>
        <v>0.76635869565217396</v>
      </c>
      <c r="BZ36" s="127">
        <f>Planbase100[[#This Row],[05/05/25]]+(1-Planbase100[[#This Row],[05/05/25]])*'Plan 39'!AG19</f>
        <v>0.79860869565217396</v>
      </c>
      <c r="CA36" s="127">
        <f>Planbase100[[#This Row],[05/05/25]]+(1-Planbase100[[#This Row],[05/05/25]])*'Plan 39'!AH19</f>
        <v>0.83085869565217396</v>
      </c>
      <c r="CB36" s="127">
        <f>Planbase100[[#This Row],[05/05/25]]+(1-Planbase100[[#This Row],[05/05/25]])*'Plan 39'!AI19</f>
        <v>0.86310869565217396</v>
      </c>
      <c r="CC36" s="127">
        <f>Planbase100[[#This Row],[05/05/25]]+(1-Planbase100[[#This Row],[05/05/25]])*'Plan 39'!AJ19</f>
        <v>0.89535869565217396</v>
      </c>
      <c r="CD36" s="127">
        <f>Planbase100[[#This Row],[05/05/25]]+(1-Planbase100[[#This Row],[05/05/25]])*'Plan 39'!AK19</f>
        <v>0.92760869565217408</v>
      </c>
      <c r="CE36" s="127">
        <f>Planbase100[[#This Row],[05/05/25]]+(1-Planbase100[[#This Row],[05/05/25]])*'Plan 39'!AL19</f>
        <v>0.95985869565217408</v>
      </c>
      <c r="CF36" s="127">
        <f>Planbase100[[#This Row],[05/05/25]]+(1-Planbase100[[#This Row],[05/05/25]])*'Plan 39'!AM19</f>
        <v>1</v>
      </c>
      <c r="CG36" s="127">
        <f>Planbase100[[#This Row],[05/05/25]]+(1-Planbase100[[#This Row],[05/05/25]])*'Plan 39'!AN19</f>
        <v>1</v>
      </c>
      <c r="CH36" s="127">
        <f>Planbase100[[#This Row],[05/05/25]]+(1-Planbase100[[#This Row],[05/05/25]])*'Plan 39'!AO19</f>
        <v>1</v>
      </c>
      <c r="CI36" s="127">
        <f>Planbase100[[#This Row],[05/05/25]]+(1-Planbase100[[#This Row],[05/05/25]])*'Plan 39'!AP19</f>
        <v>1</v>
      </c>
      <c r="CJ36" s="127">
        <f>Planbase100[[#This Row],[05/05/25]]+(1-Planbase100[[#This Row],[05/05/25]])*'Plan 39'!AQ19</f>
        <v>1</v>
      </c>
      <c r="CK36" s="127">
        <f>Planbase100[[#This Row],[05/05/25]]+(1-Planbase100[[#This Row],[05/05/25]])*'Plan 39'!AR19</f>
        <v>1</v>
      </c>
      <c r="CL36" s="127">
        <f>Planbase100[[#This Row],[05/05/25]]+(1-Planbase100[[#This Row],[05/05/25]])*'Plan 39'!AS19</f>
        <v>1</v>
      </c>
      <c r="CM36" s="127">
        <f>Planbase100[[#This Row],[05/05/25]]+(1-Planbase100[[#This Row],[05/05/25]])*'Plan 39'!AT19</f>
        <v>1</v>
      </c>
      <c r="CN36" s="127">
        <f>Planbase100[[#This Row],[05/05/25]]+(1-Planbase100[[#This Row],[05/05/25]])*'Plan 39'!AU19</f>
        <v>1</v>
      </c>
      <c r="CO36" s="127">
        <f>Planbase100[[#This Row],[05/05/25]]+(1-Planbase100[[#This Row],[05/05/25]])*'Plan 39'!AV19</f>
        <v>1</v>
      </c>
      <c r="CP36" s="127">
        <f>Planbase100[[#This Row],[05/05/25]]+(1-Planbase100[[#This Row],[05/05/25]])*'Plan 39'!AW19</f>
        <v>1</v>
      </c>
      <c r="CQ36" s="127">
        <f>Planbase100[[#This Row],[05/05/25]]+(1-Planbase100[[#This Row],[05/05/25]])*'Plan 39'!AX19</f>
        <v>1</v>
      </c>
      <c r="CR36" s="127">
        <f>Planbase100[[#This Row],[05/05/25]]+(1-Planbase100[[#This Row],[05/05/25]])*'Plan 39'!AY19</f>
        <v>1</v>
      </c>
      <c r="CS36" s="127">
        <f>Planbase100[[#This Row],[05/05/25]]+(1-Planbase100[[#This Row],[05/05/25]])*'Plan 39'!AZ19</f>
        <v>1</v>
      </c>
      <c r="CT36" s="127">
        <f>Planbase100[[#This Row],[05/05/25]]+(1-Planbase100[[#This Row],[05/05/25]])*'Plan 39'!BA19</f>
        <v>1</v>
      </c>
      <c r="CU36" s="127">
        <f>Planbase100[[#This Row],[05/05/25]]+(1-Planbase100[[#This Row],[05/05/25]])*'Plan 39'!BB19</f>
        <v>1</v>
      </c>
      <c r="CV36" s="127">
        <f>Planbase100[[#This Row],[05/05/25]]+(1-Planbase100[[#This Row],[05/05/25]])*'Plan 39'!BC19</f>
        <v>1</v>
      </c>
      <c r="CW36" s="127">
        <f>Planbase100[[#This Row],[05/05/25]]+(1-Planbase100[[#This Row],[05/05/25]])*'Plan 39'!BD19</f>
        <v>1</v>
      </c>
      <c r="CX36" s="127">
        <f>Planbase100[[#This Row],[05/05/25]]+(1-Planbase100[[#This Row],[05/05/25]])*'Plan 39'!BE19</f>
        <v>1</v>
      </c>
      <c r="CY36" s="127">
        <f>Planbase100[[#This Row],[05/05/25]]+(1-Planbase100[[#This Row],[05/05/25]])*'Plan 39'!BF19</f>
        <v>1</v>
      </c>
      <c r="CZ36" s="127">
        <f>Planbase100[[#This Row],[05/05/25]]+(1-Planbase100[[#This Row],[05/05/25]])*'Plan 39'!BG19</f>
        <v>1</v>
      </c>
      <c r="DA36" s="127">
        <f>Planbase100[[#This Row],[05/05/25]]+(1-Planbase100[[#This Row],[05/05/25]])*'Plan 39'!BH19</f>
        <v>1</v>
      </c>
      <c r="DB36" s="127">
        <f>Planbase100[[#This Row],[05/05/25]]+(1-Planbase100[[#This Row],[05/05/25]])*'Plan 39'!BI19</f>
        <v>1</v>
      </c>
      <c r="DC36" s="127">
        <f>Planbase100[[#This Row],[05/05/25]]+(1-Planbase100[[#This Row],[05/05/25]])*'Plan 39'!BJ19</f>
        <v>1</v>
      </c>
      <c r="DD36" s="127">
        <f>Planbase100[[#This Row],[05/05/25]]+(1-Planbase100[[#This Row],[05/05/25]])*'Plan 39'!BK19</f>
        <v>1</v>
      </c>
      <c r="DE36" s="127">
        <f>Planbase100[[#This Row],[05/05/25]]+(1-Planbase100[[#This Row],[05/05/25]])*'Plan 39'!BL19</f>
        <v>1</v>
      </c>
      <c r="DF36" s="127">
        <f>Planbase100[[#This Row],[05/05/25]]+(1-Planbase100[[#This Row],[05/05/25]])*'Plan 39'!BM19</f>
        <v>1</v>
      </c>
      <c r="DG36" s="127">
        <f>Planbase100[[#This Row],[19/05/25]]+(1-Planbase100[[#This Row],[19/05/25]])*'Plan 39'!BN19</f>
        <v>1</v>
      </c>
      <c r="DH36" s="127">
        <f>Planbase100[[#This Row],[26/05/25]]+(1-Planbase100[[#This Row],[26/05/25]])*'Plan 39'!BO19</f>
        <v>1</v>
      </c>
      <c r="DI36" s="127">
        <f>Planbase100[[#This Row],[02/06/25]]+(1-Planbase100[[#This Row],[02/06/25]])*'Plan 39'!BP19</f>
        <v>1</v>
      </c>
      <c r="DJ36" s="127">
        <f>Planbase100[[#This Row],[09/06/25]]+(1-Planbase100[[#This Row],[09/06/25]])*'Plan 39'!BQ19</f>
        <v>1</v>
      </c>
      <c r="DK36" s="127">
        <f>Planbase100[[#This Row],[16/06/25]]+(1-Planbase100[[#This Row],[16/06/25]])*'Plan 39'!BR19</f>
        <v>1</v>
      </c>
      <c r="DL36" s="127">
        <f>Planbase100[[#This Row],[23/06/25]]+(1-Planbase100[[#This Row],[23/06/25]])*'Plan 39'!BS19</f>
        <v>1</v>
      </c>
      <c r="DM36" s="127">
        <f>Planbase100[[#This Row],[30/06/25]]+(1-Planbase100[[#This Row],[30/06/25]])*'Plan 39'!BT19</f>
        <v>1</v>
      </c>
      <c r="DN36" s="127">
        <f>Planbase100[[#This Row],[07/07/25]]+(1-Planbase100[[#This Row],[07/07/25]])*'Plan 39'!BU19</f>
        <v>1</v>
      </c>
      <c r="DO36" s="127">
        <f>Planbase100[[#This Row],[14/07/25]]+(1-Planbase100[[#This Row],[14/07/25]])*'Plan 39'!BV19</f>
        <v>1</v>
      </c>
      <c r="DP36" s="127">
        <f>Planbase100[[#This Row],[21/07/25]]+(1-Planbase100[[#This Row],[21/07/25]])*'Plan 39'!BW19</f>
        <v>1</v>
      </c>
      <c r="DQ36" s="127">
        <f>Planbase100[[#This Row],[28/07/25]]+(1-Planbase100[[#This Row],[28/07/25]])*'Plan 39'!BX19</f>
        <v>1</v>
      </c>
      <c r="DR36" s="127">
        <f>Planbase100[[#This Row],[04/08/25]]+(1-Planbase100[[#This Row],[04/08/25]])*'Plan 39'!BY19</f>
        <v>1</v>
      </c>
      <c r="DS36" s="127">
        <f>Planbase100[[#This Row],[11/08/25]]+(1-Planbase100[[#This Row],[11/08/25]])*'Plan 39'!BZ19</f>
        <v>1</v>
      </c>
      <c r="DT36" s="127">
        <f>Planbase100[[#This Row],[18/08/25]]+(1-Planbase100[[#This Row],[18/08/25]])*'Plan 39'!CA19</f>
        <v>1</v>
      </c>
      <c r="DU36" s="127">
        <f>Planbase100[[#This Row],[25/08/25]]+(1-Planbase100[[#This Row],[25/08/25]])*'Plan 39'!CB19</f>
        <v>1</v>
      </c>
      <c r="DV36" s="127">
        <f>Planbase100[[#This Row],[01/09/25]]+(1-Planbase100[[#This Row],[01/09/25]])*'Plan 39'!CC19</f>
        <v>1</v>
      </c>
      <c r="DW36" s="127">
        <f>Planbase100[[#This Row],[08/09/25]]+(1-Planbase100[[#This Row],[08/09/25]])*'Plan 39'!CD19</f>
        <v>1</v>
      </c>
      <c r="DX36" s="127">
        <f>Planbase100[[#This Row],[15/09/25]]+(1-Planbase100[[#This Row],[15/09/25]])*'Plan 39'!CE19</f>
        <v>1</v>
      </c>
      <c r="DY36" s="127">
        <f>Planbase100[[#This Row],[22/09/25]]+(1-Planbase100[[#This Row],[22/09/25]])*'Plan 39'!CF19</f>
        <v>1</v>
      </c>
      <c r="DZ36" s="127">
        <f>Planbase100[[#This Row],[29/09/25]]+(1-Planbase100[[#This Row],[29/09/25]])*'Plan 39'!CG19</f>
        <v>1</v>
      </c>
      <c r="EA36" s="127">
        <f>Planbase100[[#This Row],[06/10/25]]+(1-Planbase100[[#This Row],[06/10/25]])*'Plan 39'!CH19</f>
        <v>1</v>
      </c>
      <c r="EB36" s="127">
        <f>Planbase100[[#This Row],[13/10/25]]+(1-Planbase100[[#This Row],[13/10/25]])*'Plan 39'!CI19</f>
        <v>1</v>
      </c>
      <c r="EC36" s="127">
        <f>Planbase100[[#This Row],[20/10/25]]+(1-Planbase100[[#This Row],[20/10/25]])*'Plan 39'!CJ19</f>
        <v>1</v>
      </c>
      <c r="ED36" s="127">
        <f>Planbase100[[#This Row],[27/10/25]]+(1-Planbase100[[#This Row],[27/10/25]])*'Plan 39'!CK19</f>
        <v>1</v>
      </c>
      <c r="EE36" s="127">
        <f>Planbase100[[#This Row],[03/11/25]]+(1-Planbase100[[#This Row],[03/11/25]])*'Plan 39'!CL19</f>
        <v>1</v>
      </c>
      <c r="EF36" s="127">
        <f>Planbase100[[#This Row],[10/11/25]]+(1-Planbase100[[#This Row],[10/11/25]])*'Plan 39'!CM19</f>
        <v>1</v>
      </c>
      <c r="EG36" s="127">
        <f>Planbase100[[#This Row],[17/11/25]]+(1-Planbase100[[#This Row],[17/11/25]])*'Plan 39'!CN19</f>
        <v>1</v>
      </c>
      <c r="EH36" s="127">
        <f>Planbase100[[#This Row],[24/11/25]]+(1-Planbase100[[#This Row],[24/11/25]])*'Plan 39'!CO19</f>
        <v>1</v>
      </c>
      <c r="EI36" s="127">
        <f>Planbase100[[#This Row],[01/12/25]]+(1-Planbase100[[#This Row],[01/12/25]])*'Plan 39'!CP19</f>
        <v>1</v>
      </c>
    </row>
    <row r="37" spans="2:139" hidden="1" outlineLevel="3" x14ac:dyDescent="0.3">
      <c r="B37" s="29"/>
      <c r="C37" s="30"/>
      <c r="D37" s="30"/>
      <c r="E37" s="52" t="s">
        <v>42</v>
      </c>
      <c r="F37" s="33">
        <v>25</v>
      </c>
      <c r="G37" s="35">
        <v>0.2</v>
      </c>
      <c r="H37" s="53"/>
      <c r="I37" s="126">
        <v>0</v>
      </c>
      <c r="J37" s="127">
        <v>0</v>
      </c>
      <c r="K37" s="127">
        <v>0</v>
      </c>
      <c r="L37" s="127">
        <v>0</v>
      </c>
      <c r="M37" s="127">
        <v>0</v>
      </c>
      <c r="N37" s="127">
        <v>0</v>
      </c>
      <c r="O37" s="127">
        <v>0</v>
      </c>
      <c r="P37" s="127">
        <v>7.4999999999999997E-2</v>
      </c>
      <c r="Q37" s="127">
        <v>0.25</v>
      </c>
      <c r="R37" s="127">
        <v>0.25</v>
      </c>
      <c r="S37" s="127">
        <v>0.34750000000000003</v>
      </c>
      <c r="T37" s="127">
        <v>0.34750000000000003</v>
      </c>
      <c r="U37" s="127">
        <v>0.34750000000000003</v>
      </c>
      <c r="V37" s="127">
        <v>0.34750000000000003</v>
      </c>
      <c r="W37" s="127">
        <v>0.34750000000000003</v>
      </c>
      <c r="X37" s="127">
        <v>0.34750000000000003</v>
      </c>
      <c r="Y37" s="127">
        <v>0.34750000000000003</v>
      </c>
      <c r="Z37" s="127">
        <v>0.34750000000000003</v>
      </c>
      <c r="AA37" s="127">
        <v>0.42062499999999997</v>
      </c>
      <c r="AB37" s="127">
        <v>0.44500000000000001</v>
      </c>
      <c r="AC37" s="127">
        <v>0.44500000000000001</v>
      </c>
      <c r="AD37" s="127">
        <v>0.45150000000000001</v>
      </c>
      <c r="AE37" s="127">
        <v>0.453125</v>
      </c>
      <c r="AF37" s="127">
        <v>0.45474999999999999</v>
      </c>
      <c r="AG37" s="127">
        <v>0.50675000000000003</v>
      </c>
      <c r="AH37" s="127">
        <v>0.52625000000000011</v>
      </c>
      <c r="AI37" s="127">
        <v>0.52625000000000011</v>
      </c>
      <c r="AJ37" s="127">
        <v>0.52625000000000011</v>
      </c>
      <c r="AK37" s="127">
        <v>0.52625000000000011</v>
      </c>
      <c r="AL37" s="127">
        <v>0.52625000000000011</v>
      </c>
      <c r="AM37" s="127">
        <v>0.52625000000000011</v>
      </c>
      <c r="AN37" s="127">
        <v>0.53600000000000003</v>
      </c>
      <c r="AO37" s="127">
        <v>0.54087499999999999</v>
      </c>
      <c r="AP37" s="127">
        <v>0.54087499999999999</v>
      </c>
      <c r="AQ37" s="127">
        <v>0.54185000000000005</v>
      </c>
      <c r="AR37" s="127">
        <v>0.54380000000000006</v>
      </c>
      <c r="AS37" s="127">
        <v>0.54574999999999996</v>
      </c>
      <c r="AT37" s="127">
        <v>0.54769999999999996</v>
      </c>
      <c r="AU37" s="127">
        <v>0.54964999999999997</v>
      </c>
      <c r="AV37" s="127">
        <v>0.57499999999999996</v>
      </c>
      <c r="AW37" s="127">
        <v>0.57499999999999996</v>
      </c>
      <c r="AX37" s="127">
        <v>0.57499999999999996</v>
      </c>
      <c r="AY37" s="127">
        <v>0.57499999999999996</v>
      </c>
      <c r="AZ37" s="127">
        <v>0.57499999999999996</v>
      </c>
      <c r="BA37" s="127">
        <v>0.68062500000000004</v>
      </c>
      <c r="BB37" s="127">
        <f>Planbase100[[#This Row],[05/05/25]]+(1-Planbase100[[#This Row],[05/05/25]])*'Plan 39'!I20</f>
        <v>0.69583333333333341</v>
      </c>
      <c r="BC37" s="127">
        <f>Planbase100[[#This Row],[05/05/25]]+(1-Planbase100[[#This Row],[05/05/25]])*'Plan 39'!J20</f>
        <v>0.71116333333333337</v>
      </c>
      <c r="BD37" s="127">
        <f>Planbase100[[#This Row],[05/05/25]]+(1-Planbase100[[#This Row],[05/05/25]])*'Plan 39'!K20</f>
        <v>0.72649333333333332</v>
      </c>
      <c r="BE37" s="127">
        <f>Planbase100[[#This Row],[05/05/25]]+(1-Planbase100[[#This Row],[05/05/25]])*'Plan 39'!L20</f>
        <v>0.74182333333333339</v>
      </c>
      <c r="BF37" s="127">
        <f>Planbase100[[#This Row],[05/05/25]]+(1-Planbase100[[#This Row],[05/05/25]])*'Plan 39'!M20</f>
        <v>0.75715333333333334</v>
      </c>
      <c r="BG37" s="127">
        <f>Planbase100[[#This Row],[05/05/25]]+(1-Planbase100[[#This Row],[05/05/25]])*'Plan 39'!N20</f>
        <v>0.77248333333333341</v>
      </c>
      <c r="BH37" s="127">
        <f>Planbase100[[#This Row],[05/05/25]]+(1-Planbase100[[#This Row],[05/05/25]])*'Plan 39'!O20</f>
        <v>0.78781333333333337</v>
      </c>
      <c r="BI37" s="127">
        <f>Planbase100[[#This Row],[05/05/25]]+(1-Planbase100[[#This Row],[05/05/25]])*'Plan 39'!P20</f>
        <v>0.80314333333333332</v>
      </c>
      <c r="BJ37" s="127">
        <f>Planbase100[[#This Row],[05/05/25]]+(1-Planbase100[[#This Row],[05/05/25]])*'Plan 39'!Q20</f>
        <v>0.81847333333333339</v>
      </c>
      <c r="BK37" s="127">
        <f>Planbase100[[#This Row],[05/05/25]]+(1-Planbase100[[#This Row],[05/05/25]])*'Plan 39'!R20</f>
        <v>0.83380333333333334</v>
      </c>
      <c r="BL37" s="127">
        <f>Planbase100[[#This Row],[05/05/25]]+(1-Planbase100[[#This Row],[05/05/25]])*'Plan 39'!S20</f>
        <v>0.8491333333333333</v>
      </c>
      <c r="BM37" s="127">
        <f>Planbase100[[#This Row],[05/05/25]]+(1-Planbase100[[#This Row],[05/05/25]])*'Plan 39'!T20</f>
        <v>0.86446333333333336</v>
      </c>
      <c r="BN37" s="127">
        <f>Planbase100[[#This Row],[05/05/25]]+(1-Planbase100[[#This Row],[05/05/25]])*'Plan 39'!U20</f>
        <v>0.87979333333333332</v>
      </c>
      <c r="BO37" s="127">
        <f>Planbase100[[#This Row],[05/05/25]]+(1-Planbase100[[#This Row],[05/05/25]])*'Plan 39'!V20</f>
        <v>0.89512333333333338</v>
      </c>
      <c r="BP37" s="127">
        <f>Planbase100[[#This Row],[05/05/25]]+(1-Planbase100[[#This Row],[05/05/25]])*'Plan 39'!W20</f>
        <v>0.91045333333333334</v>
      </c>
      <c r="BQ37" s="127">
        <f>Planbase100[[#This Row],[05/05/25]]+(1-Planbase100[[#This Row],[05/05/25]])*'Plan 39'!X20</f>
        <v>0.9257833333333334</v>
      </c>
      <c r="BR37" s="127">
        <f>Planbase100[[#This Row],[05/05/25]]+(1-Planbase100[[#This Row],[05/05/25]])*'Plan 39'!Y20</f>
        <v>0.94111333333333347</v>
      </c>
      <c r="BS37" s="127">
        <f>Planbase100[[#This Row],[05/05/25]]+(1-Planbase100[[#This Row],[05/05/25]])*'Plan 39'!Z20</f>
        <v>0.95644333333333342</v>
      </c>
      <c r="BT37" s="127">
        <f>Planbase100[[#This Row],[05/05/25]]+(1-Planbase100[[#This Row],[05/05/25]])*'Plan 39'!AA20</f>
        <v>0.97177333333333338</v>
      </c>
      <c r="BU37" s="127">
        <f>Planbase100[[#This Row],[05/05/25]]+(1-Planbase100[[#This Row],[05/05/25]])*'Plan 39'!AB20</f>
        <v>0.98710333333333344</v>
      </c>
      <c r="BV37" s="127">
        <f>Planbase100[[#This Row],[05/05/25]]+(1-Planbase100[[#This Row],[05/05/25]])*'Plan 39'!AC20</f>
        <v>1</v>
      </c>
      <c r="BW37" s="127">
        <f>Planbase100[[#This Row],[05/05/25]]+(1-Planbase100[[#This Row],[05/05/25]])*'Plan 39'!AD20</f>
        <v>1</v>
      </c>
      <c r="BX37" s="127">
        <f>Planbase100[[#This Row],[05/05/25]]+(1-Planbase100[[#This Row],[05/05/25]])*'Plan 39'!AE20</f>
        <v>1</v>
      </c>
      <c r="BY37" s="127">
        <f>Planbase100[[#This Row],[05/05/25]]+(1-Planbase100[[#This Row],[05/05/25]])*'Plan 39'!AF20</f>
        <v>1</v>
      </c>
      <c r="BZ37" s="127">
        <f>Planbase100[[#This Row],[05/05/25]]+(1-Planbase100[[#This Row],[05/05/25]])*'Plan 39'!AG20</f>
        <v>1</v>
      </c>
      <c r="CA37" s="127">
        <f>Planbase100[[#This Row],[05/05/25]]+(1-Planbase100[[#This Row],[05/05/25]])*'Plan 39'!AH20</f>
        <v>1</v>
      </c>
      <c r="CB37" s="127">
        <f>Planbase100[[#This Row],[05/05/25]]+(1-Planbase100[[#This Row],[05/05/25]])*'Plan 39'!AI20</f>
        <v>1</v>
      </c>
      <c r="CC37" s="127">
        <f>Planbase100[[#This Row],[05/05/25]]+(1-Planbase100[[#This Row],[05/05/25]])*'Plan 39'!AJ20</f>
        <v>1</v>
      </c>
      <c r="CD37" s="127">
        <f>Planbase100[[#This Row],[05/05/25]]+(1-Planbase100[[#This Row],[05/05/25]])*'Plan 39'!AK20</f>
        <v>1</v>
      </c>
      <c r="CE37" s="127">
        <f>Planbase100[[#This Row],[05/05/25]]+(1-Planbase100[[#This Row],[05/05/25]])*'Plan 39'!AL20</f>
        <v>1</v>
      </c>
      <c r="CF37" s="127">
        <f>Planbase100[[#This Row],[05/05/25]]+(1-Planbase100[[#This Row],[05/05/25]])*'Plan 39'!AM20</f>
        <v>1</v>
      </c>
      <c r="CG37" s="127">
        <f>Planbase100[[#This Row],[05/05/25]]+(1-Planbase100[[#This Row],[05/05/25]])*'Plan 39'!AN20</f>
        <v>1</v>
      </c>
      <c r="CH37" s="127">
        <f>Planbase100[[#This Row],[05/05/25]]+(1-Planbase100[[#This Row],[05/05/25]])*'Plan 39'!AO20</f>
        <v>1</v>
      </c>
      <c r="CI37" s="127">
        <f>Planbase100[[#This Row],[05/05/25]]+(1-Planbase100[[#This Row],[05/05/25]])*'Plan 39'!AP20</f>
        <v>1</v>
      </c>
      <c r="CJ37" s="127">
        <f>Planbase100[[#This Row],[05/05/25]]+(1-Planbase100[[#This Row],[05/05/25]])*'Plan 39'!AQ20</f>
        <v>1</v>
      </c>
      <c r="CK37" s="127">
        <f>Planbase100[[#This Row],[05/05/25]]+(1-Planbase100[[#This Row],[05/05/25]])*'Plan 39'!AR20</f>
        <v>1</v>
      </c>
      <c r="CL37" s="127">
        <f>Planbase100[[#This Row],[05/05/25]]+(1-Planbase100[[#This Row],[05/05/25]])*'Plan 39'!AS20</f>
        <v>1</v>
      </c>
      <c r="CM37" s="127">
        <f>Planbase100[[#This Row],[05/05/25]]+(1-Planbase100[[#This Row],[05/05/25]])*'Plan 39'!AT20</f>
        <v>1</v>
      </c>
      <c r="CN37" s="127">
        <f>Planbase100[[#This Row],[05/05/25]]+(1-Planbase100[[#This Row],[05/05/25]])*'Plan 39'!AU20</f>
        <v>1</v>
      </c>
      <c r="CO37" s="127">
        <f>Planbase100[[#This Row],[05/05/25]]+(1-Planbase100[[#This Row],[05/05/25]])*'Plan 39'!AV20</f>
        <v>1</v>
      </c>
      <c r="CP37" s="127">
        <f>Planbase100[[#This Row],[05/05/25]]+(1-Planbase100[[#This Row],[05/05/25]])*'Plan 39'!AW20</f>
        <v>1</v>
      </c>
      <c r="CQ37" s="127">
        <f>Planbase100[[#This Row],[05/05/25]]+(1-Planbase100[[#This Row],[05/05/25]])*'Plan 39'!AX20</f>
        <v>1</v>
      </c>
      <c r="CR37" s="127">
        <f>Planbase100[[#This Row],[05/05/25]]+(1-Planbase100[[#This Row],[05/05/25]])*'Plan 39'!AY20</f>
        <v>1</v>
      </c>
      <c r="CS37" s="127">
        <f>Planbase100[[#This Row],[05/05/25]]+(1-Planbase100[[#This Row],[05/05/25]])*'Plan 39'!AZ20</f>
        <v>1</v>
      </c>
      <c r="CT37" s="127">
        <f>Planbase100[[#This Row],[05/05/25]]+(1-Planbase100[[#This Row],[05/05/25]])*'Plan 39'!BA20</f>
        <v>1</v>
      </c>
      <c r="CU37" s="127">
        <f>Planbase100[[#This Row],[05/05/25]]+(1-Planbase100[[#This Row],[05/05/25]])*'Plan 39'!BB20</f>
        <v>1</v>
      </c>
      <c r="CV37" s="127">
        <f>Planbase100[[#This Row],[05/05/25]]+(1-Planbase100[[#This Row],[05/05/25]])*'Plan 39'!BC20</f>
        <v>1</v>
      </c>
      <c r="CW37" s="127">
        <f>Planbase100[[#This Row],[05/05/25]]+(1-Planbase100[[#This Row],[05/05/25]])*'Plan 39'!BD20</f>
        <v>1</v>
      </c>
      <c r="CX37" s="127">
        <f>Planbase100[[#This Row],[05/05/25]]+(1-Planbase100[[#This Row],[05/05/25]])*'Plan 39'!BE20</f>
        <v>1</v>
      </c>
      <c r="CY37" s="127">
        <f>Planbase100[[#This Row],[05/05/25]]+(1-Planbase100[[#This Row],[05/05/25]])*'Plan 39'!BF20</f>
        <v>1</v>
      </c>
      <c r="CZ37" s="127">
        <f>Planbase100[[#This Row],[05/05/25]]+(1-Planbase100[[#This Row],[05/05/25]])*'Plan 39'!BG20</f>
        <v>1</v>
      </c>
      <c r="DA37" s="127">
        <f>Planbase100[[#This Row],[05/05/25]]+(1-Planbase100[[#This Row],[05/05/25]])*'Plan 39'!BH20</f>
        <v>1</v>
      </c>
      <c r="DB37" s="127">
        <f>Planbase100[[#This Row],[05/05/25]]+(1-Planbase100[[#This Row],[05/05/25]])*'Plan 39'!BI20</f>
        <v>1</v>
      </c>
      <c r="DC37" s="127">
        <f>Planbase100[[#This Row],[05/05/25]]+(1-Planbase100[[#This Row],[05/05/25]])*'Plan 39'!BJ20</f>
        <v>1</v>
      </c>
      <c r="DD37" s="127">
        <f>Planbase100[[#This Row],[05/05/25]]+(1-Planbase100[[#This Row],[05/05/25]])*'Plan 39'!BK20</f>
        <v>1</v>
      </c>
      <c r="DE37" s="127">
        <f>Planbase100[[#This Row],[05/05/25]]+(1-Planbase100[[#This Row],[05/05/25]])*'Plan 39'!BL20</f>
        <v>1</v>
      </c>
      <c r="DF37" s="127">
        <f>Planbase100[[#This Row],[05/05/25]]+(1-Planbase100[[#This Row],[05/05/25]])*'Plan 39'!BM20</f>
        <v>1</v>
      </c>
      <c r="DG37" s="127">
        <f>Planbase100[[#This Row],[19/05/25]]+(1-Planbase100[[#This Row],[19/05/25]])*'Plan 39'!BN20</f>
        <v>1</v>
      </c>
      <c r="DH37" s="127">
        <f>Planbase100[[#This Row],[26/05/25]]+(1-Planbase100[[#This Row],[26/05/25]])*'Plan 39'!BO20</f>
        <v>1</v>
      </c>
      <c r="DI37" s="127">
        <f>Planbase100[[#This Row],[02/06/25]]+(1-Planbase100[[#This Row],[02/06/25]])*'Plan 39'!BP20</f>
        <v>1</v>
      </c>
      <c r="DJ37" s="127">
        <f>Planbase100[[#This Row],[09/06/25]]+(1-Planbase100[[#This Row],[09/06/25]])*'Plan 39'!BQ20</f>
        <v>1</v>
      </c>
      <c r="DK37" s="127">
        <f>Planbase100[[#This Row],[16/06/25]]+(1-Planbase100[[#This Row],[16/06/25]])*'Plan 39'!BR20</f>
        <v>1</v>
      </c>
      <c r="DL37" s="127">
        <f>Planbase100[[#This Row],[23/06/25]]+(1-Planbase100[[#This Row],[23/06/25]])*'Plan 39'!BS20</f>
        <v>1</v>
      </c>
      <c r="DM37" s="127">
        <f>Planbase100[[#This Row],[30/06/25]]+(1-Planbase100[[#This Row],[30/06/25]])*'Plan 39'!BT20</f>
        <v>1</v>
      </c>
      <c r="DN37" s="127">
        <f>Planbase100[[#This Row],[07/07/25]]+(1-Planbase100[[#This Row],[07/07/25]])*'Plan 39'!BU20</f>
        <v>1</v>
      </c>
      <c r="DO37" s="127">
        <f>Planbase100[[#This Row],[14/07/25]]+(1-Planbase100[[#This Row],[14/07/25]])*'Plan 39'!BV20</f>
        <v>1</v>
      </c>
      <c r="DP37" s="127">
        <f>Planbase100[[#This Row],[21/07/25]]+(1-Planbase100[[#This Row],[21/07/25]])*'Plan 39'!BW20</f>
        <v>1</v>
      </c>
      <c r="DQ37" s="127">
        <f>Planbase100[[#This Row],[28/07/25]]+(1-Planbase100[[#This Row],[28/07/25]])*'Plan 39'!BX20</f>
        <v>1</v>
      </c>
      <c r="DR37" s="127">
        <f>Planbase100[[#This Row],[04/08/25]]+(1-Planbase100[[#This Row],[04/08/25]])*'Plan 39'!BY20</f>
        <v>1</v>
      </c>
      <c r="DS37" s="127">
        <f>Planbase100[[#This Row],[11/08/25]]+(1-Planbase100[[#This Row],[11/08/25]])*'Plan 39'!BZ20</f>
        <v>1</v>
      </c>
      <c r="DT37" s="127">
        <f>Planbase100[[#This Row],[18/08/25]]+(1-Planbase100[[#This Row],[18/08/25]])*'Plan 39'!CA20</f>
        <v>1</v>
      </c>
      <c r="DU37" s="127">
        <f>Planbase100[[#This Row],[25/08/25]]+(1-Planbase100[[#This Row],[25/08/25]])*'Plan 39'!CB20</f>
        <v>1</v>
      </c>
      <c r="DV37" s="127">
        <f>Planbase100[[#This Row],[01/09/25]]+(1-Planbase100[[#This Row],[01/09/25]])*'Plan 39'!CC20</f>
        <v>1</v>
      </c>
      <c r="DW37" s="127">
        <f>Planbase100[[#This Row],[08/09/25]]+(1-Planbase100[[#This Row],[08/09/25]])*'Plan 39'!CD20</f>
        <v>1</v>
      </c>
      <c r="DX37" s="127">
        <f>Planbase100[[#This Row],[15/09/25]]+(1-Planbase100[[#This Row],[15/09/25]])*'Plan 39'!CE20</f>
        <v>1</v>
      </c>
      <c r="DY37" s="127">
        <f>Planbase100[[#This Row],[22/09/25]]+(1-Planbase100[[#This Row],[22/09/25]])*'Plan 39'!CF20</f>
        <v>1</v>
      </c>
      <c r="DZ37" s="127">
        <f>Planbase100[[#This Row],[29/09/25]]+(1-Planbase100[[#This Row],[29/09/25]])*'Plan 39'!CG20</f>
        <v>1</v>
      </c>
      <c r="EA37" s="127">
        <f>Planbase100[[#This Row],[06/10/25]]+(1-Planbase100[[#This Row],[06/10/25]])*'Plan 39'!CH20</f>
        <v>1</v>
      </c>
      <c r="EB37" s="127">
        <f>Planbase100[[#This Row],[13/10/25]]+(1-Planbase100[[#This Row],[13/10/25]])*'Plan 39'!CI20</f>
        <v>1</v>
      </c>
      <c r="EC37" s="127">
        <f>Planbase100[[#This Row],[20/10/25]]+(1-Planbase100[[#This Row],[20/10/25]])*'Plan 39'!CJ20</f>
        <v>1</v>
      </c>
      <c r="ED37" s="127">
        <f>Planbase100[[#This Row],[27/10/25]]+(1-Planbase100[[#This Row],[27/10/25]])*'Plan 39'!CK20</f>
        <v>1</v>
      </c>
      <c r="EE37" s="127">
        <f>Planbase100[[#This Row],[03/11/25]]+(1-Planbase100[[#This Row],[03/11/25]])*'Plan 39'!CL20</f>
        <v>1</v>
      </c>
      <c r="EF37" s="127">
        <f>Planbase100[[#This Row],[10/11/25]]+(1-Planbase100[[#This Row],[10/11/25]])*'Plan 39'!CM20</f>
        <v>1</v>
      </c>
      <c r="EG37" s="127">
        <f>Planbase100[[#This Row],[17/11/25]]+(1-Planbase100[[#This Row],[17/11/25]])*'Plan 39'!CN20</f>
        <v>1</v>
      </c>
      <c r="EH37" s="127">
        <f>Planbase100[[#This Row],[24/11/25]]+(1-Planbase100[[#This Row],[24/11/25]])*'Plan 39'!CO20</f>
        <v>1</v>
      </c>
      <c r="EI37" s="127">
        <f>Planbase100[[#This Row],[01/12/25]]+(1-Planbase100[[#This Row],[01/12/25]])*'Plan 39'!CP20</f>
        <v>1</v>
      </c>
    </row>
    <row r="38" spans="2:139" ht="15" hidden="1" outlineLevel="2" collapsed="1" x14ac:dyDescent="0.3">
      <c r="B38" s="22"/>
      <c r="C38" s="23"/>
      <c r="D38" s="23" t="s">
        <v>43</v>
      </c>
      <c r="E38" s="50"/>
      <c r="F38" s="26">
        <f>+SUM(F39:F40)</f>
        <v>80</v>
      </c>
      <c r="G38" s="28">
        <v>0.202410671178782</v>
      </c>
      <c r="H38" s="51"/>
      <c r="I38" s="125">
        <f>+SUMPRODUCT($G$39:$G$40,I39:I40)</f>
        <v>0</v>
      </c>
      <c r="J38" s="28">
        <f>+SUMPRODUCT($G$39:$G$40,J39:J40)</f>
        <v>0</v>
      </c>
      <c r="K38" s="28">
        <f t="shared" ref="K38:BB38" si="164">+SUMPRODUCT($G$39:$G$40,K39:K40)</f>
        <v>0</v>
      </c>
      <c r="L38" s="28">
        <f t="shared" si="164"/>
        <v>0</v>
      </c>
      <c r="M38" s="64">
        <f t="shared" si="164"/>
        <v>0</v>
      </c>
      <c r="N38" s="64">
        <f t="shared" si="164"/>
        <v>0</v>
      </c>
      <c r="O38" s="28">
        <f t="shared" si="164"/>
        <v>0</v>
      </c>
      <c r="P38" s="28">
        <f t="shared" si="164"/>
        <v>0</v>
      </c>
      <c r="Q38" s="28">
        <f t="shared" si="164"/>
        <v>0</v>
      </c>
      <c r="R38" s="28">
        <f t="shared" si="164"/>
        <v>0</v>
      </c>
      <c r="S38" s="28">
        <f t="shared" si="164"/>
        <v>0</v>
      </c>
      <c r="T38" s="28">
        <f t="shared" si="164"/>
        <v>0</v>
      </c>
      <c r="U38" s="28">
        <f t="shared" si="164"/>
        <v>0</v>
      </c>
      <c r="V38" s="28">
        <f t="shared" si="164"/>
        <v>0</v>
      </c>
      <c r="W38" s="28">
        <f t="shared" si="164"/>
        <v>0</v>
      </c>
      <c r="X38" s="28">
        <f t="shared" si="164"/>
        <v>0</v>
      </c>
      <c r="Y38" s="28">
        <f t="shared" si="164"/>
        <v>2.7560500000000005E-2</v>
      </c>
      <c r="Z38" s="28">
        <f t="shared" si="164"/>
        <v>6.9046066666666683E-2</v>
      </c>
      <c r="AA38" s="28">
        <f t="shared" si="164"/>
        <v>9.0913766666666687E-2</v>
      </c>
      <c r="AB38" s="28">
        <f t="shared" si="164"/>
        <v>0.10046100000000001</v>
      </c>
      <c r="AC38" s="28">
        <f t="shared" si="164"/>
        <v>0.11705346666666669</v>
      </c>
      <c r="AD38" s="28">
        <f t="shared" si="164"/>
        <v>0.12932510000000003</v>
      </c>
      <c r="AE38" s="28">
        <f t="shared" si="164"/>
        <v>0.15926783285333337</v>
      </c>
      <c r="AF38" s="28">
        <f t="shared" si="164"/>
        <v>0.16144422785333334</v>
      </c>
      <c r="AG38" s="28">
        <f t="shared" si="164"/>
        <v>0.16413357785333335</v>
      </c>
      <c r="AH38" s="28">
        <f t="shared" si="164"/>
        <v>0.16413357785333335</v>
      </c>
      <c r="AI38" s="28">
        <f>+SUMPRODUCT($G$39:$G$40,AI39:AI40)</f>
        <v>0.16413357785333335</v>
      </c>
      <c r="AJ38" s="28">
        <f>+SUMPRODUCT($G$39:$G$40,AJ39:AJ40)</f>
        <v>0.16413357785333335</v>
      </c>
      <c r="AK38" s="28">
        <f t="shared" si="164"/>
        <v>0.16413357785333335</v>
      </c>
      <c r="AL38" s="28">
        <f t="shared" si="164"/>
        <v>0.16503978804333336</v>
      </c>
      <c r="AM38" s="28">
        <f t="shared" si="164"/>
        <v>0.17299000285333335</v>
      </c>
      <c r="AN38" s="28">
        <f t="shared" si="164"/>
        <v>0.18333333333333338</v>
      </c>
      <c r="AO38" s="28">
        <f t="shared" si="164"/>
        <v>0.20442424242424245</v>
      </c>
      <c r="AP38" s="28">
        <f t="shared" si="164"/>
        <v>0.24642424242424246</v>
      </c>
      <c r="AQ38" s="28">
        <f t="shared" si="164"/>
        <v>0.29945454545454553</v>
      </c>
      <c r="AR38" s="28">
        <f t="shared" si="164"/>
        <v>0.34393556060606068</v>
      </c>
      <c r="AS38" s="28">
        <f t="shared" si="164"/>
        <v>0.35127919696969701</v>
      </c>
      <c r="AT38" s="28">
        <f t="shared" si="164"/>
        <v>0.35670536363636368</v>
      </c>
      <c r="AU38" s="28">
        <f t="shared" si="164"/>
        <v>0.35670536363636368</v>
      </c>
      <c r="AV38" s="28">
        <f t="shared" si="164"/>
        <v>0.37433566666666673</v>
      </c>
      <c r="AW38" s="28">
        <f t="shared" si="164"/>
        <v>0.39603112121212125</v>
      </c>
      <c r="AX38" s="28">
        <f t="shared" si="164"/>
        <v>0.43878693939393942</v>
      </c>
      <c r="AY38" s="28">
        <f t="shared" si="164"/>
        <v>0.43878693939393942</v>
      </c>
      <c r="AZ38" s="28">
        <f t="shared" si="164"/>
        <v>0.44848390909090907</v>
      </c>
      <c r="BA38" s="28">
        <f t="shared" si="164"/>
        <v>0.49656269696969701</v>
      </c>
      <c r="BB38" s="28">
        <f t="shared" si="164"/>
        <v>0.51991742286501375</v>
      </c>
      <c r="BC38" s="28">
        <f t="shared" ref="BC38:CE38" si="165">+SUMPRODUCT($G$39:$G$40,BC39:BC40)</f>
        <v>0.54931043483471076</v>
      </c>
      <c r="BD38" s="28">
        <f t="shared" si="165"/>
        <v>0.58388678013774098</v>
      </c>
      <c r="BE38" s="28">
        <f t="shared" si="165"/>
        <v>0.62053645877410468</v>
      </c>
      <c r="BF38" s="28">
        <f t="shared" si="165"/>
        <v>0.65718613741046839</v>
      </c>
      <c r="BG38" s="28">
        <f t="shared" si="165"/>
        <v>0.69176248271349849</v>
      </c>
      <c r="BH38" s="28">
        <f t="shared" si="165"/>
        <v>0.72115549468319562</v>
      </c>
      <c r="BI38" s="28">
        <f t="shared" si="165"/>
        <v>0.74329183998622583</v>
      </c>
      <c r="BJ38" s="28">
        <f t="shared" si="165"/>
        <v>0.76231818528925621</v>
      </c>
      <c r="BK38" s="28">
        <f t="shared" si="165"/>
        <v>0.78030786392561979</v>
      </c>
      <c r="BL38" s="28">
        <f t="shared" si="165"/>
        <v>0.79829754256198338</v>
      </c>
      <c r="BM38" s="28">
        <f t="shared" si="165"/>
        <v>0.81628722119834707</v>
      </c>
      <c r="BN38" s="28">
        <f t="shared" si="165"/>
        <v>0.83427689983471065</v>
      </c>
      <c r="BO38" s="28">
        <f t="shared" si="165"/>
        <v>0.85226657847107434</v>
      </c>
      <c r="BP38" s="28">
        <f t="shared" si="165"/>
        <v>0.87025625710743792</v>
      </c>
      <c r="BQ38" s="28">
        <f t="shared" si="165"/>
        <v>0.88824593574380162</v>
      </c>
      <c r="BR38" s="28">
        <f t="shared" si="165"/>
        <v>0.9062356143801652</v>
      </c>
      <c r="BS38" s="28">
        <f t="shared" si="165"/>
        <v>0.924225293016529</v>
      </c>
      <c r="BT38" s="28">
        <f t="shared" si="165"/>
        <v>0.94221497165289259</v>
      </c>
      <c r="BU38" s="28">
        <f t="shared" si="165"/>
        <v>0.96020465028925628</v>
      </c>
      <c r="BV38" s="28">
        <f t="shared" si="165"/>
        <v>0.97819432892561986</v>
      </c>
      <c r="BW38" s="28">
        <f t="shared" si="165"/>
        <v>1</v>
      </c>
      <c r="BX38" s="28">
        <f t="shared" si="165"/>
        <v>1</v>
      </c>
      <c r="BY38" s="28">
        <f t="shared" si="165"/>
        <v>1</v>
      </c>
      <c r="BZ38" s="28">
        <f t="shared" si="165"/>
        <v>1</v>
      </c>
      <c r="CA38" s="28">
        <f t="shared" si="165"/>
        <v>1</v>
      </c>
      <c r="CB38" s="28">
        <f t="shared" si="165"/>
        <v>1</v>
      </c>
      <c r="CC38" s="28">
        <f t="shared" si="165"/>
        <v>1</v>
      </c>
      <c r="CD38" s="28">
        <f t="shared" si="165"/>
        <v>1</v>
      </c>
      <c r="CE38" s="28">
        <f t="shared" si="165"/>
        <v>1</v>
      </c>
      <c r="CF38" s="28">
        <f t="shared" ref="CF38:CI38" si="166">+SUMPRODUCT($G$39:$G$40,CF39:CF40)</f>
        <v>1</v>
      </c>
      <c r="CG38" s="28">
        <f t="shared" si="166"/>
        <v>1</v>
      </c>
      <c r="CH38" s="28">
        <f t="shared" si="166"/>
        <v>1</v>
      </c>
      <c r="CI38" s="28">
        <f t="shared" si="166"/>
        <v>1</v>
      </c>
      <c r="CJ38" s="28">
        <f t="shared" ref="CJ38:CK38" si="167">+SUMPRODUCT($G$39:$G$40,CJ39:CJ40)</f>
        <v>1</v>
      </c>
      <c r="CK38" s="28">
        <f t="shared" si="167"/>
        <v>1</v>
      </c>
      <c r="CL38" s="28">
        <f t="shared" ref="CL38" si="168">+SUMPRODUCT($G$39:$G$40,CL39:CL40)</f>
        <v>1</v>
      </c>
      <c r="CM38" s="28">
        <f t="shared" ref="CM38:CV38" si="169">+SUMPRODUCT($G$39:$G$40,CM39:CM40)</f>
        <v>1</v>
      </c>
      <c r="CN38" s="28">
        <f t="shared" si="169"/>
        <v>1</v>
      </c>
      <c r="CO38" s="28">
        <f t="shared" si="169"/>
        <v>1</v>
      </c>
      <c r="CP38" s="28">
        <f t="shared" si="169"/>
        <v>1</v>
      </c>
      <c r="CQ38" s="28">
        <f t="shared" si="169"/>
        <v>1</v>
      </c>
      <c r="CR38" s="28">
        <f t="shared" si="169"/>
        <v>1</v>
      </c>
      <c r="CS38" s="28">
        <f t="shared" si="169"/>
        <v>1</v>
      </c>
      <c r="CT38" s="28">
        <f t="shared" si="169"/>
        <v>1</v>
      </c>
      <c r="CU38" s="28">
        <f t="shared" si="169"/>
        <v>1</v>
      </c>
      <c r="CV38" s="28">
        <f t="shared" si="169"/>
        <v>1</v>
      </c>
      <c r="CW38" s="28">
        <f t="shared" ref="CW38" si="170">+SUMPRODUCT($G$39:$G$40,CW39:CW40)</f>
        <v>1</v>
      </c>
      <c r="CX38" s="28">
        <f t="shared" ref="CX38:CY38" si="171">+SUMPRODUCT($G$39:$G$40,CX39:CX40)</f>
        <v>1</v>
      </c>
      <c r="CY38" s="28">
        <f t="shared" si="171"/>
        <v>1</v>
      </c>
      <c r="CZ38" s="28">
        <f t="shared" ref="CZ38:DA38" si="172">+SUMPRODUCT($G$39:$G$40,CZ39:CZ40)</f>
        <v>1</v>
      </c>
      <c r="DA38" s="28">
        <f t="shared" si="172"/>
        <v>1</v>
      </c>
      <c r="DB38" s="28">
        <f t="shared" ref="DB38:DC38" si="173">+SUMPRODUCT($G$39:$G$40,DB39:DB40)</f>
        <v>1</v>
      </c>
      <c r="DC38" s="28">
        <f t="shared" si="173"/>
        <v>1</v>
      </c>
      <c r="DD38" s="28">
        <f t="shared" ref="DD38:DE38" si="174">+SUMPRODUCT($G$39:$G$40,DD39:DD40)</f>
        <v>1</v>
      </c>
      <c r="DE38" s="28">
        <f t="shared" si="174"/>
        <v>1</v>
      </c>
      <c r="DF38" s="28">
        <f t="shared" ref="DF38" si="175">+SUMPRODUCT($G$39:$G$40,DF39:DF40)</f>
        <v>1</v>
      </c>
      <c r="DG38" s="28">
        <f t="shared" ref="DG38:DJ38" si="176">+SUMPRODUCT($G$39:$G$40,DG39:DG40)</f>
        <v>1</v>
      </c>
      <c r="DH38" s="28">
        <f t="shared" si="176"/>
        <v>1</v>
      </c>
      <c r="DI38" s="28">
        <f t="shared" si="176"/>
        <v>1</v>
      </c>
      <c r="DJ38" s="28">
        <f t="shared" si="176"/>
        <v>1</v>
      </c>
      <c r="DK38" s="28">
        <f t="shared" ref="DK38:EI38" si="177">+SUMPRODUCT($G$39:$G$40,DK39:DK40)</f>
        <v>1</v>
      </c>
      <c r="DL38" s="28">
        <f t="shared" si="177"/>
        <v>1</v>
      </c>
      <c r="DM38" s="28">
        <f t="shared" si="177"/>
        <v>1</v>
      </c>
      <c r="DN38" s="28">
        <f t="shared" si="177"/>
        <v>1</v>
      </c>
      <c r="DO38" s="28">
        <f t="shared" si="177"/>
        <v>1</v>
      </c>
      <c r="DP38" s="28">
        <f t="shared" si="177"/>
        <v>1</v>
      </c>
      <c r="DQ38" s="28">
        <f t="shared" si="177"/>
        <v>1</v>
      </c>
      <c r="DR38" s="28">
        <f t="shared" si="177"/>
        <v>1</v>
      </c>
      <c r="DS38" s="28">
        <f t="shared" si="177"/>
        <v>1</v>
      </c>
      <c r="DT38" s="28">
        <f t="shared" si="177"/>
        <v>1</v>
      </c>
      <c r="DU38" s="28">
        <f t="shared" si="177"/>
        <v>1</v>
      </c>
      <c r="DV38" s="28">
        <f t="shared" si="177"/>
        <v>1</v>
      </c>
      <c r="DW38" s="28">
        <f t="shared" si="177"/>
        <v>1</v>
      </c>
      <c r="DX38" s="28">
        <f t="shared" si="177"/>
        <v>1</v>
      </c>
      <c r="DY38" s="28">
        <f t="shared" si="177"/>
        <v>1</v>
      </c>
      <c r="DZ38" s="28">
        <f t="shared" si="177"/>
        <v>1</v>
      </c>
      <c r="EA38" s="28">
        <f t="shared" si="177"/>
        <v>1</v>
      </c>
      <c r="EB38" s="28">
        <f t="shared" si="177"/>
        <v>1</v>
      </c>
      <c r="EC38" s="28">
        <f t="shared" si="177"/>
        <v>1</v>
      </c>
      <c r="ED38" s="28">
        <f t="shared" si="177"/>
        <v>1</v>
      </c>
      <c r="EE38" s="28">
        <f t="shared" si="177"/>
        <v>1</v>
      </c>
      <c r="EF38" s="28">
        <f t="shared" si="177"/>
        <v>1</v>
      </c>
      <c r="EG38" s="28">
        <f t="shared" si="177"/>
        <v>1</v>
      </c>
      <c r="EH38" s="28">
        <f t="shared" si="177"/>
        <v>1</v>
      </c>
      <c r="EI38" s="28">
        <f t="shared" si="177"/>
        <v>1</v>
      </c>
    </row>
    <row r="39" spans="2:139" hidden="1" outlineLevel="3" x14ac:dyDescent="0.3">
      <c r="B39" s="29"/>
      <c r="C39" s="30"/>
      <c r="D39" s="30"/>
      <c r="E39" s="52" t="s">
        <v>44</v>
      </c>
      <c r="F39" s="33">
        <v>40</v>
      </c>
      <c r="G39" s="35">
        <v>0.66666666666666663</v>
      </c>
      <c r="H39" s="53"/>
      <c r="I39" s="126">
        <v>0</v>
      </c>
      <c r="J39" s="127">
        <v>0</v>
      </c>
      <c r="K39" s="127">
        <v>0</v>
      </c>
      <c r="L39" s="127">
        <v>0</v>
      </c>
      <c r="M39" s="128">
        <v>0</v>
      </c>
      <c r="N39" s="128">
        <v>0</v>
      </c>
      <c r="O39" s="127">
        <v>0</v>
      </c>
      <c r="P39" s="127">
        <v>0</v>
      </c>
      <c r="Q39" s="127">
        <v>0</v>
      </c>
      <c r="R39" s="127">
        <v>0</v>
      </c>
      <c r="S39" s="127">
        <v>0</v>
      </c>
      <c r="T39" s="127">
        <v>0</v>
      </c>
      <c r="U39" s="127">
        <v>0</v>
      </c>
      <c r="V39" s="127">
        <v>0</v>
      </c>
      <c r="W39" s="127">
        <v>0</v>
      </c>
      <c r="X39" s="127">
        <v>0</v>
      </c>
      <c r="Y39" s="127">
        <v>0</v>
      </c>
      <c r="Z39" s="127">
        <v>0</v>
      </c>
      <c r="AA39" s="127">
        <v>0</v>
      </c>
      <c r="AB39" s="127">
        <v>0</v>
      </c>
      <c r="AC39" s="127">
        <v>0</v>
      </c>
      <c r="AD39" s="127">
        <v>0</v>
      </c>
      <c r="AE39" s="127">
        <v>0</v>
      </c>
      <c r="AF39" s="127">
        <v>0</v>
      </c>
      <c r="AG39" s="127">
        <v>0</v>
      </c>
      <c r="AH39" s="127">
        <v>0</v>
      </c>
      <c r="AI39" s="127">
        <v>0</v>
      </c>
      <c r="AJ39" s="127">
        <v>0</v>
      </c>
      <c r="AK39" s="127">
        <v>0</v>
      </c>
      <c r="AL39" s="127">
        <v>0</v>
      </c>
      <c r="AM39" s="127">
        <v>0</v>
      </c>
      <c r="AN39" s="127">
        <v>0</v>
      </c>
      <c r="AO39" s="127">
        <v>3.1636363636363636E-2</v>
      </c>
      <c r="AP39" s="127">
        <v>9.4636363636363643E-2</v>
      </c>
      <c r="AQ39" s="127">
        <v>0.17418181818181822</v>
      </c>
      <c r="AR39" s="127">
        <v>0.24090334090909094</v>
      </c>
      <c r="AS39" s="127">
        <v>0.25191879545454549</v>
      </c>
      <c r="AT39" s="127">
        <v>0.26005804545454547</v>
      </c>
      <c r="AU39" s="127">
        <v>0.26005804545454547</v>
      </c>
      <c r="AV39" s="127">
        <v>0.28650350000000002</v>
      </c>
      <c r="AW39" s="127">
        <v>0.3190466818181818</v>
      </c>
      <c r="AX39" s="127">
        <v>0.38318040909090917</v>
      </c>
      <c r="AY39" s="127">
        <v>0.38318040909090917</v>
      </c>
      <c r="AZ39" s="127">
        <v>0.39772586363636364</v>
      </c>
      <c r="BA39" s="127">
        <v>0.40034404545454544</v>
      </c>
      <c r="BB39" s="127">
        <f>Planbase100[[#This Row],[05/05/25]]+(1-Planbase100[[#This Row],[05/05/25]])*'Plan 39'!I22</f>
        <v>0.42760113429752067</v>
      </c>
      <c r="BC39" s="127">
        <f>Planbase100[[#This Row],[05/05/25]]+(1-Planbase100[[#This Row],[05/05/25]])*'Plan 39'!J22</f>
        <v>0.4545856522520661</v>
      </c>
      <c r="BD39" s="127">
        <f>Planbase100[[#This Row],[05/05/25]]+(1-Planbase100[[#This Row],[05/05/25]])*'Plan 39'!K22</f>
        <v>0.48157017020661153</v>
      </c>
      <c r="BE39" s="127">
        <f>Planbase100[[#This Row],[05/05/25]]+(1-Planbase100[[#This Row],[05/05/25]])*'Plan 39'!L22</f>
        <v>0.50855468816115701</v>
      </c>
      <c r="BF39" s="127">
        <f>Planbase100[[#This Row],[05/05/25]]+(1-Planbase100[[#This Row],[05/05/25]])*'Plan 39'!M22</f>
        <v>0.53553920611570249</v>
      </c>
      <c r="BG39" s="127">
        <f>Planbase100[[#This Row],[05/05/25]]+(1-Planbase100[[#This Row],[05/05/25]])*'Plan 39'!N22</f>
        <v>0.56252372407024787</v>
      </c>
      <c r="BH39" s="127">
        <f>Planbase100[[#This Row],[05/05/25]]+(1-Planbase100[[#This Row],[05/05/25]])*'Plan 39'!O22</f>
        <v>0.58950824202479335</v>
      </c>
      <c r="BI39" s="127">
        <f>Planbase100[[#This Row],[05/05/25]]+(1-Planbase100[[#This Row],[05/05/25]])*'Plan 39'!P22</f>
        <v>0.61649275997933872</v>
      </c>
      <c r="BJ39" s="127">
        <f>Planbase100[[#This Row],[05/05/25]]+(1-Planbase100[[#This Row],[05/05/25]])*'Plan 39'!Q22</f>
        <v>0.64347727793388421</v>
      </c>
      <c r="BK39" s="127">
        <f>Planbase100[[#This Row],[05/05/25]]+(1-Planbase100[[#This Row],[05/05/25]])*'Plan 39'!R22</f>
        <v>0.67046179588842958</v>
      </c>
      <c r="BL39" s="127">
        <f>Planbase100[[#This Row],[05/05/25]]+(1-Planbase100[[#This Row],[05/05/25]])*'Plan 39'!S22</f>
        <v>0.69744631384297506</v>
      </c>
      <c r="BM39" s="127">
        <f>Planbase100[[#This Row],[05/05/25]]+(1-Planbase100[[#This Row],[05/05/25]])*'Plan 39'!T22</f>
        <v>0.72443083179752055</v>
      </c>
      <c r="BN39" s="127">
        <f>Planbase100[[#This Row],[05/05/25]]+(1-Planbase100[[#This Row],[05/05/25]])*'Plan 39'!U22</f>
        <v>0.75141534975206603</v>
      </c>
      <c r="BO39" s="127">
        <f>Planbase100[[#This Row],[05/05/25]]+(1-Planbase100[[#This Row],[05/05/25]])*'Plan 39'!V22</f>
        <v>0.77839986770661151</v>
      </c>
      <c r="BP39" s="127">
        <f>Planbase100[[#This Row],[05/05/25]]+(1-Planbase100[[#This Row],[05/05/25]])*'Plan 39'!W22</f>
        <v>0.80538438566115689</v>
      </c>
      <c r="BQ39" s="127">
        <f>Planbase100[[#This Row],[05/05/25]]+(1-Planbase100[[#This Row],[05/05/25]])*'Plan 39'!X22</f>
        <v>0.83236890361570248</v>
      </c>
      <c r="BR39" s="127">
        <f>Planbase100[[#This Row],[05/05/25]]+(1-Planbase100[[#This Row],[05/05/25]])*'Plan 39'!Y22</f>
        <v>0.85935342157024786</v>
      </c>
      <c r="BS39" s="127">
        <f>Planbase100[[#This Row],[05/05/25]]+(1-Planbase100[[#This Row],[05/05/25]])*'Plan 39'!Z22</f>
        <v>0.88633793952479345</v>
      </c>
      <c r="BT39" s="127">
        <f>Planbase100[[#This Row],[05/05/25]]+(1-Planbase100[[#This Row],[05/05/25]])*'Plan 39'!AA22</f>
        <v>0.91332245747933882</v>
      </c>
      <c r="BU39" s="127">
        <f>Planbase100[[#This Row],[05/05/25]]+(1-Planbase100[[#This Row],[05/05/25]])*'Plan 39'!AB22</f>
        <v>0.94030697543388442</v>
      </c>
      <c r="BV39" s="127">
        <f>Planbase100[[#This Row],[05/05/25]]+(1-Planbase100[[#This Row],[05/05/25]])*'Plan 39'!AC22</f>
        <v>0.96729149338842979</v>
      </c>
      <c r="BW39" s="127">
        <f>Planbase100[[#This Row],[05/05/25]]+(1-Planbase100[[#This Row],[05/05/25]])*'Plan 39'!AD22</f>
        <v>1</v>
      </c>
      <c r="BX39" s="127">
        <f>Planbase100[[#This Row],[05/05/25]]+(1-Planbase100[[#This Row],[05/05/25]])*'Plan 39'!AE22</f>
        <v>1</v>
      </c>
      <c r="BY39" s="127">
        <f>Planbase100[[#This Row],[05/05/25]]+(1-Planbase100[[#This Row],[05/05/25]])*'Plan 39'!AF22</f>
        <v>1</v>
      </c>
      <c r="BZ39" s="127">
        <f>Planbase100[[#This Row],[05/05/25]]+(1-Planbase100[[#This Row],[05/05/25]])*'Plan 39'!AG22</f>
        <v>1</v>
      </c>
      <c r="CA39" s="127">
        <f>Planbase100[[#This Row],[05/05/25]]+(1-Planbase100[[#This Row],[05/05/25]])*'Plan 39'!AH22</f>
        <v>1</v>
      </c>
      <c r="CB39" s="127">
        <f>Planbase100[[#This Row],[05/05/25]]+(1-Planbase100[[#This Row],[05/05/25]])*'Plan 39'!AI22</f>
        <v>1</v>
      </c>
      <c r="CC39" s="127">
        <f>Planbase100[[#This Row],[05/05/25]]+(1-Planbase100[[#This Row],[05/05/25]])*'Plan 39'!AJ22</f>
        <v>1</v>
      </c>
      <c r="CD39" s="127">
        <f>Planbase100[[#This Row],[05/05/25]]+(1-Planbase100[[#This Row],[05/05/25]])*'Plan 39'!AK22</f>
        <v>1</v>
      </c>
      <c r="CE39" s="127">
        <f>Planbase100[[#This Row],[05/05/25]]+(1-Planbase100[[#This Row],[05/05/25]])*'Plan 39'!AL22</f>
        <v>1</v>
      </c>
      <c r="CF39" s="127">
        <f>Planbase100[[#This Row],[05/05/25]]+(1-Planbase100[[#This Row],[05/05/25]])*'Plan 39'!AM22</f>
        <v>1</v>
      </c>
      <c r="CG39" s="127">
        <f>Planbase100[[#This Row],[05/05/25]]+(1-Planbase100[[#This Row],[05/05/25]])*'Plan 39'!AN22</f>
        <v>1</v>
      </c>
      <c r="CH39" s="127">
        <f>Planbase100[[#This Row],[05/05/25]]+(1-Planbase100[[#This Row],[05/05/25]])*'Plan 39'!AO22</f>
        <v>1</v>
      </c>
      <c r="CI39" s="127">
        <f>Planbase100[[#This Row],[05/05/25]]+(1-Planbase100[[#This Row],[05/05/25]])*'Plan 39'!AP22</f>
        <v>1</v>
      </c>
      <c r="CJ39" s="127">
        <f>Planbase100[[#This Row],[05/05/25]]+(1-Planbase100[[#This Row],[05/05/25]])*'Plan 39'!AQ22</f>
        <v>1</v>
      </c>
      <c r="CK39" s="127">
        <f>Planbase100[[#This Row],[05/05/25]]+(1-Planbase100[[#This Row],[05/05/25]])*'Plan 39'!AR22</f>
        <v>1</v>
      </c>
      <c r="CL39" s="127">
        <f>Planbase100[[#This Row],[05/05/25]]+(1-Planbase100[[#This Row],[05/05/25]])*'Plan 39'!AS22</f>
        <v>1</v>
      </c>
      <c r="CM39" s="127">
        <f>Planbase100[[#This Row],[05/05/25]]+(1-Planbase100[[#This Row],[05/05/25]])*'Plan 39'!AT22</f>
        <v>1</v>
      </c>
      <c r="CN39" s="127">
        <f>Planbase100[[#This Row],[05/05/25]]+(1-Planbase100[[#This Row],[05/05/25]])*'Plan 39'!AU22</f>
        <v>1</v>
      </c>
      <c r="CO39" s="127">
        <f>Planbase100[[#This Row],[05/05/25]]+(1-Planbase100[[#This Row],[05/05/25]])*'Plan 39'!AV22</f>
        <v>1</v>
      </c>
      <c r="CP39" s="127">
        <f>Planbase100[[#This Row],[05/05/25]]+(1-Planbase100[[#This Row],[05/05/25]])*'Plan 39'!AW22</f>
        <v>1</v>
      </c>
      <c r="CQ39" s="127">
        <f>Planbase100[[#This Row],[05/05/25]]+(1-Planbase100[[#This Row],[05/05/25]])*'Plan 39'!AX22</f>
        <v>1</v>
      </c>
      <c r="CR39" s="127">
        <f>Planbase100[[#This Row],[05/05/25]]+(1-Planbase100[[#This Row],[05/05/25]])*'Plan 39'!AY22</f>
        <v>1</v>
      </c>
      <c r="CS39" s="127">
        <f>Planbase100[[#This Row],[05/05/25]]+(1-Planbase100[[#This Row],[05/05/25]])*'Plan 39'!AZ22</f>
        <v>1</v>
      </c>
      <c r="CT39" s="127">
        <f>Planbase100[[#This Row],[05/05/25]]+(1-Planbase100[[#This Row],[05/05/25]])*'Plan 39'!BA22</f>
        <v>1</v>
      </c>
      <c r="CU39" s="127">
        <f>Planbase100[[#This Row],[05/05/25]]+(1-Planbase100[[#This Row],[05/05/25]])*'Plan 39'!BB22</f>
        <v>1</v>
      </c>
      <c r="CV39" s="127">
        <f>Planbase100[[#This Row],[05/05/25]]+(1-Planbase100[[#This Row],[05/05/25]])*'Plan 39'!BC22</f>
        <v>1</v>
      </c>
      <c r="CW39" s="127">
        <f>Planbase100[[#This Row],[05/05/25]]+(1-Planbase100[[#This Row],[05/05/25]])*'Plan 39'!BD22</f>
        <v>1</v>
      </c>
      <c r="CX39" s="127">
        <f>Planbase100[[#This Row],[05/05/25]]+(1-Planbase100[[#This Row],[05/05/25]])*'Plan 39'!BE22</f>
        <v>1</v>
      </c>
      <c r="CY39" s="127">
        <f>Planbase100[[#This Row],[05/05/25]]+(1-Planbase100[[#This Row],[05/05/25]])*'Plan 39'!BF22</f>
        <v>1</v>
      </c>
      <c r="CZ39" s="127">
        <f>Planbase100[[#This Row],[05/05/25]]+(1-Planbase100[[#This Row],[05/05/25]])*'Plan 39'!BG22</f>
        <v>1</v>
      </c>
      <c r="DA39" s="127">
        <f>Planbase100[[#This Row],[05/05/25]]+(1-Planbase100[[#This Row],[05/05/25]])*'Plan 39'!BH22</f>
        <v>1</v>
      </c>
      <c r="DB39" s="127">
        <f>Planbase100[[#This Row],[05/05/25]]+(1-Planbase100[[#This Row],[05/05/25]])*'Plan 39'!BI22</f>
        <v>1</v>
      </c>
      <c r="DC39" s="127">
        <f>Planbase100[[#This Row],[05/05/25]]+(1-Planbase100[[#This Row],[05/05/25]])*'Plan 39'!BJ22</f>
        <v>1</v>
      </c>
      <c r="DD39" s="127">
        <f>Planbase100[[#This Row],[05/05/25]]+(1-Planbase100[[#This Row],[05/05/25]])*'Plan 39'!BK22</f>
        <v>1</v>
      </c>
      <c r="DE39" s="127">
        <f>Planbase100[[#This Row],[05/05/25]]+(1-Planbase100[[#This Row],[05/05/25]])*'Plan 39'!BL22</f>
        <v>1</v>
      </c>
      <c r="DF39" s="127">
        <f>Planbase100[[#This Row],[05/05/25]]+(1-Planbase100[[#This Row],[05/05/25]])*'Plan 39'!BM22</f>
        <v>1</v>
      </c>
      <c r="DG39" s="127">
        <f>Planbase100[[#This Row],[19/05/25]]+(1-Planbase100[[#This Row],[19/05/25]])*'Plan 39'!BN22</f>
        <v>1</v>
      </c>
      <c r="DH39" s="127">
        <f>Planbase100[[#This Row],[26/05/25]]+(1-Planbase100[[#This Row],[26/05/25]])*'Plan 39'!BO22</f>
        <v>1</v>
      </c>
      <c r="DI39" s="127">
        <f>Planbase100[[#This Row],[02/06/25]]+(1-Planbase100[[#This Row],[02/06/25]])*'Plan 39'!BP22</f>
        <v>1</v>
      </c>
      <c r="DJ39" s="127">
        <f>Planbase100[[#This Row],[09/06/25]]+(1-Planbase100[[#This Row],[09/06/25]])*'Plan 39'!BQ22</f>
        <v>1</v>
      </c>
      <c r="DK39" s="127">
        <f>Planbase100[[#This Row],[16/06/25]]+(1-Planbase100[[#This Row],[16/06/25]])*'Plan 39'!BR22</f>
        <v>1</v>
      </c>
      <c r="DL39" s="127">
        <f>Planbase100[[#This Row],[23/06/25]]+(1-Planbase100[[#This Row],[23/06/25]])*'Plan 39'!BS22</f>
        <v>1</v>
      </c>
      <c r="DM39" s="127">
        <f>Planbase100[[#This Row],[30/06/25]]+(1-Planbase100[[#This Row],[30/06/25]])*'Plan 39'!BT22</f>
        <v>1</v>
      </c>
      <c r="DN39" s="127">
        <f>Planbase100[[#This Row],[07/07/25]]+(1-Planbase100[[#This Row],[07/07/25]])*'Plan 39'!BU22</f>
        <v>1</v>
      </c>
      <c r="DO39" s="127">
        <f>Planbase100[[#This Row],[14/07/25]]+(1-Planbase100[[#This Row],[14/07/25]])*'Plan 39'!BV22</f>
        <v>1</v>
      </c>
      <c r="DP39" s="127">
        <f>Planbase100[[#This Row],[21/07/25]]+(1-Planbase100[[#This Row],[21/07/25]])*'Plan 39'!BW22</f>
        <v>1</v>
      </c>
      <c r="DQ39" s="127">
        <f>Planbase100[[#This Row],[28/07/25]]+(1-Planbase100[[#This Row],[28/07/25]])*'Plan 39'!BX22</f>
        <v>1</v>
      </c>
      <c r="DR39" s="127">
        <f>Planbase100[[#This Row],[04/08/25]]+(1-Planbase100[[#This Row],[04/08/25]])*'Plan 39'!BY22</f>
        <v>1</v>
      </c>
      <c r="DS39" s="127">
        <f>Planbase100[[#This Row],[11/08/25]]+(1-Planbase100[[#This Row],[11/08/25]])*'Plan 39'!BZ22</f>
        <v>1</v>
      </c>
      <c r="DT39" s="127">
        <f>Planbase100[[#This Row],[18/08/25]]+(1-Planbase100[[#This Row],[18/08/25]])*'Plan 39'!CA22</f>
        <v>1</v>
      </c>
      <c r="DU39" s="127">
        <f>Planbase100[[#This Row],[25/08/25]]+(1-Planbase100[[#This Row],[25/08/25]])*'Plan 39'!CB22</f>
        <v>1</v>
      </c>
      <c r="DV39" s="127">
        <f>Planbase100[[#This Row],[01/09/25]]+(1-Planbase100[[#This Row],[01/09/25]])*'Plan 39'!CC22</f>
        <v>1</v>
      </c>
      <c r="DW39" s="127">
        <f>Planbase100[[#This Row],[08/09/25]]+(1-Planbase100[[#This Row],[08/09/25]])*'Plan 39'!CD22</f>
        <v>1</v>
      </c>
      <c r="DX39" s="127">
        <f>Planbase100[[#This Row],[15/09/25]]+(1-Planbase100[[#This Row],[15/09/25]])*'Plan 39'!CE22</f>
        <v>1</v>
      </c>
      <c r="DY39" s="127">
        <f>Planbase100[[#This Row],[22/09/25]]+(1-Planbase100[[#This Row],[22/09/25]])*'Plan 39'!CF22</f>
        <v>1</v>
      </c>
      <c r="DZ39" s="127">
        <f>Planbase100[[#This Row],[29/09/25]]+(1-Planbase100[[#This Row],[29/09/25]])*'Plan 39'!CG22</f>
        <v>1</v>
      </c>
      <c r="EA39" s="127">
        <f>Planbase100[[#This Row],[06/10/25]]+(1-Planbase100[[#This Row],[06/10/25]])*'Plan 39'!CH22</f>
        <v>1</v>
      </c>
      <c r="EB39" s="127">
        <f>Planbase100[[#This Row],[13/10/25]]+(1-Planbase100[[#This Row],[13/10/25]])*'Plan 39'!CI22</f>
        <v>1</v>
      </c>
      <c r="EC39" s="127">
        <f>Planbase100[[#This Row],[20/10/25]]+(1-Planbase100[[#This Row],[20/10/25]])*'Plan 39'!CJ22</f>
        <v>1</v>
      </c>
      <c r="ED39" s="127">
        <f>Planbase100[[#This Row],[27/10/25]]+(1-Planbase100[[#This Row],[27/10/25]])*'Plan 39'!CK22</f>
        <v>1</v>
      </c>
      <c r="EE39" s="127">
        <f>Planbase100[[#This Row],[03/11/25]]+(1-Planbase100[[#This Row],[03/11/25]])*'Plan 39'!CL22</f>
        <v>1</v>
      </c>
      <c r="EF39" s="127">
        <f>Planbase100[[#This Row],[10/11/25]]+(1-Planbase100[[#This Row],[10/11/25]])*'Plan 39'!CM22</f>
        <v>1</v>
      </c>
      <c r="EG39" s="127">
        <f>Planbase100[[#This Row],[17/11/25]]+(1-Planbase100[[#This Row],[17/11/25]])*'Plan 39'!CN22</f>
        <v>1</v>
      </c>
      <c r="EH39" s="127">
        <f>Planbase100[[#This Row],[24/11/25]]+(1-Planbase100[[#This Row],[24/11/25]])*'Plan 39'!CO22</f>
        <v>1</v>
      </c>
      <c r="EI39" s="127">
        <f>Planbase100[[#This Row],[01/12/25]]+(1-Planbase100[[#This Row],[01/12/25]])*'Plan 39'!CP22</f>
        <v>1</v>
      </c>
    </row>
    <row r="40" spans="2:139" hidden="1" outlineLevel="3" x14ac:dyDescent="0.3">
      <c r="B40" s="29"/>
      <c r="C40" s="30"/>
      <c r="D40" s="30"/>
      <c r="E40" s="52" t="s">
        <v>45</v>
      </c>
      <c r="F40" s="33">
        <v>40</v>
      </c>
      <c r="G40" s="35">
        <v>0.33333333333333337</v>
      </c>
      <c r="H40" s="53"/>
      <c r="I40" s="126">
        <v>0</v>
      </c>
      <c r="J40" s="127">
        <v>0</v>
      </c>
      <c r="K40" s="127">
        <v>0</v>
      </c>
      <c r="L40" s="127">
        <v>0</v>
      </c>
      <c r="M40" s="128">
        <v>0</v>
      </c>
      <c r="N40" s="128">
        <v>0</v>
      </c>
      <c r="O40" s="127">
        <v>0</v>
      </c>
      <c r="P40" s="127">
        <v>0</v>
      </c>
      <c r="Q40" s="127">
        <v>0</v>
      </c>
      <c r="R40" s="127">
        <v>0</v>
      </c>
      <c r="S40" s="127">
        <v>0</v>
      </c>
      <c r="T40" s="127">
        <v>0</v>
      </c>
      <c r="U40" s="127">
        <v>0</v>
      </c>
      <c r="V40" s="127">
        <v>0</v>
      </c>
      <c r="W40" s="127">
        <v>0</v>
      </c>
      <c r="X40" s="127">
        <v>0</v>
      </c>
      <c r="Y40" s="127">
        <v>8.2681500000000005E-2</v>
      </c>
      <c r="Z40" s="127">
        <v>0.20713820000000002</v>
      </c>
      <c r="AA40" s="127">
        <v>0.27274130000000002</v>
      </c>
      <c r="AB40" s="127">
        <v>0.30138300000000001</v>
      </c>
      <c r="AC40" s="127">
        <v>0.35116040000000004</v>
      </c>
      <c r="AD40" s="127">
        <v>0.38797530000000002</v>
      </c>
      <c r="AE40" s="127">
        <v>0.47780349856000004</v>
      </c>
      <c r="AF40" s="127">
        <v>0.48433268355999998</v>
      </c>
      <c r="AG40" s="127">
        <v>0.49240073356000003</v>
      </c>
      <c r="AH40" s="127">
        <v>0.49240073356000003</v>
      </c>
      <c r="AI40" s="127">
        <v>0.49240073356000003</v>
      </c>
      <c r="AJ40" s="127">
        <v>0.49240073356000003</v>
      </c>
      <c r="AK40" s="127">
        <v>0.49240073356000003</v>
      </c>
      <c r="AL40" s="127">
        <v>0.49511936413000002</v>
      </c>
      <c r="AM40" s="127">
        <v>0.51897000855999997</v>
      </c>
      <c r="AN40" s="127">
        <v>0.55000000000000004</v>
      </c>
      <c r="AO40" s="127">
        <v>0.55000000000000004</v>
      </c>
      <c r="AP40" s="127">
        <v>0.55000000000000004</v>
      </c>
      <c r="AQ40" s="127">
        <v>0.55000000000000004</v>
      </c>
      <c r="AR40" s="127">
        <v>0.55000000000000004</v>
      </c>
      <c r="AS40" s="127">
        <v>0.55000000000000004</v>
      </c>
      <c r="AT40" s="127">
        <v>0.55000000000000004</v>
      </c>
      <c r="AU40" s="127">
        <v>0.55000000000000004</v>
      </c>
      <c r="AV40" s="127">
        <v>0.55000000000000004</v>
      </c>
      <c r="AW40" s="127">
        <v>0.55000000000000004</v>
      </c>
      <c r="AX40" s="127">
        <v>0.55000000000000004</v>
      </c>
      <c r="AY40" s="127">
        <v>0.55000000000000004</v>
      </c>
      <c r="AZ40" s="127">
        <v>0.55000000000000004</v>
      </c>
      <c r="BA40" s="127">
        <v>0.68900000000000006</v>
      </c>
      <c r="BB40" s="127">
        <f>Planbase100[[#This Row],[05/05/25]]+(1-Planbase100[[#This Row],[05/05/25]])*'Plan 39'!I23</f>
        <v>0.70455000000000001</v>
      </c>
      <c r="BC40" s="127">
        <f>Planbase100[[#This Row],[05/05/25]]+(1-Planbase100[[#This Row],[05/05/25]])*'Plan 39'!J23</f>
        <v>0.73876000000000008</v>
      </c>
      <c r="BD40" s="127">
        <f>Planbase100[[#This Row],[05/05/25]]+(1-Planbase100[[#This Row],[05/05/25]])*'Plan 39'!K23</f>
        <v>0.78852</v>
      </c>
      <c r="BE40" s="127">
        <f>Planbase100[[#This Row],[05/05/25]]+(1-Planbase100[[#This Row],[05/05/25]])*'Plan 39'!L23</f>
        <v>0.84450000000000003</v>
      </c>
      <c r="BF40" s="127">
        <f>Planbase100[[#This Row],[05/05/25]]+(1-Planbase100[[#This Row],[05/05/25]])*'Plan 39'!M23</f>
        <v>0.90047999999999995</v>
      </c>
      <c r="BG40" s="127">
        <f>Planbase100[[#This Row],[05/05/25]]+(1-Planbase100[[#This Row],[05/05/25]])*'Plan 39'!N23</f>
        <v>0.95023999999999997</v>
      </c>
      <c r="BH40" s="127">
        <f>Planbase100[[#This Row],[05/05/25]]+(1-Planbase100[[#This Row],[05/05/25]])*'Plan 39'!O23</f>
        <v>0.98445000000000005</v>
      </c>
      <c r="BI40" s="127">
        <f>Planbase100[[#This Row],[05/05/25]]+(1-Planbase100[[#This Row],[05/05/25]])*'Plan 39'!P23</f>
        <v>0.99689000000000005</v>
      </c>
      <c r="BJ40" s="127">
        <f>Planbase100[[#This Row],[05/05/25]]+(1-Planbase100[[#This Row],[05/05/25]])*'Plan 39'!Q23</f>
        <v>1</v>
      </c>
      <c r="BK40" s="127">
        <f>Planbase100[[#This Row],[05/05/25]]+(1-Planbase100[[#This Row],[05/05/25]])*'Plan 39'!R23</f>
        <v>1</v>
      </c>
      <c r="BL40" s="127">
        <f>Planbase100[[#This Row],[05/05/25]]+(1-Planbase100[[#This Row],[05/05/25]])*'Plan 39'!S23</f>
        <v>1</v>
      </c>
      <c r="BM40" s="127">
        <f>Planbase100[[#This Row],[05/05/25]]+(1-Planbase100[[#This Row],[05/05/25]])*'Plan 39'!T23</f>
        <v>1</v>
      </c>
      <c r="BN40" s="127">
        <f>Planbase100[[#This Row],[05/05/25]]+(1-Planbase100[[#This Row],[05/05/25]])*'Plan 39'!U23</f>
        <v>1</v>
      </c>
      <c r="BO40" s="127">
        <f>Planbase100[[#This Row],[05/05/25]]+(1-Planbase100[[#This Row],[05/05/25]])*'Plan 39'!V23</f>
        <v>1</v>
      </c>
      <c r="BP40" s="127">
        <f>Planbase100[[#This Row],[05/05/25]]+(1-Planbase100[[#This Row],[05/05/25]])*'Plan 39'!W23</f>
        <v>1</v>
      </c>
      <c r="BQ40" s="127">
        <f>Planbase100[[#This Row],[05/05/25]]+(1-Planbase100[[#This Row],[05/05/25]])*'Plan 39'!X23</f>
        <v>1</v>
      </c>
      <c r="BR40" s="127">
        <f>Planbase100[[#This Row],[05/05/25]]+(1-Planbase100[[#This Row],[05/05/25]])*'Plan 39'!Y23</f>
        <v>1</v>
      </c>
      <c r="BS40" s="127">
        <f>Planbase100[[#This Row],[05/05/25]]+(1-Planbase100[[#This Row],[05/05/25]])*'Plan 39'!Z23</f>
        <v>1</v>
      </c>
      <c r="BT40" s="127">
        <f>Planbase100[[#This Row],[05/05/25]]+(1-Planbase100[[#This Row],[05/05/25]])*'Plan 39'!AA23</f>
        <v>1</v>
      </c>
      <c r="BU40" s="127">
        <f>Planbase100[[#This Row],[05/05/25]]+(1-Planbase100[[#This Row],[05/05/25]])*'Plan 39'!AB23</f>
        <v>1</v>
      </c>
      <c r="BV40" s="127">
        <f>Planbase100[[#This Row],[05/05/25]]+(1-Planbase100[[#This Row],[05/05/25]])*'Plan 39'!AC23</f>
        <v>1</v>
      </c>
      <c r="BW40" s="127">
        <f>Planbase100[[#This Row],[05/05/25]]+(1-Planbase100[[#This Row],[05/05/25]])*'Plan 39'!AD23</f>
        <v>1</v>
      </c>
      <c r="BX40" s="127">
        <f>Planbase100[[#This Row],[05/05/25]]+(1-Planbase100[[#This Row],[05/05/25]])*'Plan 39'!AE23</f>
        <v>1</v>
      </c>
      <c r="BY40" s="127">
        <f>Planbase100[[#This Row],[05/05/25]]+(1-Planbase100[[#This Row],[05/05/25]])*'Plan 39'!AF23</f>
        <v>1</v>
      </c>
      <c r="BZ40" s="127">
        <f>Planbase100[[#This Row],[05/05/25]]+(1-Planbase100[[#This Row],[05/05/25]])*'Plan 39'!AG23</f>
        <v>1</v>
      </c>
      <c r="CA40" s="127">
        <f>Planbase100[[#This Row],[05/05/25]]+(1-Planbase100[[#This Row],[05/05/25]])*'Plan 39'!AH23</f>
        <v>1</v>
      </c>
      <c r="CB40" s="127">
        <f>Planbase100[[#This Row],[05/05/25]]+(1-Planbase100[[#This Row],[05/05/25]])*'Plan 39'!AI23</f>
        <v>1</v>
      </c>
      <c r="CC40" s="127">
        <f>Planbase100[[#This Row],[05/05/25]]+(1-Planbase100[[#This Row],[05/05/25]])*'Plan 39'!AJ23</f>
        <v>1</v>
      </c>
      <c r="CD40" s="127">
        <f>Planbase100[[#This Row],[05/05/25]]+(1-Planbase100[[#This Row],[05/05/25]])*'Plan 39'!AK23</f>
        <v>1</v>
      </c>
      <c r="CE40" s="127">
        <f>Planbase100[[#This Row],[05/05/25]]+(1-Planbase100[[#This Row],[05/05/25]])*'Plan 39'!AL23</f>
        <v>1</v>
      </c>
      <c r="CF40" s="127">
        <f>Planbase100[[#This Row],[05/05/25]]+(1-Planbase100[[#This Row],[05/05/25]])*'Plan 39'!AM23</f>
        <v>1</v>
      </c>
      <c r="CG40" s="127">
        <f>Planbase100[[#This Row],[05/05/25]]+(1-Planbase100[[#This Row],[05/05/25]])*'Plan 39'!AN23</f>
        <v>1</v>
      </c>
      <c r="CH40" s="127">
        <f>Planbase100[[#This Row],[05/05/25]]+(1-Planbase100[[#This Row],[05/05/25]])*'Plan 39'!AO23</f>
        <v>1</v>
      </c>
      <c r="CI40" s="127">
        <f>Planbase100[[#This Row],[05/05/25]]+(1-Planbase100[[#This Row],[05/05/25]])*'Plan 39'!AP23</f>
        <v>1</v>
      </c>
      <c r="CJ40" s="127">
        <f>Planbase100[[#This Row],[05/05/25]]+(1-Planbase100[[#This Row],[05/05/25]])*'Plan 39'!AQ23</f>
        <v>1</v>
      </c>
      <c r="CK40" s="127">
        <f>Planbase100[[#This Row],[05/05/25]]+(1-Planbase100[[#This Row],[05/05/25]])*'Plan 39'!AR23</f>
        <v>1</v>
      </c>
      <c r="CL40" s="127">
        <f>Planbase100[[#This Row],[05/05/25]]+(1-Planbase100[[#This Row],[05/05/25]])*'Plan 39'!AS23</f>
        <v>1</v>
      </c>
      <c r="CM40" s="127">
        <f>Planbase100[[#This Row],[05/05/25]]+(1-Planbase100[[#This Row],[05/05/25]])*'Plan 39'!AT23</f>
        <v>1</v>
      </c>
      <c r="CN40" s="127">
        <f>Planbase100[[#This Row],[05/05/25]]+(1-Planbase100[[#This Row],[05/05/25]])*'Plan 39'!AU23</f>
        <v>1</v>
      </c>
      <c r="CO40" s="127">
        <f>Planbase100[[#This Row],[05/05/25]]+(1-Planbase100[[#This Row],[05/05/25]])*'Plan 39'!AV23</f>
        <v>1</v>
      </c>
      <c r="CP40" s="127">
        <f>Planbase100[[#This Row],[05/05/25]]+(1-Planbase100[[#This Row],[05/05/25]])*'Plan 39'!AW23</f>
        <v>1</v>
      </c>
      <c r="CQ40" s="127">
        <f>Planbase100[[#This Row],[05/05/25]]+(1-Planbase100[[#This Row],[05/05/25]])*'Plan 39'!AX23</f>
        <v>1</v>
      </c>
      <c r="CR40" s="127">
        <f>Planbase100[[#This Row],[05/05/25]]+(1-Planbase100[[#This Row],[05/05/25]])*'Plan 39'!AY23</f>
        <v>1</v>
      </c>
      <c r="CS40" s="127">
        <f>Planbase100[[#This Row],[05/05/25]]+(1-Planbase100[[#This Row],[05/05/25]])*'Plan 39'!AZ23</f>
        <v>1</v>
      </c>
      <c r="CT40" s="127">
        <f>Planbase100[[#This Row],[05/05/25]]+(1-Planbase100[[#This Row],[05/05/25]])*'Plan 39'!BA23</f>
        <v>1</v>
      </c>
      <c r="CU40" s="127">
        <f>Planbase100[[#This Row],[05/05/25]]+(1-Planbase100[[#This Row],[05/05/25]])*'Plan 39'!BB23</f>
        <v>1</v>
      </c>
      <c r="CV40" s="127">
        <f>Planbase100[[#This Row],[05/05/25]]+(1-Planbase100[[#This Row],[05/05/25]])*'Plan 39'!BC23</f>
        <v>1</v>
      </c>
      <c r="CW40" s="127">
        <f>Planbase100[[#This Row],[05/05/25]]+(1-Planbase100[[#This Row],[05/05/25]])*'Plan 39'!BD23</f>
        <v>1</v>
      </c>
      <c r="CX40" s="127">
        <f>Planbase100[[#This Row],[05/05/25]]+(1-Planbase100[[#This Row],[05/05/25]])*'Plan 39'!BE23</f>
        <v>1</v>
      </c>
      <c r="CY40" s="127">
        <f>Planbase100[[#This Row],[05/05/25]]+(1-Planbase100[[#This Row],[05/05/25]])*'Plan 39'!BF23</f>
        <v>1</v>
      </c>
      <c r="CZ40" s="127">
        <f>Planbase100[[#This Row],[05/05/25]]+(1-Planbase100[[#This Row],[05/05/25]])*'Plan 39'!BG23</f>
        <v>1</v>
      </c>
      <c r="DA40" s="127">
        <f>Planbase100[[#This Row],[05/05/25]]+(1-Planbase100[[#This Row],[05/05/25]])*'Plan 39'!BH23</f>
        <v>1</v>
      </c>
      <c r="DB40" s="127">
        <f>Planbase100[[#This Row],[05/05/25]]+(1-Planbase100[[#This Row],[05/05/25]])*'Plan 39'!BI23</f>
        <v>1</v>
      </c>
      <c r="DC40" s="127">
        <f>Planbase100[[#This Row],[05/05/25]]+(1-Planbase100[[#This Row],[05/05/25]])*'Plan 39'!BJ23</f>
        <v>1</v>
      </c>
      <c r="DD40" s="127">
        <f>Planbase100[[#This Row],[05/05/25]]+(1-Planbase100[[#This Row],[05/05/25]])*'Plan 39'!BK23</f>
        <v>1</v>
      </c>
      <c r="DE40" s="127">
        <f>Planbase100[[#This Row],[05/05/25]]+(1-Planbase100[[#This Row],[05/05/25]])*'Plan 39'!BL23</f>
        <v>1</v>
      </c>
      <c r="DF40" s="127">
        <f>Planbase100[[#This Row],[05/05/25]]+(1-Planbase100[[#This Row],[05/05/25]])*'Plan 39'!BM23</f>
        <v>1</v>
      </c>
      <c r="DG40" s="127">
        <f>Planbase100[[#This Row],[19/05/25]]+(1-Planbase100[[#This Row],[19/05/25]])*'Plan 39'!BN23</f>
        <v>1</v>
      </c>
      <c r="DH40" s="127">
        <f>Planbase100[[#This Row],[26/05/25]]+(1-Planbase100[[#This Row],[26/05/25]])*'Plan 39'!BO23</f>
        <v>1</v>
      </c>
      <c r="DI40" s="127">
        <f>Planbase100[[#This Row],[02/06/25]]+(1-Planbase100[[#This Row],[02/06/25]])*'Plan 39'!BP23</f>
        <v>1</v>
      </c>
      <c r="DJ40" s="127">
        <f>Planbase100[[#This Row],[09/06/25]]+(1-Planbase100[[#This Row],[09/06/25]])*'Plan 39'!BQ23</f>
        <v>1</v>
      </c>
      <c r="DK40" s="127">
        <f>Planbase100[[#This Row],[16/06/25]]+(1-Planbase100[[#This Row],[16/06/25]])*'Plan 39'!BR23</f>
        <v>1</v>
      </c>
      <c r="DL40" s="127">
        <f>Planbase100[[#This Row],[23/06/25]]+(1-Planbase100[[#This Row],[23/06/25]])*'Plan 39'!BS23</f>
        <v>1</v>
      </c>
      <c r="DM40" s="127">
        <f>Planbase100[[#This Row],[30/06/25]]+(1-Planbase100[[#This Row],[30/06/25]])*'Plan 39'!BT23</f>
        <v>1</v>
      </c>
      <c r="DN40" s="127">
        <f>Planbase100[[#This Row],[07/07/25]]+(1-Planbase100[[#This Row],[07/07/25]])*'Plan 39'!BU23</f>
        <v>1</v>
      </c>
      <c r="DO40" s="127">
        <f>Planbase100[[#This Row],[14/07/25]]+(1-Planbase100[[#This Row],[14/07/25]])*'Plan 39'!BV23</f>
        <v>1</v>
      </c>
      <c r="DP40" s="127">
        <f>Planbase100[[#This Row],[21/07/25]]+(1-Planbase100[[#This Row],[21/07/25]])*'Plan 39'!BW23</f>
        <v>1</v>
      </c>
      <c r="DQ40" s="127">
        <f>Planbase100[[#This Row],[28/07/25]]+(1-Planbase100[[#This Row],[28/07/25]])*'Plan 39'!BX23</f>
        <v>1</v>
      </c>
      <c r="DR40" s="127">
        <f>Planbase100[[#This Row],[04/08/25]]+(1-Planbase100[[#This Row],[04/08/25]])*'Plan 39'!BY23</f>
        <v>1</v>
      </c>
      <c r="DS40" s="127">
        <f>Planbase100[[#This Row],[11/08/25]]+(1-Planbase100[[#This Row],[11/08/25]])*'Plan 39'!BZ23</f>
        <v>1</v>
      </c>
      <c r="DT40" s="127">
        <f>Planbase100[[#This Row],[18/08/25]]+(1-Planbase100[[#This Row],[18/08/25]])*'Plan 39'!CA23</f>
        <v>1</v>
      </c>
      <c r="DU40" s="127">
        <f>Planbase100[[#This Row],[25/08/25]]+(1-Planbase100[[#This Row],[25/08/25]])*'Plan 39'!CB23</f>
        <v>1</v>
      </c>
      <c r="DV40" s="127">
        <f>Planbase100[[#This Row],[01/09/25]]+(1-Planbase100[[#This Row],[01/09/25]])*'Plan 39'!CC23</f>
        <v>1</v>
      </c>
      <c r="DW40" s="127">
        <f>Planbase100[[#This Row],[08/09/25]]+(1-Planbase100[[#This Row],[08/09/25]])*'Plan 39'!CD23</f>
        <v>1</v>
      </c>
      <c r="DX40" s="127">
        <f>Planbase100[[#This Row],[15/09/25]]+(1-Planbase100[[#This Row],[15/09/25]])*'Plan 39'!CE23</f>
        <v>1</v>
      </c>
      <c r="DY40" s="127">
        <f>Planbase100[[#This Row],[22/09/25]]+(1-Planbase100[[#This Row],[22/09/25]])*'Plan 39'!CF23</f>
        <v>1</v>
      </c>
      <c r="DZ40" s="127">
        <f>Planbase100[[#This Row],[29/09/25]]+(1-Planbase100[[#This Row],[29/09/25]])*'Plan 39'!CG23</f>
        <v>1</v>
      </c>
      <c r="EA40" s="127">
        <f>Planbase100[[#This Row],[06/10/25]]+(1-Planbase100[[#This Row],[06/10/25]])*'Plan 39'!CH23</f>
        <v>1</v>
      </c>
      <c r="EB40" s="127">
        <f>Planbase100[[#This Row],[13/10/25]]+(1-Planbase100[[#This Row],[13/10/25]])*'Plan 39'!CI23</f>
        <v>1</v>
      </c>
      <c r="EC40" s="127">
        <f>Planbase100[[#This Row],[20/10/25]]+(1-Planbase100[[#This Row],[20/10/25]])*'Plan 39'!CJ23</f>
        <v>1</v>
      </c>
      <c r="ED40" s="127">
        <f>Planbase100[[#This Row],[27/10/25]]+(1-Planbase100[[#This Row],[27/10/25]])*'Plan 39'!CK23</f>
        <v>1</v>
      </c>
      <c r="EE40" s="127">
        <f>Planbase100[[#This Row],[03/11/25]]+(1-Planbase100[[#This Row],[03/11/25]])*'Plan 39'!CL23</f>
        <v>1</v>
      </c>
      <c r="EF40" s="127">
        <f>Planbase100[[#This Row],[10/11/25]]+(1-Planbase100[[#This Row],[10/11/25]])*'Plan 39'!CM23</f>
        <v>1</v>
      </c>
      <c r="EG40" s="127">
        <f>Planbase100[[#This Row],[17/11/25]]+(1-Planbase100[[#This Row],[17/11/25]])*'Plan 39'!CN23</f>
        <v>1</v>
      </c>
      <c r="EH40" s="127">
        <f>Planbase100[[#This Row],[24/11/25]]+(1-Planbase100[[#This Row],[24/11/25]])*'Plan 39'!CO23</f>
        <v>1</v>
      </c>
      <c r="EI40" s="127">
        <f>Planbase100[[#This Row],[01/12/25]]+(1-Planbase100[[#This Row],[01/12/25]])*'Plan 39'!CP23</f>
        <v>1</v>
      </c>
    </row>
    <row r="41" spans="2:139" ht="15" hidden="1" outlineLevel="2" collapsed="1" x14ac:dyDescent="0.3">
      <c r="B41" s="22"/>
      <c r="C41" s="23"/>
      <c r="D41" s="23" t="s">
        <v>46</v>
      </c>
      <c r="E41" s="50"/>
      <c r="F41" s="26">
        <f>+F42</f>
        <v>40</v>
      </c>
      <c r="G41" s="28">
        <v>3.8913408890165695E-2</v>
      </c>
      <c r="H41" s="51"/>
      <c r="I41" s="125">
        <f>+I42*$G$42</f>
        <v>0</v>
      </c>
      <c r="J41" s="28">
        <f>+J42*$G$42</f>
        <v>0</v>
      </c>
      <c r="K41" s="28">
        <f t="shared" ref="K41:BV41" si="178">+K42*$G$42</f>
        <v>0</v>
      </c>
      <c r="L41" s="28">
        <f t="shared" si="178"/>
        <v>0</v>
      </c>
      <c r="M41" s="64">
        <f t="shared" si="178"/>
        <v>0</v>
      </c>
      <c r="N41" s="64">
        <f t="shared" si="178"/>
        <v>0</v>
      </c>
      <c r="O41" s="28">
        <f t="shared" si="178"/>
        <v>0</v>
      </c>
      <c r="P41" s="28">
        <f t="shared" si="178"/>
        <v>0</v>
      </c>
      <c r="Q41" s="28">
        <f t="shared" si="178"/>
        <v>0</v>
      </c>
      <c r="R41" s="28">
        <f t="shared" si="178"/>
        <v>0</v>
      </c>
      <c r="S41" s="28">
        <f t="shared" si="178"/>
        <v>0</v>
      </c>
      <c r="T41" s="28">
        <f t="shared" si="178"/>
        <v>0</v>
      </c>
      <c r="U41" s="28">
        <f t="shared" si="178"/>
        <v>0</v>
      </c>
      <c r="V41" s="28">
        <f t="shared" si="178"/>
        <v>0</v>
      </c>
      <c r="W41" s="28">
        <f t="shared" si="178"/>
        <v>0</v>
      </c>
      <c r="X41" s="28">
        <f t="shared" si="178"/>
        <v>0</v>
      </c>
      <c r="Y41" s="28">
        <f t="shared" si="178"/>
        <v>0</v>
      </c>
      <c r="Z41" s="28">
        <f t="shared" si="178"/>
        <v>0</v>
      </c>
      <c r="AA41" s="28">
        <f t="shared" si="178"/>
        <v>0</v>
      </c>
      <c r="AB41" s="28">
        <f t="shared" si="178"/>
        <v>0</v>
      </c>
      <c r="AC41" s="28">
        <f t="shared" si="178"/>
        <v>0</v>
      </c>
      <c r="AD41" s="28">
        <f t="shared" si="178"/>
        <v>0</v>
      </c>
      <c r="AE41" s="28">
        <f t="shared" si="178"/>
        <v>0</v>
      </c>
      <c r="AF41" s="28">
        <f t="shared" si="178"/>
        <v>0</v>
      </c>
      <c r="AG41" s="28">
        <f t="shared" si="178"/>
        <v>0</v>
      </c>
      <c r="AH41" s="28">
        <f t="shared" si="178"/>
        <v>0</v>
      </c>
      <c r="AI41" s="28">
        <f t="shared" si="178"/>
        <v>0</v>
      </c>
      <c r="AJ41" s="28">
        <f t="shared" si="178"/>
        <v>0</v>
      </c>
      <c r="AK41" s="28">
        <f t="shared" si="178"/>
        <v>0</v>
      </c>
      <c r="AL41" s="28">
        <f t="shared" si="178"/>
        <v>0</v>
      </c>
      <c r="AM41" s="28">
        <f t="shared" si="178"/>
        <v>0</v>
      </c>
      <c r="AN41" s="28">
        <f t="shared" si="178"/>
        <v>0</v>
      </c>
      <c r="AO41" s="28">
        <f t="shared" si="178"/>
        <v>0.16</v>
      </c>
      <c r="AP41" s="28">
        <f t="shared" si="178"/>
        <v>0.22532467532467532</v>
      </c>
      <c r="AQ41" s="28">
        <f t="shared" si="178"/>
        <v>0.32693181818181816</v>
      </c>
      <c r="AR41" s="28">
        <f t="shared" si="178"/>
        <v>0.42385714285714299</v>
      </c>
      <c r="AS41" s="28">
        <f t="shared" si="178"/>
        <v>0.42385714285714299</v>
      </c>
      <c r="AT41" s="28">
        <f t="shared" si="178"/>
        <v>0.42385714285714299</v>
      </c>
      <c r="AU41" s="28">
        <f t="shared" si="178"/>
        <v>0.42385714285714299</v>
      </c>
      <c r="AV41" s="28">
        <f t="shared" si="178"/>
        <v>0.42385714285714299</v>
      </c>
      <c r="AW41" s="28">
        <f t="shared" si="178"/>
        <v>0.42385714285714299</v>
      </c>
      <c r="AX41" s="28">
        <f t="shared" si="178"/>
        <v>0.42385714285714299</v>
      </c>
      <c r="AY41" s="28">
        <f t="shared" si="178"/>
        <v>0.42385714285714299</v>
      </c>
      <c r="AZ41" s="28">
        <f t="shared" si="178"/>
        <v>0.42385714285714299</v>
      </c>
      <c r="BA41" s="28">
        <f t="shared" si="178"/>
        <v>0.42385714285714299</v>
      </c>
      <c r="BB41" s="28">
        <f t="shared" si="178"/>
        <v>0.42385714285714299</v>
      </c>
      <c r="BC41" s="28">
        <f t="shared" si="178"/>
        <v>0.42385714285714299</v>
      </c>
      <c r="BD41" s="28">
        <f t="shared" si="178"/>
        <v>0.42385714285714299</v>
      </c>
      <c r="BE41" s="28">
        <f t="shared" si="178"/>
        <v>0.42385714285714299</v>
      </c>
      <c r="BF41" s="28">
        <f t="shared" si="178"/>
        <v>0.42385714285714299</v>
      </c>
      <c r="BG41" s="28">
        <f t="shared" si="178"/>
        <v>0.42385714285714299</v>
      </c>
      <c r="BH41" s="28">
        <f t="shared" si="178"/>
        <v>0.42385714285714299</v>
      </c>
      <c r="BI41" s="28">
        <f t="shared" si="178"/>
        <v>0.42385714285714299</v>
      </c>
      <c r="BJ41" s="28">
        <f t="shared" si="178"/>
        <v>0.42385714285714299</v>
      </c>
      <c r="BK41" s="28">
        <f t="shared" si="178"/>
        <v>0.42385714285714299</v>
      </c>
      <c r="BL41" s="28">
        <f t="shared" si="178"/>
        <v>0.42385714285714299</v>
      </c>
      <c r="BM41" s="28">
        <f t="shared" si="178"/>
        <v>0.42385714285714299</v>
      </c>
      <c r="BN41" s="28">
        <f t="shared" si="178"/>
        <v>0.42385714285714299</v>
      </c>
      <c r="BO41" s="28">
        <f t="shared" si="178"/>
        <v>0.42385714285714299</v>
      </c>
      <c r="BP41" s="28">
        <f t="shared" si="178"/>
        <v>0.42385714285714299</v>
      </c>
      <c r="BQ41" s="28">
        <f t="shared" si="178"/>
        <v>0.42385714285714299</v>
      </c>
      <c r="BR41" s="28">
        <f t="shared" si="178"/>
        <v>0.42385714285714299</v>
      </c>
      <c r="BS41" s="28">
        <f t="shared" si="178"/>
        <v>0.49587500000000012</v>
      </c>
      <c r="BT41" s="28">
        <f t="shared" si="178"/>
        <v>0.5678928571428572</v>
      </c>
      <c r="BU41" s="28">
        <f t="shared" si="178"/>
        <v>0.63991071428571433</v>
      </c>
      <c r="BV41" s="28">
        <f t="shared" si="178"/>
        <v>0.71192857142857147</v>
      </c>
      <c r="BW41" s="28">
        <f t="shared" ref="BW41:EH41" si="179">+BW42*$G$42</f>
        <v>0.7839464285714286</v>
      </c>
      <c r="BX41" s="28">
        <f t="shared" si="179"/>
        <v>0.85596428571428573</v>
      </c>
      <c r="BY41" s="28">
        <f t="shared" si="179"/>
        <v>0.92798214285714287</v>
      </c>
      <c r="BZ41" s="28">
        <f t="shared" si="179"/>
        <v>1</v>
      </c>
      <c r="CA41" s="28">
        <f t="shared" si="179"/>
        <v>1</v>
      </c>
      <c r="CB41" s="28">
        <f t="shared" si="179"/>
        <v>1</v>
      </c>
      <c r="CC41" s="28">
        <f t="shared" si="179"/>
        <v>1</v>
      </c>
      <c r="CD41" s="28">
        <f t="shared" si="179"/>
        <v>1</v>
      </c>
      <c r="CE41" s="28">
        <f t="shared" si="179"/>
        <v>1</v>
      </c>
      <c r="CF41" s="28">
        <f t="shared" si="179"/>
        <v>1</v>
      </c>
      <c r="CG41" s="28">
        <f t="shared" si="179"/>
        <v>1</v>
      </c>
      <c r="CH41" s="28">
        <f t="shared" si="179"/>
        <v>1</v>
      </c>
      <c r="CI41" s="28">
        <f t="shared" si="179"/>
        <v>1</v>
      </c>
      <c r="CJ41" s="28">
        <f t="shared" si="179"/>
        <v>1</v>
      </c>
      <c r="CK41" s="28">
        <f t="shared" si="179"/>
        <v>1</v>
      </c>
      <c r="CL41" s="28">
        <f t="shared" si="179"/>
        <v>1</v>
      </c>
      <c r="CM41" s="28">
        <f t="shared" si="179"/>
        <v>1</v>
      </c>
      <c r="CN41" s="28">
        <f t="shared" si="179"/>
        <v>1</v>
      </c>
      <c r="CO41" s="28">
        <f t="shared" si="179"/>
        <v>1</v>
      </c>
      <c r="CP41" s="28">
        <f t="shared" si="179"/>
        <v>1</v>
      </c>
      <c r="CQ41" s="28">
        <f t="shared" si="179"/>
        <v>1</v>
      </c>
      <c r="CR41" s="28">
        <f t="shared" si="179"/>
        <v>1</v>
      </c>
      <c r="CS41" s="28">
        <f t="shared" si="179"/>
        <v>1</v>
      </c>
      <c r="CT41" s="28">
        <f t="shared" si="179"/>
        <v>1</v>
      </c>
      <c r="CU41" s="28">
        <f t="shared" si="179"/>
        <v>1</v>
      </c>
      <c r="CV41" s="28">
        <f t="shared" si="179"/>
        <v>1</v>
      </c>
      <c r="CW41" s="28">
        <f t="shared" si="179"/>
        <v>1</v>
      </c>
      <c r="CX41" s="28">
        <f t="shared" si="179"/>
        <v>1</v>
      </c>
      <c r="CY41" s="28">
        <f t="shared" si="179"/>
        <v>1</v>
      </c>
      <c r="CZ41" s="28">
        <f t="shared" si="179"/>
        <v>1</v>
      </c>
      <c r="DA41" s="28">
        <f t="shared" si="179"/>
        <v>1</v>
      </c>
      <c r="DB41" s="28">
        <f t="shared" si="179"/>
        <v>1</v>
      </c>
      <c r="DC41" s="28">
        <f t="shared" si="179"/>
        <v>1</v>
      </c>
      <c r="DD41" s="28">
        <f t="shared" si="179"/>
        <v>1</v>
      </c>
      <c r="DE41" s="28">
        <f t="shared" si="179"/>
        <v>1</v>
      </c>
      <c r="DF41" s="28">
        <f t="shared" si="179"/>
        <v>1</v>
      </c>
      <c r="DG41" s="28">
        <f t="shared" si="179"/>
        <v>1</v>
      </c>
      <c r="DH41" s="28">
        <f t="shared" si="179"/>
        <v>1</v>
      </c>
      <c r="DI41" s="28">
        <f t="shared" si="179"/>
        <v>1</v>
      </c>
      <c r="DJ41" s="28">
        <f t="shared" si="179"/>
        <v>1</v>
      </c>
      <c r="DK41" s="28">
        <f t="shared" si="179"/>
        <v>1</v>
      </c>
      <c r="DL41" s="28">
        <f t="shared" si="179"/>
        <v>1</v>
      </c>
      <c r="DM41" s="28">
        <f t="shared" si="179"/>
        <v>1</v>
      </c>
      <c r="DN41" s="28">
        <f t="shared" si="179"/>
        <v>1</v>
      </c>
      <c r="DO41" s="28">
        <f t="shared" si="179"/>
        <v>1</v>
      </c>
      <c r="DP41" s="28">
        <f t="shared" si="179"/>
        <v>1</v>
      </c>
      <c r="DQ41" s="28">
        <f t="shared" si="179"/>
        <v>1</v>
      </c>
      <c r="DR41" s="28">
        <f t="shared" si="179"/>
        <v>1</v>
      </c>
      <c r="DS41" s="28">
        <f t="shared" si="179"/>
        <v>1</v>
      </c>
      <c r="DT41" s="28">
        <f t="shared" si="179"/>
        <v>1</v>
      </c>
      <c r="DU41" s="28">
        <f t="shared" si="179"/>
        <v>1</v>
      </c>
      <c r="DV41" s="28">
        <f t="shared" si="179"/>
        <v>1</v>
      </c>
      <c r="DW41" s="28">
        <f t="shared" si="179"/>
        <v>1</v>
      </c>
      <c r="DX41" s="28">
        <f t="shared" si="179"/>
        <v>1</v>
      </c>
      <c r="DY41" s="28">
        <f t="shared" si="179"/>
        <v>1</v>
      </c>
      <c r="DZ41" s="28">
        <f t="shared" si="179"/>
        <v>1</v>
      </c>
      <c r="EA41" s="28">
        <f t="shared" si="179"/>
        <v>1</v>
      </c>
      <c r="EB41" s="28">
        <f t="shared" si="179"/>
        <v>1</v>
      </c>
      <c r="EC41" s="28">
        <f t="shared" si="179"/>
        <v>1</v>
      </c>
      <c r="ED41" s="28">
        <f t="shared" si="179"/>
        <v>1</v>
      </c>
      <c r="EE41" s="28">
        <f t="shared" si="179"/>
        <v>1</v>
      </c>
      <c r="EF41" s="28">
        <f t="shared" si="179"/>
        <v>1</v>
      </c>
      <c r="EG41" s="28">
        <f t="shared" si="179"/>
        <v>1</v>
      </c>
      <c r="EH41" s="28">
        <f t="shared" si="179"/>
        <v>1</v>
      </c>
      <c r="EI41" s="28">
        <f t="shared" ref="EI41" si="180">+EI42*$G$42</f>
        <v>1</v>
      </c>
    </row>
    <row r="42" spans="2:139" hidden="1" outlineLevel="3" x14ac:dyDescent="0.3">
      <c r="B42" s="29"/>
      <c r="C42" s="30"/>
      <c r="D42" s="30"/>
      <c r="E42" s="52" t="s">
        <v>47</v>
      </c>
      <c r="F42" s="33">
        <v>40</v>
      </c>
      <c r="G42" s="35">
        <v>1</v>
      </c>
      <c r="H42" s="53"/>
      <c r="I42" s="126">
        <v>0</v>
      </c>
      <c r="J42" s="127">
        <v>0</v>
      </c>
      <c r="K42" s="127">
        <v>0</v>
      </c>
      <c r="L42" s="127">
        <v>0</v>
      </c>
      <c r="M42" s="128">
        <v>0</v>
      </c>
      <c r="N42" s="128">
        <v>0</v>
      </c>
      <c r="O42" s="127">
        <v>0</v>
      </c>
      <c r="P42" s="127">
        <v>0</v>
      </c>
      <c r="Q42" s="127">
        <v>0</v>
      </c>
      <c r="R42" s="127">
        <v>0</v>
      </c>
      <c r="S42" s="127">
        <v>0</v>
      </c>
      <c r="T42" s="127">
        <v>0</v>
      </c>
      <c r="U42" s="127">
        <v>0</v>
      </c>
      <c r="V42" s="127">
        <v>0</v>
      </c>
      <c r="W42" s="127">
        <v>0</v>
      </c>
      <c r="X42" s="127">
        <v>0</v>
      </c>
      <c r="Y42" s="127">
        <v>0</v>
      </c>
      <c r="Z42" s="127">
        <v>0</v>
      </c>
      <c r="AA42" s="127">
        <v>0</v>
      </c>
      <c r="AB42" s="127">
        <v>0</v>
      </c>
      <c r="AC42" s="127">
        <v>0</v>
      </c>
      <c r="AD42" s="127">
        <v>0</v>
      </c>
      <c r="AE42" s="127">
        <v>0</v>
      </c>
      <c r="AF42" s="127">
        <v>0</v>
      </c>
      <c r="AG42" s="127">
        <v>0</v>
      </c>
      <c r="AH42" s="127">
        <v>0</v>
      </c>
      <c r="AI42" s="127">
        <v>0</v>
      </c>
      <c r="AJ42" s="127">
        <v>0</v>
      </c>
      <c r="AK42" s="127">
        <v>0</v>
      </c>
      <c r="AL42" s="127">
        <v>0</v>
      </c>
      <c r="AM42" s="127">
        <v>0</v>
      </c>
      <c r="AN42" s="127">
        <v>0</v>
      </c>
      <c r="AO42" s="127">
        <v>0.16</v>
      </c>
      <c r="AP42" s="127">
        <v>0.22532467532467532</v>
      </c>
      <c r="AQ42" s="127">
        <v>0.32693181818181816</v>
      </c>
      <c r="AR42" s="127">
        <v>0.42385714285714299</v>
      </c>
      <c r="AS42" s="127">
        <v>0.42385714285714299</v>
      </c>
      <c r="AT42" s="127">
        <v>0.42385714285714299</v>
      </c>
      <c r="AU42" s="127">
        <v>0.42385714285714299</v>
      </c>
      <c r="AV42" s="127">
        <v>0.42385714285714299</v>
      </c>
      <c r="AW42" s="127">
        <v>0.42385714285714299</v>
      </c>
      <c r="AX42" s="127">
        <v>0.42385714285714299</v>
      </c>
      <c r="AY42" s="127">
        <v>0.42385714285714299</v>
      </c>
      <c r="AZ42" s="127">
        <v>0.42385714285714299</v>
      </c>
      <c r="BA42" s="127">
        <v>0.42385714285714299</v>
      </c>
      <c r="BB42" s="127">
        <f>Planbase100[[#This Row],[05/05/25]]+(1-Planbase100[[#This Row],[05/05/25]])*'Plan 39'!I25</f>
        <v>0.42385714285714299</v>
      </c>
      <c r="BC42" s="127">
        <f>Planbase100[[#This Row],[05/05/25]]+(1-Planbase100[[#This Row],[05/05/25]])*'Plan 39'!J25</f>
        <v>0.42385714285714299</v>
      </c>
      <c r="BD42" s="127">
        <f>Planbase100[[#This Row],[05/05/25]]+(1-Planbase100[[#This Row],[05/05/25]])*'Plan 39'!K25</f>
        <v>0.42385714285714299</v>
      </c>
      <c r="BE42" s="127">
        <f>Planbase100[[#This Row],[05/05/25]]+(1-Planbase100[[#This Row],[05/05/25]])*'Plan 39'!L25</f>
        <v>0.42385714285714299</v>
      </c>
      <c r="BF42" s="127">
        <f>Planbase100[[#This Row],[05/05/25]]+(1-Planbase100[[#This Row],[05/05/25]])*'Plan 39'!M25</f>
        <v>0.42385714285714299</v>
      </c>
      <c r="BG42" s="127">
        <f>Planbase100[[#This Row],[05/05/25]]+(1-Planbase100[[#This Row],[05/05/25]])*'Plan 39'!N25</f>
        <v>0.42385714285714299</v>
      </c>
      <c r="BH42" s="127">
        <f>Planbase100[[#This Row],[05/05/25]]+(1-Planbase100[[#This Row],[05/05/25]])*'Plan 39'!O25</f>
        <v>0.42385714285714299</v>
      </c>
      <c r="BI42" s="127">
        <f>Planbase100[[#This Row],[05/05/25]]+(1-Planbase100[[#This Row],[05/05/25]])*'Plan 39'!P25</f>
        <v>0.42385714285714299</v>
      </c>
      <c r="BJ42" s="127">
        <f>Planbase100[[#This Row],[05/05/25]]+(1-Planbase100[[#This Row],[05/05/25]])*'Plan 39'!Q25</f>
        <v>0.42385714285714299</v>
      </c>
      <c r="BK42" s="127">
        <f>Planbase100[[#This Row],[05/05/25]]+(1-Planbase100[[#This Row],[05/05/25]])*'Plan 39'!R25</f>
        <v>0.42385714285714299</v>
      </c>
      <c r="BL42" s="127">
        <f>Planbase100[[#This Row],[05/05/25]]+(1-Planbase100[[#This Row],[05/05/25]])*'Plan 39'!S25</f>
        <v>0.42385714285714299</v>
      </c>
      <c r="BM42" s="127">
        <f>Planbase100[[#This Row],[05/05/25]]+(1-Planbase100[[#This Row],[05/05/25]])*'Plan 39'!T25</f>
        <v>0.42385714285714299</v>
      </c>
      <c r="BN42" s="127">
        <f>Planbase100[[#This Row],[05/05/25]]+(1-Planbase100[[#This Row],[05/05/25]])*'Plan 39'!U25</f>
        <v>0.42385714285714299</v>
      </c>
      <c r="BO42" s="127">
        <f>Planbase100[[#This Row],[05/05/25]]+(1-Planbase100[[#This Row],[05/05/25]])*'Plan 39'!V25</f>
        <v>0.42385714285714299</v>
      </c>
      <c r="BP42" s="127">
        <f>Planbase100[[#This Row],[05/05/25]]+(1-Planbase100[[#This Row],[05/05/25]])*'Plan 39'!W25</f>
        <v>0.42385714285714299</v>
      </c>
      <c r="BQ42" s="127">
        <f>Planbase100[[#This Row],[05/05/25]]+(1-Planbase100[[#This Row],[05/05/25]])*'Plan 39'!X25</f>
        <v>0.42385714285714299</v>
      </c>
      <c r="BR42" s="127">
        <f>Planbase100[[#This Row],[05/05/25]]+(1-Planbase100[[#This Row],[05/05/25]])*'Plan 39'!Y25</f>
        <v>0.42385714285714299</v>
      </c>
      <c r="BS42" s="127">
        <f>Planbase100[[#This Row],[05/05/25]]+(1-Planbase100[[#This Row],[05/05/25]])*'Plan 39'!Z25</f>
        <v>0.49587500000000012</v>
      </c>
      <c r="BT42" s="127">
        <f>Planbase100[[#This Row],[05/05/25]]+(1-Planbase100[[#This Row],[05/05/25]])*'Plan 39'!AA25</f>
        <v>0.5678928571428572</v>
      </c>
      <c r="BU42" s="127">
        <f>Planbase100[[#This Row],[05/05/25]]+(1-Planbase100[[#This Row],[05/05/25]])*'Plan 39'!AB25</f>
        <v>0.63991071428571433</v>
      </c>
      <c r="BV42" s="127">
        <f>Planbase100[[#This Row],[05/05/25]]+(1-Planbase100[[#This Row],[05/05/25]])*'Plan 39'!AC25</f>
        <v>0.71192857142857147</v>
      </c>
      <c r="BW42" s="127">
        <f>Planbase100[[#This Row],[05/05/25]]+(1-Planbase100[[#This Row],[05/05/25]])*'Plan 39'!AD25</f>
        <v>0.7839464285714286</v>
      </c>
      <c r="BX42" s="127">
        <f>Planbase100[[#This Row],[05/05/25]]+(1-Planbase100[[#This Row],[05/05/25]])*'Plan 39'!AE25</f>
        <v>0.85596428571428573</v>
      </c>
      <c r="BY42" s="127">
        <f>Planbase100[[#This Row],[05/05/25]]+(1-Planbase100[[#This Row],[05/05/25]])*'Plan 39'!AF25</f>
        <v>0.92798214285714287</v>
      </c>
      <c r="BZ42" s="127">
        <f>Planbase100[[#This Row],[05/05/25]]+(1-Planbase100[[#This Row],[05/05/25]])*'Plan 39'!AG25</f>
        <v>1</v>
      </c>
      <c r="CA42" s="127">
        <f>Planbase100[[#This Row],[05/05/25]]+(1-Planbase100[[#This Row],[05/05/25]])*'Plan 39'!AH25</f>
        <v>1</v>
      </c>
      <c r="CB42" s="127">
        <f>Planbase100[[#This Row],[05/05/25]]+(1-Planbase100[[#This Row],[05/05/25]])*'Plan 39'!AI25</f>
        <v>1</v>
      </c>
      <c r="CC42" s="127">
        <f>Planbase100[[#This Row],[05/05/25]]+(1-Planbase100[[#This Row],[05/05/25]])*'Plan 39'!AJ25</f>
        <v>1</v>
      </c>
      <c r="CD42" s="127">
        <f>Planbase100[[#This Row],[05/05/25]]+(1-Planbase100[[#This Row],[05/05/25]])*'Plan 39'!AK25</f>
        <v>1</v>
      </c>
      <c r="CE42" s="127">
        <f>Planbase100[[#This Row],[05/05/25]]+(1-Planbase100[[#This Row],[05/05/25]])*'Plan 39'!AL25</f>
        <v>1</v>
      </c>
      <c r="CF42" s="127">
        <f>Planbase100[[#This Row],[05/05/25]]+(1-Planbase100[[#This Row],[05/05/25]])*'Plan 39'!AM25</f>
        <v>1</v>
      </c>
      <c r="CG42" s="127">
        <f>Planbase100[[#This Row],[05/05/25]]+(1-Planbase100[[#This Row],[05/05/25]])*'Plan 39'!AN25</f>
        <v>1</v>
      </c>
      <c r="CH42" s="127">
        <f>Planbase100[[#This Row],[05/05/25]]+(1-Planbase100[[#This Row],[05/05/25]])*'Plan 39'!AO25</f>
        <v>1</v>
      </c>
      <c r="CI42" s="127">
        <f>Planbase100[[#This Row],[05/05/25]]+(1-Planbase100[[#This Row],[05/05/25]])*'Plan 39'!AP25</f>
        <v>1</v>
      </c>
      <c r="CJ42" s="127">
        <f>Planbase100[[#This Row],[05/05/25]]+(1-Planbase100[[#This Row],[05/05/25]])*'Plan 39'!AQ25</f>
        <v>1</v>
      </c>
      <c r="CK42" s="127">
        <f>Planbase100[[#This Row],[05/05/25]]+(1-Planbase100[[#This Row],[05/05/25]])*'Plan 39'!AR25</f>
        <v>1</v>
      </c>
      <c r="CL42" s="127">
        <f>Planbase100[[#This Row],[05/05/25]]+(1-Planbase100[[#This Row],[05/05/25]])*'Plan 39'!AS25</f>
        <v>1</v>
      </c>
      <c r="CM42" s="127">
        <f>Planbase100[[#This Row],[05/05/25]]+(1-Planbase100[[#This Row],[05/05/25]])*'Plan 39'!AT25</f>
        <v>1</v>
      </c>
      <c r="CN42" s="127">
        <f>Planbase100[[#This Row],[05/05/25]]+(1-Planbase100[[#This Row],[05/05/25]])*'Plan 39'!AU25</f>
        <v>1</v>
      </c>
      <c r="CO42" s="127">
        <f>Planbase100[[#This Row],[05/05/25]]+(1-Planbase100[[#This Row],[05/05/25]])*'Plan 39'!AV25</f>
        <v>1</v>
      </c>
      <c r="CP42" s="127">
        <f>Planbase100[[#This Row],[05/05/25]]+(1-Planbase100[[#This Row],[05/05/25]])*'Plan 39'!AW25</f>
        <v>1</v>
      </c>
      <c r="CQ42" s="127">
        <f>Planbase100[[#This Row],[05/05/25]]+(1-Planbase100[[#This Row],[05/05/25]])*'Plan 39'!AX25</f>
        <v>1</v>
      </c>
      <c r="CR42" s="127">
        <f>Planbase100[[#This Row],[05/05/25]]+(1-Planbase100[[#This Row],[05/05/25]])*'Plan 39'!AY25</f>
        <v>1</v>
      </c>
      <c r="CS42" s="127">
        <f>Planbase100[[#This Row],[05/05/25]]+(1-Planbase100[[#This Row],[05/05/25]])*'Plan 39'!AZ25</f>
        <v>1</v>
      </c>
      <c r="CT42" s="127">
        <f>Planbase100[[#This Row],[05/05/25]]+(1-Planbase100[[#This Row],[05/05/25]])*'Plan 39'!BA25</f>
        <v>1</v>
      </c>
      <c r="CU42" s="127">
        <f>Planbase100[[#This Row],[05/05/25]]+(1-Planbase100[[#This Row],[05/05/25]])*'Plan 39'!BB25</f>
        <v>1</v>
      </c>
      <c r="CV42" s="127">
        <f>Planbase100[[#This Row],[05/05/25]]+(1-Planbase100[[#This Row],[05/05/25]])*'Plan 39'!BC25</f>
        <v>1</v>
      </c>
      <c r="CW42" s="127">
        <f>Planbase100[[#This Row],[05/05/25]]+(1-Planbase100[[#This Row],[05/05/25]])*'Plan 39'!BD25</f>
        <v>1</v>
      </c>
      <c r="CX42" s="127">
        <f>Planbase100[[#This Row],[05/05/25]]+(1-Planbase100[[#This Row],[05/05/25]])*'Plan 39'!BE25</f>
        <v>1</v>
      </c>
      <c r="CY42" s="127">
        <f>Planbase100[[#This Row],[05/05/25]]+(1-Planbase100[[#This Row],[05/05/25]])*'Plan 39'!BF25</f>
        <v>1</v>
      </c>
      <c r="CZ42" s="127">
        <f>Planbase100[[#This Row],[05/05/25]]+(1-Planbase100[[#This Row],[05/05/25]])*'Plan 39'!BG25</f>
        <v>1</v>
      </c>
      <c r="DA42" s="127">
        <f>Planbase100[[#This Row],[05/05/25]]+(1-Planbase100[[#This Row],[05/05/25]])*'Plan 39'!BH25</f>
        <v>1</v>
      </c>
      <c r="DB42" s="127">
        <f>Planbase100[[#This Row],[05/05/25]]+(1-Planbase100[[#This Row],[05/05/25]])*'Plan 39'!BI25</f>
        <v>1</v>
      </c>
      <c r="DC42" s="127">
        <f>Planbase100[[#This Row],[05/05/25]]+(1-Planbase100[[#This Row],[05/05/25]])*'Plan 39'!BJ25</f>
        <v>1</v>
      </c>
      <c r="DD42" s="127">
        <f>Planbase100[[#This Row],[05/05/25]]+(1-Planbase100[[#This Row],[05/05/25]])*'Plan 39'!BK25</f>
        <v>1</v>
      </c>
      <c r="DE42" s="127">
        <f>Planbase100[[#This Row],[05/05/25]]+(1-Planbase100[[#This Row],[05/05/25]])*'Plan 39'!BL25</f>
        <v>1</v>
      </c>
      <c r="DF42" s="127">
        <f>Planbase100[[#This Row],[05/05/25]]+(1-Planbase100[[#This Row],[05/05/25]])*'Plan 39'!BM25</f>
        <v>1</v>
      </c>
      <c r="DG42" s="127">
        <f>Planbase100[[#This Row],[19/05/25]]+(1-Planbase100[[#This Row],[19/05/25]])*'Plan 39'!BN25</f>
        <v>1</v>
      </c>
      <c r="DH42" s="127">
        <f>Planbase100[[#This Row],[26/05/25]]+(1-Planbase100[[#This Row],[26/05/25]])*'Plan 39'!BO25</f>
        <v>1</v>
      </c>
      <c r="DI42" s="127">
        <f>Planbase100[[#This Row],[02/06/25]]+(1-Planbase100[[#This Row],[02/06/25]])*'Plan 39'!BP25</f>
        <v>1</v>
      </c>
      <c r="DJ42" s="127">
        <f>Planbase100[[#This Row],[09/06/25]]+(1-Planbase100[[#This Row],[09/06/25]])*'Plan 39'!BQ25</f>
        <v>1</v>
      </c>
      <c r="DK42" s="127">
        <f>Planbase100[[#This Row],[16/06/25]]+(1-Planbase100[[#This Row],[16/06/25]])*'Plan 39'!BR25</f>
        <v>1</v>
      </c>
      <c r="DL42" s="127">
        <f>Planbase100[[#This Row],[23/06/25]]+(1-Planbase100[[#This Row],[23/06/25]])*'Plan 39'!BS25</f>
        <v>1</v>
      </c>
      <c r="DM42" s="127">
        <f>Planbase100[[#This Row],[30/06/25]]+(1-Planbase100[[#This Row],[30/06/25]])*'Plan 39'!BT25</f>
        <v>1</v>
      </c>
      <c r="DN42" s="127">
        <f>Planbase100[[#This Row],[07/07/25]]+(1-Planbase100[[#This Row],[07/07/25]])*'Plan 39'!BU25</f>
        <v>1</v>
      </c>
      <c r="DO42" s="127">
        <f>Planbase100[[#This Row],[14/07/25]]+(1-Planbase100[[#This Row],[14/07/25]])*'Plan 39'!BV25</f>
        <v>1</v>
      </c>
      <c r="DP42" s="127">
        <f>Planbase100[[#This Row],[21/07/25]]+(1-Planbase100[[#This Row],[21/07/25]])*'Plan 39'!BW25</f>
        <v>1</v>
      </c>
      <c r="DQ42" s="127">
        <f>Planbase100[[#This Row],[28/07/25]]+(1-Planbase100[[#This Row],[28/07/25]])*'Plan 39'!BX25</f>
        <v>1</v>
      </c>
      <c r="DR42" s="127">
        <f>Planbase100[[#This Row],[04/08/25]]+(1-Planbase100[[#This Row],[04/08/25]])*'Plan 39'!BY25</f>
        <v>1</v>
      </c>
      <c r="DS42" s="127">
        <f>Planbase100[[#This Row],[11/08/25]]+(1-Planbase100[[#This Row],[11/08/25]])*'Plan 39'!BZ25</f>
        <v>1</v>
      </c>
      <c r="DT42" s="127">
        <f>Planbase100[[#This Row],[18/08/25]]+(1-Planbase100[[#This Row],[18/08/25]])*'Plan 39'!CA25</f>
        <v>1</v>
      </c>
      <c r="DU42" s="127">
        <f>Planbase100[[#This Row],[25/08/25]]+(1-Planbase100[[#This Row],[25/08/25]])*'Plan 39'!CB25</f>
        <v>1</v>
      </c>
      <c r="DV42" s="127">
        <f>Planbase100[[#This Row],[01/09/25]]+(1-Planbase100[[#This Row],[01/09/25]])*'Plan 39'!CC25</f>
        <v>1</v>
      </c>
      <c r="DW42" s="127">
        <f>Planbase100[[#This Row],[08/09/25]]+(1-Planbase100[[#This Row],[08/09/25]])*'Plan 39'!CD25</f>
        <v>1</v>
      </c>
      <c r="DX42" s="127">
        <f>Planbase100[[#This Row],[15/09/25]]+(1-Planbase100[[#This Row],[15/09/25]])*'Plan 39'!CE25</f>
        <v>1</v>
      </c>
      <c r="DY42" s="127">
        <f>Planbase100[[#This Row],[22/09/25]]+(1-Planbase100[[#This Row],[22/09/25]])*'Plan 39'!CF25</f>
        <v>1</v>
      </c>
      <c r="DZ42" s="127">
        <f>Planbase100[[#This Row],[29/09/25]]+(1-Planbase100[[#This Row],[29/09/25]])*'Plan 39'!CG25</f>
        <v>1</v>
      </c>
      <c r="EA42" s="127">
        <f>Planbase100[[#This Row],[06/10/25]]+(1-Planbase100[[#This Row],[06/10/25]])*'Plan 39'!CH25</f>
        <v>1</v>
      </c>
      <c r="EB42" s="127">
        <f>Planbase100[[#This Row],[13/10/25]]+(1-Planbase100[[#This Row],[13/10/25]])*'Plan 39'!CI25</f>
        <v>1</v>
      </c>
      <c r="EC42" s="127">
        <f>Planbase100[[#This Row],[20/10/25]]+(1-Planbase100[[#This Row],[20/10/25]])*'Plan 39'!CJ25</f>
        <v>1</v>
      </c>
      <c r="ED42" s="127">
        <f>Planbase100[[#This Row],[27/10/25]]+(1-Planbase100[[#This Row],[27/10/25]])*'Plan 39'!CK25</f>
        <v>1</v>
      </c>
      <c r="EE42" s="127">
        <f>Planbase100[[#This Row],[03/11/25]]+(1-Planbase100[[#This Row],[03/11/25]])*'Plan 39'!CL25</f>
        <v>1</v>
      </c>
      <c r="EF42" s="127">
        <f>Planbase100[[#This Row],[10/11/25]]+(1-Planbase100[[#This Row],[10/11/25]])*'Plan 39'!CM25</f>
        <v>1</v>
      </c>
      <c r="EG42" s="127">
        <f>Planbase100[[#This Row],[17/11/25]]+(1-Planbase100[[#This Row],[17/11/25]])*'Plan 39'!CN25</f>
        <v>1</v>
      </c>
      <c r="EH42" s="127">
        <f>Planbase100[[#This Row],[24/11/25]]+(1-Planbase100[[#This Row],[24/11/25]])*'Plan 39'!CO25</f>
        <v>1</v>
      </c>
      <c r="EI42" s="127">
        <f>Planbase100[[#This Row],[01/12/25]]+(1-Planbase100[[#This Row],[01/12/25]])*'Plan 39'!CP25</f>
        <v>1</v>
      </c>
    </row>
    <row r="43" spans="2:139" ht="15" hidden="1" outlineLevel="2" collapsed="1" x14ac:dyDescent="0.3">
      <c r="B43" s="22"/>
      <c r="C43" s="23"/>
      <c r="D43" s="23" t="s">
        <v>48</v>
      </c>
      <c r="E43" s="50"/>
      <c r="F43" s="26">
        <f>+SUM(F44:F47)</f>
        <v>190</v>
      </c>
      <c r="G43" s="28">
        <v>5.1069782162212127E-2</v>
      </c>
      <c r="H43" s="51"/>
      <c r="I43" s="125">
        <f>+SUMPRODUCT($G$44:$G$47,I44:I47)</f>
        <v>0</v>
      </c>
      <c r="J43" s="28">
        <f>+SUMPRODUCT($G$44:$G$47,J44:J47)</f>
        <v>0</v>
      </c>
      <c r="K43" s="28">
        <f t="shared" ref="K43:BB43" si="181">+SUMPRODUCT($G$44:$G$47,K44:K47)</f>
        <v>0</v>
      </c>
      <c r="L43" s="28">
        <f t="shared" si="181"/>
        <v>0</v>
      </c>
      <c r="M43" s="64">
        <f t="shared" si="181"/>
        <v>0</v>
      </c>
      <c r="N43" s="64">
        <f t="shared" si="181"/>
        <v>0</v>
      </c>
      <c r="O43" s="28">
        <f t="shared" si="181"/>
        <v>0</v>
      </c>
      <c r="P43" s="28">
        <f t="shared" si="181"/>
        <v>0</v>
      </c>
      <c r="Q43" s="28">
        <f t="shared" si="181"/>
        <v>0</v>
      </c>
      <c r="R43" s="28">
        <f t="shared" si="181"/>
        <v>0</v>
      </c>
      <c r="S43" s="28">
        <f t="shared" si="181"/>
        <v>0</v>
      </c>
      <c r="T43" s="28">
        <f t="shared" si="181"/>
        <v>0</v>
      </c>
      <c r="U43" s="28">
        <f t="shared" si="181"/>
        <v>0</v>
      </c>
      <c r="V43" s="28">
        <f t="shared" si="181"/>
        <v>0</v>
      </c>
      <c r="W43" s="28">
        <f t="shared" si="181"/>
        <v>0</v>
      </c>
      <c r="X43" s="28">
        <f t="shared" si="181"/>
        <v>0</v>
      </c>
      <c r="Y43" s="28">
        <f t="shared" si="181"/>
        <v>0</v>
      </c>
      <c r="Z43" s="28">
        <f t="shared" si="181"/>
        <v>0</v>
      </c>
      <c r="AA43" s="28">
        <f t="shared" si="181"/>
        <v>0.42499999999999999</v>
      </c>
      <c r="AB43" s="28">
        <f t="shared" si="181"/>
        <v>0.42499999999999999</v>
      </c>
      <c r="AC43" s="28">
        <f t="shared" si="181"/>
        <v>0.42574999999999996</v>
      </c>
      <c r="AD43" s="28">
        <f t="shared" si="181"/>
        <v>0.48649999999999999</v>
      </c>
      <c r="AE43" s="28">
        <f t="shared" si="181"/>
        <v>0.52725</v>
      </c>
      <c r="AF43" s="28">
        <f t="shared" si="181"/>
        <v>0.5575</v>
      </c>
      <c r="AG43" s="28">
        <f t="shared" si="181"/>
        <v>0.5575</v>
      </c>
      <c r="AH43" s="28">
        <f t="shared" si="181"/>
        <v>0.5575</v>
      </c>
      <c r="AI43" s="28">
        <f>+SUMPRODUCT($G$44:$G$47,AI44:AI47)</f>
        <v>0.5575</v>
      </c>
      <c r="AJ43" s="28">
        <f>+SUMPRODUCT($G$44:$G$47,AJ44:AJ47)</f>
        <v>0.5575</v>
      </c>
      <c r="AK43" s="28">
        <f t="shared" si="181"/>
        <v>0.5575</v>
      </c>
      <c r="AL43" s="28">
        <f t="shared" si="181"/>
        <v>0.5575</v>
      </c>
      <c r="AM43" s="28">
        <f t="shared" si="181"/>
        <v>0.5575</v>
      </c>
      <c r="AN43" s="28">
        <f t="shared" si="181"/>
        <v>0.5675</v>
      </c>
      <c r="AO43" s="28">
        <f t="shared" si="181"/>
        <v>0.60250000000000004</v>
      </c>
      <c r="AP43" s="28">
        <f t="shared" si="181"/>
        <v>0.60250000000000004</v>
      </c>
      <c r="AQ43" s="28">
        <f t="shared" si="181"/>
        <v>0.61</v>
      </c>
      <c r="AR43" s="28">
        <f t="shared" si="181"/>
        <v>0.61</v>
      </c>
      <c r="AS43" s="28">
        <f t="shared" si="181"/>
        <v>0.61</v>
      </c>
      <c r="AT43" s="28">
        <f t="shared" si="181"/>
        <v>0.61149999999999993</v>
      </c>
      <c r="AU43" s="28">
        <f t="shared" si="181"/>
        <v>0.61299999999999999</v>
      </c>
      <c r="AV43" s="28">
        <f t="shared" si="181"/>
        <v>0.61449999999999994</v>
      </c>
      <c r="AW43" s="28">
        <f t="shared" si="181"/>
        <v>0.61599999999999999</v>
      </c>
      <c r="AX43" s="28">
        <f t="shared" si="181"/>
        <v>0.61675000000000002</v>
      </c>
      <c r="AY43" s="28">
        <f t="shared" si="181"/>
        <v>0.61675000000000002</v>
      </c>
      <c r="AZ43" s="28">
        <f t="shared" si="181"/>
        <v>0.61899999999999999</v>
      </c>
      <c r="BA43" s="28">
        <f t="shared" si="181"/>
        <v>0.61899999999999999</v>
      </c>
      <c r="BB43" s="28">
        <f t="shared" si="181"/>
        <v>0.61899999999999999</v>
      </c>
      <c r="BC43" s="28">
        <f t="shared" ref="BC43:CE43" si="182">+SUMPRODUCT($G$44:$G$47,BC44:BC47)</f>
        <v>0.61899999999999999</v>
      </c>
      <c r="BD43" s="28">
        <f t="shared" si="182"/>
        <v>0.61899999999999999</v>
      </c>
      <c r="BE43" s="28">
        <f t="shared" si="182"/>
        <v>0.61899999999999999</v>
      </c>
      <c r="BF43" s="28">
        <f t="shared" si="182"/>
        <v>0.63263636363636366</v>
      </c>
      <c r="BG43" s="28">
        <f t="shared" si="182"/>
        <v>0.64613636363636362</v>
      </c>
      <c r="BH43" s="28">
        <f t="shared" si="182"/>
        <v>0.65963636363636358</v>
      </c>
      <c r="BI43" s="28">
        <f t="shared" si="182"/>
        <v>0.67313636363636364</v>
      </c>
      <c r="BJ43" s="28">
        <f t="shared" si="182"/>
        <v>0.6866363636363636</v>
      </c>
      <c r="BK43" s="28">
        <f t="shared" si="182"/>
        <v>0.70013636363636356</v>
      </c>
      <c r="BL43" s="28">
        <f t="shared" si="182"/>
        <v>0.71363636363636362</v>
      </c>
      <c r="BM43" s="28">
        <f t="shared" si="182"/>
        <v>0.72713636363636358</v>
      </c>
      <c r="BN43" s="28">
        <f t="shared" si="182"/>
        <v>0.74063636363636354</v>
      </c>
      <c r="BO43" s="28">
        <f t="shared" si="182"/>
        <v>0.7541363636363636</v>
      </c>
      <c r="BP43" s="28">
        <f t="shared" si="182"/>
        <v>0.76763636363636356</v>
      </c>
      <c r="BQ43" s="28">
        <f t="shared" si="182"/>
        <v>0.78113636363636352</v>
      </c>
      <c r="BR43" s="28">
        <f t="shared" si="182"/>
        <v>0.79463636363636359</v>
      </c>
      <c r="BS43" s="28">
        <f t="shared" si="182"/>
        <v>0.80813636363636365</v>
      </c>
      <c r="BT43" s="28">
        <f t="shared" si="182"/>
        <v>0.82163636363636361</v>
      </c>
      <c r="BU43" s="28">
        <f t="shared" si="182"/>
        <v>0.83513636363636357</v>
      </c>
      <c r="BV43" s="28">
        <f t="shared" si="182"/>
        <v>0.84863636363636363</v>
      </c>
      <c r="BW43" s="28">
        <f t="shared" si="182"/>
        <v>0.8621363636363637</v>
      </c>
      <c r="BX43" s="28">
        <f t="shared" si="182"/>
        <v>0.87563636363636366</v>
      </c>
      <c r="BY43" s="28">
        <f t="shared" si="182"/>
        <v>0.88913636363636361</v>
      </c>
      <c r="BZ43" s="28">
        <f t="shared" si="182"/>
        <v>0.90263636363636368</v>
      </c>
      <c r="CA43" s="28">
        <f t="shared" si="182"/>
        <v>0.91613636363636375</v>
      </c>
      <c r="CB43" s="28">
        <f t="shared" si="182"/>
        <v>0.93924999999999992</v>
      </c>
      <c r="CC43" s="28">
        <f t="shared" si="182"/>
        <v>0.95950000000000002</v>
      </c>
      <c r="CD43" s="28">
        <f t="shared" si="182"/>
        <v>0.97975000000000012</v>
      </c>
      <c r="CE43" s="28">
        <f t="shared" si="182"/>
        <v>1</v>
      </c>
      <c r="CF43" s="28">
        <f t="shared" ref="CF43:CI43" si="183">+SUMPRODUCT($G$44:$G$47,CF44:CF47)</f>
        <v>1</v>
      </c>
      <c r="CG43" s="28">
        <f t="shared" si="183"/>
        <v>1</v>
      </c>
      <c r="CH43" s="28">
        <f t="shared" si="183"/>
        <v>1</v>
      </c>
      <c r="CI43" s="28">
        <f t="shared" si="183"/>
        <v>1</v>
      </c>
      <c r="CJ43" s="28">
        <f t="shared" ref="CJ43:CK43" si="184">+SUMPRODUCT($G$44:$G$47,CJ44:CJ47)</f>
        <v>1</v>
      </c>
      <c r="CK43" s="28">
        <f t="shared" si="184"/>
        <v>1</v>
      </c>
      <c r="CL43" s="28">
        <f t="shared" ref="CL43" si="185">+SUMPRODUCT($G$44:$G$47,CL44:CL47)</f>
        <v>1</v>
      </c>
      <c r="CM43" s="28">
        <f t="shared" ref="CM43:CV43" si="186">+SUMPRODUCT($G$44:$G$47,CM44:CM47)</f>
        <v>1</v>
      </c>
      <c r="CN43" s="28">
        <f t="shared" si="186"/>
        <v>1</v>
      </c>
      <c r="CO43" s="28">
        <f t="shared" si="186"/>
        <v>1</v>
      </c>
      <c r="CP43" s="28">
        <f t="shared" si="186"/>
        <v>1</v>
      </c>
      <c r="CQ43" s="28">
        <f t="shared" si="186"/>
        <v>1</v>
      </c>
      <c r="CR43" s="28">
        <f t="shared" si="186"/>
        <v>1</v>
      </c>
      <c r="CS43" s="28">
        <f t="shared" si="186"/>
        <v>1</v>
      </c>
      <c r="CT43" s="28">
        <f t="shared" si="186"/>
        <v>1</v>
      </c>
      <c r="CU43" s="28">
        <f t="shared" si="186"/>
        <v>1</v>
      </c>
      <c r="CV43" s="28">
        <f t="shared" si="186"/>
        <v>1</v>
      </c>
      <c r="CW43" s="28">
        <f t="shared" ref="CW43" si="187">+SUMPRODUCT($G$44:$G$47,CW44:CW47)</f>
        <v>1</v>
      </c>
      <c r="CX43" s="28">
        <f t="shared" ref="CX43:CY43" si="188">+SUMPRODUCT($G$44:$G$47,CX44:CX47)</f>
        <v>1</v>
      </c>
      <c r="CY43" s="28">
        <f t="shared" si="188"/>
        <v>1</v>
      </c>
      <c r="CZ43" s="28">
        <f t="shared" ref="CZ43:DA43" si="189">+SUMPRODUCT($G$44:$G$47,CZ44:CZ47)</f>
        <v>1</v>
      </c>
      <c r="DA43" s="28">
        <f t="shared" si="189"/>
        <v>1</v>
      </c>
      <c r="DB43" s="28">
        <f t="shared" ref="DB43:DC43" si="190">+SUMPRODUCT($G$44:$G$47,DB44:DB47)</f>
        <v>1</v>
      </c>
      <c r="DC43" s="28">
        <f t="shared" si="190"/>
        <v>1</v>
      </c>
      <c r="DD43" s="28">
        <f t="shared" ref="DD43:DE43" si="191">+SUMPRODUCT($G$44:$G$47,DD44:DD47)</f>
        <v>1</v>
      </c>
      <c r="DE43" s="28">
        <f t="shared" si="191"/>
        <v>1</v>
      </c>
      <c r="DF43" s="28">
        <f t="shared" ref="DF43" si="192">+SUMPRODUCT($G$44:$G$47,DF44:DF47)</f>
        <v>1</v>
      </c>
      <c r="DG43" s="28">
        <f t="shared" ref="DG43:DJ43" si="193">+SUMPRODUCT($G$44:$G$47,DG44:DG47)</f>
        <v>1</v>
      </c>
      <c r="DH43" s="28">
        <f t="shared" si="193"/>
        <v>1</v>
      </c>
      <c r="DI43" s="28">
        <f t="shared" si="193"/>
        <v>1</v>
      </c>
      <c r="DJ43" s="28">
        <f t="shared" si="193"/>
        <v>1</v>
      </c>
      <c r="DK43" s="28">
        <f t="shared" ref="DK43:EI43" si="194">+SUMPRODUCT($G$44:$G$47,DK44:DK47)</f>
        <v>1</v>
      </c>
      <c r="DL43" s="28">
        <f t="shared" si="194"/>
        <v>1</v>
      </c>
      <c r="DM43" s="28">
        <f t="shared" si="194"/>
        <v>1</v>
      </c>
      <c r="DN43" s="28">
        <f t="shared" si="194"/>
        <v>1</v>
      </c>
      <c r="DO43" s="28">
        <f t="shared" si="194"/>
        <v>1</v>
      </c>
      <c r="DP43" s="28">
        <f t="shared" si="194"/>
        <v>1</v>
      </c>
      <c r="DQ43" s="28">
        <f t="shared" si="194"/>
        <v>1</v>
      </c>
      <c r="DR43" s="28">
        <f t="shared" si="194"/>
        <v>1</v>
      </c>
      <c r="DS43" s="28">
        <f t="shared" si="194"/>
        <v>1</v>
      </c>
      <c r="DT43" s="28">
        <f t="shared" si="194"/>
        <v>1</v>
      </c>
      <c r="DU43" s="28">
        <f t="shared" si="194"/>
        <v>1</v>
      </c>
      <c r="DV43" s="28">
        <f t="shared" si="194"/>
        <v>1</v>
      </c>
      <c r="DW43" s="28">
        <f t="shared" si="194"/>
        <v>1</v>
      </c>
      <c r="DX43" s="28">
        <f t="shared" si="194"/>
        <v>1</v>
      </c>
      <c r="DY43" s="28">
        <f t="shared" si="194"/>
        <v>1</v>
      </c>
      <c r="DZ43" s="28">
        <f t="shared" si="194"/>
        <v>1</v>
      </c>
      <c r="EA43" s="28">
        <f t="shared" si="194"/>
        <v>1</v>
      </c>
      <c r="EB43" s="28">
        <f t="shared" si="194"/>
        <v>1</v>
      </c>
      <c r="EC43" s="28">
        <f t="shared" si="194"/>
        <v>1</v>
      </c>
      <c r="ED43" s="28">
        <f t="shared" si="194"/>
        <v>1</v>
      </c>
      <c r="EE43" s="28">
        <f t="shared" si="194"/>
        <v>1</v>
      </c>
      <c r="EF43" s="28">
        <f t="shared" si="194"/>
        <v>1</v>
      </c>
      <c r="EG43" s="28">
        <f t="shared" si="194"/>
        <v>1</v>
      </c>
      <c r="EH43" s="28">
        <f t="shared" si="194"/>
        <v>1</v>
      </c>
      <c r="EI43" s="28">
        <f t="shared" si="194"/>
        <v>1</v>
      </c>
    </row>
    <row r="44" spans="2:139" ht="28.8" hidden="1" outlineLevel="3" x14ac:dyDescent="0.3">
      <c r="B44" s="29"/>
      <c r="C44" s="30"/>
      <c r="D44" s="30"/>
      <c r="E44" s="52" t="s">
        <v>49</v>
      </c>
      <c r="F44" s="33">
        <v>50</v>
      </c>
      <c r="G44" s="35">
        <v>0.25</v>
      </c>
      <c r="H44" s="53"/>
      <c r="I44" s="126">
        <v>0</v>
      </c>
      <c r="J44" s="127">
        <v>0</v>
      </c>
      <c r="K44" s="127">
        <v>0</v>
      </c>
      <c r="L44" s="127">
        <v>0</v>
      </c>
      <c r="M44" s="128">
        <v>0</v>
      </c>
      <c r="N44" s="128">
        <v>0</v>
      </c>
      <c r="O44" s="127">
        <v>0</v>
      </c>
      <c r="P44" s="127">
        <v>0</v>
      </c>
      <c r="Q44" s="127">
        <v>0</v>
      </c>
      <c r="R44" s="127">
        <v>0</v>
      </c>
      <c r="S44" s="127">
        <v>0</v>
      </c>
      <c r="T44" s="127">
        <v>0</v>
      </c>
      <c r="U44" s="127">
        <v>0</v>
      </c>
      <c r="V44" s="127">
        <v>0</v>
      </c>
      <c r="W44" s="127">
        <v>0</v>
      </c>
      <c r="X44" s="127">
        <v>0</v>
      </c>
      <c r="Y44" s="127">
        <v>0</v>
      </c>
      <c r="Z44" s="127">
        <v>0</v>
      </c>
      <c r="AA44" s="127">
        <v>1</v>
      </c>
      <c r="AB44" s="127">
        <v>1</v>
      </c>
      <c r="AC44" s="127">
        <v>1</v>
      </c>
      <c r="AD44" s="127">
        <v>1</v>
      </c>
      <c r="AE44" s="127">
        <v>1</v>
      </c>
      <c r="AF44" s="127">
        <v>1</v>
      </c>
      <c r="AG44" s="127">
        <v>1</v>
      </c>
      <c r="AH44" s="127">
        <v>1</v>
      </c>
      <c r="AI44" s="127">
        <v>1</v>
      </c>
      <c r="AJ44" s="127">
        <v>1</v>
      </c>
      <c r="AK44" s="127">
        <v>1</v>
      </c>
      <c r="AL44" s="127">
        <v>1</v>
      </c>
      <c r="AM44" s="127">
        <v>1</v>
      </c>
      <c r="AN44" s="127">
        <v>1</v>
      </c>
      <c r="AO44" s="127">
        <v>1</v>
      </c>
      <c r="AP44" s="127">
        <v>1</v>
      </c>
      <c r="AQ44" s="127">
        <v>1</v>
      </c>
      <c r="AR44" s="127">
        <v>1</v>
      </c>
      <c r="AS44" s="127">
        <v>1</v>
      </c>
      <c r="AT44" s="127">
        <v>1</v>
      </c>
      <c r="AU44" s="127">
        <v>1</v>
      </c>
      <c r="AV44" s="127">
        <v>1</v>
      </c>
      <c r="AW44" s="127">
        <v>1</v>
      </c>
      <c r="AX44" s="127">
        <v>1</v>
      </c>
      <c r="AY44" s="127">
        <v>1</v>
      </c>
      <c r="AZ44" s="127">
        <v>1</v>
      </c>
      <c r="BA44" s="127">
        <v>1</v>
      </c>
      <c r="BB44" s="127">
        <v>1</v>
      </c>
      <c r="BC44" s="127">
        <v>1</v>
      </c>
      <c r="BD44" s="127">
        <v>1</v>
      </c>
      <c r="BE44" s="127">
        <v>1</v>
      </c>
      <c r="BF44" s="127">
        <v>1</v>
      </c>
      <c r="BG44" s="127">
        <v>1</v>
      </c>
      <c r="BH44" s="127">
        <v>1</v>
      </c>
      <c r="BI44" s="127">
        <v>1</v>
      </c>
      <c r="BJ44" s="127">
        <v>1</v>
      </c>
      <c r="BK44" s="127">
        <v>1</v>
      </c>
      <c r="BL44" s="127">
        <v>1</v>
      </c>
      <c r="BM44" s="127">
        <v>1</v>
      </c>
      <c r="BN44" s="127">
        <v>1</v>
      </c>
      <c r="BO44" s="127">
        <v>1</v>
      </c>
      <c r="BP44" s="127">
        <v>1</v>
      </c>
      <c r="BQ44" s="127">
        <v>1</v>
      </c>
      <c r="BR44" s="127">
        <v>1</v>
      </c>
      <c r="BS44" s="127">
        <v>1</v>
      </c>
      <c r="BT44" s="127">
        <v>1</v>
      </c>
      <c r="BU44" s="127">
        <v>1</v>
      </c>
      <c r="BV44" s="127">
        <v>1</v>
      </c>
      <c r="BW44" s="127">
        <v>1</v>
      </c>
      <c r="BX44" s="127">
        <v>1</v>
      </c>
      <c r="BY44" s="127">
        <v>1</v>
      </c>
      <c r="BZ44" s="127">
        <v>1</v>
      </c>
      <c r="CA44" s="127">
        <v>1</v>
      </c>
      <c r="CB44" s="127">
        <v>1</v>
      </c>
      <c r="CC44" s="127">
        <v>1</v>
      </c>
      <c r="CD44" s="127">
        <v>1</v>
      </c>
      <c r="CE44" s="127">
        <v>1</v>
      </c>
      <c r="CF44" s="127">
        <v>1</v>
      </c>
      <c r="CG44" s="127">
        <v>1</v>
      </c>
      <c r="CH44" s="127">
        <v>1</v>
      </c>
      <c r="CI44" s="127">
        <v>1</v>
      </c>
      <c r="CJ44" s="127">
        <v>1</v>
      </c>
      <c r="CK44" s="127">
        <v>1</v>
      </c>
      <c r="CL44" s="127">
        <v>1</v>
      </c>
      <c r="CM44" s="127">
        <v>1</v>
      </c>
      <c r="CN44" s="127">
        <v>1</v>
      </c>
      <c r="CO44" s="127">
        <v>1</v>
      </c>
      <c r="CP44" s="127">
        <v>1</v>
      </c>
      <c r="CQ44" s="127">
        <v>1</v>
      </c>
      <c r="CR44" s="127">
        <v>1</v>
      </c>
      <c r="CS44" s="127">
        <v>1</v>
      </c>
      <c r="CT44" s="127">
        <v>1</v>
      </c>
      <c r="CU44" s="127">
        <v>1</v>
      </c>
      <c r="CV44" s="127">
        <v>1</v>
      </c>
      <c r="CW44" s="127">
        <v>1</v>
      </c>
      <c r="CX44" s="127">
        <v>1</v>
      </c>
      <c r="CY44" s="127">
        <v>1</v>
      </c>
      <c r="CZ44" s="127">
        <v>1</v>
      </c>
      <c r="DA44" s="127">
        <v>1</v>
      </c>
      <c r="DB44" s="127">
        <v>1</v>
      </c>
      <c r="DC44" s="127">
        <v>1</v>
      </c>
      <c r="DD44" s="127">
        <v>1</v>
      </c>
      <c r="DE44" s="127">
        <v>1</v>
      </c>
      <c r="DF44" s="127">
        <v>1</v>
      </c>
      <c r="DG44" s="127">
        <v>1</v>
      </c>
      <c r="DH44" s="127">
        <v>1</v>
      </c>
      <c r="DI44" s="127">
        <v>1</v>
      </c>
      <c r="DJ44" s="127">
        <v>1</v>
      </c>
      <c r="DK44" s="127">
        <v>1</v>
      </c>
      <c r="DL44" s="127">
        <v>1</v>
      </c>
      <c r="DM44" s="127">
        <v>1</v>
      </c>
      <c r="DN44" s="127">
        <v>1</v>
      </c>
      <c r="DO44" s="127">
        <v>1</v>
      </c>
      <c r="DP44" s="127">
        <v>1</v>
      </c>
      <c r="DQ44" s="127">
        <v>1</v>
      </c>
      <c r="DR44" s="127">
        <v>1</v>
      </c>
      <c r="DS44" s="127">
        <v>1</v>
      </c>
      <c r="DT44" s="127">
        <v>1</v>
      </c>
      <c r="DU44" s="127">
        <v>1</v>
      </c>
      <c r="DV44" s="127">
        <v>1</v>
      </c>
      <c r="DW44" s="127">
        <v>1</v>
      </c>
      <c r="DX44" s="127">
        <v>1</v>
      </c>
      <c r="DY44" s="127">
        <v>1</v>
      </c>
      <c r="DZ44" s="127">
        <v>1</v>
      </c>
      <c r="EA44" s="127">
        <v>1</v>
      </c>
      <c r="EB44" s="127">
        <v>1</v>
      </c>
      <c r="EC44" s="127">
        <v>1</v>
      </c>
      <c r="ED44" s="127">
        <v>1</v>
      </c>
      <c r="EE44" s="127">
        <v>1</v>
      </c>
      <c r="EF44" s="127">
        <v>1</v>
      </c>
      <c r="EG44" s="127">
        <v>1</v>
      </c>
      <c r="EH44" s="127">
        <v>1</v>
      </c>
      <c r="EI44" s="127">
        <v>1</v>
      </c>
    </row>
    <row r="45" spans="2:139" hidden="1" outlineLevel="3" x14ac:dyDescent="0.3">
      <c r="B45" s="29"/>
      <c r="C45" s="30"/>
      <c r="D45" s="30"/>
      <c r="E45" s="52" t="s">
        <v>50</v>
      </c>
      <c r="F45" s="33">
        <v>50</v>
      </c>
      <c r="G45" s="35">
        <v>0.25</v>
      </c>
      <c r="H45" s="53"/>
      <c r="I45" s="126">
        <v>0</v>
      </c>
      <c r="J45" s="127">
        <v>0</v>
      </c>
      <c r="K45" s="127">
        <v>0</v>
      </c>
      <c r="L45" s="127">
        <v>0</v>
      </c>
      <c r="M45" s="128">
        <v>0</v>
      </c>
      <c r="N45" s="128">
        <v>0</v>
      </c>
      <c r="O45" s="127">
        <v>0</v>
      </c>
      <c r="P45" s="127">
        <v>0</v>
      </c>
      <c r="Q45" s="127">
        <v>0</v>
      </c>
      <c r="R45" s="127">
        <v>0</v>
      </c>
      <c r="S45" s="127">
        <v>0</v>
      </c>
      <c r="T45" s="127">
        <v>0</v>
      </c>
      <c r="U45" s="127">
        <v>0</v>
      </c>
      <c r="V45" s="127">
        <v>0</v>
      </c>
      <c r="W45" s="127">
        <v>0</v>
      </c>
      <c r="X45" s="127">
        <v>0</v>
      </c>
      <c r="Y45" s="127">
        <v>0</v>
      </c>
      <c r="Z45" s="127">
        <v>0</v>
      </c>
      <c r="AA45" s="127">
        <v>0.7</v>
      </c>
      <c r="AB45" s="127">
        <v>0.7</v>
      </c>
      <c r="AC45" s="127">
        <v>0.70299999999999996</v>
      </c>
      <c r="AD45" s="127">
        <v>0.70599999999999996</v>
      </c>
      <c r="AE45" s="127">
        <v>0.70899999999999996</v>
      </c>
      <c r="AF45" s="127">
        <v>0.78999999999999992</v>
      </c>
      <c r="AG45" s="127">
        <v>0.78999999999999992</v>
      </c>
      <c r="AH45" s="127">
        <v>0.78999999999999992</v>
      </c>
      <c r="AI45" s="127">
        <v>0.78999999999999992</v>
      </c>
      <c r="AJ45" s="127">
        <v>0.78999999999999992</v>
      </c>
      <c r="AK45" s="127">
        <v>0.78999999999999992</v>
      </c>
      <c r="AL45" s="127">
        <v>0.78999999999999992</v>
      </c>
      <c r="AM45" s="127">
        <v>0.78999999999999992</v>
      </c>
      <c r="AN45" s="127">
        <v>0.78999999999999992</v>
      </c>
      <c r="AO45" s="127">
        <v>0.85</v>
      </c>
      <c r="AP45" s="127">
        <v>0.85</v>
      </c>
      <c r="AQ45" s="127">
        <v>0.87999999999999989</v>
      </c>
      <c r="AR45" s="127">
        <v>0.87999999999999989</v>
      </c>
      <c r="AS45" s="127">
        <v>0.87999999999999989</v>
      </c>
      <c r="AT45" s="127">
        <v>0.8859999999999999</v>
      </c>
      <c r="AU45" s="127">
        <v>0.8919999999999999</v>
      </c>
      <c r="AV45" s="127">
        <v>0.89799999999999991</v>
      </c>
      <c r="AW45" s="127">
        <v>0.90399999999999991</v>
      </c>
      <c r="AX45" s="127">
        <v>0.90699999999999992</v>
      </c>
      <c r="AY45" s="127">
        <v>0.90699999999999992</v>
      </c>
      <c r="AZ45" s="127">
        <v>0.91599999999999993</v>
      </c>
      <c r="BA45" s="127">
        <v>0.91599999999999993</v>
      </c>
      <c r="BB45" s="127">
        <f>Planbase100[[#This Row],[05/05/25]]+(1-Planbase100[[#This Row],[05/05/25]])*'Plan 39'!I27</f>
        <v>0.91599999999999993</v>
      </c>
      <c r="BC45" s="127">
        <f>Planbase100[[#This Row],[05/05/25]]+(1-Planbase100[[#This Row],[05/05/25]])*'Plan 39'!J27</f>
        <v>0.91599999999999993</v>
      </c>
      <c r="BD45" s="127">
        <f>Planbase100[[#This Row],[05/05/25]]+(1-Planbase100[[#This Row],[05/05/25]])*'Plan 39'!K27</f>
        <v>0.91599999999999993</v>
      </c>
      <c r="BE45" s="127">
        <f>Planbase100[[#This Row],[05/05/25]]+(1-Planbase100[[#This Row],[05/05/25]])*'Plan 39'!L27</f>
        <v>0.91599999999999993</v>
      </c>
      <c r="BF45" s="127">
        <f>Planbase100[[#This Row],[05/05/25]]+(1-Planbase100[[#This Row],[05/05/25]])*'Plan 39'!M27</f>
        <v>0.91599999999999993</v>
      </c>
      <c r="BG45" s="127">
        <f>Planbase100[[#This Row],[05/05/25]]+(1-Planbase100[[#This Row],[05/05/25]])*'Plan 39'!N27</f>
        <v>0.91599999999999993</v>
      </c>
      <c r="BH45" s="127">
        <f>Planbase100[[#This Row],[05/05/25]]+(1-Planbase100[[#This Row],[05/05/25]])*'Plan 39'!O27</f>
        <v>0.91599999999999993</v>
      </c>
      <c r="BI45" s="127">
        <f>Planbase100[[#This Row],[05/05/25]]+(1-Planbase100[[#This Row],[05/05/25]])*'Plan 39'!P27</f>
        <v>0.91599999999999993</v>
      </c>
      <c r="BJ45" s="127">
        <f>Planbase100[[#This Row],[05/05/25]]+(1-Planbase100[[#This Row],[05/05/25]])*'Plan 39'!Q27</f>
        <v>0.91599999999999993</v>
      </c>
      <c r="BK45" s="127">
        <f>Planbase100[[#This Row],[05/05/25]]+(1-Planbase100[[#This Row],[05/05/25]])*'Plan 39'!R27</f>
        <v>0.91599999999999993</v>
      </c>
      <c r="BL45" s="127">
        <f>Planbase100[[#This Row],[05/05/25]]+(1-Planbase100[[#This Row],[05/05/25]])*'Plan 39'!S27</f>
        <v>0.91599999999999993</v>
      </c>
      <c r="BM45" s="127">
        <f>Planbase100[[#This Row],[05/05/25]]+(1-Planbase100[[#This Row],[05/05/25]])*'Plan 39'!T27</f>
        <v>0.91599999999999993</v>
      </c>
      <c r="BN45" s="127">
        <f>Planbase100[[#This Row],[05/05/25]]+(1-Planbase100[[#This Row],[05/05/25]])*'Plan 39'!U27</f>
        <v>0.91599999999999993</v>
      </c>
      <c r="BO45" s="127">
        <f>Planbase100[[#This Row],[05/05/25]]+(1-Planbase100[[#This Row],[05/05/25]])*'Plan 39'!V27</f>
        <v>0.91599999999999993</v>
      </c>
      <c r="BP45" s="127">
        <f>Planbase100[[#This Row],[05/05/25]]+(1-Planbase100[[#This Row],[05/05/25]])*'Plan 39'!W27</f>
        <v>0.91599999999999993</v>
      </c>
      <c r="BQ45" s="127">
        <f>Planbase100[[#This Row],[05/05/25]]+(1-Planbase100[[#This Row],[05/05/25]])*'Plan 39'!X27</f>
        <v>0.91599999999999993</v>
      </c>
      <c r="BR45" s="127">
        <f>Planbase100[[#This Row],[05/05/25]]+(1-Planbase100[[#This Row],[05/05/25]])*'Plan 39'!Y27</f>
        <v>0.91599999999999993</v>
      </c>
      <c r="BS45" s="127">
        <f>Planbase100[[#This Row],[05/05/25]]+(1-Planbase100[[#This Row],[05/05/25]])*'Plan 39'!Z27</f>
        <v>0.91599999999999993</v>
      </c>
      <c r="BT45" s="127">
        <f>Planbase100[[#This Row],[05/05/25]]+(1-Planbase100[[#This Row],[05/05/25]])*'Plan 39'!AA27</f>
        <v>0.91599999999999993</v>
      </c>
      <c r="BU45" s="127">
        <f>Planbase100[[#This Row],[05/05/25]]+(1-Planbase100[[#This Row],[05/05/25]])*'Plan 39'!AB27</f>
        <v>0.91599999999999993</v>
      </c>
      <c r="BV45" s="127">
        <f>Planbase100[[#This Row],[05/05/25]]+(1-Planbase100[[#This Row],[05/05/25]])*'Plan 39'!AC27</f>
        <v>0.91599999999999993</v>
      </c>
      <c r="BW45" s="127">
        <f>Planbase100[[#This Row],[05/05/25]]+(1-Planbase100[[#This Row],[05/05/25]])*'Plan 39'!AD27</f>
        <v>0.91599999999999993</v>
      </c>
      <c r="BX45" s="127">
        <f>Planbase100[[#This Row],[05/05/25]]+(1-Planbase100[[#This Row],[05/05/25]])*'Plan 39'!AE27</f>
        <v>0.91599999999999993</v>
      </c>
      <c r="BY45" s="127">
        <f>Planbase100[[#This Row],[05/05/25]]+(1-Planbase100[[#This Row],[05/05/25]])*'Plan 39'!AF27</f>
        <v>0.91599999999999993</v>
      </c>
      <c r="BZ45" s="127">
        <f>Planbase100[[#This Row],[05/05/25]]+(1-Planbase100[[#This Row],[05/05/25]])*'Plan 39'!AG27</f>
        <v>0.91599999999999993</v>
      </c>
      <c r="CA45" s="127">
        <f>Planbase100[[#This Row],[05/05/25]]+(1-Planbase100[[#This Row],[05/05/25]])*'Plan 39'!AH27</f>
        <v>0.91599999999999993</v>
      </c>
      <c r="CB45" s="127">
        <f>Planbase100[[#This Row],[05/05/25]]+(1-Planbase100[[#This Row],[05/05/25]])*'Plan 39'!AI27</f>
        <v>0.93699999999999994</v>
      </c>
      <c r="CC45" s="127">
        <f>Planbase100[[#This Row],[05/05/25]]+(1-Planbase100[[#This Row],[05/05/25]])*'Plan 39'!AJ27</f>
        <v>0.95799999999999996</v>
      </c>
      <c r="CD45" s="127">
        <f>Planbase100[[#This Row],[05/05/25]]+(1-Planbase100[[#This Row],[05/05/25]])*'Plan 39'!AK27</f>
        <v>0.97899999999999998</v>
      </c>
      <c r="CE45" s="127">
        <f>Planbase100[[#This Row],[05/05/25]]+(1-Planbase100[[#This Row],[05/05/25]])*'Plan 39'!AL27</f>
        <v>1</v>
      </c>
      <c r="CF45" s="127">
        <f>Planbase100[[#This Row],[05/05/25]]+(1-Planbase100[[#This Row],[05/05/25]])*'Plan 39'!AM27</f>
        <v>1</v>
      </c>
      <c r="CG45" s="127">
        <f>Planbase100[[#This Row],[05/05/25]]+(1-Planbase100[[#This Row],[05/05/25]])*'Plan 39'!AN27</f>
        <v>1</v>
      </c>
      <c r="CH45" s="127">
        <f>Planbase100[[#This Row],[05/05/25]]+(1-Planbase100[[#This Row],[05/05/25]])*'Plan 39'!AO27</f>
        <v>1</v>
      </c>
      <c r="CI45" s="127">
        <f>Planbase100[[#This Row],[05/05/25]]+(1-Planbase100[[#This Row],[05/05/25]])*'Plan 39'!AP27</f>
        <v>1</v>
      </c>
      <c r="CJ45" s="127">
        <f>Planbase100[[#This Row],[05/05/25]]+(1-Planbase100[[#This Row],[05/05/25]])*'Plan 39'!AQ27</f>
        <v>1</v>
      </c>
      <c r="CK45" s="127">
        <f>Planbase100[[#This Row],[05/05/25]]+(1-Planbase100[[#This Row],[05/05/25]])*'Plan 39'!AR27</f>
        <v>1</v>
      </c>
      <c r="CL45" s="127">
        <f>Planbase100[[#This Row],[05/05/25]]+(1-Planbase100[[#This Row],[05/05/25]])*'Plan 39'!AS27</f>
        <v>1</v>
      </c>
      <c r="CM45" s="127">
        <f>Planbase100[[#This Row],[05/05/25]]+(1-Planbase100[[#This Row],[05/05/25]])*'Plan 39'!AT27</f>
        <v>1</v>
      </c>
      <c r="CN45" s="127">
        <f>Planbase100[[#This Row],[05/05/25]]+(1-Planbase100[[#This Row],[05/05/25]])*'Plan 39'!AU27</f>
        <v>1</v>
      </c>
      <c r="CO45" s="127">
        <f>Planbase100[[#This Row],[05/05/25]]+(1-Planbase100[[#This Row],[05/05/25]])*'Plan 39'!AV27</f>
        <v>1</v>
      </c>
      <c r="CP45" s="127">
        <f>Planbase100[[#This Row],[05/05/25]]+(1-Planbase100[[#This Row],[05/05/25]])*'Plan 39'!AW27</f>
        <v>1</v>
      </c>
      <c r="CQ45" s="127">
        <f>Planbase100[[#This Row],[05/05/25]]+(1-Planbase100[[#This Row],[05/05/25]])*'Plan 39'!AX27</f>
        <v>1</v>
      </c>
      <c r="CR45" s="127">
        <f>Planbase100[[#This Row],[05/05/25]]+(1-Planbase100[[#This Row],[05/05/25]])*'Plan 39'!AY27</f>
        <v>1</v>
      </c>
      <c r="CS45" s="127">
        <f>Planbase100[[#This Row],[05/05/25]]+(1-Planbase100[[#This Row],[05/05/25]])*'Plan 39'!AZ27</f>
        <v>1</v>
      </c>
      <c r="CT45" s="127">
        <f>Planbase100[[#This Row],[05/05/25]]+(1-Planbase100[[#This Row],[05/05/25]])*'Plan 39'!BA27</f>
        <v>1</v>
      </c>
      <c r="CU45" s="127">
        <f>Planbase100[[#This Row],[05/05/25]]+(1-Planbase100[[#This Row],[05/05/25]])*'Plan 39'!BB27</f>
        <v>1</v>
      </c>
      <c r="CV45" s="127">
        <f>Planbase100[[#This Row],[05/05/25]]+(1-Planbase100[[#This Row],[05/05/25]])*'Plan 39'!BC27</f>
        <v>1</v>
      </c>
      <c r="CW45" s="127">
        <f>Planbase100[[#This Row],[05/05/25]]+(1-Planbase100[[#This Row],[05/05/25]])*'Plan 39'!BD27</f>
        <v>1</v>
      </c>
      <c r="CX45" s="127">
        <f>Planbase100[[#This Row],[05/05/25]]+(1-Planbase100[[#This Row],[05/05/25]])*'Plan 39'!BE27</f>
        <v>1</v>
      </c>
      <c r="CY45" s="127">
        <f>Planbase100[[#This Row],[05/05/25]]+(1-Planbase100[[#This Row],[05/05/25]])*'Plan 39'!BF27</f>
        <v>1</v>
      </c>
      <c r="CZ45" s="127">
        <f>Planbase100[[#This Row],[05/05/25]]+(1-Planbase100[[#This Row],[05/05/25]])*'Plan 39'!BG27</f>
        <v>1</v>
      </c>
      <c r="DA45" s="127">
        <f>Planbase100[[#This Row],[05/05/25]]+(1-Planbase100[[#This Row],[05/05/25]])*'Plan 39'!BH27</f>
        <v>1</v>
      </c>
      <c r="DB45" s="127">
        <f>Planbase100[[#This Row],[05/05/25]]+(1-Planbase100[[#This Row],[05/05/25]])*'Plan 39'!BI27</f>
        <v>1</v>
      </c>
      <c r="DC45" s="127">
        <f>Planbase100[[#This Row],[05/05/25]]+(1-Planbase100[[#This Row],[05/05/25]])*'Plan 39'!BJ27</f>
        <v>1</v>
      </c>
      <c r="DD45" s="127">
        <f>Planbase100[[#This Row],[05/05/25]]+(1-Planbase100[[#This Row],[05/05/25]])*'Plan 39'!BK27</f>
        <v>1</v>
      </c>
      <c r="DE45" s="127">
        <f>Planbase100[[#This Row],[05/05/25]]+(1-Planbase100[[#This Row],[05/05/25]])*'Plan 39'!BL27</f>
        <v>1</v>
      </c>
      <c r="DF45" s="127">
        <v>1</v>
      </c>
      <c r="DG45" s="127">
        <v>1</v>
      </c>
      <c r="DH45" s="127">
        <v>1</v>
      </c>
      <c r="DI45" s="127">
        <v>1</v>
      </c>
      <c r="DJ45" s="127">
        <v>1</v>
      </c>
      <c r="DK45" s="127">
        <v>1</v>
      </c>
      <c r="DL45" s="127">
        <v>1</v>
      </c>
      <c r="DM45" s="127">
        <v>1</v>
      </c>
      <c r="DN45" s="127">
        <v>1</v>
      </c>
      <c r="DO45" s="127">
        <v>1</v>
      </c>
      <c r="DP45" s="127">
        <v>1</v>
      </c>
      <c r="DQ45" s="127">
        <v>1</v>
      </c>
      <c r="DR45" s="127">
        <v>1</v>
      </c>
      <c r="DS45" s="127">
        <v>1</v>
      </c>
      <c r="DT45" s="127">
        <v>1</v>
      </c>
      <c r="DU45" s="127">
        <v>1</v>
      </c>
      <c r="DV45" s="127">
        <v>1</v>
      </c>
      <c r="DW45" s="127">
        <v>1</v>
      </c>
      <c r="DX45" s="127">
        <v>1</v>
      </c>
      <c r="DY45" s="127">
        <v>1</v>
      </c>
      <c r="DZ45" s="127">
        <v>1</v>
      </c>
      <c r="EA45" s="127">
        <v>1</v>
      </c>
      <c r="EB45" s="127">
        <v>1</v>
      </c>
      <c r="EC45" s="127">
        <v>1</v>
      </c>
      <c r="ED45" s="127">
        <v>1</v>
      </c>
      <c r="EE45" s="127">
        <v>1</v>
      </c>
      <c r="EF45" s="127">
        <v>1</v>
      </c>
      <c r="EG45" s="127">
        <v>1</v>
      </c>
      <c r="EH45" s="127">
        <v>1</v>
      </c>
      <c r="EI45" s="127">
        <v>1</v>
      </c>
    </row>
    <row r="46" spans="2:139" ht="28.8" hidden="1" outlineLevel="3" x14ac:dyDescent="0.3">
      <c r="B46" s="29"/>
      <c r="C46" s="30"/>
      <c r="D46" s="30"/>
      <c r="E46" s="52" t="s">
        <v>51</v>
      </c>
      <c r="F46" s="33">
        <v>40</v>
      </c>
      <c r="G46" s="35">
        <v>0.2</v>
      </c>
      <c r="H46" s="53"/>
      <c r="I46" s="126">
        <v>0</v>
      </c>
      <c r="J46" s="127">
        <v>0</v>
      </c>
      <c r="K46" s="127">
        <v>0</v>
      </c>
      <c r="L46" s="127">
        <v>0</v>
      </c>
      <c r="M46" s="128">
        <v>0</v>
      </c>
      <c r="N46" s="128">
        <v>0</v>
      </c>
      <c r="O46" s="127">
        <v>0</v>
      </c>
      <c r="P46" s="127">
        <v>0</v>
      </c>
      <c r="Q46" s="127">
        <v>0</v>
      </c>
      <c r="R46" s="127">
        <v>0</v>
      </c>
      <c r="S46" s="127">
        <v>0</v>
      </c>
      <c r="T46" s="127">
        <v>0</v>
      </c>
      <c r="U46" s="127">
        <v>0</v>
      </c>
      <c r="V46" s="127">
        <v>0</v>
      </c>
      <c r="W46" s="127">
        <v>0</v>
      </c>
      <c r="X46" s="127">
        <v>0</v>
      </c>
      <c r="Y46" s="127">
        <v>0</v>
      </c>
      <c r="Z46" s="127">
        <v>0</v>
      </c>
      <c r="AA46" s="127">
        <v>0</v>
      </c>
      <c r="AB46" s="127">
        <v>0</v>
      </c>
      <c r="AC46" s="127">
        <v>0</v>
      </c>
      <c r="AD46" s="127">
        <v>0.3</v>
      </c>
      <c r="AE46" s="127">
        <v>0.5</v>
      </c>
      <c r="AF46" s="127">
        <v>0.55000000000000004</v>
      </c>
      <c r="AG46" s="127">
        <v>0.55000000000000004</v>
      </c>
      <c r="AH46" s="127">
        <v>0.55000000000000004</v>
      </c>
      <c r="AI46" s="127">
        <v>0.55000000000000004</v>
      </c>
      <c r="AJ46" s="127">
        <v>0.55000000000000004</v>
      </c>
      <c r="AK46" s="127">
        <v>0.55000000000000004</v>
      </c>
      <c r="AL46" s="127">
        <v>0.55000000000000004</v>
      </c>
      <c r="AM46" s="127">
        <v>0.55000000000000004</v>
      </c>
      <c r="AN46" s="127">
        <v>0.6</v>
      </c>
      <c r="AO46" s="127">
        <v>0.7</v>
      </c>
      <c r="AP46" s="127">
        <v>0.7</v>
      </c>
      <c r="AQ46" s="127">
        <v>0.7</v>
      </c>
      <c r="AR46" s="127">
        <v>0.7</v>
      </c>
      <c r="AS46" s="127">
        <v>0.7</v>
      </c>
      <c r="AT46" s="127">
        <v>0.7</v>
      </c>
      <c r="AU46" s="127">
        <v>0.7</v>
      </c>
      <c r="AV46" s="127">
        <v>0.7</v>
      </c>
      <c r="AW46" s="127">
        <v>0.7</v>
      </c>
      <c r="AX46" s="127">
        <v>0.7</v>
      </c>
      <c r="AY46" s="127">
        <v>0.7</v>
      </c>
      <c r="AZ46" s="127">
        <v>0.7</v>
      </c>
      <c r="BA46" s="127">
        <v>0.7</v>
      </c>
      <c r="BB46" s="127">
        <f>Planbase100[[#This Row],[05/05/25]]+(1-Planbase100[[#This Row],[05/05/25]])*'Plan 39'!I28</f>
        <v>0.7</v>
      </c>
      <c r="BC46" s="127">
        <f>Planbase100[[#This Row],[05/05/25]]+(1-Planbase100[[#This Row],[05/05/25]])*'Plan 39'!J28</f>
        <v>0.7</v>
      </c>
      <c r="BD46" s="127">
        <f>Planbase100[[#This Row],[05/05/25]]+(1-Planbase100[[#This Row],[05/05/25]])*'Plan 39'!K28</f>
        <v>0.7</v>
      </c>
      <c r="BE46" s="127">
        <f>Planbase100[[#This Row],[05/05/25]]+(1-Planbase100[[#This Row],[05/05/25]])*'Plan 39'!L28</f>
        <v>0.7</v>
      </c>
      <c r="BF46" s="127">
        <f>Planbase100[[#This Row],[05/05/25]]+(1-Planbase100[[#This Row],[05/05/25]])*'Plan 39'!M28</f>
        <v>0.7</v>
      </c>
      <c r="BG46" s="127">
        <f>Planbase100[[#This Row],[05/05/25]]+(1-Planbase100[[#This Row],[05/05/25]])*'Plan 39'!N28</f>
        <v>0.7</v>
      </c>
      <c r="BH46" s="127">
        <f>Planbase100[[#This Row],[05/05/25]]+(1-Planbase100[[#This Row],[05/05/25]])*'Plan 39'!O28</f>
        <v>0.7</v>
      </c>
      <c r="BI46" s="127">
        <f>Planbase100[[#This Row],[05/05/25]]+(1-Planbase100[[#This Row],[05/05/25]])*'Plan 39'!P28</f>
        <v>0.7</v>
      </c>
      <c r="BJ46" s="127">
        <f>Planbase100[[#This Row],[05/05/25]]+(1-Planbase100[[#This Row],[05/05/25]])*'Plan 39'!Q28</f>
        <v>0.7</v>
      </c>
      <c r="BK46" s="127">
        <f>Planbase100[[#This Row],[05/05/25]]+(1-Planbase100[[#This Row],[05/05/25]])*'Plan 39'!R28</f>
        <v>0.7</v>
      </c>
      <c r="BL46" s="127">
        <f>Planbase100[[#This Row],[05/05/25]]+(1-Planbase100[[#This Row],[05/05/25]])*'Plan 39'!S28</f>
        <v>0.7</v>
      </c>
      <c r="BM46" s="127">
        <f>Planbase100[[#This Row],[05/05/25]]+(1-Planbase100[[#This Row],[05/05/25]])*'Plan 39'!T28</f>
        <v>0.7</v>
      </c>
      <c r="BN46" s="127">
        <f>Planbase100[[#This Row],[05/05/25]]+(1-Planbase100[[#This Row],[05/05/25]])*'Plan 39'!U28</f>
        <v>0.7</v>
      </c>
      <c r="BO46" s="127">
        <f>Planbase100[[#This Row],[05/05/25]]+(1-Planbase100[[#This Row],[05/05/25]])*'Plan 39'!V28</f>
        <v>0.7</v>
      </c>
      <c r="BP46" s="127">
        <f>Planbase100[[#This Row],[05/05/25]]+(1-Planbase100[[#This Row],[05/05/25]])*'Plan 39'!W28</f>
        <v>0.7</v>
      </c>
      <c r="BQ46" s="127">
        <f>Planbase100[[#This Row],[05/05/25]]+(1-Planbase100[[#This Row],[05/05/25]])*'Plan 39'!X28</f>
        <v>0.7</v>
      </c>
      <c r="BR46" s="127">
        <f>Planbase100[[#This Row],[05/05/25]]+(1-Planbase100[[#This Row],[05/05/25]])*'Plan 39'!Y28</f>
        <v>0.7</v>
      </c>
      <c r="BS46" s="127">
        <f>Planbase100[[#This Row],[05/05/25]]+(1-Planbase100[[#This Row],[05/05/25]])*'Plan 39'!Z28</f>
        <v>0.7</v>
      </c>
      <c r="BT46" s="127">
        <f>Planbase100[[#This Row],[05/05/25]]+(1-Planbase100[[#This Row],[05/05/25]])*'Plan 39'!AA28</f>
        <v>0.7</v>
      </c>
      <c r="BU46" s="127">
        <f>Planbase100[[#This Row],[05/05/25]]+(1-Planbase100[[#This Row],[05/05/25]])*'Plan 39'!AB28</f>
        <v>0.7</v>
      </c>
      <c r="BV46" s="127">
        <f>Planbase100[[#This Row],[05/05/25]]+(1-Planbase100[[#This Row],[05/05/25]])*'Plan 39'!AC28</f>
        <v>0.7</v>
      </c>
      <c r="BW46" s="127">
        <f>Planbase100[[#This Row],[05/05/25]]+(1-Planbase100[[#This Row],[05/05/25]])*'Plan 39'!AD28</f>
        <v>0.7</v>
      </c>
      <c r="BX46" s="127">
        <f>Planbase100[[#This Row],[05/05/25]]+(1-Planbase100[[#This Row],[05/05/25]])*'Plan 39'!AE28</f>
        <v>0.7</v>
      </c>
      <c r="BY46" s="127">
        <f>Planbase100[[#This Row],[05/05/25]]+(1-Planbase100[[#This Row],[05/05/25]])*'Plan 39'!AF28</f>
        <v>0.7</v>
      </c>
      <c r="BZ46" s="127">
        <f>Planbase100[[#This Row],[05/05/25]]+(1-Planbase100[[#This Row],[05/05/25]])*'Plan 39'!AG28</f>
        <v>0.7</v>
      </c>
      <c r="CA46" s="127">
        <f>Planbase100[[#This Row],[05/05/25]]+(1-Planbase100[[#This Row],[05/05/25]])*'Plan 39'!AH28</f>
        <v>0.7</v>
      </c>
      <c r="CB46" s="127">
        <f>Planbase100[[#This Row],[05/05/25]]+(1-Planbase100[[#This Row],[05/05/25]])*'Plan 39'!AI28</f>
        <v>0.77499999999999991</v>
      </c>
      <c r="CC46" s="127">
        <f>Planbase100[[#This Row],[05/05/25]]+(1-Planbase100[[#This Row],[05/05/25]])*'Plan 39'!AJ28</f>
        <v>0.85</v>
      </c>
      <c r="CD46" s="127">
        <f>Planbase100[[#This Row],[05/05/25]]+(1-Planbase100[[#This Row],[05/05/25]])*'Plan 39'!AK28</f>
        <v>0.92500000000000004</v>
      </c>
      <c r="CE46" s="127">
        <f>Planbase100[[#This Row],[05/05/25]]+(1-Planbase100[[#This Row],[05/05/25]])*'Plan 39'!AL28</f>
        <v>1</v>
      </c>
      <c r="CF46" s="127">
        <f>Planbase100[[#This Row],[05/05/25]]+(1-Planbase100[[#This Row],[05/05/25]])*'Plan 39'!AM28</f>
        <v>1</v>
      </c>
      <c r="CG46" s="127">
        <f>Planbase100[[#This Row],[05/05/25]]+(1-Planbase100[[#This Row],[05/05/25]])*'Plan 39'!AN28</f>
        <v>1</v>
      </c>
      <c r="CH46" s="127">
        <f>Planbase100[[#This Row],[05/05/25]]+(1-Planbase100[[#This Row],[05/05/25]])*'Plan 39'!AO28</f>
        <v>1</v>
      </c>
      <c r="CI46" s="127">
        <f>Planbase100[[#This Row],[05/05/25]]+(1-Planbase100[[#This Row],[05/05/25]])*'Plan 39'!AP28</f>
        <v>1</v>
      </c>
      <c r="CJ46" s="127">
        <f>Planbase100[[#This Row],[05/05/25]]+(1-Planbase100[[#This Row],[05/05/25]])*'Plan 39'!AQ28</f>
        <v>1</v>
      </c>
      <c r="CK46" s="127">
        <f>Planbase100[[#This Row],[05/05/25]]+(1-Planbase100[[#This Row],[05/05/25]])*'Plan 39'!AR28</f>
        <v>1</v>
      </c>
      <c r="CL46" s="127">
        <f>Planbase100[[#This Row],[05/05/25]]+(1-Planbase100[[#This Row],[05/05/25]])*'Plan 39'!AS28</f>
        <v>1</v>
      </c>
      <c r="CM46" s="127">
        <f>Planbase100[[#This Row],[05/05/25]]+(1-Planbase100[[#This Row],[05/05/25]])*'Plan 39'!AT28</f>
        <v>1</v>
      </c>
      <c r="CN46" s="127">
        <f>Planbase100[[#This Row],[05/05/25]]+(1-Planbase100[[#This Row],[05/05/25]])*'Plan 39'!AU28</f>
        <v>1</v>
      </c>
      <c r="CO46" s="127">
        <f>Planbase100[[#This Row],[05/05/25]]+(1-Planbase100[[#This Row],[05/05/25]])*'Plan 39'!AV28</f>
        <v>1</v>
      </c>
      <c r="CP46" s="127">
        <f>Planbase100[[#This Row],[05/05/25]]+(1-Planbase100[[#This Row],[05/05/25]])*'Plan 39'!AW28</f>
        <v>1</v>
      </c>
      <c r="CQ46" s="127">
        <f>Planbase100[[#This Row],[05/05/25]]+(1-Planbase100[[#This Row],[05/05/25]])*'Plan 39'!AX28</f>
        <v>1</v>
      </c>
      <c r="CR46" s="127">
        <f>Planbase100[[#This Row],[05/05/25]]+(1-Planbase100[[#This Row],[05/05/25]])*'Plan 39'!AY28</f>
        <v>1</v>
      </c>
      <c r="CS46" s="127">
        <f>Planbase100[[#This Row],[05/05/25]]+(1-Planbase100[[#This Row],[05/05/25]])*'Plan 39'!AZ28</f>
        <v>1</v>
      </c>
      <c r="CT46" s="127">
        <f>Planbase100[[#This Row],[05/05/25]]+(1-Planbase100[[#This Row],[05/05/25]])*'Plan 39'!BA28</f>
        <v>1</v>
      </c>
      <c r="CU46" s="127">
        <f>Planbase100[[#This Row],[05/05/25]]+(1-Planbase100[[#This Row],[05/05/25]])*'Plan 39'!BB28</f>
        <v>1</v>
      </c>
      <c r="CV46" s="127">
        <f>Planbase100[[#This Row],[05/05/25]]+(1-Planbase100[[#This Row],[05/05/25]])*'Plan 39'!BC28</f>
        <v>1</v>
      </c>
      <c r="CW46" s="127">
        <f>Planbase100[[#This Row],[05/05/25]]+(1-Planbase100[[#This Row],[05/05/25]])*'Plan 39'!BD28</f>
        <v>1</v>
      </c>
      <c r="CX46" s="127">
        <f>Planbase100[[#This Row],[05/05/25]]+(1-Planbase100[[#This Row],[05/05/25]])*'Plan 39'!BE28</f>
        <v>1</v>
      </c>
      <c r="CY46" s="127">
        <f>Planbase100[[#This Row],[05/05/25]]+(1-Planbase100[[#This Row],[05/05/25]])*'Plan 39'!BF28</f>
        <v>1</v>
      </c>
      <c r="CZ46" s="127">
        <f>Planbase100[[#This Row],[05/05/25]]+(1-Planbase100[[#This Row],[05/05/25]])*'Plan 39'!BG28</f>
        <v>1</v>
      </c>
      <c r="DA46" s="127">
        <f>Planbase100[[#This Row],[05/05/25]]+(1-Planbase100[[#This Row],[05/05/25]])*'Plan 39'!BH28</f>
        <v>1</v>
      </c>
      <c r="DB46" s="127">
        <f>Planbase100[[#This Row],[05/05/25]]+(1-Planbase100[[#This Row],[05/05/25]])*'Plan 39'!BI28</f>
        <v>1</v>
      </c>
      <c r="DC46" s="127">
        <f>Planbase100[[#This Row],[05/05/25]]+(1-Planbase100[[#This Row],[05/05/25]])*'Plan 39'!BJ28</f>
        <v>1</v>
      </c>
      <c r="DD46" s="127">
        <f>Planbase100[[#This Row],[05/05/25]]+(1-Planbase100[[#This Row],[05/05/25]])*'Plan 39'!BK28</f>
        <v>1</v>
      </c>
      <c r="DE46" s="127">
        <f>Planbase100[[#This Row],[05/05/25]]+(1-Planbase100[[#This Row],[05/05/25]])*'Plan 39'!BL28</f>
        <v>1</v>
      </c>
      <c r="DF46" s="127">
        <v>1</v>
      </c>
      <c r="DG46" s="127">
        <v>1</v>
      </c>
      <c r="DH46" s="127">
        <v>1</v>
      </c>
      <c r="DI46" s="127">
        <v>1</v>
      </c>
      <c r="DJ46" s="127">
        <v>1</v>
      </c>
      <c r="DK46" s="127">
        <v>1</v>
      </c>
      <c r="DL46" s="127">
        <v>1</v>
      </c>
      <c r="DM46" s="127">
        <v>1</v>
      </c>
      <c r="DN46" s="127">
        <v>1</v>
      </c>
      <c r="DO46" s="127">
        <v>1</v>
      </c>
      <c r="DP46" s="127">
        <v>1</v>
      </c>
      <c r="DQ46" s="127">
        <v>1</v>
      </c>
      <c r="DR46" s="127">
        <v>1</v>
      </c>
      <c r="DS46" s="127">
        <v>1</v>
      </c>
      <c r="DT46" s="127">
        <v>1</v>
      </c>
      <c r="DU46" s="127">
        <v>1</v>
      </c>
      <c r="DV46" s="127">
        <v>1</v>
      </c>
      <c r="DW46" s="127">
        <v>1</v>
      </c>
      <c r="DX46" s="127">
        <v>1</v>
      </c>
      <c r="DY46" s="127">
        <v>1</v>
      </c>
      <c r="DZ46" s="127">
        <v>1</v>
      </c>
      <c r="EA46" s="127">
        <v>1</v>
      </c>
      <c r="EB46" s="127">
        <v>1</v>
      </c>
      <c r="EC46" s="127">
        <v>1</v>
      </c>
      <c r="ED46" s="127">
        <v>1</v>
      </c>
      <c r="EE46" s="127">
        <v>1</v>
      </c>
      <c r="EF46" s="127">
        <v>1</v>
      </c>
      <c r="EG46" s="127">
        <v>1</v>
      </c>
      <c r="EH46" s="127">
        <v>1</v>
      </c>
      <c r="EI46" s="127">
        <v>1</v>
      </c>
    </row>
    <row r="47" spans="2:139" hidden="1" outlineLevel="3" x14ac:dyDescent="0.3">
      <c r="B47" s="29"/>
      <c r="C47" s="30"/>
      <c r="D47" s="30"/>
      <c r="E47" s="52" t="s">
        <v>52</v>
      </c>
      <c r="F47" s="33">
        <v>50</v>
      </c>
      <c r="G47" s="35">
        <v>0.3</v>
      </c>
      <c r="H47" s="53"/>
      <c r="I47" s="126">
        <v>0</v>
      </c>
      <c r="J47" s="127">
        <v>0</v>
      </c>
      <c r="K47" s="127">
        <v>0</v>
      </c>
      <c r="L47" s="127">
        <v>0</v>
      </c>
      <c r="M47" s="128">
        <v>0</v>
      </c>
      <c r="N47" s="128">
        <v>0</v>
      </c>
      <c r="O47" s="127">
        <v>0</v>
      </c>
      <c r="P47" s="127">
        <v>0</v>
      </c>
      <c r="Q47" s="127">
        <v>0</v>
      </c>
      <c r="R47" s="127">
        <v>0</v>
      </c>
      <c r="S47" s="127">
        <v>0</v>
      </c>
      <c r="T47" s="127">
        <v>0</v>
      </c>
      <c r="U47" s="127">
        <v>0</v>
      </c>
      <c r="V47" s="127">
        <v>0</v>
      </c>
      <c r="W47" s="127">
        <v>0</v>
      </c>
      <c r="X47" s="127">
        <v>0</v>
      </c>
      <c r="Y47" s="127">
        <v>0</v>
      </c>
      <c r="Z47" s="127">
        <v>0</v>
      </c>
      <c r="AA47" s="127">
        <v>0</v>
      </c>
      <c r="AB47" s="127">
        <v>0</v>
      </c>
      <c r="AC47" s="127">
        <v>0</v>
      </c>
      <c r="AD47" s="127">
        <v>0</v>
      </c>
      <c r="AE47" s="127">
        <v>0</v>
      </c>
      <c r="AF47" s="127">
        <v>0</v>
      </c>
      <c r="AG47" s="127">
        <v>0</v>
      </c>
      <c r="AH47" s="127">
        <v>0</v>
      </c>
      <c r="AI47" s="127">
        <v>0</v>
      </c>
      <c r="AJ47" s="127">
        <v>0</v>
      </c>
      <c r="AK47" s="127">
        <v>0</v>
      </c>
      <c r="AL47" s="127">
        <v>0</v>
      </c>
      <c r="AM47" s="127">
        <v>0</v>
      </c>
      <c r="AN47" s="127">
        <v>0</v>
      </c>
      <c r="AO47" s="127">
        <v>0</v>
      </c>
      <c r="AP47" s="127">
        <v>0</v>
      </c>
      <c r="AQ47" s="127">
        <v>0</v>
      </c>
      <c r="AR47" s="127">
        <v>0</v>
      </c>
      <c r="AS47" s="127">
        <v>0</v>
      </c>
      <c r="AT47" s="127">
        <v>0</v>
      </c>
      <c r="AU47" s="127">
        <v>0</v>
      </c>
      <c r="AV47" s="127">
        <v>0</v>
      </c>
      <c r="AW47" s="127">
        <v>0</v>
      </c>
      <c r="AX47" s="127">
        <v>0</v>
      </c>
      <c r="AY47" s="127">
        <v>0</v>
      </c>
      <c r="AZ47" s="127">
        <v>0</v>
      </c>
      <c r="BA47" s="127">
        <v>0</v>
      </c>
      <c r="BB47" s="127">
        <f>Planbase100[[#This Row],[05/05/25]]+(1-Planbase100[[#This Row],[05/05/25]])*'Plan 39'!I29</f>
        <v>0</v>
      </c>
      <c r="BC47" s="127">
        <f>Planbase100[[#This Row],[05/05/25]]+(1-Planbase100[[#This Row],[05/05/25]])*'Plan 39'!J29</f>
        <v>0</v>
      </c>
      <c r="BD47" s="127">
        <f>Planbase100[[#This Row],[05/05/25]]+(1-Planbase100[[#This Row],[05/05/25]])*'Plan 39'!K29</f>
        <v>0</v>
      </c>
      <c r="BE47" s="127">
        <f>Planbase100[[#This Row],[05/05/25]]+(1-Planbase100[[#This Row],[05/05/25]])*'Plan 39'!L29</f>
        <v>0</v>
      </c>
      <c r="BF47" s="127">
        <f>Planbase100[[#This Row],[05/05/25]]+(1-Planbase100[[#This Row],[05/05/25]])*'Plan 39'!M29</f>
        <v>4.5454545454545456E-2</v>
      </c>
      <c r="BG47" s="127">
        <f>Planbase100[[#This Row],[05/05/25]]+(1-Planbase100[[#This Row],[05/05/25]])*'Plan 39'!N29</f>
        <v>9.0454545454545454E-2</v>
      </c>
      <c r="BH47" s="127">
        <f>Planbase100[[#This Row],[05/05/25]]+(1-Planbase100[[#This Row],[05/05/25]])*'Plan 39'!O29</f>
        <v>0.13545454545454544</v>
      </c>
      <c r="BI47" s="127">
        <f>Planbase100[[#This Row],[05/05/25]]+(1-Planbase100[[#This Row],[05/05/25]])*'Plan 39'!P29</f>
        <v>0.18045454545454542</v>
      </c>
      <c r="BJ47" s="127">
        <f>Planbase100[[#This Row],[05/05/25]]+(1-Planbase100[[#This Row],[05/05/25]])*'Plan 39'!Q29</f>
        <v>0.22545454545454541</v>
      </c>
      <c r="BK47" s="127">
        <f>Planbase100[[#This Row],[05/05/25]]+(1-Planbase100[[#This Row],[05/05/25]])*'Plan 39'!R29</f>
        <v>0.27045454545454539</v>
      </c>
      <c r="BL47" s="127">
        <f>Planbase100[[#This Row],[05/05/25]]+(1-Planbase100[[#This Row],[05/05/25]])*'Plan 39'!S29</f>
        <v>0.31545454545454538</v>
      </c>
      <c r="BM47" s="127">
        <f>Planbase100[[#This Row],[05/05/25]]+(1-Planbase100[[#This Row],[05/05/25]])*'Plan 39'!T29</f>
        <v>0.36045454545454536</v>
      </c>
      <c r="BN47" s="127">
        <f>Planbase100[[#This Row],[05/05/25]]+(1-Planbase100[[#This Row],[05/05/25]])*'Plan 39'!U29</f>
        <v>0.40545454545454535</v>
      </c>
      <c r="BO47" s="127">
        <f>Planbase100[[#This Row],[05/05/25]]+(1-Planbase100[[#This Row],[05/05/25]])*'Plan 39'!V29</f>
        <v>0.45045454545454533</v>
      </c>
      <c r="BP47" s="127">
        <f>Planbase100[[#This Row],[05/05/25]]+(1-Planbase100[[#This Row],[05/05/25]])*'Plan 39'!W29</f>
        <v>0.49545454545454531</v>
      </c>
      <c r="BQ47" s="127">
        <f>Planbase100[[#This Row],[05/05/25]]+(1-Planbase100[[#This Row],[05/05/25]])*'Plan 39'!X29</f>
        <v>0.5404545454545453</v>
      </c>
      <c r="BR47" s="127">
        <f>Planbase100[[#This Row],[05/05/25]]+(1-Planbase100[[#This Row],[05/05/25]])*'Plan 39'!Y29</f>
        <v>0.58545454545454534</v>
      </c>
      <c r="BS47" s="127">
        <f>Planbase100[[#This Row],[05/05/25]]+(1-Planbase100[[#This Row],[05/05/25]])*'Plan 39'!Z29</f>
        <v>0.63045454545454538</v>
      </c>
      <c r="BT47" s="127">
        <f>Planbase100[[#This Row],[05/05/25]]+(1-Planbase100[[#This Row],[05/05/25]])*'Plan 39'!AA29</f>
        <v>0.67545454545454542</v>
      </c>
      <c r="BU47" s="127">
        <f>Planbase100[[#This Row],[05/05/25]]+(1-Planbase100[[#This Row],[05/05/25]])*'Plan 39'!AB29</f>
        <v>0.72045454545454546</v>
      </c>
      <c r="BV47" s="127">
        <f>Planbase100[[#This Row],[05/05/25]]+(1-Planbase100[[#This Row],[05/05/25]])*'Plan 39'!AC29</f>
        <v>0.7654545454545455</v>
      </c>
      <c r="BW47" s="127">
        <f>Planbase100[[#This Row],[05/05/25]]+(1-Planbase100[[#This Row],[05/05/25]])*'Plan 39'!AD29</f>
        <v>0.81045454545454554</v>
      </c>
      <c r="BX47" s="127">
        <f>Planbase100[[#This Row],[05/05/25]]+(1-Planbase100[[#This Row],[05/05/25]])*'Plan 39'!AE29</f>
        <v>0.85545454545454558</v>
      </c>
      <c r="BY47" s="127">
        <f>Planbase100[[#This Row],[05/05/25]]+(1-Planbase100[[#This Row],[05/05/25]])*'Plan 39'!AF29</f>
        <v>0.90045454545454562</v>
      </c>
      <c r="BZ47" s="127">
        <f>Planbase100[[#This Row],[05/05/25]]+(1-Planbase100[[#This Row],[05/05/25]])*'Plan 39'!AG29</f>
        <v>0.94545454545454566</v>
      </c>
      <c r="CA47" s="127">
        <f>Planbase100[[#This Row],[05/05/25]]+(1-Planbase100[[#This Row],[05/05/25]])*'Plan 39'!AH29</f>
        <v>0.9904545454545457</v>
      </c>
      <c r="CB47" s="127">
        <f>Planbase100[[#This Row],[05/05/25]]+(1-Planbase100[[#This Row],[05/05/25]])*'Plan 39'!AI29</f>
        <v>1</v>
      </c>
      <c r="CC47" s="127">
        <f>Planbase100[[#This Row],[05/05/25]]+(1-Planbase100[[#This Row],[05/05/25]])*'Plan 39'!AJ29</f>
        <v>1</v>
      </c>
      <c r="CD47" s="127">
        <f>Planbase100[[#This Row],[05/05/25]]+(1-Planbase100[[#This Row],[05/05/25]])*'Plan 39'!AK29</f>
        <v>1</v>
      </c>
      <c r="CE47" s="127">
        <f>Planbase100[[#This Row],[05/05/25]]+(1-Planbase100[[#This Row],[05/05/25]])*'Plan 39'!AL29</f>
        <v>1</v>
      </c>
      <c r="CF47" s="127">
        <f>Planbase100[[#This Row],[05/05/25]]+(1-Planbase100[[#This Row],[05/05/25]])*'Plan 39'!AM29</f>
        <v>1</v>
      </c>
      <c r="CG47" s="127">
        <f>Planbase100[[#This Row],[05/05/25]]+(1-Planbase100[[#This Row],[05/05/25]])*'Plan 39'!AN29</f>
        <v>1</v>
      </c>
      <c r="CH47" s="127">
        <f>Planbase100[[#This Row],[05/05/25]]+(1-Planbase100[[#This Row],[05/05/25]])*'Plan 39'!AO29</f>
        <v>1</v>
      </c>
      <c r="CI47" s="127">
        <f>Planbase100[[#This Row],[05/05/25]]+(1-Planbase100[[#This Row],[05/05/25]])*'Plan 39'!AP29</f>
        <v>1</v>
      </c>
      <c r="CJ47" s="127">
        <f>Planbase100[[#This Row],[05/05/25]]+(1-Planbase100[[#This Row],[05/05/25]])*'Plan 39'!AQ29</f>
        <v>1</v>
      </c>
      <c r="CK47" s="127">
        <f>Planbase100[[#This Row],[05/05/25]]+(1-Planbase100[[#This Row],[05/05/25]])*'Plan 39'!AR29</f>
        <v>1</v>
      </c>
      <c r="CL47" s="127">
        <f>Planbase100[[#This Row],[05/05/25]]+(1-Planbase100[[#This Row],[05/05/25]])*'Plan 39'!AS29</f>
        <v>1</v>
      </c>
      <c r="CM47" s="127">
        <f>Planbase100[[#This Row],[05/05/25]]+(1-Planbase100[[#This Row],[05/05/25]])*'Plan 39'!AT29</f>
        <v>1</v>
      </c>
      <c r="CN47" s="127">
        <f>Planbase100[[#This Row],[05/05/25]]+(1-Planbase100[[#This Row],[05/05/25]])*'Plan 39'!AU29</f>
        <v>1</v>
      </c>
      <c r="CO47" s="127">
        <f>Planbase100[[#This Row],[05/05/25]]+(1-Planbase100[[#This Row],[05/05/25]])*'Plan 39'!AV29</f>
        <v>1</v>
      </c>
      <c r="CP47" s="127">
        <f>Planbase100[[#This Row],[05/05/25]]+(1-Planbase100[[#This Row],[05/05/25]])*'Plan 39'!AW29</f>
        <v>1</v>
      </c>
      <c r="CQ47" s="127">
        <f>Planbase100[[#This Row],[05/05/25]]+(1-Planbase100[[#This Row],[05/05/25]])*'Plan 39'!AX29</f>
        <v>1</v>
      </c>
      <c r="CR47" s="127">
        <f>Planbase100[[#This Row],[05/05/25]]+(1-Planbase100[[#This Row],[05/05/25]])*'Plan 39'!AY29</f>
        <v>1</v>
      </c>
      <c r="CS47" s="127">
        <f>Planbase100[[#This Row],[05/05/25]]+(1-Planbase100[[#This Row],[05/05/25]])*'Plan 39'!AZ29</f>
        <v>1</v>
      </c>
      <c r="CT47" s="127">
        <f>Planbase100[[#This Row],[05/05/25]]+(1-Planbase100[[#This Row],[05/05/25]])*'Plan 39'!BA29</f>
        <v>1</v>
      </c>
      <c r="CU47" s="127">
        <f>Planbase100[[#This Row],[05/05/25]]+(1-Planbase100[[#This Row],[05/05/25]])*'Plan 39'!BB29</f>
        <v>1</v>
      </c>
      <c r="CV47" s="127">
        <f>Planbase100[[#This Row],[05/05/25]]+(1-Planbase100[[#This Row],[05/05/25]])*'Plan 39'!BC29</f>
        <v>1</v>
      </c>
      <c r="CW47" s="127">
        <f>Planbase100[[#This Row],[05/05/25]]+(1-Planbase100[[#This Row],[05/05/25]])*'Plan 39'!BD29</f>
        <v>1</v>
      </c>
      <c r="CX47" s="127">
        <f>Planbase100[[#This Row],[05/05/25]]+(1-Planbase100[[#This Row],[05/05/25]])*'Plan 39'!BE29</f>
        <v>1</v>
      </c>
      <c r="CY47" s="127">
        <f>Planbase100[[#This Row],[05/05/25]]+(1-Planbase100[[#This Row],[05/05/25]])*'Plan 39'!BF29</f>
        <v>1</v>
      </c>
      <c r="CZ47" s="127">
        <f>Planbase100[[#This Row],[05/05/25]]+(1-Planbase100[[#This Row],[05/05/25]])*'Plan 39'!BG29</f>
        <v>1</v>
      </c>
      <c r="DA47" s="127">
        <f>Planbase100[[#This Row],[05/05/25]]+(1-Planbase100[[#This Row],[05/05/25]])*'Plan 39'!BH29</f>
        <v>1</v>
      </c>
      <c r="DB47" s="127">
        <f>Planbase100[[#This Row],[05/05/25]]+(1-Planbase100[[#This Row],[05/05/25]])*'Plan 39'!BI29</f>
        <v>1</v>
      </c>
      <c r="DC47" s="127">
        <f>Planbase100[[#This Row],[05/05/25]]+(1-Planbase100[[#This Row],[05/05/25]])*'Plan 39'!BJ29</f>
        <v>1</v>
      </c>
      <c r="DD47" s="127">
        <f>Planbase100[[#This Row],[05/05/25]]+(1-Planbase100[[#This Row],[05/05/25]])*'Plan 39'!BK29</f>
        <v>1</v>
      </c>
      <c r="DE47" s="127">
        <f>Planbase100[[#This Row],[05/05/25]]+(1-Planbase100[[#This Row],[05/05/25]])*'Plan 39'!BL29</f>
        <v>1</v>
      </c>
      <c r="DF47" s="127">
        <v>1</v>
      </c>
      <c r="DG47" s="127">
        <v>1</v>
      </c>
      <c r="DH47" s="127">
        <v>1</v>
      </c>
      <c r="DI47" s="127">
        <v>1</v>
      </c>
      <c r="DJ47" s="127">
        <v>1</v>
      </c>
      <c r="DK47" s="127">
        <v>1</v>
      </c>
      <c r="DL47" s="127">
        <v>1</v>
      </c>
      <c r="DM47" s="127">
        <v>1</v>
      </c>
      <c r="DN47" s="127">
        <v>1</v>
      </c>
      <c r="DO47" s="127">
        <v>1</v>
      </c>
      <c r="DP47" s="127">
        <v>1</v>
      </c>
      <c r="DQ47" s="127">
        <v>1</v>
      </c>
      <c r="DR47" s="127">
        <v>1</v>
      </c>
      <c r="DS47" s="127">
        <v>1</v>
      </c>
      <c r="DT47" s="127">
        <v>1</v>
      </c>
      <c r="DU47" s="127">
        <v>1</v>
      </c>
      <c r="DV47" s="127">
        <v>1</v>
      </c>
      <c r="DW47" s="127">
        <v>1</v>
      </c>
      <c r="DX47" s="127">
        <v>1</v>
      </c>
      <c r="DY47" s="127">
        <v>1</v>
      </c>
      <c r="DZ47" s="127">
        <v>1</v>
      </c>
      <c r="EA47" s="127">
        <v>1</v>
      </c>
      <c r="EB47" s="127">
        <v>1</v>
      </c>
      <c r="EC47" s="127">
        <v>1</v>
      </c>
      <c r="ED47" s="127">
        <v>1</v>
      </c>
      <c r="EE47" s="127">
        <v>1</v>
      </c>
      <c r="EF47" s="127">
        <v>1</v>
      </c>
      <c r="EG47" s="127">
        <v>1</v>
      </c>
      <c r="EH47" s="127">
        <v>1</v>
      </c>
      <c r="EI47" s="127">
        <v>1</v>
      </c>
    </row>
    <row r="48" spans="2:139" ht="15" hidden="1" outlineLevel="2" collapsed="1" x14ac:dyDescent="0.3">
      <c r="B48" s="22"/>
      <c r="C48" s="23"/>
      <c r="D48" s="23" t="s">
        <v>53</v>
      </c>
      <c r="E48" s="50"/>
      <c r="F48" s="26">
        <f>+SUM(F49:F57)</f>
        <v>140</v>
      </c>
      <c r="G48" s="28">
        <v>7.2801604358898139E-2</v>
      </c>
      <c r="H48" s="51"/>
      <c r="I48" s="125">
        <f>+SUMPRODUCT($G$49:$G$57,I49:I57)</f>
        <v>0</v>
      </c>
      <c r="J48" s="28">
        <f t="shared" ref="J48:BB48" si="195">+SUMPRODUCT($G$49:$G$57,J49:J57)</f>
        <v>8.9782244556113901E-5</v>
      </c>
      <c r="K48" s="28">
        <f t="shared" si="195"/>
        <v>3.4065493765947249E-4</v>
      </c>
      <c r="L48" s="28">
        <f t="shared" si="195"/>
        <v>6.0837761026313287E-3</v>
      </c>
      <c r="M48" s="28">
        <f t="shared" si="195"/>
        <v>1.2120013402601904E-2</v>
      </c>
      <c r="N48" s="28">
        <f t="shared" si="195"/>
        <v>1.5307135681225575E-2</v>
      </c>
      <c r="O48" s="28">
        <f t="shared" si="195"/>
        <v>2.4156681436018766E-2</v>
      </c>
      <c r="P48" s="28">
        <f t="shared" si="195"/>
        <v>4.8951612654904886E-2</v>
      </c>
      <c r="Q48" s="28">
        <f t="shared" si="195"/>
        <v>0.15163488702576583</v>
      </c>
      <c r="R48" s="28">
        <f t="shared" si="195"/>
        <v>0.2055589098931892</v>
      </c>
      <c r="S48" s="28">
        <f t="shared" si="195"/>
        <v>0.26087559116829201</v>
      </c>
      <c r="T48" s="28">
        <f t="shared" si="195"/>
        <v>0.31279123912400825</v>
      </c>
      <c r="U48" s="28">
        <f t="shared" si="195"/>
        <v>0.33992570845934994</v>
      </c>
      <c r="V48" s="28">
        <f t="shared" si="195"/>
        <v>0.38116119647991809</v>
      </c>
      <c r="W48" s="28">
        <f t="shared" si="195"/>
        <v>0.43943596969782961</v>
      </c>
      <c r="X48" s="28">
        <f t="shared" si="195"/>
        <v>0.49184367795914996</v>
      </c>
      <c r="Y48" s="28">
        <f t="shared" si="195"/>
        <v>0.54979051515237509</v>
      </c>
      <c r="Z48" s="28">
        <f t="shared" si="195"/>
        <v>0.6246579672111271</v>
      </c>
      <c r="AA48" s="28">
        <f t="shared" si="195"/>
        <v>0.67362614902930895</v>
      </c>
      <c r="AB48" s="28">
        <f t="shared" si="195"/>
        <v>0.75934528064396301</v>
      </c>
      <c r="AC48" s="28">
        <f t="shared" si="195"/>
        <v>0.79155546246214492</v>
      </c>
      <c r="AD48" s="28">
        <f t="shared" si="195"/>
        <v>0.81814528064396297</v>
      </c>
      <c r="AE48" s="28">
        <f t="shared" si="195"/>
        <v>0.8649675</v>
      </c>
      <c r="AF48" s="28">
        <f t="shared" si="195"/>
        <v>0.8649675</v>
      </c>
      <c r="AG48" s="28">
        <f t="shared" si="195"/>
        <v>0.86764750000000002</v>
      </c>
      <c r="AH48" s="28">
        <f t="shared" si="195"/>
        <v>0.87552000000000008</v>
      </c>
      <c r="AI48" s="28">
        <f>+SUMPRODUCT($G$49:$G$57,AI49:AI57)</f>
        <v>0.87552000000000008</v>
      </c>
      <c r="AJ48" s="28">
        <f>+SUMPRODUCT($G$49:$G$57,AJ49:AJ57)</f>
        <v>0.87552000000000008</v>
      </c>
      <c r="AK48" s="28">
        <f t="shared" si="195"/>
        <v>0.91678999999999999</v>
      </c>
      <c r="AL48" s="28">
        <f t="shared" si="195"/>
        <v>0.98980181818181823</v>
      </c>
      <c r="AM48" s="28">
        <f t="shared" si="195"/>
        <v>0.98980181818181823</v>
      </c>
      <c r="AN48" s="28">
        <f t="shared" si="195"/>
        <v>0.99114181818181812</v>
      </c>
      <c r="AO48" s="28">
        <f t="shared" si="195"/>
        <v>0.99446363636363633</v>
      </c>
      <c r="AP48" s="28">
        <f t="shared" si="195"/>
        <v>0.99446363636363633</v>
      </c>
      <c r="AQ48" s="28">
        <f t="shared" si="195"/>
        <v>0.99778545454545453</v>
      </c>
      <c r="AR48" s="28">
        <f t="shared" si="195"/>
        <v>1</v>
      </c>
      <c r="AS48" s="28">
        <f t="shared" si="195"/>
        <v>1</v>
      </c>
      <c r="AT48" s="28">
        <f t="shared" si="195"/>
        <v>1</v>
      </c>
      <c r="AU48" s="28">
        <f t="shared" si="195"/>
        <v>1</v>
      </c>
      <c r="AV48" s="28">
        <f t="shared" si="195"/>
        <v>1</v>
      </c>
      <c r="AW48" s="28">
        <f t="shared" si="195"/>
        <v>1</v>
      </c>
      <c r="AX48" s="28">
        <f t="shared" si="195"/>
        <v>1</v>
      </c>
      <c r="AY48" s="28">
        <f t="shared" si="195"/>
        <v>1</v>
      </c>
      <c r="AZ48" s="28">
        <f t="shared" si="195"/>
        <v>1</v>
      </c>
      <c r="BA48" s="28">
        <f t="shared" si="195"/>
        <v>1</v>
      </c>
      <c r="BB48" s="28">
        <f t="shared" si="195"/>
        <v>1</v>
      </c>
      <c r="BC48" s="28">
        <f t="shared" ref="BC48:CE48" si="196">+SUMPRODUCT($G$49:$G$57,BC49:BC57)</f>
        <v>1</v>
      </c>
      <c r="BD48" s="28">
        <f t="shared" si="196"/>
        <v>1</v>
      </c>
      <c r="BE48" s="28">
        <f t="shared" si="196"/>
        <v>1</v>
      </c>
      <c r="BF48" s="28">
        <f t="shared" si="196"/>
        <v>1</v>
      </c>
      <c r="BG48" s="28">
        <f t="shared" si="196"/>
        <v>1</v>
      </c>
      <c r="BH48" s="28">
        <f t="shared" si="196"/>
        <v>1</v>
      </c>
      <c r="BI48" s="28">
        <f t="shared" si="196"/>
        <v>1</v>
      </c>
      <c r="BJ48" s="28">
        <f t="shared" si="196"/>
        <v>1</v>
      </c>
      <c r="BK48" s="28">
        <f t="shared" si="196"/>
        <v>1</v>
      </c>
      <c r="BL48" s="28">
        <f t="shared" si="196"/>
        <v>1</v>
      </c>
      <c r="BM48" s="28">
        <f t="shared" si="196"/>
        <v>1</v>
      </c>
      <c r="BN48" s="28">
        <f t="shared" si="196"/>
        <v>1</v>
      </c>
      <c r="BO48" s="28">
        <f t="shared" si="196"/>
        <v>1</v>
      </c>
      <c r="BP48" s="28">
        <f t="shared" si="196"/>
        <v>1</v>
      </c>
      <c r="BQ48" s="28">
        <f t="shared" si="196"/>
        <v>1</v>
      </c>
      <c r="BR48" s="28">
        <f t="shared" si="196"/>
        <v>1</v>
      </c>
      <c r="BS48" s="28">
        <f t="shared" si="196"/>
        <v>1</v>
      </c>
      <c r="BT48" s="28">
        <f t="shared" si="196"/>
        <v>1</v>
      </c>
      <c r="BU48" s="28">
        <f t="shared" si="196"/>
        <v>1</v>
      </c>
      <c r="BV48" s="28">
        <f t="shared" si="196"/>
        <v>1</v>
      </c>
      <c r="BW48" s="28">
        <f t="shared" si="196"/>
        <v>1</v>
      </c>
      <c r="BX48" s="28">
        <f t="shared" si="196"/>
        <v>1</v>
      </c>
      <c r="BY48" s="28">
        <f t="shared" si="196"/>
        <v>1</v>
      </c>
      <c r="BZ48" s="28">
        <f t="shared" si="196"/>
        <v>1</v>
      </c>
      <c r="CA48" s="28">
        <f t="shared" si="196"/>
        <v>1</v>
      </c>
      <c r="CB48" s="28">
        <f t="shared" si="196"/>
        <v>1</v>
      </c>
      <c r="CC48" s="28">
        <f t="shared" si="196"/>
        <v>1</v>
      </c>
      <c r="CD48" s="28">
        <f t="shared" si="196"/>
        <v>1</v>
      </c>
      <c r="CE48" s="28">
        <f t="shared" si="196"/>
        <v>1</v>
      </c>
      <c r="CF48" s="28">
        <f t="shared" ref="CF48:CI48" si="197">+SUMPRODUCT($G$49:$G$57,CF49:CF57)</f>
        <v>1</v>
      </c>
      <c r="CG48" s="28">
        <f t="shared" si="197"/>
        <v>1</v>
      </c>
      <c r="CH48" s="28">
        <f t="shared" si="197"/>
        <v>1</v>
      </c>
      <c r="CI48" s="28">
        <f t="shared" si="197"/>
        <v>1</v>
      </c>
      <c r="CJ48" s="28">
        <f t="shared" ref="CJ48:CK48" si="198">+SUMPRODUCT($G$49:$G$57,CJ49:CJ57)</f>
        <v>1</v>
      </c>
      <c r="CK48" s="28">
        <f t="shared" si="198"/>
        <v>1</v>
      </c>
      <c r="CL48" s="28">
        <f t="shared" ref="CL48" si="199">+SUMPRODUCT($G$49:$G$57,CL49:CL57)</f>
        <v>1</v>
      </c>
      <c r="CM48" s="28">
        <f t="shared" ref="CM48:CV48" si="200">+SUMPRODUCT($G$49:$G$57,CM49:CM57)</f>
        <v>1</v>
      </c>
      <c r="CN48" s="28">
        <f t="shared" si="200"/>
        <v>1</v>
      </c>
      <c r="CO48" s="28">
        <f t="shared" si="200"/>
        <v>1</v>
      </c>
      <c r="CP48" s="28">
        <f t="shared" si="200"/>
        <v>1</v>
      </c>
      <c r="CQ48" s="28">
        <f t="shared" si="200"/>
        <v>1</v>
      </c>
      <c r="CR48" s="28">
        <f t="shared" si="200"/>
        <v>1</v>
      </c>
      <c r="CS48" s="28">
        <f t="shared" si="200"/>
        <v>1</v>
      </c>
      <c r="CT48" s="28">
        <f t="shared" si="200"/>
        <v>1</v>
      </c>
      <c r="CU48" s="28">
        <f t="shared" si="200"/>
        <v>1</v>
      </c>
      <c r="CV48" s="28">
        <f t="shared" si="200"/>
        <v>1</v>
      </c>
      <c r="CW48" s="28">
        <f t="shared" ref="CW48" si="201">+SUMPRODUCT($G$49:$G$57,CW49:CW57)</f>
        <v>1</v>
      </c>
      <c r="CX48" s="28">
        <f t="shared" ref="CX48:CY48" si="202">+SUMPRODUCT($G$49:$G$57,CX49:CX57)</f>
        <v>1</v>
      </c>
      <c r="CY48" s="28">
        <f t="shared" si="202"/>
        <v>1</v>
      </c>
      <c r="CZ48" s="28">
        <f t="shared" ref="CZ48:DA48" si="203">+SUMPRODUCT($G$49:$G$57,CZ49:CZ57)</f>
        <v>1</v>
      </c>
      <c r="DA48" s="28">
        <f t="shared" si="203"/>
        <v>1</v>
      </c>
      <c r="DB48" s="28">
        <f t="shared" ref="DB48:DC48" si="204">+SUMPRODUCT($G$49:$G$57,DB49:DB57)</f>
        <v>1</v>
      </c>
      <c r="DC48" s="28">
        <f t="shared" si="204"/>
        <v>1</v>
      </c>
      <c r="DD48" s="28">
        <f t="shared" ref="DD48:DE48" si="205">+SUMPRODUCT($G$49:$G$57,DD49:DD57)</f>
        <v>1</v>
      </c>
      <c r="DE48" s="28">
        <f t="shared" si="205"/>
        <v>1</v>
      </c>
      <c r="DF48" s="28">
        <f t="shared" ref="DF48" si="206">+SUMPRODUCT($G$49:$G$57,DF49:DF57)</f>
        <v>1</v>
      </c>
      <c r="DG48" s="28">
        <f t="shared" ref="DG48:DJ48" si="207">+SUMPRODUCT($G$49:$G$57,DG49:DG57)</f>
        <v>1</v>
      </c>
      <c r="DH48" s="28">
        <f t="shared" si="207"/>
        <v>1</v>
      </c>
      <c r="DI48" s="28">
        <f t="shared" si="207"/>
        <v>1</v>
      </c>
      <c r="DJ48" s="28">
        <f t="shared" si="207"/>
        <v>1</v>
      </c>
      <c r="DK48" s="28">
        <f t="shared" ref="DK48:EI48" si="208">+SUMPRODUCT($G$49:$G$57,DK49:DK57)</f>
        <v>1</v>
      </c>
      <c r="DL48" s="28">
        <f t="shared" si="208"/>
        <v>1</v>
      </c>
      <c r="DM48" s="28">
        <f t="shared" si="208"/>
        <v>1</v>
      </c>
      <c r="DN48" s="28">
        <f t="shared" si="208"/>
        <v>1</v>
      </c>
      <c r="DO48" s="28">
        <f t="shared" si="208"/>
        <v>1</v>
      </c>
      <c r="DP48" s="28">
        <f t="shared" si="208"/>
        <v>1</v>
      </c>
      <c r="DQ48" s="28">
        <f t="shared" si="208"/>
        <v>1</v>
      </c>
      <c r="DR48" s="28">
        <f t="shared" si="208"/>
        <v>1</v>
      </c>
      <c r="DS48" s="28">
        <f t="shared" si="208"/>
        <v>1</v>
      </c>
      <c r="DT48" s="28">
        <f t="shared" si="208"/>
        <v>1</v>
      </c>
      <c r="DU48" s="28">
        <f t="shared" si="208"/>
        <v>1</v>
      </c>
      <c r="DV48" s="28">
        <f t="shared" si="208"/>
        <v>1</v>
      </c>
      <c r="DW48" s="28">
        <f t="shared" si="208"/>
        <v>1</v>
      </c>
      <c r="DX48" s="28">
        <f t="shared" si="208"/>
        <v>1</v>
      </c>
      <c r="DY48" s="28">
        <f t="shared" si="208"/>
        <v>1</v>
      </c>
      <c r="DZ48" s="28">
        <f t="shared" si="208"/>
        <v>1</v>
      </c>
      <c r="EA48" s="28">
        <f t="shared" si="208"/>
        <v>1</v>
      </c>
      <c r="EB48" s="28">
        <f t="shared" si="208"/>
        <v>1</v>
      </c>
      <c r="EC48" s="28">
        <f t="shared" si="208"/>
        <v>1</v>
      </c>
      <c r="ED48" s="28">
        <f t="shared" si="208"/>
        <v>1</v>
      </c>
      <c r="EE48" s="28">
        <f t="shared" si="208"/>
        <v>1</v>
      </c>
      <c r="EF48" s="28">
        <f t="shared" si="208"/>
        <v>1</v>
      </c>
      <c r="EG48" s="28">
        <f t="shared" si="208"/>
        <v>1</v>
      </c>
      <c r="EH48" s="28">
        <f t="shared" si="208"/>
        <v>1</v>
      </c>
      <c r="EI48" s="28">
        <f t="shared" si="208"/>
        <v>1</v>
      </c>
    </row>
    <row r="49" spans="2:139" hidden="1" outlineLevel="3" x14ac:dyDescent="0.3">
      <c r="B49" s="29"/>
      <c r="C49" s="30"/>
      <c r="D49" s="30"/>
      <c r="E49" s="52" t="s">
        <v>54</v>
      </c>
      <c r="F49" s="33">
        <v>10</v>
      </c>
      <c r="G49" s="35">
        <v>0.13300000000000001</v>
      </c>
      <c r="H49" s="53"/>
      <c r="I49" s="126">
        <v>0</v>
      </c>
      <c r="J49" s="127">
        <v>0</v>
      </c>
      <c r="K49" s="127">
        <v>0</v>
      </c>
      <c r="L49" s="127">
        <v>0</v>
      </c>
      <c r="M49" s="127">
        <v>0</v>
      </c>
      <c r="N49" s="127">
        <v>0</v>
      </c>
      <c r="O49" s="127">
        <v>0</v>
      </c>
      <c r="P49" s="127">
        <v>1.865671641791045E-2</v>
      </c>
      <c r="Q49" s="127">
        <v>3.7313432835820899E-2</v>
      </c>
      <c r="R49" s="127">
        <v>5.5970149253731345E-2</v>
      </c>
      <c r="S49" s="127">
        <v>7.4626865671641798E-2</v>
      </c>
      <c r="T49" s="127">
        <v>9.3283582089552244E-2</v>
      </c>
      <c r="U49" s="127">
        <v>0.11194029850746269</v>
      </c>
      <c r="V49" s="127">
        <v>0.13059701492537312</v>
      </c>
      <c r="W49" s="127">
        <v>0.13059701492537312</v>
      </c>
      <c r="X49" s="127">
        <v>0.13059701492537312</v>
      </c>
      <c r="Y49" s="127">
        <v>0.13059701492537312</v>
      </c>
      <c r="Z49" s="127">
        <v>0.44402985074626866</v>
      </c>
      <c r="AA49" s="127">
        <v>0.59402985074626868</v>
      </c>
      <c r="AB49" s="127">
        <v>0.90671641791044788</v>
      </c>
      <c r="AC49" s="127">
        <v>0.90671641791044788</v>
      </c>
      <c r="AD49" s="127">
        <v>0.90671641791044788</v>
      </c>
      <c r="AE49" s="127">
        <v>1</v>
      </c>
      <c r="AF49" s="127">
        <v>1</v>
      </c>
      <c r="AG49" s="127">
        <v>1</v>
      </c>
      <c r="AH49" s="127">
        <v>1</v>
      </c>
      <c r="AI49" s="127">
        <v>1</v>
      </c>
      <c r="AJ49" s="127">
        <v>1</v>
      </c>
      <c r="AK49" s="127">
        <v>1</v>
      </c>
      <c r="AL49" s="127">
        <v>1</v>
      </c>
      <c r="AM49" s="127">
        <v>1</v>
      </c>
      <c r="AN49" s="127">
        <v>1</v>
      </c>
      <c r="AO49" s="127">
        <v>1</v>
      </c>
      <c r="AP49" s="127">
        <v>1</v>
      </c>
      <c r="AQ49" s="127">
        <v>1</v>
      </c>
      <c r="AR49" s="127">
        <v>1</v>
      </c>
      <c r="AS49" s="127">
        <v>1</v>
      </c>
      <c r="AT49" s="127">
        <v>1</v>
      </c>
      <c r="AU49" s="127">
        <v>1</v>
      </c>
      <c r="AV49" s="127">
        <v>1</v>
      </c>
      <c r="AW49" s="127">
        <v>1</v>
      </c>
      <c r="AX49" s="127">
        <v>1</v>
      </c>
      <c r="AY49" s="127">
        <v>1</v>
      </c>
      <c r="AZ49" s="127">
        <v>1</v>
      </c>
      <c r="BA49" s="127">
        <v>1</v>
      </c>
      <c r="BB49" s="127">
        <v>1</v>
      </c>
      <c r="BC49" s="127">
        <v>1</v>
      </c>
      <c r="BD49" s="127">
        <v>1</v>
      </c>
      <c r="BE49" s="127">
        <v>1</v>
      </c>
      <c r="BF49" s="127">
        <v>1</v>
      </c>
      <c r="BG49" s="127">
        <v>1</v>
      </c>
      <c r="BH49" s="127">
        <v>1</v>
      </c>
      <c r="BI49" s="127">
        <v>1</v>
      </c>
      <c r="BJ49" s="127">
        <v>1</v>
      </c>
      <c r="BK49" s="127">
        <v>1</v>
      </c>
      <c r="BL49" s="127">
        <v>1</v>
      </c>
      <c r="BM49" s="127">
        <v>1</v>
      </c>
      <c r="BN49" s="127">
        <v>1</v>
      </c>
      <c r="BO49" s="127">
        <v>1</v>
      </c>
      <c r="BP49" s="127">
        <v>1</v>
      </c>
      <c r="BQ49" s="127">
        <v>1</v>
      </c>
      <c r="BR49" s="127">
        <v>1</v>
      </c>
      <c r="BS49" s="127">
        <v>1</v>
      </c>
      <c r="BT49" s="127">
        <v>1</v>
      </c>
      <c r="BU49" s="127">
        <v>1</v>
      </c>
      <c r="BV49" s="127">
        <v>1</v>
      </c>
      <c r="BW49" s="127">
        <v>1</v>
      </c>
      <c r="BX49" s="127">
        <v>1</v>
      </c>
      <c r="BY49" s="127">
        <v>1</v>
      </c>
      <c r="BZ49" s="127">
        <v>1</v>
      </c>
      <c r="CA49" s="127">
        <v>1</v>
      </c>
      <c r="CB49" s="127">
        <v>1</v>
      </c>
      <c r="CC49" s="127">
        <v>1</v>
      </c>
      <c r="CD49" s="127">
        <v>1</v>
      </c>
      <c r="CE49" s="127">
        <v>1</v>
      </c>
      <c r="CF49" s="127">
        <v>1</v>
      </c>
      <c r="CG49" s="127">
        <v>1</v>
      </c>
      <c r="CH49" s="127">
        <v>1</v>
      </c>
      <c r="CI49" s="127">
        <v>1</v>
      </c>
      <c r="CJ49" s="127">
        <v>1</v>
      </c>
      <c r="CK49" s="127">
        <v>1</v>
      </c>
      <c r="CL49" s="127">
        <v>1</v>
      </c>
      <c r="CM49" s="127">
        <v>1</v>
      </c>
      <c r="CN49" s="127">
        <v>1</v>
      </c>
      <c r="CO49" s="127">
        <v>1</v>
      </c>
      <c r="CP49" s="127">
        <v>1</v>
      </c>
      <c r="CQ49" s="127">
        <v>1</v>
      </c>
      <c r="CR49" s="127">
        <v>1</v>
      </c>
      <c r="CS49" s="127">
        <v>1</v>
      </c>
      <c r="CT49" s="127">
        <v>1</v>
      </c>
      <c r="CU49" s="127">
        <v>1</v>
      </c>
      <c r="CV49" s="127">
        <v>1</v>
      </c>
      <c r="CW49" s="127">
        <v>1</v>
      </c>
      <c r="CX49" s="127">
        <v>1</v>
      </c>
      <c r="CY49" s="127">
        <v>1</v>
      </c>
      <c r="CZ49" s="127">
        <v>1</v>
      </c>
      <c r="DA49" s="127">
        <v>1</v>
      </c>
      <c r="DB49" s="127">
        <v>1</v>
      </c>
      <c r="DC49" s="127">
        <v>1</v>
      </c>
      <c r="DD49" s="127">
        <v>1</v>
      </c>
      <c r="DE49" s="127">
        <v>1</v>
      </c>
      <c r="DF49" s="127">
        <v>1</v>
      </c>
      <c r="DG49" s="127">
        <v>1</v>
      </c>
      <c r="DH49" s="127">
        <v>1</v>
      </c>
      <c r="DI49" s="127">
        <v>1</v>
      </c>
      <c r="DJ49" s="127">
        <v>1</v>
      </c>
      <c r="DK49" s="127">
        <v>1</v>
      </c>
      <c r="DL49" s="127">
        <v>1</v>
      </c>
      <c r="DM49" s="127">
        <v>1</v>
      </c>
      <c r="DN49" s="127">
        <v>1</v>
      </c>
      <c r="DO49" s="127">
        <v>1</v>
      </c>
      <c r="DP49" s="127">
        <v>1</v>
      </c>
      <c r="DQ49" s="127">
        <v>1</v>
      </c>
      <c r="DR49" s="127">
        <v>1</v>
      </c>
      <c r="DS49" s="127">
        <v>1</v>
      </c>
      <c r="DT49" s="127">
        <v>1</v>
      </c>
      <c r="DU49" s="127">
        <v>1</v>
      </c>
      <c r="DV49" s="127">
        <v>1</v>
      </c>
      <c r="DW49" s="127">
        <v>1</v>
      </c>
      <c r="DX49" s="127">
        <v>1</v>
      </c>
      <c r="DY49" s="127">
        <v>1</v>
      </c>
      <c r="DZ49" s="127">
        <v>1</v>
      </c>
      <c r="EA49" s="127">
        <v>1</v>
      </c>
      <c r="EB49" s="127">
        <v>1</v>
      </c>
      <c r="EC49" s="127">
        <v>1</v>
      </c>
      <c r="ED49" s="127">
        <v>1</v>
      </c>
      <c r="EE49" s="127">
        <v>1</v>
      </c>
      <c r="EF49" s="127">
        <v>1</v>
      </c>
      <c r="EG49" s="127">
        <v>1</v>
      </c>
      <c r="EH49" s="127">
        <v>1</v>
      </c>
      <c r="EI49" s="127">
        <v>1</v>
      </c>
    </row>
    <row r="50" spans="2:139" ht="28.8" hidden="1" outlineLevel="3" x14ac:dyDescent="0.3">
      <c r="B50" s="29"/>
      <c r="C50" s="30"/>
      <c r="D50" s="30"/>
      <c r="E50" s="52" t="s">
        <v>55</v>
      </c>
      <c r="F50" s="33">
        <v>20</v>
      </c>
      <c r="G50" s="35">
        <v>6.7000000000000004E-2</v>
      </c>
      <c r="H50" s="53"/>
      <c r="I50" s="126">
        <v>0</v>
      </c>
      <c r="J50" s="127">
        <v>0</v>
      </c>
      <c r="K50" s="127">
        <v>0</v>
      </c>
      <c r="L50" s="127">
        <v>0</v>
      </c>
      <c r="M50" s="127">
        <v>0</v>
      </c>
      <c r="N50" s="127">
        <v>0</v>
      </c>
      <c r="O50" s="127">
        <v>0</v>
      </c>
      <c r="P50" s="127">
        <v>2.5000000000000001E-2</v>
      </c>
      <c r="Q50" s="127">
        <v>0.282258064516129</v>
      </c>
      <c r="R50" s="127">
        <v>0.29435483870967744</v>
      </c>
      <c r="S50" s="127">
        <v>0.30645161290322581</v>
      </c>
      <c r="T50" s="127">
        <v>0.44354838709677419</v>
      </c>
      <c r="U50" s="127">
        <v>0.58064516129032251</v>
      </c>
      <c r="V50" s="127">
        <v>0.842741935483871</v>
      </c>
      <c r="W50" s="127">
        <v>1</v>
      </c>
      <c r="X50" s="127">
        <v>1</v>
      </c>
      <c r="Y50" s="127">
        <v>1</v>
      </c>
      <c r="Z50" s="127">
        <v>1</v>
      </c>
      <c r="AA50" s="127">
        <v>1</v>
      </c>
      <c r="AB50" s="127">
        <v>1</v>
      </c>
      <c r="AC50" s="127">
        <v>1</v>
      </c>
      <c r="AD50" s="127">
        <v>1</v>
      </c>
      <c r="AE50" s="127">
        <v>1</v>
      </c>
      <c r="AF50" s="127">
        <v>1</v>
      </c>
      <c r="AG50" s="127">
        <v>1</v>
      </c>
      <c r="AH50" s="127">
        <v>1</v>
      </c>
      <c r="AI50" s="127">
        <v>1</v>
      </c>
      <c r="AJ50" s="127">
        <v>1</v>
      </c>
      <c r="AK50" s="127">
        <v>1</v>
      </c>
      <c r="AL50" s="127">
        <v>1</v>
      </c>
      <c r="AM50" s="127">
        <v>1</v>
      </c>
      <c r="AN50" s="127">
        <v>1</v>
      </c>
      <c r="AO50" s="127">
        <v>1</v>
      </c>
      <c r="AP50" s="127">
        <v>1</v>
      </c>
      <c r="AQ50" s="127">
        <v>1</v>
      </c>
      <c r="AR50" s="127">
        <v>1</v>
      </c>
      <c r="AS50" s="127">
        <v>1</v>
      </c>
      <c r="AT50" s="127">
        <v>1</v>
      </c>
      <c r="AU50" s="127">
        <v>1</v>
      </c>
      <c r="AV50" s="127">
        <v>1</v>
      </c>
      <c r="AW50" s="127">
        <v>1</v>
      </c>
      <c r="AX50" s="127">
        <v>1</v>
      </c>
      <c r="AY50" s="127">
        <v>1</v>
      </c>
      <c r="AZ50" s="127">
        <v>1</v>
      </c>
      <c r="BA50" s="127">
        <v>1</v>
      </c>
      <c r="BB50" s="127">
        <v>1</v>
      </c>
      <c r="BC50" s="127">
        <v>1</v>
      </c>
      <c r="BD50" s="127">
        <v>1</v>
      </c>
      <c r="BE50" s="127">
        <v>1</v>
      </c>
      <c r="BF50" s="127">
        <v>1</v>
      </c>
      <c r="BG50" s="127">
        <v>1</v>
      </c>
      <c r="BH50" s="127">
        <v>1</v>
      </c>
      <c r="BI50" s="127">
        <v>1</v>
      </c>
      <c r="BJ50" s="127">
        <v>1</v>
      </c>
      <c r="BK50" s="127">
        <v>1</v>
      </c>
      <c r="BL50" s="127">
        <v>1</v>
      </c>
      <c r="BM50" s="127">
        <v>1</v>
      </c>
      <c r="BN50" s="127">
        <v>1</v>
      </c>
      <c r="BO50" s="127">
        <v>1</v>
      </c>
      <c r="BP50" s="127">
        <v>1</v>
      </c>
      <c r="BQ50" s="127">
        <v>1</v>
      </c>
      <c r="BR50" s="127">
        <v>1</v>
      </c>
      <c r="BS50" s="127">
        <v>1</v>
      </c>
      <c r="BT50" s="127">
        <v>1</v>
      </c>
      <c r="BU50" s="127">
        <v>1</v>
      </c>
      <c r="BV50" s="127">
        <v>1</v>
      </c>
      <c r="BW50" s="127">
        <v>1</v>
      </c>
      <c r="BX50" s="127">
        <v>1</v>
      </c>
      <c r="BY50" s="127">
        <v>1</v>
      </c>
      <c r="BZ50" s="127">
        <v>1</v>
      </c>
      <c r="CA50" s="127">
        <v>1</v>
      </c>
      <c r="CB50" s="127">
        <v>1</v>
      </c>
      <c r="CC50" s="127">
        <v>1</v>
      </c>
      <c r="CD50" s="127">
        <v>1</v>
      </c>
      <c r="CE50" s="127">
        <v>1</v>
      </c>
      <c r="CF50" s="127">
        <v>1</v>
      </c>
      <c r="CG50" s="127">
        <v>1</v>
      </c>
      <c r="CH50" s="127">
        <v>1</v>
      </c>
      <c r="CI50" s="127">
        <v>1</v>
      </c>
      <c r="CJ50" s="127">
        <v>1</v>
      </c>
      <c r="CK50" s="127">
        <v>1</v>
      </c>
      <c r="CL50" s="127">
        <v>1</v>
      </c>
      <c r="CM50" s="127">
        <v>1</v>
      </c>
      <c r="CN50" s="127">
        <v>1</v>
      </c>
      <c r="CO50" s="127">
        <v>1</v>
      </c>
      <c r="CP50" s="127">
        <v>1</v>
      </c>
      <c r="CQ50" s="127">
        <v>1</v>
      </c>
      <c r="CR50" s="127">
        <v>1</v>
      </c>
      <c r="CS50" s="127">
        <v>1</v>
      </c>
      <c r="CT50" s="127">
        <v>1</v>
      </c>
      <c r="CU50" s="127">
        <v>1</v>
      </c>
      <c r="CV50" s="127">
        <v>1</v>
      </c>
      <c r="CW50" s="127">
        <v>1</v>
      </c>
      <c r="CX50" s="127">
        <v>1</v>
      </c>
      <c r="CY50" s="127">
        <v>1</v>
      </c>
      <c r="CZ50" s="127">
        <v>1</v>
      </c>
      <c r="DA50" s="127">
        <v>1</v>
      </c>
      <c r="DB50" s="127">
        <v>1</v>
      </c>
      <c r="DC50" s="127">
        <v>1</v>
      </c>
      <c r="DD50" s="127">
        <v>1</v>
      </c>
      <c r="DE50" s="127">
        <v>1</v>
      </c>
      <c r="DF50" s="127">
        <v>1</v>
      </c>
      <c r="DG50" s="127">
        <v>1</v>
      </c>
      <c r="DH50" s="127">
        <v>1</v>
      </c>
      <c r="DI50" s="127">
        <v>1</v>
      </c>
      <c r="DJ50" s="127">
        <v>1</v>
      </c>
      <c r="DK50" s="127">
        <v>1</v>
      </c>
      <c r="DL50" s="127">
        <v>1</v>
      </c>
      <c r="DM50" s="127">
        <v>1</v>
      </c>
      <c r="DN50" s="127">
        <v>1</v>
      </c>
      <c r="DO50" s="127">
        <v>1</v>
      </c>
      <c r="DP50" s="127">
        <v>1</v>
      </c>
      <c r="DQ50" s="127">
        <v>1</v>
      </c>
      <c r="DR50" s="127">
        <v>1</v>
      </c>
      <c r="DS50" s="127">
        <v>1</v>
      </c>
      <c r="DT50" s="127">
        <v>1</v>
      </c>
      <c r="DU50" s="127">
        <v>1</v>
      </c>
      <c r="DV50" s="127">
        <v>1</v>
      </c>
      <c r="DW50" s="127">
        <v>1</v>
      </c>
      <c r="DX50" s="127">
        <v>1</v>
      </c>
      <c r="DY50" s="127">
        <v>1</v>
      </c>
      <c r="DZ50" s="127">
        <v>1</v>
      </c>
      <c r="EA50" s="127">
        <v>1</v>
      </c>
      <c r="EB50" s="127">
        <v>1</v>
      </c>
      <c r="EC50" s="127">
        <v>1</v>
      </c>
      <c r="ED50" s="127">
        <v>1</v>
      </c>
      <c r="EE50" s="127">
        <v>1</v>
      </c>
      <c r="EF50" s="127">
        <v>1</v>
      </c>
      <c r="EG50" s="127">
        <v>1</v>
      </c>
      <c r="EH50" s="127">
        <v>1</v>
      </c>
      <c r="EI50" s="127">
        <v>1</v>
      </c>
    </row>
    <row r="51" spans="2:139" hidden="1" outlineLevel="3" x14ac:dyDescent="0.3">
      <c r="B51" s="29"/>
      <c r="C51" s="30"/>
      <c r="D51" s="30"/>
      <c r="E51" s="52" t="s">
        <v>56</v>
      </c>
      <c r="F51" s="33">
        <v>10</v>
      </c>
      <c r="G51" s="35">
        <v>6.7000000000000004E-2</v>
      </c>
      <c r="H51" s="53"/>
      <c r="I51" s="126">
        <v>0</v>
      </c>
      <c r="J51" s="127">
        <v>0</v>
      </c>
      <c r="K51" s="127">
        <v>0</v>
      </c>
      <c r="L51" s="127">
        <v>0</v>
      </c>
      <c r="M51" s="127">
        <v>0</v>
      </c>
      <c r="N51" s="127">
        <v>0</v>
      </c>
      <c r="O51" s="127">
        <v>0</v>
      </c>
      <c r="P51" s="127">
        <v>1.4705882352941178E-2</v>
      </c>
      <c r="Q51" s="127">
        <v>2.9411764705882356E-2</v>
      </c>
      <c r="R51" s="127">
        <v>4.4117647058823532E-2</v>
      </c>
      <c r="S51" s="127">
        <v>5.8823529411764712E-2</v>
      </c>
      <c r="T51" s="127">
        <v>7.3529411764705885E-2</v>
      </c>
      <c r="U51" s="127">
        <v>8.8235294117647065E-2</v>
      </c>
      <c r="V51" s="127">
        <v>0.15909090909090909</v>
      </c>
      <c r="W51" s="127">
        <v>0.29090909090909089</v>
      </c>
      <c r="X51" s="127">
        <v>0.5636363636363636</v>
      </c>
      <c r="Y51" s="127">
        <v>0.94545454545454544</v>
      </c>
      <c r="Z51" s="127">
        <v>0.97272727272727266</v>
      </c>
      <c r="AA51" s="127">
        <v>0.97272727272727266</v>
      </c>
      <c r="AB51" s="127">
        <v>0.97272727272727266</v>
      </c>
      <c r="AC51" s="127">
        <v>0.97272727272727266</v>
      </c>
      <c r="AD51" s="127">
        <v>0.97272727272727266</v>
      </c>
      <c r="AE51" s="127">
        <v>1</v>
      </c>
      <c r="AF51" s="127">
        <v>1</v>
      </c>
      <c r="AG51" s="127">
        <v>1</v>
      </c>
      <c r="AH51" s="127">
        <v>1</v>
      </c>
      <c r="AI51" s="127">
        <v>1</v>
      </c>
      <c r="AJ51" s="127">
        <v>1</v>
      </c>
      <c r="AK51" s="127">
        <v>1</v>
      </c>
      <c r="AL51" s="127">
        <v>1</v>
      </c>
      <c r="AM51" s="127">
        <v>1</v>
      </c>
      <c r="AN51" s="127">
        <v>1</v>
      </c>
      <c r="AO51" s="127">
        <v>1</v>
      </c>
      <c r="AP51" s="127">
        <v>1</v>
      </c>
      <c r="AQ51" s="127">
        <v>1</v>
      </c>
      <c r="AR51" s="127">
        <v>1</v>
      </c>
      <c r="AS51" s="127">
        <v>1</v>
      </c>
      <c r="AT51" s="127">
        <v>1</v>
      </c>
      <c r="AU51" s="127">
        <v>1</v>
      </c>
      <c r="AV51" s="127">
        <v>1</v>
      </c>
      <c r="AW51" s="127">
        <v>1</v>
      </c>
      <c r="AX51" s="127">
        <v>1</v>
      </c>
      <c r="AY51" s="127">
        <v>1</v>
      </c>
      <c r="AZ51" s="127">
        <v>1</v>
      </c>
      <c r="BA51" s="127">
        <v>1</v>
      </c>
      <c r="BB51" s="127">
        <v>1</v>
      </c>
      <c r="BC51" s="127">
        <v>1</v>
      </c>
      <c r="BD51" s="127">
        <v>1</v>
      </c>
      <c r="BE51" s="127">
        <v>1</v>
      </c>
      <c r="BF51" s="127">
        <v>1</v>
      </c>
      <c r="BG51" s="127">
        <v>1</v>
      </c>
      <c r="BH51" s="127">
        <v>1</v>
      </c>
      <c r="BI51" s="127">
        <v>1</v>
      </c>
      <c r="BJ51" s="127">
        <v>1</v>
      </c>
      <c r="BK51" s="127">
        <v>1</v>
      </c>
      <c r="BL51" s="127">
        <v>1</v>
      </c>
      <c r="BM51" s="127">
        <v>1</v>
      </c>
      <c r="BN51" s="127">
        <v>1</v>
      </c>
      <c r="BO51" s="127">
        <v>1</v>
      </c>
      <c r="BP51" s="127">
        <v>1</v>
      </c>
      <c r="BQ51" s="127">
        <v>1</v>
      </c>
      <c r="BR51" s="127">
        <v>1</v>
      </c>
      <c r="BS51" s="127">
        <v>1</v>
      </c>
      <c r="BT51" s="127">
        <v>1</v>
      </c>
      <c r="BU51" s="127">
        <v>1</v>
      </c>
      <c r="BV51" s="127">
        <v>1</v>
      </c>
      <c r="BW51" s="127">
        <v>1</v>
      </c>
      <c r="BX51" s="127">
        <v>1</v>
      </c>
      <c r="BY51" s="127">
        <v>1</v>
      </c>
      <c r="BZ51" s="127">
        <v>1</v>
      </c>
      <c r="CA51" s="127">
        <v>1</v>
      </c>
      <c r="CB51" s="127">
        <v>1</v>
      </c>
      <c r="CC51" s="127">
        <v>1</v>
      </c>
      <c r="CD51" s="127">
        <v>1</v>
      </c>
      <c r="CE51" s="127">
        <v>1</v>
      </c>
      <c r="CF51" s="127">
        <v>1</v>
      </c>
      <c r="CG51" s="127">
        <v>1</v>
      </c>
      <c r="CH51" s="127">
        <v>1</v>
      </c>
      <c r="CI51" s="127">
        <v>1</v>
      </c>
      <c r="CJ51" s="127">
        <v>1</v>
      </c>
      <c r="CK51" s="127">
        <v>1</v>
      </c>
      <c r="CL51" s="127">
        <v>1</v>
      </c>
      <c r="CM51" s="127">
        <v>1</v>
      </c>
      <c r="CN51" s="127">
        <v>1</v>
      </c>
      <c r="CO51" s="127">
        <v>1</v>
      </c>
      <c r="CP51" s="127">
        <v>1</v>
      </c>
      <c r="CQ51" s="127">
        <v>1</v>
      </c>
      <c r="CR51" s="127">
        <v>1</v>
      </c>
      <c r="CS51" s="127">
        <v>1</v>
      </c>
      <c r="CT51" s="127">
        <v>1</v>
      </c>
      <c r="CU51" s="127">
        <v>1</v>
      </c>
      <c r="CV51" s="127">
        <v>1</v>
      </c>
      <c r="CW51" s="127">
        <v>1</v>
      </c>
      <c r="CX51" s="127">
        <v>1</v>
      </c>
      <c r="CY51" s="127">
        <v>1</v>
      </c>
      <c r="CZ51" s="127">
        <v>1</v>
      </c>
      <c r="DA51" s="127">
        <v>1</v>
      </c>
      <c r="DB51" s="127">
        <v>1</v>
      </c>
      <c r="DC51" s="127">
        <v>1</v>
      </c>
      <c r="DD51" s="127">
        <v>1</v>
      </c>
      <c r="DE51" s="127">
        <v>1</v>
      </c>
      <c r="DF51" s="127">
        <v>1</v>
      </c>
      <c r="DG51" s="127">
        <v>1</v>
      </c>
      <c r="DH51" s="127">
        <v>1</v>
      </c>
      <c r="DI51" s="127">
        <v>1</v>
      </c>
      <c r="DJ51" s="127">
        <v>1</v>
      </c>
      <c r="DK51" s="127">
        <v>1</v>
      </c>
      <c r="DL51" s="127">
        <v>1</v>
      </c>
      <c r="DM51" s="127">
        <v>1</v>
      </c>
      <c r="DN51" s="127">
        <v>1</v>
      </c>
      <c r="DO51" s="127">
        <v>1</v>
      </c>
      <c r="DP51" s="127">
        <v>1</v>
      </c>
      <c r="DQ51" s="127">
        <v>1</v>
      </c>
      <c r="DR51" s="127">
        <v>1</v>
      </c>
      <c r="DS51" s="127">
        <v>1</v>
      </c>
      <c r="DT51" s="127">
        <v>1</v>
      </c>
      <c r="DU51" s="127">
        <v>1</v>
      </c>
      <c r="DV51" s="127">
        <v>1</v>
      </c>
      <c r="DW51" s="127">
        <v>1</v>
      </c>
      <c r="DX51" s="127">
        <v>1</v>
      </c>
      <c r="DY51" s="127">
        <v>1</v>
      </c>
      <c r="DZ51" s="127">
        <v>1</v>
      </c>
      <c r="EA51" s="127">
        <v>1</v>
      </c>
      <c r="EB51" s="127">
        <v>1</v>
      </c>
      <c r="EC51" s="127">
        <v>1</v>
      </c>
      <c r="ED51" s="127">
        <v>1</v>
      </c>
      <c r="EE51" s="127">
        <v>1</v>
      </c>
      <c r="EF51" s="127">
        <v>1</v>
      </c>
      <c r="EG51" s="127">
        <v>1</v>
      </c>
      <c r="EH51" s="127">
        <v>1</v>
      </c>
      <c r="EI51" s="127">
        <v>1</v>
      </c>
    </row>
    <row r="52" spans="2:139" hidden="1" outlineLevel="3" x14ac:dyDescent="0.3">
      <c r="B52" s="29"/>
      <c r="C52" s="30"/>
      <c r="D52" s="30"/>
      <c r="E52" s="52" t="s">
        <v>57</v>
      </c>
      <c r="F52" s="33">
        <v>15</v>
      </c>
      <c r="G52" s="35">
        <v>0.13300000000000001</v>
      </c>
      <c r="H52" s="53"/>
      <c r="I52" s="126">
        <v>0</v>
      </c>
      <c r="J52" s="127">
        <v>0</v>
      </c>
      <c r="K52" s="127">
        <v>0</v>
      </c>
      <c r="L52" s="127">
        <v>0</v>
      </c>
      <c r="M52" s="127">
        <v>0</v>
      </c>
      <c r="N52" s="127">
        <v>0</v>
      </c>
      <c r="O52" s="127">
        <v>1.2167300380228138E-2</v>
      </c>
      <c r="P52" s="127">
        <v>3.8593155893536124E-2</v>
      </c>
      <c r="Q52" s="127">
        <v>5.8935361216730042E-2</v>
      </c>
      <c r="R52" s="127">
        <v>7.3193916349809887E-2</v>
      </c>
      <c r="S52" s="127">
        <v>8.7452471482889732E-2</v>
      </c>
      <c r="T52" s="127">
        <v>0.10171102661596958</v>
      </c>
      <c r="U52" s="127">
        <v>0.11596958174904942</v>
      </c>
      <c r="V52" s="127">
        <v>0.13022813688212928</v>
      </c>
      <c r="W52" s="127">
        <v>0.23574144486692014</v>
      </c>
      <c r="X52" s="127">
        <v>0.4923954372623574</v>
      </c>
      <c r="Y52" s="127">
        <v>0.73574144486692017</v>
      </c>
      <c r="Z52" s="127">
        <v>0.97148288973384034</v>
      </c>
      <c r="AA52" s="127">
        <v>0.97148288973384034</v>
      </c>
      <c r="AB52" s="127">
        <v>0.97148288973384034</v>
      </c>
      <c r="AC52" s="127">
        <v>0.97148288973384034</v>
      </c>
      <c r="AD52" s="127">
        <v>0.97148288973384034</v>
      </c>
      <c r="AE52" s="127">
        <v>1</v>
      </c>
      <c r="AF52" s="127">
        <v>1</v>
      </c>
      <c r="AG52" s="127">
        <v>1</v>
      </c>
      <c r="AH52" s="127">
        <v>1</v>
      </c>
      <c r="AI52" s="127">
        <v>1</v>
      </c>
      <c r="AJ52" s="127">
        <v>1</v>
      </c>
      <c r="AK52" s="127">
        <v>1</v>
      </c>
      <c r="AL52" s="127">
        <v>1</v>
      </c>
      <c r="AM52" s="127">
        <v>1</v>
      </c>
      <c r="AN52" s="127">
        <v>1</v>
      </c>
      <c r="AO52" s="127">
        <v>1</v>
      </c>
      <c r="AP52" s="127">
        <v>1</v>
      </c>
      <c r="AQ52" s="127">
        <v>1</v>
      </c>
      <c r="AR52" s="127">
        <v>1</v>
      </c>
      <c r="AS52" s="127">
        <v>1</v>
      </c>
      <c r="AT52" s="127">
        <v>1</v>
      </c>
      <c r="AU52" s="127">
        <v>1</v>
      </c>
      <c r="AV52" s="127">
        <v>1</v>
      </c>
      <c r="AW52" s="127">
        <v>1</v>
      </c>
      <c r="AX52" s="127">
        <v>1</v>
      </c>
      <c r="AY52" s="127">
        <v>1</v>
      </c>
      <c r="AZ52" s="127">
        <v>1</v>
      </c>
      <c r="BA52" s="127">
        <v>1</v>
      </c>
      <c r="BB52" s="127">
        <v>1</v>
      </c>
      <c r="BC52" s="127">
        <v>1</v>
      </c>
      <c r="BD52" s="127">
        <v>1</v>
      </c>
      <c r="BE52" s="127">
        <v>1</v>
      </c>
      <c r="BF52" s="127">
        <v>1</v>
      </c>
      <c r="BG52" s="127">
        <v>1</v>
      </c>
      <c r="BH52" s="127">
        <v>1</v>
      </c>
      <c r="BI52" s="127">
        <v>1</v>
      </c>
      <c r="BJ52" s="127">
        <v>1</v>
      </c>
      <c r="BK52" s="127">
        <v>1</v>
      </c>
      <c r="BL52" s="127">
        <v>1</v>
      </c>
      <c r="BM52" s="127">
        <v>1</v>
      </c>
      <c r="BN52" s="127">
        <v>1</v>
      </c>
      <c r="BO52" s="127">
        <v>1</v>
      </c>
      <c r="BP52" s="127">
        <v>1</v>
      </c>
      <c r="BQ52" s="127">
        <v>1</v>
      </c>
      <c r="BR52" s="127">
        <v>1</v>
      </c>
      <c r="BS52" s="127">
        <v>1</v>
      </c>
      <c r="BT52" s="127">
        <v>1</v>
      </c>
      <c r="BU52" s="127">
        <v>1</v>
      </c>
      <c r="BV52" s="127">
        <v>1</v>
      </c>
      <c r="BW52" s="127">
        <v>1</v>
      </c>
      <c r="BX52" s="127">
        <v>1</v>
      </c>
      <c r="BY52" s="127">
        <v>1</v>
      </c>
      <c r="BZ52" s="127">
        <v>1</v>
      </c>
      <c r="CA52" s="127">
        <v>1</v>
      </c>
      <c r="CB52" s="127">
        <v>1</v>
      </c>
      <c r="CC52" s="127">
        <v>1</v>
      </c>
      <c r="CD52" s="127">
        <v>1</v>
      </c>
      <c r="CE52" s="127">
        <v>1</v>
      </c>
      <c r="CF52" s="127">
        <v>1</v>
      </c>
      <c r="CG52" s="127">
        <v>1</v>
      </c>
      <c r="CH52" s="127">
        <v>1</v>
      </c>
      <c r="CI52" s="127">
        <v>1</v>
      </c>
      <c r="CJ52" s="127">
        <v>1</v>
      </c>
      <c r="CK52" s="127">
        <v>1</v>
      </c>
      <c r="CL52" s="127">
        <v>1</v>
      </c>
      <c r="CM52" s="127">
        <v>1</v>
      </c>
      <c r="CN52" s="127">
        <v>1</v>
      </c>
      <c r="CO52" s="127">
        <v>1</v>
      </c>
      <c r="CP52" s="127">
        <v>1</v>
      </c>
      <c r="CQ52" s="127">
        <v>1</v>
      </c>
      <c r="CR52" s="127">
        <v>1</v>
      </c>
      <c r="CS52" s="127">
        <v>1</v>
      </c>
      <c r="CT52" s="127">
        <v>1</v>
      </c>
      <c r="CU52" s="127">
        <v>1</v>
      </c>
      <c r="CV52" s="127">
        <v>1</v>
      </c>
      <c r="CW52" s="127">
        <v>1</v>
      </c>
      <c r="CX52" s="127">
        <v>1</v>
      </c>
      <c r="CY52" s="127">
        <v>1</v>
      </c>
      <c r="CZ52" s="127">
        <v>1</v>
      </c>
      <c r="DA52" s="127">
        <v>1</v>
      </c>
      <c r="DB52" s="127">
        <v>1</v>
      </c>
      <c r="DC52" s="127">
        <v>1</v>
      </c>
      <c r="DD52" s="127">
        <v>1</v>
      </c>
      <c r="DE52" s="127">
        <v>1</v>
      </c>
      <c r="DF52" s="127">
        <v>1</v>
      </c>
      <c r="DG52" s="127">
        <v>1</v>
      </c>
      <c r="DH52" s="127">
        <v>1</v>
      </c>
      <c r="DI52" s="127">
        <v>1</v>
      </c>
      <c r="DJ52" s="127">
        <v>1</v>
      </c>
      <c r="DK52" s="127">
        <v>1</v>
      </c>
      <c r="DL52" s="127">
        <v>1</v>
      </c>
      <c r="DM52" s="127">
        <v>1</v>
      </c>
      <c r="DN52" s="127">
        <v>1</v>
      </c>
      <c r="DO52" s="127">
        <v>1</v>
      </c>
      <c r="DP52" s="127">
        <v>1</v>
      </c>
      <c r="DQ52" s="127">
        <v>1</v>
      </c>
      <c r="DR52" s="127">
        <v>1</v>
      </c>
      <c r="DS52" s="127">
        <v>1</v>
      </c>
      <c r="DT52" s="127">
        <v>1</v>
      </c>
      <c r="DU52" s="127">
        <v>1</v>
      </c>
      <c r="DV52" s="127">
        <v>1</v>
      </c>
      <c r="DW52" s="127">
        <v>1</v>
      </c>
      <c r="DX52" s="127">
        <v>1</v>
      </c>
      <c r="DY52" s="127">
        <v>1</v>
      </c>
      <c r="DZ52" s="127">
        <v>1</v>
      </c>
      <c r="EA52" s="127">
        <v>1</v>
      </c>
      <c r="EB52" s="127">
        <v>1</v>
      </c>
      <c r="EC52" s="127">
        <v>1</v>
      </c>
      <c r="ED52" s="127">
        <v>1</v>
      </c>
      <c r="EE52" s="127">
        <v>1</v>
      </c>
      <c r="EF52" s="127">
        <v>1</v>
      </c>
      <c r="EG52" s="127">
        <v>1</v>
      </c>
      <c r="EH52" s="127">
        <v>1</v>
      </c>
      <c r="EI52" s="127">
        <v>1</v>
      </c>
    </row>
    <row r="53" spans="2:139" ht="28.8" hidden="1" outlineLevel="3" x14ac:dyDescent="0.3">
      <c r="B53" s="29"/>
      <c r="C53" s="30"/>
      <c r="D53" s="30"/>
      <c r="E53" s="52" t="s">
        <v>58</v>
      </c>
      <c r="F53" s="33">
        <v>30</v>
      </c>
      <c r="G53" s="35">
        <v>0.13</v>
      </c>
      <c r="H53" s="53"/>
      <c r="I53" s="126">
        <v>0</v>
      </c>
      <c r="J53" s="127">
        <v>0</v>
      </c>
      <c r="K53" s="127">
        <v>0</v>
      </c>
      <c r="L53" s="127">
        <v>1.3079019073569481E-2</v>
      </c>
      <c r="M53" s="127">
        <v>2.6158038147138962E-2</v>
      </c>
      <c r="N53" s="127">
        <v>3.2697547683923703E-2</v>
      </c>
      <c r="O53" s="127">
        <v>3.9237057220708443E-2</v>
      </c>
      <c r="P53" s="127">
        <v>6.2534059945504081E-2</v>
      </c>
      <c r="Q53" s="127">
        <v>8.5831062670299718E-2</v>
      </c>
      <c r="R53" s="127">
        <v>0.34573941045330692</v>
      </c>
      <c r="S53" s="127">
        <v>0.63325563325563328</v>
      </c>
      <c r="T53" s="127">
        <v>0.83974358974358965</v>
      </c>
      <c r="U53" s="127">
        <v>0.8504273504273504</v>
      </c>
      <c r="V53" s="127">
        <v>0.86111111111111116</v>
      </c>
      <c r="W53" s="127">
        <v>1</v>
      </c>
      <c r="X53" s="127">
        <v>1</v>
      </c>
      <c r="Y53" s="127">
        <v>1</v>
      </c>
      <c r="Z53" s="127">
        <v>1</v>
      </c>
      <c r="AA53" s="127">
        <v>1</v>
      </c>
      <c r="AB53" s="127">
        <v>1</v>
      </c>
      <c r="AC53" s="127">
        <v>1</v>
      </c>
      <c r="AD53" s="127">
        <v>1</v>
      </c>
      <c r="AE53" s="127">
        <v>1</v>
      </c>
      <c r="AF53" s="127">
        <v>1</v>
      </c>
      <c r="AG53" s="127">
        <v>1</v>
      </c>
      <c r="AH53" s="127">
        <v>1</v>
      </c>
      <c r="AI53" s="127">
        <v>1</v>
      </c>
      <c r="AJ53" s="127">
        <v>1</v>
      </c>
      <c r="AK53" s="127">
        <v>1</v>
      </c>
      <c r="AL53" s="127">
        <v>1</v>
      </c>
      <c r="AM53" s="127">
        <v>1</v>
      </c>
      <c r="AN53" s="127">
        <v>1</v>
      </c>
      <c r="AO53" s="127">
        <v>1</v>
      </c>
      <c r="AP53" s="127">
        <v>1</v>
      </c>
      <c r="AQ53" s="127">
        <v>1</v>
      </c>
      <c r="AR53" s="127">
        <v>1</v>
      </c>
      <c r="AS53" s="127">
        <v>1</v>
      </c>
      <c r="AT53" s="127">
        <v>1</v>
      </c>
      <c r="AU53" s="127">
        <v>1</v>
      </c>
      <c r="AV53" s="127">
        <v>1</v>
      </c>
      <c r="AW53" s="127">
        <v>1</v>
      </c>
      <c r="AX53" s="127">
        <v>1</v>
      </c>
      <c r="AY53" s="127">
        <v>1</v>
      </c>
      <c r="AZ53" s="127">
        <v>1</v>
      </c>
      <c r="BA53" s="127">
        <v>1</v>
      </c>
      <c r="BB53" s="127">
        <v>1</v>
      </c>
      <c r="BC53" s="127">
        <v>1</v>
      </c>
      <c r="BD53" s="127">
        <v>1</v>
      </c>
      <c r="BE53" s="127">
        <v>1</v>
      </c>
      <c r="BF53" s="127">
        <v>1</v>
      </c>
      <c r="BG53" s="127">
        <v>1</v>
      </c>
      <c r="BH53" s="127">
        <v>1</v>
      </c>
      <c r="BI53" s="127">
        <v>1</v>
      </c>
      <c r="BJ53" s="127">
        <v>1</v>
      </c>
      <c r="BK53" s="127">
        <v>1</v>
      </c>
      <c r="BL53" s="127">
        <v>1</v>
      </c>
      <c r="BM53" s="127">
        <v>1</v>
      </c>
      <c r="BN53" s="127">
        <v>1</v>
      </c>
      <c r="BO53" s="127">
        <v>1</v>
      </c>
      <c r="BP53" s="127">
        <v>1</v>
      </c>
      <c r="BQ53" s="127">
        <v>1</v>
      </c>
      <c r="BR53" s="127">
        <v>1</v>
      </c>
      <c r="BS53" s="127">
        <v>1</v>
      </c>
      <c r="BT53" s="127">
        <v>1</v>
      </c>
      <c r="BU53" s="127">
        <v>1</v>
      </c>
      <c r="BV53" s="127">
        <v>1</v>
      </c>
      <c r="BW53" s="127">
        <v>1</v>
      </c>
      <c r="BX53" s="127">
        <v>1</v>
      </c>
      <c r="BY53" s="127">
        <v>1</v>
      </c>
      <c r="BZ53" s="127">
        <v>1</v>
      </c>
      <c r="CA53" s="127">
        <v>1</v>
      </c>
      <c r="CB53" s="127">
        <v>1</v>
      </c>
      <c r="CC53" s="127">
        <v>1</v>
      </c>
      <c r="CD53" s="127">
        <v>1</v>
      </c>
      <c r="CE53" s="127">
        <v>1</v>
      </c>
      <c r="CF53" s="127">
        <v>1</v>
      </c>
      <c r="CG53" s="127">
        <v>1</v>
      </c>
      <c r="CH53" s="127">
        <v>1</v>
      </c>
      <c r="CI53" s="127">
        <v>1</v>
      </c>
      <c r="CJ53" s="127">
        <v>1</v>
      </c>
      <c r="CK53" s="127">
        <v>1</v>
      </c>
      <c r="CL53" s="127">
        <v>1</v>
      </c>
      <c r="CM53" s="127">
        <v>1</v>
      </c>
      <c r="CN53" s="127">
        <v>1</v>
      </c>
      <c r="CO53" s="127">
        <v>1</v>
      </c>
      <c r="CP53" s="127">
        <v>1</v>
      </c>
      <c r="CQ53" s="127">
        <v>1</v>
      </c>
      <c r="CR53" s="127">
        <v>1</v>
      </c>
      <c r="CS53" s="127">
        <v>1</v>
      </c>
      <c r="CT53" s="127">
        <v>1</v>
      </c>
      <c r="CU53" s="127">
        <v>1</v>
      </c>
      <c r="CV53" s="127">
        <v>1</v>
      </c>
      <c r="CW53" s="127">
        <v>1</v>
      </c>
      <c r="CX53" s="127">
        <v>1</v>
      </c>
      <c r="CY53" s="127">
        <v>1</v>
      </c>
      <c r="CZ53" s="127">
        <v>1</v>
      </c>
      <c r="DA53" s="127">
        <v>1</v>
      </c>
      <c r="DB53" s="127">
        <v>1</v>
      </c>
      <c r="DC53" s="127">
        <v>1</v>
      </c>
      <c r="DD53" s="127">
        <v>1</v>
      </c>
      <c r="DE53" s="127">
        <v>1</v>
      </c>
      <c r="DF53" s="127">
        <v>1</v>
      </c>
      <c r="DG53" s="127">
        <v>1</v>
      </c>
      <c r="DH53" s="127">
        <v>1</v>
      </c>
      <c r="DI53" s="127">
        <v>1</v>
      </c>
      <c r="DJ53" s="127">
        <v>1</v>
      </c>
      <c r="DK53" s="127">
        <v>1</v>
      </c>
      <c r="DL53" s="127">
        <v>1</v>
      </c>
      <c r="DM53" s="127">
        <v>1</v>
      </c>
      <c r="DN53" s="127">
        <v>1</v>
      </c>
      <c r="DO53" s="127">
        <v>1</v>
      </c>
      <c r="DP53" s="127">
        <v>1</v>
      </c>
      <c r="DQ53" s="127">
        <v>1</v>
      </c>
      <c r="DR53" s="127">
        <v>1</v>
      </c>
      <c r="DS53" s="127">
        <v>1</v>
      </c>
      <c r="DT53" s="127">
        <v>1</v>
      </c>
      <c r="DU53" s="127">
        <v>1</v>
      </c>
      <c r="DV53" s="127">
        <v>1</v>
      </c>
      <c r="DW53" s="127">
        <v>1</v>
      </c>
      <c r="DX53" s="127">
        <v>1</v>
      </c>
      <c r="DY53" s="127">
        <v>1</v>
      </c>
      <c r="DZ53" s="127">
        <v>1</v>
      </c>
      <c r="EA53" s="127">
        <v>1</v>
      </c>
      <c r="EB53" s="127">
        <v>1</v>
      </c>
      <c r="EC53" s="127">
        <v>1</v>
      </c>
      <c r="ED53" s="127">
        <v>1</v>
      </c>
      <c r="EE53" s="127">
        <v>1</v>
      </c>
      <c r="EF53" s="127">
        <v>1</v>
      </c>
      <c r="EG53" s="127">
        <v>1</v>
      </c>
      <c r="EH53" s="127">
        <v>1</v>
      </c>
      <c r="EI53" s="127">
        <v>1</v>
      </c>
    </row>
    <row r="54" spans="2:139" hidden="1" outlineLevel="3" x14ac:dyDescent="0.3">
      <c r="B54" s="29"/>
      <c r="C54" s="30"/>
      <c r="D54" s="30"/>
      <c r="E54" s="52" t="s">
        <v>59</v>
      </c>
      <c r="F54" s="33">
        <v>5</v>
      </c>
      <c r="G54" s="35">
        <v>0.13300000000000001</v>
      </c>
      <c r="H54" s="53"/>
      <c r="I54" s="126">
        <v>0</v>
      </c>
      <c r="J54" s="127">
        <v>0</v>
      </c>
      <c r="K54" s="127">
        <v>0</v>
      </c>
      <c r="L54" s="127">
        <v>0</v>
      </c>
      <c r="M54" s="127">
        <v>0</v>
      </c>
      <c r="N54" s="127">
        <v>0</v>
      </c>
      <c r="O54" s="127">
        <v>0</v>
      </c>
      <c r="P54" s="127">
        <v>2.2727272727272728E-2</v>
      </c>
      <c r="Q54" s="127">
        <v>4.5454545454545456E-2</v>
      </c>
      <c r="R54" s="127">
        <v>6.8181818181818177E-2</v>
      </c>
      <c r="S54" s="127">
        <v>9.0909090909090912E-2</v>
      </c>
      <c r="T54" s="127">
        <v>0.11363636363636363</v>
      </c>
      <c r="U54" s="127">
        <v>0.13636363636363635</v>
      </c>
      <c r="V54" s="127">
        <v>0.15909090909090909</v>
      </c>
      <c r="W54" s="127">
        <v>0.15909090909090909</v>
      </c>
      <c r="X54" s="127">
        <v>0.15909090909090909</v>
      </c>
      <c r="Y54" s="127">
        <v>0.15909090909090909</v>
      </c>
      <c r="Z54" s="127">
        <v>0.15909090909090909</v>
      </c>
      <c r="AA54" s="127">
        <v>0.37727272727272726</v>
      </c>
      <c r="AB54" s="127">
        <v>0.70909090909090899</v>
      </c>
      <c r="AC54" s="127">
        <v>0.90909090909090906</v>
      </c>
      <c r="AD54" s="127">
        <v>0.95</v>
      </c>
      <c r="AE54" s="127">
        <v>1</v>
      </c>
      <c r="AF54" s="127">
        <v>1</v>
      </c>
      <c r="AG54" s="127">
        <v>1</v>
      </c>
      <c r="AH54" s="127">
        <v>1</v>
      </c>
      <c r="AI54" s="127">
        <v>1</v>
      </c>
      <c r="AJ54" s="127">
        <v>1</v>
      </c>
      <c r="AK54" s="127">
        <v>1</v>
      </c>
      <c r="AL54" s="127">
        <v>1</v>
      </c>
      <c r="AM54" s="127">
        <v>1</v>
      </c>
      <c r="AN54" s="127">
        <v>1</v>
      </c>
      <c r="AO54" s="127">
        <v>1</v>
      </c>
      <c r="AP54" s="127">
        <v>1</v>
      </c>
      <c r="AQ54" s="127">
        <v>1</v>
      </c>
      <c r="AR54" s="127">
        <v>1</v>
      </c>
      <c r="AS54" s="127">
        <v>1</v>
      </c>
      <c r="AT54" s="127">
        <v>1</v>
      </c>
      <c r="AU54" s="127">
        <v>1</v>
      </c>
      <c r="AV54" s="127">
        <v>1</v>
      </c>
      <c r="AW54" s="127">
        <v>1</v>
      </c>
      <c r="AX54" s="127">
        <v>1</v>
      </c>
      <c r="AY54" s="127">
        <v>1</v>
      </c>
      <c r="AZ54" s="127">
        <v>1</v>
      </c>
      <c r="BA54" s="127">
        <v>1</v>
      </c>
      <c r="BB54" s="127">
        <v>1</v>
      </c>
      <c r="BC54" s="127">
        <v>1</v>
      </c>
      <c r="BD54" s="127">
        <v>1</v>
      </c>
      <c r="BE54" s="127">
        <v>1</v>
      </c>
      <c r="BF54" s="127">
        <v>1</v>
      </c>
      <c r="BG54" s="127">
        <v>1</v>
      </c>
      <c r="BH54" s="127">
        <v>1</v>
      </c>
      <c r="BI54" s="127">
        <v>1</v>
      </c>
      <c r="BJ54" s="127">
        <v>1</v>
      </c>
      <c r="BK54" s="127">
        <v>1</v>
      </c>
      <c r="BL54" s="127">
        <v>1</v>
      </c>
      <c r="BM54" s="127">
        <v>1</v>
      </c>
      <c r="BN54" s="127">
        <v>1</v>
      </c>
      <c r="BO54" s="127">
        <v>1</v>
      </c>
      <c r="BP54" s="127">
        <v>1</v>
      </c>
      <c r="BQ54" s="127">
        <v>1</v>
      </c>
      <c r="BR54" s="127">
        <v>1</v>
      </c>
      <c r="BS54" s="127">
        <v>1</v>
      </c>
      <c r="BT54" s="127">
        <v>1</v>
      </c>
      <c r="BU54" s="127">
        <v>1</v>
      </c>
      <c r="BV54" s="127">
        <v>1</v>
      </c>
      <c r="BW54" s="127">
        <v>1</v>
      </c>
      <c r="BX54" s="127">
        <v>1</v>
      </c>
      <c r="BY54" s="127">
        <v>1</v>
      </c>
      <c r="BZ54" s="127">
        <v>1</v>
      </c>
      <c r="CA54" s="127">
        <v>1</v>
      </c>
      <c r="CB54" s="127">
        <v>1</v>
      </c>
      <c r="CC54" s="127">
        <v>1</v>
      </c>
      <c r="CD54" s="127">
        <v>1</v>
      </c>
      <c r="CE54" s="127">
        <v>1</v>
      </c>
      <c r="CF54" s="127">
        <v>1</v>
      </c>
      <c r="CG54" s="127">
        <v>1</v>
      </c>
      <c r="CH54" s="127">
        <v>1</v>
      </c>
      <c r="CI54" s="127">
        <v>1</v>
      </c>
      <c r="CJ54" s="127">
        <v>1</v>
      </c>
      <c r="CK54" s="127">
        <v>1</v>
      </c>
      <c r="CL54" s="127">
        <v>1</v>
      </c>
      <c r="CM54" s="127">
        <v>1</v>
      </c>
      <c r="CN54" s="127">
        <v>1</v>
      </c>
      <c r="CO54" s="127">
        <v>1</v>
      </c>
      <c r="CP54" s="127">
        <v>1</v>
      </c>
      <c r="CQ54" s="127">
        <v>1</v>
      </c>
      <c r="CR54" s="127">
        <v>1</v>
      </c>
      <c r="CS54" s="127">
        <v>1</v>
      </c>
      <c r="CT54" s="127">
        <v>1</v>
      </c>
      <c r="CU54" s="127">
        <v>1</v>
      </c>
      <c r="CV54" s="127">
        <v>1</v>
      </c>
      <c r="CW54" s="127">
        <v>1</v>
      </c>
      <c r="CX54" s="127">
        <v>1</v>
      </c>
      <c r="CY54" s="127">
        <v>1</v>
      </c>
      <c r="CZ54" s="127">
        <v>1</v>
      </c>
      <c r="DA54" s="127">
        <v>1</v>
      </c>
      <c r="DB54" s="127">
        <v>1</v>
      </c>
      <c r="DC54" s="127">
        <v>1</v>
      </c>
      <c r="DD54" s="127">
        <v>1</v>
      </c>
      <c r="DE54" s="127">
        <v>1</v>
      </c>
      <c r="DF54" s="127">
        <v>1</v>
      </c>
      <c r="DG54" s="127">
        <v>1</v>
      </c>
      <c r="DH54" s="127">
        <v>1</v>
      </c>
      <c r="DI54" s="127">
        <v>1</v>
      </c>
      <c r="DJ54" s="127">
        <v>1</v>
      </c>
      <c r="DK54" s="127">
        <v>1</v>
      </c>
      <c r="DL54" s="127">
        <v>1</v>
      </c>
      <c r="DM54" s="127">
        <v>1</v>
      </c>
      <c r="DN54" s="127">
        <v>1</v>
      </c>
      <c r="DO54" s="127">
        <v>1</v>
      </c>
      <c r="DP54" s="127">
        <v>1</v>
      </c>
      <c r="DQ54" s="127">
        <v>1</v>
      </c>
      <c r="DR54" s="127">
        <v>1</v>
      </c>
      <c r="DS54" s="127">
        <v>1</v>
      </c>
      <c r="DT54" s="127">
        <v>1</v>
      </c>
      <c r="DU54" s="127">
        <v>1</v>
      </c>
      <c r="DV54" s="127">
        <v>1</v>
      </c>
      <c r="DW54" s="127">
        <v>1</v>
      </c>
      <c r="DX54" s="127">
        <v>1</v>
      </c>
      <c r="DY54" s="127">
        <v>1</v>
      </c>
      <c r="DZ54" s="127">
        <v>1</v>
      </c>
      <c r="EA54" s="127">
        <v>1</v>
      </c>
      <c r="EB54" s="127">
        <v>1</v>
      </c>
      <c r="EC54" s="127">
        <v>1</v>
      </c>
      <c r="ED54" s="127">
        <v>1</v>
      </c>
      <c r="EE54" s="127">
        <v>1</v>
      </c>
      <c r="EF54" s="127">
        <v>1</v>
      </c>
      <c r="EG54" s="127">
        <v>1</v>
      </c>
      <c r="EH54" s="127">
        <v>1</v>
      </c>
      <c r="EI54" s="127">
        <v>1</v>
      </c>
    </row>
    <row r="55" spans="2:139" hidden="1" outlineLevel="3" x14ac:dyDescent="0.3">
      <c r="B55" s="29"/>
      <c r="C55" s="30"/>
      <c r="D55" s="30"/>
      <c r="E55" s="52" t="s">
        <v>60</v>
      </c>
      <c r="F55" s="33">
        <v>20</v>
      </c>
      <c r="G55" s="35">
        <v>0.20300000000000001</v>
      </c>
      <c r="H55" s="53"/>
      <c r="I55" s="126">
        <v>0</v>
      </c>
      <c r="J55" s="127">
        <v>0</v>
      </c>
      <c r="K55" s="127">
        <v>0</v>
      </c>
      <c r="L55" s="127">
        <v>0</v>
      </c>
      <c r="M55" s="127">
        <v>0</v>
      </c>
      <c r="N55" s="127">
        <v>0</v>
      </c>
      <c r="O55" s="127">
        <v>0</v>
      </c>
      <c r="P55" s="127">
        <v>2.2727272727272728E-2</v>
      </c>
      <c r="Q55" s="127">
        <v>4.5454545454545456E-2</v>
      </c>
      <c r="R55" s="127">
        <v>6.8181818181818177E-2</v>
      </c>
      <c r="S55" s="127">
        <v>9.0909090909090912E-2</v>
      </c>
      <c r="T55" s="127">
        <v>0.11363636363636363</v>
      </c>
      <c r="U55" s="127">
        <v>0.13636363636363635</v>
      </c>
      <c r="V55" s="127">
        <v>0.15909090909090909</v>
      </c>
      <c r="W55" s="127">
        <v>0.15909090909090909</v>
      </c>
      <c r="X55" s="127">
        <v>0.15909090909090909</v>
      </c>
      <c r="Y55" s="127">
        <v>0.15909090909090909</v>
      </c>
      <c r="Z55" s="127">
        <v>0.15909090909090909</v>
      </c>
      <c r="AA55" s="127">
        <v>0.15909090909090909</v>
      </c>
      <c r="AB55" s="127">
        <v>0.15909090909090909</v>
      </c>
      <c r="AC55" s="127">
        <v>0.18672727272727274</v>
      </c>
      <c r="AD55" s="127">
        <v>0.29090909090909089</v>
      </c>
      <c r="AE55" s="127">
        <v>0.4</v>
      </c>
      <c r="AF55" s="127">
        <v>0.4</v>
      </c>
      <c r="AG55" s="127">
        <v>0.4</v>
      </c>
      <c r="AH55" s="127">
        <v>0.4</v>
      </c>
      <c r="AI55" s="127">
        <v>0.4</v>
      </c>
      <c r="AJ55" s="127">
        <v>0.4</v>
      </c>
      <c r="AK55" s="127">
        <v>0.60000000000000009</v>
      </c>
      <c r="AL55" s="127">
        <v>0.9563636363636363</v>
      </c>
      <c r="AM55" s="127">
        <v>0.9563636363636363</v>
      </c>
      <c r="AN55" s="127">
        <v>0.9563636363636363</v>
      </c>
      <c r="AO55" s="127">
        <v>0.97272727272727266</v>
      </c>
      <c r="AP55" s="127">
        <v>0.97272727272727266</v>
      </c>
      <c r="AQ55" s="127">
        <v>0.98909090909090902</v>
      </c>
      <c r="AR55" s="127">
        <v>1</v>
      </c>
      <c r="AS55" s="127">
        <v>1</v>
      </c>
      <c r="AT55" s="127">
        <v>1</v>
      </c>
      <c r="AU55" s="127">
        <v>1</v>
      </c>
      <c r="AV55" s="127">
        <v>1</v>
      </c>
      <c r="AW55" s="127">
        <v>1</v>
      </c>
      <c r="AX55" s="127">
        <v>1</v>
      </c>
      <c r="AY55" s="127">
        <v>1</v>
      </c>
      <c r="AZ55" s="127">
        <v>1</v>
      </c>
      <c r="BA55" s="127">
        <v>1</v>
      </c>
      <c r="BB55" s="127">
        <v>1</v>
      </c>
      <c r="BC55" s="127">
        <v>1</v>
      </c>
      <c r="BD55" s="127">
        <v>1</v>
      </c>
      <c r="BE55" s="127">
        <v>1</v>
      </c>
      <c r="BF55" s="127">
        <v>1</v>
      </c>
      <c r="BG55" s="127">
        <v>1</v>
      </c>
      <c r="BH55" s="127">
        <v>1</v>
      </c>
      <c r="BI55" s="127">
        <v>1</v>
      </c>
      <c r="BJ55" s="127">
        <v>1</v>
      </c>
      <c r="BK55" s="127">
        <v>1</v>
      </c>
      <c r="BL55" s="127">
        <v>1</v>
      </c>
      <c r="BM55" s="127">
        <v>1</v>
      </c>
      <c r="BN55" s="127">
        <v>1</v>
      </c>
      <c r="BO55" s="127">
        <v>1</v>
      </c>
      <c r="BP55" s="127">
        <v>1</v>
      </c>
      <c r="BQ55" s="127">
        <v>1</v>
      </c>
      <c r="BR55" s="127">
        <v>1</v>
      </c>
      <c r="BS55" s="127">
        <v>1</v>
      </c>
      <c r="BT55" s="127">
        <v>1</v>
      </c>
      <c r="BU55" s="127">
        <v>1</v>
      </c>
      <c r="BV55" s="127">
        <v>1</v>
      </c>
      <c r="BW55" s="127">
        <v>1</v>
      </c>
      <c r="BX55" s="127">
        <v>1</v>
      </c>
      <c r="BY55" s="127">
        <v>1</v>
      </c>
      <c r="BZ55" s="127">
        <v>1</v>
      </c>
      <c r="CA55" s="127">
        <v>1</v>
      </c>
      <c r="CB55" s="127">
        <v>1</v>
      </c>
      <c r="CC55" s="127">
        <v>1</v>
      </c>
      <c r="CD55" s="127">
        <v>1</v>
      </c>
      <c r="CE55" s="127">
        <v>1</v>
      </c>
      <c r="CF55" s="127">
        <v>1</v>
      </c>
      <c r="CG55" s="127">
        <v>1</v>
      </c>
      <c r="CH55" s="127">
        <v>1</v>
      </c>
      <c r="CI55" s="127">
        <v>1</v>
      </c>
      <c r="CJ55" s="127">
        <v>1</v>
      </c>
      <c r="CK55" s="127">
        <v>1</v>
      </c>
      <c r="CL55" s="127">
        <v>1</v>
      </c>
      <c r="CM55" s="127">
        <v>1</v>
      </c>
      <c r="CN55" s="127">
        <v>1</v>
      </c>
      <c r="CO55" s="127">
        <v>1</v>
      </c>
      <c r="CP55" s="127">
        <v>1</v>
      </c>
      <c r="CQ55" s="127">
        <v>1</v>
      </c>
      <c r="CR55" s="127">
        <v>1</v>
      </c>
      <c r="CS55" s="127">
        <v>1</v>
      </c>
      <c r="CT55" s="127">
        <v>1</v>
      </c>
      <c r="CU55" s="127">
        <v>1</v>
      </c>
      <c r="CV55" s="127">
        <v>1</v>
      </c>
      <c r="CW55" s="127">
        <v>1</v>
      </c>
      <c r="CX55" s="127">
        <v>1</v>
      </c>
      <c r="CY55" s="127">
        <v>1</v>
      </c>
      <c r="CZ55" s="127">
        <v>1</v>
      </c>
      <c r="DA55" s="127">
        <v>1</v>
      </c>
      <c r="DB55" s="127">
        <v>1</v>
      </c>
      <c r="DC55" s="127">
        <v>1</v>
      </c>
      <c r="DD55" s="127">
        <v>1</v>
      </c>
      <c r="DE55" s="127">
        <v>1</v>
      </c>
      <c r="DF55" s="127">
        <v>1</v>
      </c>
      <c r="DG55" s="127">
        <v>1</v>
      </c>
      <c r="DH55" s="127">
        <v>1</v>
      </c>
      <c r="DI55" s="127">
        <v>1</v>
      </c>
      <c r="DJ55" s="127">
        <v>1</v>
      </c>
      <c r="DK55" s="127">
        <v>1</v>
      </c>
      <c r="DL55" s="127">
        <v>1</v>
      </c>
      <c r="DM55" s="127">
        <v>1</v>
      </c>
      <c r="DN55" s="127">
        <v>1</v>
      </c>
      <c r="DO55" s="127">
        <v>1</v>
      </c>
      <c r="DP55" s="127">
        <v>1</v>
      </c>
      <c r="DQ55" s="127">
        <v>1</v>
      </c>
      <c r="DR55" s="127">
        <v>1</v>
      </c>
      <c r="DS55" s="127">
        <v>1</v>
      </c>
      <c r="DT55" s="127">
        <v>1</v>
      </c>
      <c r="DU55" s="127">
        <v>1</v>
      </c>
      <c r="DV55" s="127">
        <v>1</v>
      </c>
      <c r="DW55" s="127">
        <v>1</v>
      </c>
      <c r="DX55" s="127">
        <v>1</v>
      </c>
      <c r="DY55" s="127">
        <v>1</v>
      </c>
      <c r="DZ55" s="127">
        <v>1</v>
      </c>
      <c r="EA55" s="127">
        <v>1</v>
      </c>
      <c r="EB55" s="127">
        <v>1</v>
      </c>
      <c r="EC55" s="127">
        <v>1</v>
      </c>
      <c r="ED55" s="127">
        <v>1</v>
      </c>
      <c r="EE55" s="127">
        <v>1</v>
      </c>
      <c r="EF55" s="127">
        <v>1</v>
      </c>
      <c r="EG55" s="127">
        <v>1</v>
      </c>
      <c r="EH55" s="127">
        <v>1</v>
      </c>
      <c r="EI55" s="127">
        <v>1</v>
      </c>
    </row>
    <row r="56" spans="2:139" hidden="1" outlineLevel="3" x14ac:dyDescent="0.3">
      <c r="B56" s="29"/>
      <c r="C56" s="30"/>
      <c r="D56" s="30"/>
      <c r="E56" s="52" t="s">
        <v>61</v>
      </c>
      <c r="F56" s="33">
        <v>30</v>
      </c>
      <c r="G56" s="35">
        <v>6.7000000000000004E-2</v>
      </c>
      <c r="H56" s="53"/>
      <c r="I56" s="126">
        <v>0</v>
      </c>
      <c r="J56" s="127">
        <v>0</v>
      </c>
      <c r="K56" s="127">
        <v>1.0643015521064302E-3</v>
      </c>
      <c r="L56" s="127">
        <v>1.7738359201773836E-3</v>
      </c>
      <c r="M56" s="127">
        <v>2.8381374722838137E-3</v>
      </c>
      <c r="N56" s="127">
        <v>3.5476718403547672E-3</v>
      </c>
      <c r="O56" s="127">
        <v>5.3215077605321508E-3</v>
      </c>
      <c r="P56" s="127">
        <v>1.5410199556541019E-2</v>
      </c>
      <c r="Q56" s="127">
        <v>0.770509977827051</v>
      </c>
      <c r="R56" s="127">
        <v>0.85864745011086474</v>
      </c>
      <c r="S56" s="127">
        <v>0.78</v>
      </c>
      <c r="T56" s="127">
        <v>0.78749999999999998</v>
      </c>
      <c r="U56" s="127">
        <v>0.79500000000000004</v>
      </c>
      <c r="V56" s="127">
        <v>0.80249999999999999</v>
      </c>
      <c r="W56" s="127">
        <v>0.80249999999999999</v>
      </c>
      <c r="X56" s="127">
        <v>0.80249999999999999</v>
      </c>
      <c r="Y56" s="127">
        <v>0.80249999999999999</v>
      </c>
      <c r="Z56" s="127">
        <v>0.80249999999999999</v>
      </c>
      <c r="AA56" s="127">
        <v>0.80249999999999999</v>
      </c>
      <c r="AB56" s="127">
        <v>0.80249999999999999</v>
      </c>
      <c r="AC56" s="127">
        <v>0.80249999999999999</v>
      </c>
      <c r="AD56" s="127">
        <v>0.80249999999999999</v>
      </c>
      <c r="AE56" s="127">
        <v>0.80249999999999999</v>
      </c>
      <c r="AF56" s="127">
        <v>0.80249999999999999</v>
      </c>
      <c r="AG56" s="127">
        <v>0.84250000000000003</v>
      </c>
      <c r="AH56" s="127">
        <v>0.96000000000000008</v>
      </c>
      <c r="AI56" s="127">
        <v>0.96000000000000008</v>
      </c>
      <c r="AJ56" s="127">
        <v>0.96000000000000008</v>
      </c>
      <c r="AK56" s="127">
        <v>0.97</v>
      </c>
      <c r="AL56" s="127">
        <v>0.98000000000000009</v>
      </c>
      <c r="AM56" s="127">
        <v>0.98000000000000009</v>
      </c>
      <c r="AN56" s="127">
        <v>1</v>
      </c>
      <c r="AO56" s="127">
        <v>1</v>
      </c>
      <c r="AP56" s="127">
        <v>1</v>
      </c>
      <c r="AQ56" s="127">
        <v>1</v>
      </c>
      <c r="AR56" s="127">
        <v>1</v>
      </c>
      <c r="AS56" s="127">
        <v>1</v>
      </c>
      <c r="AT56" s="127">
        <v>1</v>
      </c>
      <c r="AU56" s="127">
        <v>1</v>
      </c>
      <c r="AV56" s="127">
        <v>1</v>
      </c>
      <c r="AW56" s="127">
        <v>1</v>
      </c>
      <c r="AX56" s="127">
        <v>1</v>
      </c>
      <c r="AY56" s="127">
        <v>1</v>
      </c>
      <c r="AZ56" s="127">
        <v>1</v>
      </c>
      <c r="BA56" s="127">
        <v>1</v>
      </c>
      <c r="BB56" s="127">
        <v>1</v>
      </c>
      <c r="BC56" s="127">
        <v>1</v>
      </c>
      <c r="BD56" s="127">
        <v>1</v>
      </c>
      <c r="BE56" s="127">
        <v>1</v>
      </c>
      <c r="BF56" s="127">
        <v>1</v>
      </c>
      <c r="BG56" s="127">
        <v>1</v>
      </c>
      <c r="BH56" s="127">
        <v>1</v>
      </c>
      <c r="BI56" s="127">
        <v>1</v>
      </c>
      <c r="BJ56" s="127">
        <v>1</v>
      </c>
      <c r="BK56" s="127">
        <v>1</v>
      </c>
      <c r="BL56" s="127">
        <v>1</v>
      </c>
      <c r="BM56" s="127">
        <v>1</v>
      </c>
      <c r="BN56" s="127">
        <v>1</v>
      </c>
      <c r="BO56" s="127">
        <v>1</v>
      </c>
      <c r="BP56" s="127">
        <v>1</v>
      </c>
      <c r="BQ56" s="127">
        <v>1</v>
      </c>
      <c r="BR56" s="127">
        <v>1</v>
      </c>
      <c r="BS56" s="127">
        <v>1</v>
      </c>
      <c r="BT56" s="127">
        <v>1</v>
      </c>
      <c r="BU56" s="127">
        <v>1</v>
      </c>
      <c r="BV56" s="127">
        <v>1</v>
      </c>
      <c r="BW56" s="127">
        <v>1</v>
      </c>
      <c r="BX56" s="127">
        <v>1</v>
      </c>
      <c r="BY56" s="127">
        <v>1</v>
      </c>
      <c r="BZ56" s="127">
        <v>1</v>
      </c>
      <c r="CA56" s="127">
        <v>1</v>
      </c>
      <c r="CB56" s="127">
        <v>1</v>
      </c>
      <c r="CC56" s="127">
        <v>1</v>
      </c>
      <c r="CD56" s="127">
        <v>1</v>
      </c>
      <c r="CE56" s="127">
        <v>1</v>
      </c>
      <c r="CF56" s="127">
        <v>1</v>
      </c>
      <c r="CG56" s="127">
        <v>1</v>
      </c>
      <c r="CH56" s="127">
        <v>1</v>
      </c>
      <c r="CI56" s="127">
        <v>1</v>
      </c>
      <c r="CJ56" s="127">
        <v>1</v>
      </c>
      <c r="CK56" s="127">
        <v>1</v>
      </c>
      <c r="CL56" s="127">
        <v>1</v>
      </c>
      <c r="CM56" s="127">
        <v>1</v>
      </c>
      <c r="CN56" s="127">
        <v>1</v>
      </c>
      <c r="CO56" s="127">
        <v>1</v>
      </c>
      <c r="CP56" s="127">
        <v>1</v>
      </c>
      <c r="CQ56" s="127">
        <v>1</v>
      </c>
      <c r="CR56" s="127">
        <v>1</v>
      </c>
      <c r="CS56" s="127">
        <v>1</v>
      </c>
      <c r="CT56" s="127">
        <v>1</v>
      </c>
      <c r="CU56" s="127">
        <v>1</v>
      </c>
      <c r="CV56" s="127">
        <v>1</v>
      </c>
      <c r="CW56" s="127">
        <v>1</v>
      </c>
      <c r="CX56" s="127">
        <v>1</v>
      </c>
      <c r="CY56" s="127">
        <v>1</v>
      </c>
      <c r="CZ56" s="127">
        <v>1</v>
      </c>
      <c r="DA56" s="127">
        <v>1</v>
      </c>
      <c r="DB56" s="127">
        <v>1</v>
      </c>
      <c r="DC56" s="127">
        <v>1</v>
      </c>
      <c r="DD56" s="127">
        <v>1</v>
      </c>
      <c r="DE56" s="127">
        <v>1</v>
      </c>
      <c r="DF56" s="127">
        <v>1</v>
      </c>
      <c r="DG56" s="127">
        <v>1</v>
      </c>
      <c r="DH56" s="127">
        <v>1</v>
      </c>
      <c r="DI56" s="127">
        <v>1</v>
      </c>
      <c r="DJ56" s="127">
        <v>1</v>
      </c>
      <c r="DK56" s="127">
        <v>1</v>
      </c>
      <c r="DL56" s="127">
        <v>1</v>
      </c>
      <c r="DM56" s="127">
        <v>1</v>
      </c>
      <c r="DN56" s="127">
        <v>1</v>
      </c>
      <c r="DO56" s="127">
        <v>1</v>
      </c>
      <c r="DP56" s="127">
        <v>1</v>
      </c>
      <c r="DQ56" s="127">
        <v>1</v>
      </c>
      <c r="DR56" s="127">
        <v>1</v>
      </c>
      <c r="DS56" s="127">
        <v>1</v>
      </c>
      <c r="DT56" s="127">
        <v>1</v>
      </c>
      <c r="DU56" s="127">
        <v>1</v>
      </c>
      <c r="DV56" s="127">
        <v>1</v>
      </c>
      <c r="DW56" s="127">
        <v>1</v>
      </c>
      <c r="DX56" s="127">
        <v>1</v>
      </c>
      <c r="DY56" s="127">
        <v>1</v>
      </c>
      <c r="DZ56" s="127">
        <v>1</v>
      </c>
      <c r="EA56" s="127">
        <v>1</v>
      </c>
      <c r="EB56" s="127">
        <v>1</v>
      </c>
      <c r="EC56" s="127">
        <v>1</v>
      </c>
      <c r="ED56" s="127">
        <v>1</v>
      </c>
      <c r="EE56" s="127">
        <v>1</v>
      </c>
      <c r="EF56" s="127">
        <v>1</v>
      </c>
      <c r="EG56" s="127">
        <v>1</v>
      </c>
      <c r="EH56" s="127">
        <v>1</v>
      </c>
      <c r="EI56" s="127">
        <v>1</v>
      </c>
    </row>
    <row r="57" spans="2:139" ht="28.8" hidden="1" outlineLevel="3" x14ac:dyDescent="0.3">
      <c r="B57" s="29"/>
      <c r="C57" s="30"/>
      <c r="D57" s="30"/>
      <c r="E57" s="52" t="s">
        <v>62</v>
      </c>
      <c r="F57" s="33"/>
      <c r="G57" s="35">
        <v>6.7000000000000004E-2</v>
      </c>
      <c r="H57" s="53"/>
      <c r="I57" s="126">
        <v>0</v>
      </c>
      <c r="J57" s="127">
        <v>1.3400335008375208E-3</v>
      </c>
      <c r="K57" s="127">
        <v>4.0201005025125624E-3</v>
      </c>
      <c r="L57" s="127">
        <v>6.3651591289782247E-2</v>
      </c>
      <c r="M57" s="127">
        <v>0.12730318257956449</v>
      </c>
      <c r="N57" s="127">
        <v>0.16147403685092127</v>
      </c>
      <c r="O57" s="127">
        <v>0.25494137353433838</v>
      </c>
      <c r="P57" s="127">
        <v>0.32654941373534341</v>
      </c>
      <c r="Q57" s="127">
        <v>0.59547738693467345</v>
      </c>
      <c r="R57" s="127">
        <v>0.60175879396984921</v>
      </c>
      <c r="S57" s="127">
        <v>0.74204355108877718</v>
      </c>
      <c r="T57" s="127">
        <v>0.77763819095477382</v>
      </c>
      <c r="U57" s="127">
        <v>0.82328308207705192</v>
      </c>
      <c r="V57" s="127">
        <v>0.89824120603015079</v>
      </c>
      <c r="W57" s="127">
        <v>0.99999999999999978</v>
      </c>
      <c r="X57" s="127">
        <v>0.99999999999999978</v>
      </c>
      <c r="Y57" s="127">
        <v>0.99999999999999978</v>
      </c>
      <c r="Z57" s="127">
        <v>0.99999999999999978</v>
      </c>
      <c r="AA57" s="127">
        <v>0.99999999999999978</v>
      </c>
      <c r="AB57" s="127">
        <v>0.99999999999999978</v>
      </c>
      <c r="AC57" s="127">
        <v>0.99999999999999978</v>
      </c>
      <c r="AD57" s="127">
        <v>0.99999999999999978</v>
      </c>
      <c r="AE57" s="127">
        <v>0.99999999999999978</v>
      </c>
      <c r="AF57" s="127">
        <v>0.99999999999999978</v>
      </c>
      <c r="AG57" s="127">
        <v>0.99999999999999978</v>
      </c>
      <c r="AH57" s="127">
        <v>0.99999999999999978</v>
      </c>
      <c r="AI57" s="127">
        <v>0.99999999999999978</v>
      </c>
      <c r="AJ57" s="127">
        <v>0.99999999999999978</v>
      </c>
      <c r="AK57" s="127">
        <v>0.99999999999999978</v>
      </c>
      <c r="AL57" s="127">
        <v>0.99999999999999978</v>
      </c>
      <c r="AM57" s="127">
        <v>0.99999999999999978</v>
      </c>
      <c r="AN57" s="127">
        <v>1</v>
      </c>
      <c r="AO57" s="127">
        <v>1</v>
      </c>
      <c r="AP57" s="127">
        <v>1</v>
      </c>
      <c r="AQ57" s="127">
        <v>1</v>
      </c>
      <c r="AR57" s="127">
        <v>1</v>
      </c>
      <c r="AS57" s="127">
        <v>1</v>
      </c>
      <c r="AT57" s="127">
        <v>1</v>
      </c>
      <c r="AU57" s="127">
        <v>1</v>
      </c>
      <c r="AV57" s="127">
        <v>1</v>
      </c>
      <c r="AW57" s="127">
        <v>1</v>
      </c>
      <c r="AX57" s="127">
        <v>1</v>
      </c>
      <c r="AY57" s="127">
        <v>1</v>
      </c>
      <c r="AZ57" s="127">
        <v>1</v>
      </c>
      <c r="BA57" s="127">
        <v>1</v>
      </c>
      <c r="BB57" s="127">
        <v>1</v>
      </c>
      <c r="BC57" s="127">
        <v>1</v>
      </c>
      <c r="BD57" s="127">
        <v>1</v>
      </c>
      <c r="BE57" s="127">
        <v>1</v>
      </c>
      <c r="BF57" s="127">
        <v>1</v>
      </c>
      <c r="BG57" s="127">
        <v>1</v>
      </c>
      <c r="BH57" s="127">
        <v>1</v>
      </c>
      <c r="BI57" s="127">
        <v>1</v>
      </c>
      <c r="BJ57" s="127">
        <v>1</v>
      </c>
      <c r="BK57" s="127">
        <v>1</v>
      </c>
      <c r="BL57" s="127">
        <v>1</v>
      </c>
      <c r="BM57" s="127">
        <v>1</v>
      </c>
      <c r="BN57" s="127">
        <v>1</v>
      </c>
      <c r="BO57" s="127">
        <v>1</v>
      </c>
      <c r="BP57" s="127">
        <v>1</v>
      </c>
      <c r="BQ57" s="127">
        <v>1</v>
      </c>
      <c r="BR57" s="127">
        <v>1</v>
      </c>
      <c r="BS57" s="127">
        <v>1</v>
      </c>
      <c r="BT57" s="127">
        <v>1</v>
      </c>
      <c r="BU57" s="127">
        <v>1</v>
      </c>
      <c r="BV57" s="127">
        <v>1</v>
      </c>
      <c r="BW57" s="127">
        <v>1</v>
      </c>
      <c r="BX57" s="127">
        <v>1</v>
      </c>
      <c r="BY57" s="127">
        <v>1</v>
      </c>
      <c r="BZ57" s="127">
        <v>1</v>
      </c>
      <c r="CA57" s="127">
        <v>1</v>
      </c>
      <c r="CB57" s="127">
        <v>1</v>
      </c>
      <c r="CC57" s="127">
        <v>1</v>
      </c>
      <c r="CD57" s="127">
        <v>1</v>
      </c>
      <c r="CE57" s="127">
        <v>1</v>
      </c>
      <c r="CF57" s="127">
        <v>1</v>
      </c>
      <c r="CG57" s="127">
        <v>1</v>
      </c>
      <c r="CH57" s="127">
        <v>1</v>
      </c>
      <c r="CI57" s="127">
        <v>1</v>
      </c>
      <c r="CJ57" s="127">
        <v>1</v>
      </c>
      <c r="CK57" s="127">
        <v>1</v>
      </c>
      <c r="CL57" s="127">
        <v>1</v>
      </c>
      <c r="CM57" s="127">
        <v>1</v>
      </c>
      <c r="CN57" s="127">
        <v>1</v>
      </c>
      <c r="CO57" s="127">
        <v>1</v>
      </c>
      <c r="CP57" s="127">
        <v>1</v>
      </c>
      <c r="CQ57" s="127">
        <v>1</v>
      </c>
      <c r="CR57" s="127">
        <v>1</v>
      </c>
      <c r="CS57" s="127">
        <v>1</v>
      </c>
      <c r="CT57" s="127">
        <v>1</v>
      </c>
      <c r="CU57" s="127">
        <v>1</v>
      </c>
      <c r="CV57" s="127">
        <v>1</v>
      </c>
      <c r="CW57" s="127">
        <v>1</v>
      </c>
      <c r="CX57" s="127">
        <v>1</v>
      </c>
      <c r="CY57" s="127">
        <v>1</v>
      </c>
      <c r="CZ57" s="127">
        <v>1</v>
      </c>
      <c r="DA57" s="127">
        <v>1</v>
      </c>
      <c r="DB57" s="127">
        <v>1</v>
      </c>
      <c r="DC57" s="127">
        <v>1</v>
      </c>
      <c r="DD57" s="127">
        <v>1</v>
      </c>
      <c r="DE57" s="127">
        <v>1</v>
      </c>
      <c r="DF57" s="127">
        <v>1</v>
      </c>
      <c r="DG57" s="127">
        <v>1</v>
      </c>
      <c r="DH57" s="127">
        <v>1</v>
      </c>
      <c r="DI57" s="127">
        <v>1</v>
      </c>
      <c r="DJ57" s="127">
        <v>1</v>
      </c>
      <c r="DK57" s="127">
        <v>1</v>
      </c>
      <c r="DL57" s="127">
        <v>1</v>
      </c>
      <c r="DM57" s="127">
        <v>1</v>
      </c>
      <c r="DN57" s="127">
        <v>1</v>
      </c>
      <c r="DO57" s="127">
        <v>1</v>
      </c>
      <c r="DP57" s="127">
        <v>1</v>
      </c>
      <c r="DQ57" s="127">
        <v>1</v>
      </c>
      <c r="DR57" s="127">
        <v>1</v>
      </c>
      <c r="DS57" s="127">
        <v>1</v>
      </c>
      <c r="DT57" s="127">
        <v>1</v>
      </c>
      <c r="DU57" s="127">
        <v>1</v>
      </c>
      <c r="DV57" s="127">
        <v>1</v>
      </c>
      <c r="DW57" s="127">
        <v>1</v>
      </c>
      <c r="DX57" s="127">
        <v>1</v>
      </c>
      <c r="DY57" s="127">
        <v>1</v>
      </c>
      <c r="DZ57" s="127">
        <v>1</v>
      </c>
      <c r="EA57" s="127">
        <v>1</v>
      </c>
      <c r="EB57" s="127">
        <v>1</v>
      </c>
      <c r="EC57" s="127">
        <v>1</v>
      </c>
      <c r="ED57" s="127">
        <v>1</v>
      </c>
      <c r="EE57" s="127">
        <v>1</v>
      </c>
      <c r="EF57" s="127">
        <v>1</v>
      </c>
      <c r="EG57" s="127">
        <v>1</v>
      </c>
      <c r="EH57" s="127">
        <v>1</v>
      </c>
      <c r="EI57" s="127">
        <v>1</v>
      </c>
    </row>
    <row r="58" spans="2:139" ht="15" hidden="1" outlineLevel="2" collapsed="1" x14ac:dyDescent="0.3">
      <c r="B58" s="22"/>
      <c r="C58" s="23"/>
      <c r="D58" s="23" t="s">
        <v>63</v>
      </c>
      <c r="E58" s="50"/>
      <c r="F58" s="26">
        <f>+SUM(F59:F71)</f>
        <v>500</v>
      </c>
      <c r="G58" s="28">
        <v>9.3701133352485519E-2</v>
      </c>
      <c r="H58" s="51"/>
      <c r="I58" s="125">
        <f>+SUMPRODUCT($G$59:$G$71,I59:I71)</f>
        <v>0</v>
      </c>
      <c r="J58" s="28">
        <f>+SUMPRODUCT($G$59:$G$71,J59:J71)</f>
        <v>0</v>
      </c>
      <c r="K58" s="28">
        <f t="shared" ref="K58:BB58" si="209">+SUMPRODUCT($G$59:$G$71,K59:K71)</f>
        <v>0</v>
      </c>
      <c r="L58" s="28">
        <f t="shared" si="209"/>
        <v>0</v>
      </c>
      <c r="M58" s="64">
        <f t="shared" si="209"/>
        <v>0</v>
      </c>
      <c r="N58" s="64">
        <f t="shared" si="209"/>
        <v>0</v>
      </c>
      <c r="O58" s="28">
        <f t="shared" si="209"/>
        <v>0</v>
      </c>
      <c r="P58" s="28">
        <f t="shared" si="209"/>
        <v>0</v>
      </c>
      <c r="Q58" s="28">
        <f t="shared" si="209"/>
        <v>0</v>
      </c>
      <c r="R58" s="28">
        <f t="shared" si="209"/>
        <v>0</v>
      </c>
      <c r="S58" s="28">
        <f t="shared" si="209"/>
        <v>1.0640394088669951E-2</v>
      </c>
      <c r="T58" s="28">
        <f t="shared" si="209"/>
        <v>1.5546798029556651E-2</v>
      </c>
      <c r="U58" s="28">
        <f t="shared" si="209"/>
        <v>2.8480788177339903E-2</v>
      </c>
      <c r="V58" s="28">
        <f t="shared" si="209"/>
        <v>3.712665571975917E-2</v>
      </c>
      <c r="W58" s="28">
        <f t="shared" si="209"/>
        <v>5.0091472359058566E-2</v>
      </c>
      <c r="X58" s="28">
        <f t="shared" si="209"/>
        <v>7.8190607553366182E-2</v>
      </c>
      <c r="Y58" s="28">
        <f t="shared" si="209"/>
        <v>9.0715413956509949E-2</v>
      </c>
      <c r="Z58" s="28">
        <f t="shared" si="209"/>
        <v>0.10745476612941796</v>
      </c>
      <c r="AA58" s="28">
        <f t="shared" si="209"/>
        <v>0.12754312286774436</v>
      </c>
      <c r="AB58" s="28">
        <f t="shared" si="209"/>
        <v>0.16211811564398107</v>
      </c>
      <c r="AC58" s="28">
        <f t="shared" si="209"/>
        <v>0.19573400214421222</v>
      </c>
      <c r="AD58" s="28">
        <f t="shared" si="209"/>
        <v>0.22375707773367132</v>
      </c>
      <c r="AE58" s="28">
        <f t="shared" si="209"/>
        <v>0.2726243533086623</v>
      </c>
      <c r="AF58" s="28">
        <f t="shared" si="209"/>
        <v>0.29726693757413347</v>
      </c>
      <c r="AG58" s="28">
        <f t="shared" si="209"/>
        <v>0.31094027149321268</v>
      </c>
      <c r="AH58" s="28">
        <f t="shared" si="209"/>
        <v>0.32849290076000531</v>
      </c>
      <c r="AI58" s="28">
        <f>+SUMPRODUCT($G$59:$G$71,AI59:AI71)</f>
        <v>0.32849290076000531</v>
      </c>
      <c r="AJ58" s="28">
        <f>+SUMPRODUCT($G$59:$G$71,AJ59:AJ71)</f>
        <v>0.32849290076000531</v>
      </c>
      <c r="AK58" s="28">
        <f t="shared" si="209"/>
        <v>0.33318430347493744</v>
      </c>
      <c r="AL58" s="28">
        <f t="shared" si="209"/>
        <v>0.34159041866186357</v>
      </c>
      <c r="AM58" s="28">
        <f t="shared" si="209"/>
        <v>0.36162118789263281</v>
      </c>
      <c r="AN58" s="28">
        <f t="shared" si="209"/>
        <v>0.38770643379427211</v>
      </c>
      <c r="AO58" s="28">
        <f t="shared" si="209"/>
        <v>0.4261064337942721</v>
      </c>
      <c r="AP58" s="28">
        <f t="shared" si="209"/>
        <v>0.46322819278913219</v>
      </c>
      <c r="AQ58" s="28">
        <f t="shared" si="209"/>
        <v>0.47906936925972043</v>
      </c>
      <c r="AR58" s="28">
        <f t="shared" si="209"/>
        <v>0.48471217908267877</v>
      </c>
      <c r="AS58" s="28">
        <f t="shared" si="209"/>
        <v>0.48574982614150231</v>
      </c>
      <c r="AT58" s="28">
        <f t="shared" si="209"/>
        <v>0.49184622320032578</v>
      </c>
      <c r="AU58" s="28">
        <f t="shared" si="209"/>
        <v>0.50935492418071793</v>
      </c>
      <c r="AV58" s="28">
        <f t="shared" si="209"/>
        <v>0.53979186111765487</v>
      </c>
      <c r="AW58" s="28">
        <f t="shared" si="209"/>
        <v>0.55011808782980398</v>
      </c>
      <c r="AX58" s="28">
        <f t="shared" si="209"/>
        <v>0.57273892225646361</v>
      </c>
      <c r="AY58" s="28">
        <f t="shared" si="209"/>
        <v>0.57273892225646361</v>
      </c>
      <c r="AZ58" s="28">
        <f t="shared" si="209"/>
        <v>0.58748131270516468</v>
      </c>
      <c r="BA58" s="28">
        <f t="shared" si="209"/>
        <v>0.6100391715348682</v>
      </c>
      <c r="BB58" s="28">
        <f t="shared" si="209"/>
        <v>0.61544834099894219</v>
      </c>
      <c r="BC58" s="28">
        <f t="shared" ref="BC58:CE58" si="210">+SUMPRODUCT($G$59:$G$71,BC59:BC71)</f>
        <v>0.62078178209051926</v>
      </c>
      <c r="BD58" s="28">
        <f t="shared" si="210"/>
        <v>0.62828008335567398</v>
      </c>
      <c r="BE58" s="28">
        <f t="shared" si="210"/>
        <v>0.63577621976065501</v>
      </c>
      <c r="BF58" s="28">
        <f t="shared" si="210"/>
        <v>0.64327235616563616</v>
      </c>
      <c r="BG58" s="28">
        <f t="shared" si="210"/>
        <v>0.65116849257061704</v>
      </c>
      <c r="BH58" s="28">
        <f t="shared" si="210"/>
        <v>0.65906782897559812</v>
      </c>
      <c r="BI58" s="28">
        <f t="shared" si="210"/>
        <v>0.66696716538057921</v>
      </c>
      <c r="BJ58" s="28">
        <f t="shared" si="210"/>
        <v>0.68083442827654517</v>
      </c>
      <c r="BK58" s="28">
        <f t="shared" si="210"/>
        <v>0.69474639089511836</v>
      </c>
      <c r="BL58" s="28">
        <f t="shared" si="210"/>
        <v>0.70865835351369177</v>
      </c>
      <c r="BM58" s="28">
        <f t="shared" si="210"/>
        <v>0.72257031613226497</v>
      </c>
      <c r="BN58" s="28">
        <f t="shared" si="210"/>
        <v>0.73648227875083827</v>
      </c>
      <c r="BO58" s="28">
        <f t="shared" si="210"/>
        <v>0.75039424136941157</v>
      </c>
      <c r="BP58" s="28">
        <f t="shared" si="210"/>
        <v>0.76430620398798488</v>
      </c>
      <c r="BQ58" s="28">
        <f t="shared" si="210"/>
        <v>0.77821816660655818</v>
      </c>
      <c r="BR58" s="28">
        <f t="shared" si="210"/>
        <v>0.79573012922513142</v>
      </c>
      <c r="BS58" s="28">
        <f t="shared" si="210"/>
        <v>0.81324209184370488</v>
      </c>
      <c r="BT58" s="28">
        <f t="shared" si="210"/>
        <v>0.83075405446227801</v>
      </c>
      <c r="BU58" s="28">
        <f t="shared" si="210"/>
        <v>0.84866601708085143</v>
      </c>
      <c r="BV58" s="28">
        <f t="shared" si="210"/>
        <v>0.8663365136800073</v>
      </c>
      <c r="BW58" s="28">
        <f t="shared" si="210"/>
        <v>0.88039585008498822</v>
      </c>
      <c r="BX58" s="28">
        <f t="shared" si="210"/>
        <v>0.89445518648996925</v>
      </c>
      <c r="BY58" s="28">
        <f t="shared" si="210"/>
        <v>0.90851452289495038</v>
      </c>
      <c r="BZ58" s="28">
        <f t="shared" si="210"/>
        <v>0.92257385929993163</v>
      </c>
      <c r="CA58" s="28">
        <f t="shared" si="210"/>
        <v>0.93663319570491255</v>
      </c>
      <c r="CB58" s="28">
        <f t="shared" si="210"/>
        <v>0.95069253210989357</v>
      </c>
      <c r="CC58" s="28">
        <f t="shared" si="210"/>
        <v>0.96875186851487471</v>
      </c>
      <c r="CD58" s="28">
        <f t="shared" si="210"/>
        <v>0.98799999999999999</v>
      </c>
      <c r="CE58" s="28">
        <f t="shared" si="210"/>
        <v>0.99199999999999999</v>
      </c>
      <c r="CF58" s="28">
        <f t="shared" ref="CF58:CI58" si="211">+SUMPRODUCT($G$59:$G$71,CF59:CF71)</f>
        <v>0.996</v>
      </c>
      <c r="CG58" s="28">
        <f t="shared" si="211"/>
        <v>1</v>
      </c>
      <c r="CH58" s="28">
        <f t="shared" si="211"/>
        <v>1</v>
      </c>
      <c r="CI58" s="28">
        <f t="shared" si="211"/>
        <v>1</v>
      </c>
      <c r="CJ58" s="28">
        <f t="shared" ref="CJ58:CK58" si="212">+SUMPRODUCT($G$59:$G$71,CJ59:CJ71)</f>
        <v>1</v>
      </c>
      <c r="CK58" s="28">
        <f t="shared" si="212"/>
        <v>1</v>
      </c>
      <c r="CL58" s="28">
        <f t="shared" ref="CL58" si="213">+SUMPRODUCT($G$59:$G$71,CL59:CL71)</f>
        <v>1</v>
      </c>
      <c r="CM58" s="28">
        <f t="shared" ref="CM58:CV58" si="214">+SUMPRODUCT($G$59:$G$71,CM59:CM71)</f>
        <v>1</v>
      </c>
      <c r="CN58" s="28">
        <f t="shared" si="214"/>
        <v>1</v>
      </c>
      <c r="CO58" s="28">
        <f t="shared" si="214"/>
        <v>1</v>
      </c>
      <c r="CP58" s="28">
        <f t="shared" si="214"/>
        <v>1</v>
      </c>
      <c r="CQ58" s="28">
        <f t="shared" si="214"/>
        <v>1</v>
      </c>
      <c r="CR58" s="28">
        <f t="shared" si="214"/>
        <v>1</v>
      </c>
      <c r="CS58" s="28">
        <f t="shared" si="214"/>
        <v>1</v>
      </c>
      <c r="CT58" s="28">
        <f t="shared" si="214"/>
        <v>1</v>
      </c>
      <c r="CU58" s="28">
        <f t="shared" si="214"/>
        <v>1</v>
      </c>
      <c r="CV58" s="28">
        <f t="shared" si="214"/>
        <v>1</v>
      </c>
      <c r="CW58" s="28">
        <f t="shared" ref="CW58" si="215">+SUMPRODUCT($G$59:$G$71,CW59:CW71)</f>
        <v>1</v>
      </c>
      <c r="CX58" s="28">
        <f t="shared" ref="CX58:CY58" si="216">+SUMPRODUCT($G$59:$G$71,CX59:CX71)</f>
        <v>1</v>
      </c>
      <c r="CY58" s="28">
        <f t="shared" si="216"/>
        <v>1</v>
      </c>
      <c r="CZ58" s="28">
        <f t="shared" ref="CZ58:DA58" si="217">+SUMPRODUCT($G$59:$G$71,CZ59:CZ71)</f>
        <v>1</v>
      </c>
      <c r="DA58" s="28">
        <f t="shared" si="217"/>
        <v>1</v>
      </c>
      <c r="DB58" s="28">
        <f t="shared" ref="DB58:DC58" si="218">+SUMPRODUCT($G$59:$G$71,DB59:DB71)</f>
        <v>1</v>
      </c>
      <c r="DC58" s="28">
        <f t="shared" si="218"/>
        <v>1</v>
      </c>
      <c r="DD58" s="28">
        <f t="shared" ref="DD58:DE58" si="219">+SUMPRODUCT($G$59:$G$71,DD59:DD71)</f>
        <v>1</v>
      </c>
      <c r="DE58" s="28">
        <f t="shared" si="219"/>
        <v>1</v>
      </c>
      <c r="DF58" s="28">
        <f t="shared" ref="DF58" si="220">+SUMPRODUCT($G$59:$G$71,DF59:DF71)</f>
        <v>1</v>
      </c>
      <c r="DG58" s="28">
        <f t="shared" ref="DG58:DJ58" si="221">+SUMPRODUCT($G$59:$G$71,DG59:DG71)</f>
        <v>1</v>
      </c>
      <c r="DH58" s="28">
        <f t="shared" si="221"/>
        <v>1</v>
      </c>
      <c r="DI58" s="28">
        <f t="shared" si="221"/>
        <v>1</v>
      </c>
      <c r="DJ58" s="28">
        <f t="shared" si="221"/>
        <v>1</v>
      </c>
      <c r="DK58" s="28">
        <f t="shared" ref="DK58:EI58" si="222">+SUMPRODUCT($G$59:$G$71,DK59:DK71)</f>
        <v>1</v>
      </c>
      <c r="DL58" s="28">
        <f t="shared" si="222"/>
        <v>1</v>
      </c>
      <c r="DM58" s="28">
        <f t="shared" si="222"/>
        <v>1</v>
      </c>
      <c r="DN58" s="28">
        <f t="shared" si="222"/>
        <v>1</v>
      </c>
      <c r="DO58" s="28">
        <f t="shared" si="222"/>
        <v>1</v>
      </c>
      <c r="DP58" s="28">
        <f t="shared" si="222"/>
        <v>1</v>
      </c>
      <c r="DQ58" s="28">
        <f t="shared" si="222"/>
        <v>1</v>
      </c>
      <c r="DR58" s="28">
        <f t="shared" si="222"/>
        <v>1</v>
      </c>
      <c r="DS58" s="28">
        <f t="shared" si="222"/>
        <v>1</v>
      </c>
      <c r="DT58" s="28">
        <f t="shared" si="222"/>
        <v>1</v>
      </c>
      <c r="DU58" s="28">
        <f t="shared" si="222"/>
        <v>1</v>
      </c>
      <c r="DV58" s="28">
        <f t="shared" si="222"/>
        <v>1</v>
      </c>
      <c r="DW58" s="28">
        <f t="shared" si="222"/>
        <v>1</v>
      </c>
      <c r="DX58" s="28">
        <f t="shared" si="222"/>
        <v>1</v>
      </c>
      <c r="DY58" s="28">
        <f t="shared" si="222"/>
        <v>1</v>
      </c>
      <c r="DZ58" s="28">
        <f t="shared" si="222"/>
        <v>1</v>
      </c>
      <c r="EA58" s="28">
        <f t="shared" si="222"/>
        <v>1</v>
      </c>
      <c r="EB58" s="28">
        <f t="shared" si="222"/>
        <v>1</v>
      </c>
      <c r="EC58" s="28">
        <f t="shared" si="222"/>
        <v>1</v>
      </c>
      <c r="ED58" s="28">
        <f t="shared" si="222"/>
        <v>1</v>
      </c>
      <c r="EE58" s="28">
        <f t="shared" si="222"/>
        <v>1</v>
      </c>
      <c r="EF58" s="28">
        <f t="shared" si="222"/>
        <v>1</v>
      </c>
      <c r="EG58" s="28">
        <f t="shared" si="222"/>
        <v>1</v>
      </c>
      <c r="EH58" s="28">
        <f t="shared" si="222"/>
        <v>1</v>
      </c>
      <c r="EI58" s="28">
        <f t="shared" si="222"/>
        <v>1</v>
      </c>
    </row>
    <row r="59" spans="2:139" hidden="1" outlineLevel="3" x14ac:dyDescent="0.3">
      <c r="B59" s="29"/>
      <c r="C59" s="30"/>
      <c r="D59" s="65"/>
      <c r="E59" s="52" t="s">
        <v>64</v>
      </c>
      <c r="F59" s="33">
        <v>30</v>
      </c>
      <c r="G59" s="35">
        <v>0.06</v>
      </c>
      <c r="H59" s="53"/>
      <c r="I59" s="126">
        <v>0</v>
      </c>
      <c r="J59" s="127">
        <v>0</v>
      </c>
      <c r="K59" s="127">
        <v>0</v>
      </c>
      <c r="L59" s="127">
        <v>0</v>
      </c>
      <c r="M59" s="128">
        <v>0</v>
      </c>
      <c r="N59" s="128">
        <v>0</v>
      </c>
      <c r="O59" s="127">
        <v>0</v>
      </c>
      <c r="P59" s="127">
        <v>0</v>
      </c>
      <c r="Q59" s="127">
        <v>0</v>
      </c>
      <c r="R59" s="127">
        <v>0</v>
      </c>
      <c r="S59" s="127">
        <v>0</v>
      </c>
      <c r="T59" s="127">
        <v>0</v>
      </c>
      <c r="U59" s="127">
        <v>0</v>
      </c>
      <c r="V59" s="127">
        <v>0</v>
      </c>
      <c r="W59" s="127">
        <v>0</v>
      </c>
      <c r="X59" s="127">
        <v>0</v>
      </c>
      <c r="Y59" s="127">
        <v>4.7785194174757278E-3</v>
      </c>
      <c r="Z59" s="127">
        <v>4.8847087378640783E-2</v>
      </c>
      <c r="AA59" s="127">
        <v>0.12238319174757284</v>
      </c>
      <c r="AB59" s="127">
        <v>0.16990291262135923</v>
      </c>
      <c r="AC59" s="127">
        <v>0.21140776699029126</v>
      </c>
      <c r="AD59" s="127">
        <v>0.24253640776699031</v>
      </c>
      <c r="AE59" s="127">
        <v>0.33592233009708738</v>
      </c>
      <c r="AF59" s="127">
        <v>0.46043689320388348</v>
      </c>
      <c r="AG59" s="127">
        <v>0.6</v>
      </c>
      <c r="AH59" s="127">
        <v>0.82014563106796112</v>
      </c>
      <c r="AI59" s="127">
        <v>0.82014563106796112</v>
      </c>
      <c r="AJ59" s="127">
        <v>0.82014563106796112</v>
      </c>
      <c r="AK59" s="127">
        <v>0.82014563106796112</v>
      </c>
      <c r="AL59" s="127">
        <v>0.83398058252427176</v>
      </c>
      <c r="AM59" s="127">
        <v>0.83398058252427176</v>
      </c>
      <c r="AN59" s="127">
        <v>0.83398058252427176</v>
      </c>
      <c r="AO59" s="127">
        <v>0.83398058252427176</v>
      </c>
      <c r="AP59" s="127">
        <v>0.91699029126213583</v>
      </c>
      <c r="AQ59" s="127">
        <v>0.91699029126213583</v>
      </c>
      <c r="AR59" s="127">
        <v>0.92621359223300959</v>
      </c>
      <c r="AS59" s="127">
        <v>0.92621359223300959</v>
      </c>
      <c r="AT59" s="127">
        <v>0.92621359223300959</v>
      </c>
      <c r="AU59" s="127">
        <v>0.92621359223300959</v>
      </c>
      <c r="AV59" s="127">
        <v>0.92621359223300959</v>
      </c>
      <c r="AW59" s="127">
        <v>0.9469660194174756</v>
      </c>
      <c r="AX59" s="127">
        <v>0.9469660194174756</v>
      </c>
      <c r="AY59" s="127">
        <v>0.9469660194174756</v>
      </c>
      <c r="AZ59" s="127">
        <v>0.9492718446601941</v>
      </c>
      <c r="BA59" s="127">
        <v>0.9492718446601941</v>
      </c>
      <c r="BB59" s="127">
        <f>Planbase100[[#This Row],[05/05/25]]+(1-Planbase100[[#This Row],[05/05/25]])*'Plan 39'!I31</f>
        <v>0.9492718446601941</v>
      </c>
      <c r="BC59" s="127">
        <f>Planbase100[[#This Row],[05/05/25]]+(1-Planbase100[[#This Row],[05/05/25]])*'Plan 39'!J31</f>
        <v>0.9492718446601941</v>
      </c>
      <c r="BD59" s="127">
        <f>Planbase100[[#This Row],[05/05/25]]+(1-Planbase100[[#This Row],[05/05/25]])*'Plan 39'!K31</f>
        <v>0.9492718446601941</v>
      </c>
      <c r="BE59" s="127">
        <f>Planbase100[[#This Row],[05/05/25]]+(1-Planbase100[[#This Row],[05/05/25]])*'Plan 39'!L31</f>
        <v>0.9492718446601941</v>
      </c>
      <c r="BF59" s="127">
        <f>Planbase100[[#This Row],[05/05/25]]+(1-Planbase100[[#This Row],[05/05/25]])*'Plan 39'!M31</f>
        <v>0.9492718446601941</v>
      </c>
      <c r="BG59" s="127">
        <f>Planbase100[[#This Row],[05/05/25]]+(1-Planbase100[[#This Row],[05/05/25]])*'Plan 39'!N31</f>
        <v>0.9492718446601941</v>
      </c>
      <c r="BH59" s="127">
        <f>Planbase100[[#This Row],[05/05/25]]+(1-Planbase100[[#This Row],[05/05/25]])*'Plan 39'!O31</f>
        <v>0.9492718446601941</v>
      </c>
      <c r="BI59" s="127">
        <f>Planbase100[[#This Row],[05/05/25]]+(1-Planbase100[[#This Row],[05/05/25]])*'Plan 39'!P31</f>
        <v>0.9492718446601941</v>
      </c>
      <c r="BJ59" s="127">
        <f>Planbase100[[#This Row],[05/05/25]]+(1-Planbase100[[#This Row],[05/05/25]])*'Plan 39'!Q31</f>
        <v>0.95349919093851121</v>
      </c>
      <c r="BK59" s="127">
        <f>Planbase100[[#This Row],[05/05/25]]+(1-Planbase100[[#This Row],[05/05/25]])*'Plan 39'!R31</f>
        <v>0.95770962783171509</v>
      </c>
      <c r="BL59" s="127">
        <f>Planbase100[[#This Row],[05/05/25]]+(1-Planbase100[[#This Row],[05/05/25]])*'Plan 39'!S31</f>
        <v>0.96192006472491909</v>
      </c>
      <c r="BM59" s="127">
        <f>Planbase100[[#This Row],[05/05/25]]+(1-Planbase100[[#This Row],[05/05/25]])*'Plan 39'!T31</f>
        <v>0.96613050161812297</v>
      </c>
      <c r="BN59" s="127">
        <f>Planbase100[[#This Row],[05/05/25]]+(1-Planbase100[[#This Row],[05/05/25]])*'Plan 39'!U31</f>
        <v>0.97034093851132686</v>
      </c>
      <c r="BO59" s="127">
        <f>Planbase100[[#This Row],[05/05/25]]+(1-Planbase100[[#This Row],[05/05/25]])*'Plan 39'!V31</f>
        <v>0.97455137540453074</v>
      </c>
      <c r="BP59" s="127">
        <f>Planbase100[[#This Row],[05/05/25]]+(1-Planbase100[[#This Row],[05/05/25]])*'Plan 39'!W31</f>
        <v>0.97876181229773462</v>
      </c>
      <c r="BQ59" s="127">
        <f>Planbase100[[#This Row],[05/05/25]]+(1-Planbase100[[#This Row],[05/05/25]])*'Plan 39'!X31</f>
        <v>0.98297224919093851</v>
      </c>
      <c r="BR59" s="127">
        <f>Planbase100[[#This Row],[05/05/25]]+(1-Planbase100[[#This Row],[05/05/25]])*'Plan 39'!Y31</f>
        <v>0.98718268608414239</v>
      </c>
      <c r="BS59" s="127">
        <f>Planbase100[[#This Row],[05/05/25]]+(1-Planbase100[[#This Row],[05/05/25]])*'Plan 39'!Z31</f>
        <v>0.99139312297734627</v>
      </c>
      <c r="BT59" s="127">
        <f>Planbase100[[#This Row],[05/05/25]]+(1-Planbase100[[#This Row],[05/05/25]])*'Plan 39'!AA31</f>
        <v>0.99560355987055016</v>
      </c>
      <c r="BU59" s="127">
        <f>Planbase100[[#This Row],[05/05/25]]+(1-Planbase100[[#This Row],[05/05/25]])*'Plan 39'!AB31</f>
        <v>0.99981399676375404</v>
      </c>
      <c r="BV59" s="127">
        <f>Planbase100[[#This Row],[05/05/25]]+(1-Planbase100[[#This Row],[05/05/25]])*'Plan 39'!AC31</f>
        <v>1</v>
      </c>
      <c r="BW59" s="127">
        <f>Planbase100[[#This Row],[05/05/25]]+(1-Planbase100[[#This Row],[05/05/25]])*'Plan 39'!AD31</f>
        <v>1</v>
      </c>
      <c r="BX59" s="127">
        <f>Planbase100[[#This Row],[05/05/25]]+(1-Planbase100[[#This Row],[05/05/25]])*'Plan 39'!AE31</f>
        <v>1</v>
      </c>
      <c r="BY59" s="127">
        <f>Planbase100[[#This Row],[05/05/25]]+(1-Planbase100[[#This Row],[05/05/25]])*'Plan 39'!AF31</f>
        <v>1</v>
      </c>
      <c r="BZ59" s="127">
        <f>Planbase100[[#This Row],[05/05/25]]+(1-Planbase100[[#This Row],[05/05/25]])*'Plan 39'!AG31</f>
        <v>1</v>
      </c>
      <c r="CA59" s="127">
        <f>Planbase100[[#This Row],[05/05/25]]+(1-Planbase100[[#This Row],[05/05/25]])*'Plan 39'!AH31</f>
        <v>1</v>
      </c>
      <c r="CB59" s="127">
        <f>Planbase100[[#This Row],[05/05/25]]+(1-Planbase100[[#This Row],[05/05/25]])*'Plan 39'!AI31</f>
        <v>1</v>
      </c>
      <c r="CC59" s="127">
        <f>Planbase100[[#This Row],[05/05/25]]+(1-Planbase100[[#This Row],[05/05/25]])*'Plan 39'!AJ31</f>
        <v>1</v>
      </c>
      <c r="CD59" s="127">
        <f>Planbase100[[#This Row],[05/05/25]]+(1-Planbase100[[#This Row],[05/05/25]])*'Plan 39'!AK31</f>
        <v>1</v>
      </c>
      <c r="CE59" s="127">
        <f>Planbase100[[#This Row],[05/05/25]]+(1-Planbase100[[#This Row],[05/05/25]])*'Plan 39'!AL31</f>
        <v>1</v>
      </c>
      <c r="CF59" s="127">
        <f>Planbase100[[#This Row],[05/05/25]]+(1-Planbase100[[#This Row],[05/05/25]])*'Plan 39'!AM31</f>
        <v>1</v>
      </c>
      <c r="CG59" s="127">
        <f>Planbase100[[#This Row],[05/05/25]]+(1-Planbase100[[#This Row],[05/05/25]])*'Plan 39'!AN31</f>
        <v>1</v>
      </c>
      <c r="CH59" s="127">
        <f>Planbase100[[#This Row],[05/05/25]]+(1-Planbase100[[#This Row],[05/05/25]])*'Plan 39'!AO31</f>
        <v>1</v>
      </c>
      <c r="CI59" s="127">
        <f>Planbase100[[#This Row],[05/05/25]]+(1-Planbase100[[#This Row],[05/05/25]])*'Plan 39'!AP31</f>
        <v>1</v>
      </c>
      <c r="CJ59" s="127">
        <f>Planbase100[[#This Row],[05/05/25]]+(1-Planbase100[[#This Row],[05/05/25]])*'Plan 39'!AQ31</f>
        <v>1</v>
      </c>
      <c r="CK59" s="127">
        <f>Planbase100[[#This Row],[05/05/25]]+(1-Planbase100[[#This Row],[05/05/25]])*'Plan 39'!AR31</f>
        <v>1</v>
      </c>
      <c r="CL59" s="127">
        <f>Planbase100[[#This Row],[05/05/25]]+(1-Planbase100[[#This Row],[05/05/25]])*'Plan 39'!AS31</f>
        <v>1</v>
      </c>
      <c r="CM59" s="127">
        <f>Planbase100[[#This Row],[05/05/25]]+(1-Planbase100[[#This Row],[05/05/25]])*'Plan 39'!AT31</f>
        <v>1</v>
      </c>
      <c r="CN59" s="127">
        <f>Planbase100[[#This Row],[05/05/25]]+(1-Planbase100[[#This Row],[05/05/25]])*'Plan 39'!AU31</f>
        <v>1</v>
      </c>
      <c r="CO59" s="127">
        <f>Planbase100[[#This Row],[05/05/25]]+(1-Planbase100[[#This Row],[05/05/25]])*'Plan 39'!AV31</f>
        <v>1</v>
      </c>
      <c r="CP59" s="127">
        <f>Planbase100[[#This Row],[05/05/25]]+(1-Planbase100[[#This Row],[05/05/25]])*'Plan 39'!AW31</f>
        <v>1</v>
      </c>
      <c r="CQ59" s="127">
        <f>Planbase100[[#This Row],[05/05/25]]+(1-Planbase100[[#This Row],[05/05/25]])*'Plan 39'!AX31</f>
        <v>1</v>
      </c>
      <c r="CR59" s="127">
        <f>Planbase100[[#This Row],[05/05/25]]+(1-Planbase100[[#This Row],[05/05/25]])*'Plan 39'!AY31</f>
        <v>1</v>
      </c>
      <c r="CS59" s="127">
        <f>Planbase100[[#This Row],[05/05/25]]+(1-Planbase100[[#This Row],[05/05/25]])*'Plan 39'!AZ31</f>
        <v>1</v>
      </c>
      <c r="CT59" s="127">
        <f>Planbase100[[#This Row],[05/05/25]]+(1-Planbase100[[#This Row],[05/05/25]])*'Plan 39'!BA31</f>
        <v>1</v>
      </c>
      <c r="CU59" s="127">
        <f>Planbase100[[#This Row],[05/05/25]]+(1-Planbase100[[#This Row],[05/05/25]])*'Plan 39'!BB31</f>
        <v>1</v>
      </c>
      <c r="CV59" s="127">
        <f>Planbase100[[#This Row],[05/05/25]]+(1-Planbase100[[#This Row],[05/05/25]])*'Plan 39'!BC31</f>
        <v>1</v>
      </c>
      <c r="CW59" s="127">
        <f>Planbase100[[#This Row],[05/05/25]]+(1-Planbase100[[#This Row],[05/05/25]])*'Plan 39'!BD31</f>
        <v>1</v>
      </c>
      <c r="CX59" s="127">
        <f>Planbase100[[#This Row],[05/05/25]]+(1-Planbase100[[#This Row],[05/05/25]])*'Plan 39'!BE31</f>
        <v>1</v>
      </c>
      <c r="CY59" s="127">
        <f>Planbase100[[#This Row],[05/05/25]]+(1-Planbase100[[#This Row],[05/05/25]])*'Plan 39'!BF31</f>
        <v>1</v>
      </c>
      <c r="CZ59" s="127">
        <f>Planbase100[[#This Row],[05/05/25]]+(1-Planbase100[[#This Row],[05/05/25]])*'Plan 39'!BG31</f>
        <v>1</v>
      </c>
      <c r="DA59" s="127">
        <f>Planbase100[[#This Row],[05/05/25]]+(1-Planbase100[[#This Row],[05/05/25]])*'Plan 39'!BH31</f>
        <v>1</v>
      </c>
      <c r="DB59" s="127">
        <f>Planbase100[[#This Row],[05/05/25]]+(1-Planbase100[[#This Row],[05/05/25]])*'Plan 39'!BI31</f>
        <v>1</v>
      </c>
      <c r="DC59" s="127">
        <f>Planbase100[[#This Row],[05/05/25]]+(1-Planbase100[[#This Row],[05/05/25]])*'Plan 39'!BJ31</f>
        <v>1</v>
      </c>
      <c r="DD59" s="127">
        <f>Planbase100[[#This Row],[05/05/25]]+(1-Planbase100[[#This Row],[05/05/25]])*'Plan 39'!BK31</f>
        <v>1</v>
      </c>
      <c r="DE59" s="127">
        <f>Planbase100[[#This Row],[05/05/25]]+(1-Planbase100[[#This Row],[05/05/25]])*'Plan 39'!BL31</f>
        <v>1</v>
      </c>
      <c r="DF59" s="127">
        <f>Planbase100[[#This Row],[05/05/25]]+(1-Planbase100[[#This Row],[05/05/25]])*'Plan 39'!BM31</f>
        <v>1</v>
      </c>
      <c r="DG59" s="127">
        <f>Planbase100[[#This Row],[05/05/25]]+(1-Planbase100[[#This Row],[05/05/25]])*'Plan 39'!BN31</f>
        <v>1</v>
      </c>
      <c r="DH59" s="127">
        <f>Planbase100[[#This Row],[05/05/25]]+(1-Planbase100[[#This Row],[05/05/25]])*'Plan 39'!BO31</f>
        <v>1</v>
      </c>
      <c r="DI59" s="127">
        <f>Planbase100[[#This Row],[05/05/25]]+(1-Planbase100[[#This Row],[05/05/25]])*'Plan 39'!BP31</f>
        <v>1</v>
      </c>
      <c r="DJ59" s="127">
        <f>Planbase100[[#This Row],[05/05/25]]+(1-Planbase100[[#This Row],[05/05/25]])*'Plan 39'!BQ31</f>
        <v>1</v>
      </c>
      <c r="DK59" s="127">
        <f>Planbase100[[#This Row],[05/05/25]]+(1-Planbase100[[#This Row],[05/05/25]])*'Plan 39'!BR31</f>
        <v>1</v>
      </c>
      <c r="DL59" s="127">
        <f>Planbase100[[#This Row],[05/05/25]]+(1-Planbase100[[#This Row],[05/05/25]])*'Plan 39'!BS31</f>
        <v>1</v>
      </c>
      <c r="DM59" s="127">
        <f>Planbase100[[#This Row],[05/05/25]]+(1-Planbase100[[#This Row],[05/05/25]])*'Plan 39'!BT31</f>
        <v>1</v>
      </c>
      <c r="DN59" s="127">
        <f>Planbase100[[#This Row],[05/05/25]]+(1-Planbase100[[#This Row],[05/05/25]])*'Plan 39'!BU31</f>
        <v>1</v>
      </c>
      <c r="DO59" s="127">
        <f>Planbase100[[#This Row],[05/05/25]]+(1-Planbase100[[#This Row],[05/05/25]])*'Plan 39'!BV31</f>
        <v>1</v>
      </c>
      <c r="DP59" s="127">
        <f>Planbase100[[#This Row],[05/05/25]]+(1-Planbase100[[#This Row],[05/05/25]])*'Plan 39'!BW31</f>
        <v>1</v>
      </c>
      <c r="DQ59" s="127">
        <f>Planbase100[[#This Row],[05/05/25]]+(1-Planbase100[[#This Row],[05/05/25]])*'Plan 39'!BX31</f>
        <v>1</v>
      </c>
      <c r="DR59" s="127">
        <f>Planbase100[[#This Row],[05/05/25]]+(1-Planbase100[[#This Row],[05/05/25]])*'Plan 39'!BY31</f>
        <v>1</v>
      </c>
      <c r="DS59" s="127">
        <f>Planbase100[[#This Row],[05/05/25]]+(1-Planbase100[[#This Row],[05/05/25]])*'Plan 39'!BZ31</f>
        <v>1</v>
      </c>
      <c r="DT59" s="127">
        <f>Planbase100[[#This Row],[05/05/25]]+(1-Planbase100[[#This Row],[05/05/25]])*'Plan 39'!CA31</f>
        <v>1</v>
      </c>
      <c r="DU59" s="127">
        <f>Planbase100[[#This Row],[05/05/25]]+(1-Planbase100[[#This Row],[05/05/25]])*'Plan 39'!CB31</f>
        <v>1</v>
      </c>
      <c r="DV59" s="127">
        <f>Planbase100[[#This Row],[05/05/25]]+(1-Planbase100[[#This Row],[05/05/25]])*'Plan 39'!CC31</f>
        <v>1</v>
      </c>
      <c r="DW59" s="127">
        <f>Planbase100[[#This Row],[05/05/25]]+(1-Planbase100[[#This Row],[05/05/25]])*'Plan 39'!CD31</f>
        <v>1</v>
      </c>
      <c r="DX59" s="127">
        <f>Planbase100[[#This Row],[05/05/25]]+(1-Planbase100[[#This Row],[05/05/25]])*'Plan 39'!CE31</f>
        <v>1</v>
      </c>
      <c r="DY59" s="127">
        <f>Planbase100[[#This Row],[05/05/25]]+(1-Planbase100[[#This Row],[05/05/25]])*'Plan 39'!CF31</f>
        <v>1</v>
      </c>
      <c r="DZ59" s="127">
        <f>Planbase100[[#This Row],[05/05/25]]+(1-Planbase100[[#This Row],[05/05/25]])*'Plan 39'!CG31</f>
        <v>1</v>
      </c>
      <c r="EA59" s="127">
        <f>Planbase100[[#This Row],[05/05/25]]+(1-Planbase100[[#This Row],[05/05/25]])*'Plan 39'!CH31</f>
        <v>1</v>
      </c>
      <c r="EB59" s="127">
        <f>Planbase100[[#This Row],[05/05/25]]+(1-Planbase100[[#This Row],[05/05/25]])*'Plan 39'!CI31</f>
        <v>1</v>
      </c>
      <c r="EC59" s="127">
        <f>Planbase100[[#This Row],[05/05/25]]+(1-Planbase100[[#This Row],[05/05/25]])*'Plan 39'!CJ31</f>
        <v>1</v>
      </c>
      <c r="ED59" s="127">
        <f>Planbase100[[#This Row],[05/05/25]]+(1-Planbase100[[#This Row],[05/05/25]])*'Plan 39'!CK31</f>
        <v>1</v>
      </c>
      <c r="EE59" s="127">
        <f>Planbase100[[#This Row],[05/05/25]]+(1-Planbase100[[#This Row],[05/05/25]])*'Plan 39'!CL31</f>
        <v>1</v>
      </c>
      <c r="EF59" s="127">
        <f>Planbase100[[#This Row],[05/05/25]]+(1-Planbase100[[#This Row],[05/05/25]])*'Plan 39'!CM31</f>
        <v>1</v>
      </c>
      <c r="EG59" s="127">
        <f>Planbase100[[#This Row],[05/05/25]]+(1-Planbase100[[#This Row],[05/05/25]])*'Plan 39'!CN31</f>
        <v>1</v>
      </c>
      <c r="EH59" s="127">
        <f>Planbase100[[#This Row],[05/05/25]]+(1-Planbase100[[#This Row],[05/05/25]])*'Plan 39'!CO31</f>
        <v>1</v>
      </c>
      <c r="EI59" s="127">
        <f>Planbase100[[#This Row],[05/05/25]]+(1-Planbase100[[#This Row],[05/05/25]])*'Plan 39'!CP31</f>
        <v>1</v>
      </c>
    </row>
    <row r="60" spans="2:139" hidden="1" outlineLevel="3" x14ac:dyDescent="0.3">
      <c r="B60" s="29"/>
      <c r="C60" s="30"/>
      <c r="D60" s="65"/>
      <c r="E60" s="52" t="s">
        <v>65</v>
      </c>
      <c r="F60" s="33">
        <v>10</v>
      </c>
      <c r="G60" s="35">
        <v>0.02</v>
      </c>
      <c r="H60" s="53"/>
      <c r="I60" s="126">
        <v>0</v>
      </c>
      <c r="J60" s="127">
        <v>0</v>
      </c>
      <c r="K60" s="127">
        <v>0</v>
      </c>
      <c r="L60" s="127">
        <v>0</v>
      </c>
      <c r="M60" s="128">
        <v>0</v>
      </c>
      <c r="N60" s="128">
        <v>0</v>
      </c>
      <c r="O60" s="127">
        <v>0</v>
      </c>
      <c r="P60" s="127">
        <v>0</v>
      </c>
      <c r="Q60" s="127">
        <v>0</v>
      </c>
      <c r="R60" s="127">
        <v>0</v>
      </c>
      <c r="S60" s="127">
        <v>0</v>
      </c>
      <c r="T60" s="127">
        <v>0</v>
      </c>
      <c r="U60" s="127">
        <v>0</v>
      </c>
      <c r="V60" s="127">
        <v>0</v>
      </c>
      <c r="W60" s="127">
        <v>0</v>
      </c>
      <c r="X60" s="127">
        <v>0</v>
      </c>
      <c r="Y60" s="127">
        <v>0</v>
      </c>
      <c r="Z60" s="127">
        <v>0</v>
      </c>
      <c r="AA60" s="127">
        <v>0</v>
      </c>
      <c r="AB60" s="127">
        <v>0</v>
      </c>
      <c r="AC60" s="127">
        <v>0</v>
      </c>
      <c r="AD60" s="127">
        <v>0</v>
      </c>
      <c r="AE60" s="127">
        <v>0</v>
      </c>
      <c r="AF60" s="127">
        <v>0</v>
      </c>
      <c r="AG60" s="127">
        <v>0</v>
      </c>
      <c r="AH60" s="127">
        <v>0</v>
      </c>
      <c r="AI60" s="127">
        <v>0</v>
      </c>
      <c r="AJ60" s="127">
        <v>0</v>
      </c>
      <c r="AK60" s="127">
        <v>0</v>
      </c>
      <c r="AL60" s="127">
        <v>0</v>
      </c>
      <c r="AM60" s="127">
        <v>0</v>
      </c>
      <c r="AN60" s="127">
        <v>0</v>
      </c>
      <c r="AO60" s="127">
        <v>0</v>
      </c>
      <c r="AP60" s="127">
        <v>0</v>
      </c>
      <c r="AQ60" s="127">
        <v>0</v>
      </c>
      <c r="AR60" s="127">
        <v>0</v>
      </c>
      <c r="AS60" s="127">
        <v>0</v>
      </c>
      <c r="AT60" s="127">
        <v>0</v>
      </c>
      <c r="AU60" s="127">
        <v>0</v>
      </c>
      <c r="AV60" s="127">
        <v>0</v>
      </c>
      <c r="AW60" s="127">
        <v>0</v>
      </c>
      <c r="AX60" s="127">
        <v>0</v>
      </c>
      <c r="AY60" s="127">
        <v>0</v>
      </c>
      <c r="AZ60" s="127">
        <v>0</v>
      </c>
      <c r="BA60" s="127">
        <v>0</v>
      </c>
      <c r="BB60" s="127">
        <f>Planbase100[[#This Row],[05/05/25]]+(1-Planbase100[[#This Row],[05/05/25]])*'Plan 39'!I32</f>
        <v>0</v>
      </c>
      <c r="BC60" s="127">
        <f>Planbase100[[#This Row],[05/05/25]]+(1-Planbase100[[#This Row],[05/05/25]])*'Plan 39'!J32</f>
        <v>0</v>
      </c>
      <c r="BD60" s="127">
        <f>Planbase100[[#This Row],[05/05/25]]+(1-Planbase100[[#This Row],[05/05/25]])*'Plan 39'!K32</f>
        <v>0</v>
      </c>
      <c r="BE60" s="127">
        <f>Planbase100[[#This Row],[05/05/25]]+(1-Planbase100[[#This Row],[05/05/25]])*'Plan 39'!L32</f>
        <v>0</v>
      </c>
      <c r="BF60" s="127">
        <f>Planbase100[[#This Row],[05/05/25]]+(1-Planbase100[[#This Row],[05/05/25]])*'Plan 39'!M32</f>
        <v>0</v>
      </c>
      <c r="BG60" s="127">
        <f>Planbase100[[#This Row],[05/05/25]]+(1-Planbase100[[#This Row],[05/05/25]])*'Plan 39'!N32</f>
        <v>0</v>
      </c>
      <c r="BH60" s="127">
        <f>Planbase100[[#This Row],[05/05/25]]+(1-Planbase100[[#This Row],[05/05/25]])*'Plan 39'!O32</f>
        <v>0</v>
      </c>
      <c r="BI60" s="127">
        <f>Planbase100[[#This Row],[05/05/25]]+(1-Planbase100[[#This Row],[05/05/25]])*'Plan 39'!P32</f>
        <v>0</v>
      </c>
      <c r="BJ60" s="127">
        <f>Planbase100[[#This Row],[05/05/25]]+(1-Planbase100[[#This Row],[05/05/25]])*'Plan 39'!Q32</f>
        <v>0</v>
      </c>
      <c r="BK60" s="127">
        <f>Planbase100[[#This Row],[05/05/25]]+(1-Planbase100[[#This Row],[05/05/25]])*'Plan 39'!R32</f>
        <v>0</v>
      </c>
      <c r="BL60" s="127">
        <f>Planbase100[[#This Row],[05/05/25]]+(1-Planbase100[[#This Row],[05/05/25]])*'Plan 39'!S32</f>
        <v>0</v>
      </c>
      <c r="BM60" s="127">
        <f>Planbase100[[#This Row],[05/05/25]]+(1-Planbase100[[#This Row],[05/05/25]])*'Plan 39'!T32</f>
        <v>0</v>
      </c>
      <c r="BN60" s="127">
        <f>Planbase100[[#This Row],[05/05/25]]+(1-Planbase100[[#This Row],[05/05/25]])*'Plan 39'!U32</f>
        <v>0</v>
      </c>
      <c r="BO60" s="127">
        <f>Planbase100[[#This Row],[05/05/25]]+(1-Planbase100[[#This Row],[05/05/25]])*'Plan 39'!V32</f>
        <v>0</v>
      </c>
      <c r="BP60" s="127">
        <f>Planbase100[[#This Row],[05/05/25]]+(1-Planbase100[[#This Row],[05/05/25]])*'Plan 39'!W32</f>
        <v>0</v>
      </c>
      <c r="BQ60" s="127">
        <f>Planbase100[[#This Row],[05/05/25]]+(1-Planbase100[[#This Row],[05/05/25]])*'Plan 39'!X32</f>
        <v>0</v>
      </c>
      <c r="BR60" s="127">
        <f>Planbase100[[#This Row],[05/05/25]]+(1-Planbase100[[#This Row],[05/05/25]])*'Plan 39'!Y32</f>
        <v>0</v>
      </c>
      <c r="BS60" s="127">
        <f>Planbase100[[#This Row],[05/05/25]]+(1-Planbase100[[#This Row],[05/05/25]])*'Plan 39'!Z32</f>
        <v>0</v>
      </c>
      <c r="BT60" s="127">
        <f>Planbase100[[#This Row],[05/05/25]]+(1-Planbase100[[#This Row],[05/05/25]])*'Plan 39'!AA32</f>
        <v>0</v>
      </c>
      <c r="BU60" s="127">
        <f>Planbase100[[#This Row],[05/05/25]]+(1-Planbase100[[#This Row],[05/05/25]])*'Plan 39'!AB32</f>
        <v>0</v>
      </c>
      <c r="BV60" s="127">
        <f>Planbase100[[#This Row],[05/05/25]]+(1-Planbase100[[#This Row],[05/05/25]])*'Plan 39'!AC32</f>
        <v>0</v>
      </c>
      <c r="BW60" s="127">
        <f>Planbase100[[#This Row],[05/05/25]]+(1-Planbase100[[#This Row],[05/05/25]])*'Plan 39'!AD32</f>
        <v>0</v>
      </c>
      <c r="BX60" s="127">
        <f>Planbase100[[#This Row],[05/05/25]]+(1-Planbase100[[#This Row],[05/05/25]])*'Plan 39'!AE32</f>
        <v>0</v>
      </c>
      <c r="BY60" s="127">
        <f>Planbase100[[#This Row],[05/05/25]]+(1-Planbase100[[#This Row],[05/05/25]])*'Plan 39'!AF32</f>
        <v>0</v>
      </c>
      <c r="BZ60" s="127">
        <f>Planbase100[[#This Row],[05/05/25]]+(1-Planbase100[[#This Row],[05/05/25]])*'Plan 39'!AG32</f>
        <v>0</v>
      </c>
      <c r="CA60" s="127">
        <f>Planbase100[[#This Row],[05/05/25]]+(1-Planbase100[[#This Row],[05/05/25]])*'Plan 39'!AH32</f>
        <v>0</v>
      </c>
      <c r="CB60" s="127">
        <f>Planbase100[[#This Row],[05/05/25]]+(1-Planbase100[[#This Row],[05/05/25]])*'Plan 39'!AI32</f>
        <v>0</v>
      </c>
      <c r="CC60" s="127">
        <f>Planbase100[[#This Row],[05/05/25]]+(1-Planbase100[[#This Row],[05/05/25]])*'Plan 39'!AJ32</f>
        <v>0.2</v>
      </c>
      <c r="CD60" s="127">
        <f>Planbase100[[#This Row],[05/05/25]]+(1-Planbase100[[#This Row],[05/05/25]])*'Plan 39'!AK32</f>
        <v>0.4</v>
      </c>
      <c r="CE60" s="127">
        <f>Planbase100[[#This Row],[05/05/25]]+(1-Planbase100[[#This Row],[05/05/25]])*'Plan 39'!AL32</f>
        <v>0.6</v>
      </c>
      <c r="CF60" s="127">
        <f>Planbase100[[#This Row],[05/05/25]]+(1-Planbase100[[#This Row],[05/05/25]])*'Plan 39'!AM32</f>
        <v>0.8</v>
      </c>
      <c r="CG60" s="127">
        <f>Planbase100[[#This Row],[05/05/25]]+(1-Planbase100[[#This Row],[05/05/25]])*'Plan 39'!AN32</f>
        <v>1</v>
      </c>
      <c r="CH60" s="127">
        <f>Planbase100[[#This Row],[05/05/25]]+(1-Planbase100[[#This Row],[05/05/25]])*'Plan 39'!AO32</f>
        <v>1</v>
      </c>
      <c r="CI60" s="127">
        <f>Planbase100[[#This Row],[05/05/25]]+(1-Planbase100[[#This Row],[05/05/25]])*'Plan 39'!AP32</f>
        <v>1</v>
      </c>
      <c r="CJ60" s="127">
        <f>Planbase100[[#This Row],[05/05/25]]+(1-Planbase100[[#This Row],[05/05/25]])*'Plan 39'!AQ32</f>
        <v>1</v>
      </c>
      <c r="CK60" s="127">
        <f>Planbase100[[#This Row],[05/05/25]]+(1-Planbase100[[#This Row],[05/05/25]])*'Plan 39'!AR32</f>
        <v>1</v>
      </c>
      <c r="CL60" s="127">
        <f>Planbase100[[#This Row],[05/05/25]]+(1-Planbase100[[#This Row],[05/05/25]])*'Plan 39'!AS32</f>
        <v>1</v>
      </c>
      <c r="CM60" s="127">
        <f>Planbase100[[#This Row],[05/05/25]]+(1-Planbase100[[#This Row],[05/05/25]])*'Plan 39'!AT32</f>
        <v>1</v>
      </c>
      <c r="CN60" s="127">
        <f>Planbase100[[#This Row],[05/05/25]]+(1-Planbase100[[#This Row],[05/05/25]])*'Plan 39'!AU32</f>
        <v>1</v>
      </c>
      <c r="CO60" s="127">
        <f>Planbase100[[#This Row],[05/05/25]]+(1-Planbase100[[#This Row],[05/05/25]])*'Plan 39'!AV32</f>
        <v>1</v>
      </c>
      <c r="CP60" s="127">
        <f>Planbase100[[#This Row],[05/05/25]]+(1-Planbase100[[#This Row],[05/05/25]])*'Plan 39'!AW32</f>
        <v>1</v>
      </c>
      <c r="CQ60" s="127">
        <f>Planbase100[[#This Row],[05/05/25]]+(1-Planbase100[[#This Row],[05/05/25]])*'Plan 39'!AX32</f>
        <v>1</v>
      </c>
      <c r="CR60" s="127">
        <f>Planbase100[[#This Row],[05/05/25]]+(1-Planbase100[[#This Row],[05/05/25]])*'Plan 39'!AY32</f>
        <v>1</v>
      </c>
      <c r="CS60" s="127">
        <f>Planbase100[[#This Row],[05/05/25]]+(1-Planbase100[[#This Row],[05/05/25]])*'Plan 39'!AZ32</f>
        <v>1</v>
      </c>
      <c r="CT60" s="127">
        <f>Planbase100[[#This Row],[05/05/25]]+(1-Planbase100[[#This Row],[05/05/25]])*'Plan 39'!BA32</f>
        <v>1</v>
      </c>
      <c r="CU60" s="127">
        <f>Planbase100[[#This Row],[05/05/25]]+(1-Planbase100[[#This Row],[05/05/25]])*'Plan 39'!BB32</f>
        <v>1</v>
      </c>
      <c r="CV60" s="127">
        <f>Planbase100[[#This Row],[05/05/25]]+(1-Planbase100[[#This Row],[05/05/25]])*'Plan 39'!BC32</f>
        <v>1</v>
      </c>
      <c r="CW60" s="127">
        <f>Planbase100[[#This Row],[05/05/25]]+(1-Planbase100[[#This Row],[05/05/25]])*'Plan 39'!BD32</f>
        <v>1</v>
      </c>
      <c r="CX60" s="127">
        <f>Planbase100[[#This Row],[05/05/25]]+(1-Planbase100[[#This Row],[05/05/25]])*'Plan 39'!BE32</f>
        <v>1</v>
      </c>
      <c r="CY60" s="127">
        <f>Planbase100[[#This Row],[05/05/25]]+(1-Planbase100[[#This Row],[05/05/25]])*'Plan 39'!BF32</f>
        <v>1</v>
      </c>
      <c r="CZ60" s="127">
        <f>Planbase100[[#This Row],[05/05/25]]+(1-Planbase100[[#This Row],[05/05/25]])*'Plan 39'!BG32</f>
        <v>1</v>
      </c>
      <c r="DA60" s="127">
        <f>Planbase100[[#This Row],[05/05/25]]+(1-Planbase100[[#This Row],[05/05/25]])*'Plan 39'!BH32</f>
        <v>1</v>
      </c>
      <c r="DB60" s="127">
        <f>Planbase100[[#This Row],[05/05/25]]+(1-Planbase100[[#This Row],[05/05/25]])*'Plan 39'!BI32</f>
        <v>1</v>
      </c>
      <c r="DC60" s="127">
        <f>Planbase100[[#This Row],[05/05/25]]+(1-Planbase100[[#This Row],[05/05/25]])*'Plan 39'!BJ32</f>
        <v>1</v>
      </c>
      <c r="DD60" s="127">
        <f>Planbase100[[#This Row],[05/05/25]]+(1-Planbase100[[#This Row],[05/05/25]])*'Plan 39'!BK32</f>
        <v>1</v>
      </c>
      <c r="DE60" s="127">
        <f>Planbase100[[#This Row],[05/05/25]]+(1-Planbase100[[#This Row],[05/05/25]])*'Plan 39'!BL32</f>
        <v>1</v>
      </c>
      <c r="DF60" s="127">
        <f>Planbase100[[#This Row],[05/05/25]]+(1-Planbase100[[#This Row],[05/05/25]])*'Plan 39'!BM32</f>
        <v>1</v>
      </c>
      <c r="DG60" s="127">
        <f>Planbase100[[#This Row],[05/05/25]]+(1-Planbase100[[#This Row],[05/05/25]])*'Plan 39'!BN32</f>
        <v>1</v>
      </c>
      <c r="DH60" s="127">
        <f>Planbase100[[#This Row],[05/05/25]]+(1-Planbase100[[#This Row],[05/05/25]])*'Plan 39'!BO32</f>
        <v>1</v>
      </c>
      <c r="DI60" s="127">
        <f>Planbase100[[#This Row],[05/05/25]]+(1-Planbase100[[#This Row],[05/05/25]])*'Plan 39'!BP32</f>
        <v>1</v>
      </c>
      <c r="DJ60" s="127">
        <f>Planbase100[[#This Row],[05/05/25]]+(1-Planbase100[[#This Row],[05/05/25]])*'Plan 39'!BQ32</f>
        <v>1</v>
      </c>
      <c r="DK60" s="127">
        <f>Planbase100[[#This Row],[05/05/25]]+(1-Planbase100[[#This Row],[05/05/25]])*'Plan 39'!BR32</f>
        <v>1</v>
      </c>
      <c r="DL60" s="127">
        <f>Planbase100[[#This Row],[05/05/25]]+(1-Planbase100[[#This Row],[05/05/25]])*'Plan 39'!BS32</f>
        <v>1</v>
      </c>
      <c r="DM60" s="127">
        <f>Planbase100[[#This Row],[05/05/25]]+(1-Planbase100[[#This Row],[05/05/25]])*'Plan 39'!BT32</f>
        <v>1</v>
      </c>
      <c r="DN60" s="127">
        <f>Planbase100[[#This Row],[05/05/25]]+(1-Planbase100[[#This Row],[05/05/25]])*'Plan 39'!BU32</f>
        <v>1</v>
      </c>
      <c r="DO60" s="127">
        <f>Planbase100[[#This Row],[05/05/25]]+(1-Planbase100[[#This Row],[05/05/25]])*'Plan 39'!BV32</f>
        <v>1</v>
      </c>
      <c r="DP60" s="127">
        <f>Planbase100[[#This Row],[05/05/25]]+(1-Planbase100[[#This Row],[05/05/25]])*'Plan 39'!BW32</f>
        <v>1</v>
      </c>
      <c r="DQ60" s="127">
        <f>Planbase100[[#This Row],[05/05/25]]+(1-Planbase100[[#This Row],[05/05/25]])*'Plan 39'!BX32</f>
        <v>1</v>
      </c>
      <c r="DR60" s="127">
        <f>Planbase100[[#This Row],[05/05/25]]+(1-Planbase100[[#This Row],[05/05/25]])*'Plan 39'!BY32</f>
        <v>1</v>
      </c>
      <c r="DS60" s="127">
        <f>Planbase100[[#This Row],[05/05/25]]+(1-Planbase100[[#This Row],[05/05/25]])*'Plan 39'!BZ32</f>
        <v>1</v>
      </c>
      <c r="DT60" s="127">
        <f>Planbase100[[#This Row],[05/05/25]]+(1-Planbase100[[#This Row],[05/05/25]])*'Plan 39'!CA32</f>
        <v>1</v>
      </c>
      <c r="DU60" s="127">
        <f>Planbase100[[#This Row],[05/05/25]]+(1-Planbase100[[#This Row],[05/05/25]])*'Plan 39'!CB32</f>
        <v>1</v>
      </c>
      <c r="DV60" s="127">
        <f>Planbase100[[#This Row],[05/05/25]]+(1-Planbase100[[#This Row],[05/05/25]])*'Plan 39'!CC32</f>
        <v>1</v>
      </c>
      <c r="DW60" s="127">
        <f>Planbase100[[#This Row],[05/05/25]]+(1-Planbase100[[#This Row],[05/05/25]])*'Plan 39'!CD32</f>
        <v>1</v>
      </c>
      <c r="DX60" s="127">
        <f>Planbase100[[#This Row],[05/05/25]]+(1-Planbase100[[#This Row],[05/05/25]])*'Plan 39'!CE32</f>
        <v>1</v>
      </c>
      <c r="DY60" s="127">
        <f>Planbase100[[#This Row],[05/05/25]]+(1-Planbase100[[#This Row],[05/05/25]])*'Plan 39'!CF32</f>
        <v>1</v>
      </c>
      <c r="DZ60" s="127">
        <f>Planbase100[[#This Row],[05/05/25]]+(1-Planbase100[[#This Row],[05/05/25]])*'Plan 39'!CG32</f>
        <v>1</v>
      </c>
      <c r="EA60" s="127">
        <f>Planbase100[[#This Row],[05/05/25]]+(1-Planbase100[[#This Row],[05/05/25]])*'Plan 39'!CH32</f>
        <v>1</v>
      </c>
      <c r="EB60" s="127">
        <f>Planbase100[[#This Row],[05/05/25]]+(1-Planbase100[[#This Row],[05/05/25]])*'Plan 39'!CI32</f>
        <v>1</v>
      </c>
      <c r="EC60" s="127">
        <f>Planbase100[[#This Row],[05/05/25]]+(1-Planbase100[[#This Row],[05/05/25]])*'Plan 39'!CJ32</f>
        <v>1</v>
      </c>
      <c r="ED60" s="127">
        <f>Planbase100[[#This Row],[05/05/25]]+(1-Planbase100[[#This Row],[05/05/25]])*'Plan 39'!CK32</f>
        <v>1</v>
      </c>
      <c r="EE60" s="127">
        <f>Planbase100[[#This Row],[05/05/25]]+(1-Planbase100[[#This Row],[05/05/25]])*'Plan 39'!CL32</f>
        <v>1</v>
      </c>
      <c r="EF60" s="127">
        <f>Planbase100[[#This Row],[05/05/25]]+(1-Planbase100[[#This Row],[05/05/25]])*'Plan 39'!CM32</f>
        <v>1</v>
      </c>
      <c r="EG60" s="127">
        <f>Planbase100[[#This Row],[05/05/25]]+(1-Planbase100[[#This Row],[05/05/25]])*'Plan 39'!CN32</f>
        <v>1</v>
      </c>
      <c r="EH60" s="127">
        <f>Planbase100[[#This Row],[05/05/25]]+(1-Planbase100[[#This Row],[05/05/25]])*'Plan 39'!CO32</f>
        <v>1</v>
      </c>
      <c r="EI60" s="127">
        <f>Planbase100[[#This Row],[05/05/25]]+(1-Planbase100[[#This Row],[05/05/25]])*'Plan 39'!CP32</f>
        <v>1</v>
      </c>
    </row>
    <row r="61" spans="2:139" hidden="1" outlineLevel="3" x14ac:dyDescent="0.3">
      <c r="B61" s="29"/>
      <c r="C61" s="30"/>
      <c r="D61" s="65"/>
      <c r="E61" s="52" t="s">
        <v>66</v>
      </c>
      <c r="F61" s="33">
        <v>40</v>
      </c>
      <c r="G61" s="35">
        <v>0.08</v>
      </c>
      <c r="H61" s="53"/>
      <c r="I61" s="126">
        <v>0</v>
      </c>
      <c r="J61" s="127">
        <v>0</v>
      </c>
      <c r="K61" s="127">
        <v>0</v>
      </c>
      <c r="L61" s="127">
        <v>0</v>
      </c>
      <c r="M61" s="128">
        <v>0</v>
      </c>
      <c r="N61" s="128">
        <v>0</v>
      </c>
      <c r="O61" s="127">
        <v>0</v>
      </c>
      <c r="P61" s="127">
        <v>0</v>
      </c>
      <c r="Q61" s="127">
        <v>0</v>
      </c>
      <c r="R61" s="127">
        <v>0</v>
      </c>
      <c r="S61" s="127">
        <v>0.13300492610837439</v>
      </c>
      <c r="T61" s="127">
        <v>0.19433497536945812</v>
      </c>
      <c r="U61" s="127">
        <v>0.3560098522167488</v>
      </c>
      <c r="V61" s="127">
        <v>0.46408319649698965</v>
      </c>
      <c r="W61" s="127">
        <v>0.62614340448823202</v>
      </c>
      <c r="X61" s="127">
        <v>0.93452545155993438</v>
      </c>
      <c r="Y61" s="127">
        <v>0.93452545155993438</v>
      </c>
      <c r="Z61" s="127">
        <v>0.93452545155993438</v>
      </c>
      <c r="AA61" s="127">
        <v>0.93452545155993438</v>
      </c>
      <c r="AB61" s="127">
        <v>0.93452545155993438</v>
      </c>
      <c r="AC61" s="127">
        <v>0.93452545155993438</v>
      </c>
      <c r="AD61" s="127">
        <v>0.93452545155993438</v>
      </c>
      <c r="AE61" s="127">
        <v>0.95000000000000018</v>
      </c>
      <c r="AF61" s="127">
        <v>0.95000000000000018</v>
      </c>
      <c r="AG61" s="127">
        <v>0.95000000000000018</v>
      </c>
      <c r="AH61" s="127">
        <v>0.95000000000000018</v>
      </c>
      <c r="AI61" s="127">
        <v>0.95000000000000018</v>
      </c>
      <c r="AJ61" s="127">
        <v>0.95000000000000018</v>
      </c>
      <c r="AK61" s="127">
        <v>0.95000000000000018</v>
      </c>
      <c r="AL61" s="127">
        <v>0.95000000000000018</v>
      </c>
      <c r="AM61" s="127">
        <v>0.95000000000000018</v>
      </c>
      <c r="AN61" s="127">
        <v>0.95000000000000018</v>
      </c>
      <c r="AO61" s="127">
        <v>0.95000000000000018</v>
      </c>
      <c r="AP61" s="127">
        <v>0.95000000000000018</v>
      </c>
      <c r="AQ61" s="127">
        <v>0.95000000000000018</v>
      </c>
      <c r="AR61" s="127">
        <v>0.95000000000000018</v>
      </c>
      <c r="AS61" s="127">
        <v>0.95000000000000018</v>
      </c>
      <c r="AT61" s="127">
        <v>0.95000000000000018</v>
      </c>
      <c r="AU61" s="127">
        <v>0.95000000000000018</v>
      </c>
      <c r="AV61" s="127">
        <v>0.95000000000000018</v>
      </c>
      <c r="AW61" s="127">
        <v>0.95000000000000018</v>
      </c>
      <c r="AX61" s="127">
        <v>0.95000000000000018</v>
      </c>
      <c r="AY61" s="127">
        <v>0.95000000000000018</v>
      </c>
      <c r="AZ61" s="127">
        <v>0.95000000000000018</v>
      </c>
      <c r="BA61" s="127">
        <v>0.95000000000000018</v>
      </c>
      <c r="BB61" s="127">
        <f>Planbase100[[#This Row],[05/05/25]]+(1-Planbase100[[#This Row],[05/05/25]])*'Plan 39'!I33</f>
        <v>0.95000000000000018</v>
      </c>
      <c r="BC61" s="127">
        <f>Planbase100[[#This Row],[05/05/25]]+(1-Planbase100[[#This Row],[05/05/25]])*'Plan 39'!J33</f>
        <v>0.95000000000000018</v>
      </c>
      <c r="BD61" s="127">
        <f>Planbase100[[#This Row],[05/05/25]]+(1-Planbase100[[#This Row],[05/05/25]])*'Plan 39'!K33</f>
        <v>0.95000000000000018</v>
      </c>
      <c r="BE61" s="127">
        <f>Planbase100[[#This Row],[05/05/25]]+(1-Planbase100[[#This Row],[05/05/25]])*'Plan 39'!L33</f>
        <v>0.95000000000000018</v>
      </c>
      <c r="BF61" s="127">
        <f>Planbase100[[#This Row],[05/05/25]]+(1-Planbase100[[#This Row],[05/05/25]])*'Plan 39'!M33</f>
        <v>0.95000000000000018</v>
      </c>
      <c r="BG61" s="127">
        <f>Planbase100[[#This Row],[05/05/25]]+(1-Planbase100[[#This Row],[05/05/25]])*'Plan 39'!N33</f>
        <v>0.95000000000000018</v>
      </c>
      <c r="BH61" s="127">
        <f>Planbase100[[#This Row],[05/05/25]]+(1-Planbase100[[#This Row],[05/05/25]])*'Plan 39'!O33</f>
        <v>0.95000000000000018</v>
      </c>
      <c r="BI61" s="127">
        <f>Planbase100[[#This Row],[05/05/25]]+(1-Planbase100[[#This Row],[05/05/25]])*'Plan 39'!P33</f>
        <v>0.95000000000000018</v>
      </c>
      <c r="BJ61" s="127">
        <f>Planbase100[[#This Row],[05/05/25]]+(1-Planbase100[[#This Row],[05/05/25]])*'Plan 39'!Q33</f>
        <v>0.95000000000000018</v>
      </c>
      <c r="BK61" s="127">
        <f>Planbase100[[#This Row],[05/05/25]]+(1-Planbase100[[#This Row],[05/05/25]])*'Plan 39'!R33</f>
        <v>0.95000000000000018</v>
      </c>
      <c r="BL61" s="127">
        <f>Planbase100[[#This Row],[05/05/25]]+(1-Planbase100[[#This Row],[05/05/25]])*'Plan 39'!S33</f>
        <v>0.95000000000000018</v>
      </c>
      <c r="BM61" s="127">
        <f>Planbase100[[#This Row],[05/05/25]]+(1-Planbase100[[#This Row],[05/05/25]])*'Plan 39'!T33</f>
        <v>0.95000000000000018</v>
      </c>
      <c r="BN61" s="127">
        <f>Planbase100[[#This Row],[05/05/25]]+(1-Planbase100[[#This Row],[05/05/25]])*'Plan 39'!U33</f>
        <v>0.95000000000000018</v>
      </c>
      <c r="BO61" s="127">
        <f>Planbase100[[#This Row],[05/05/25]]+(1-Planbase100[[#This Row],[05/05/25]])*'Plan 39'!V33</f>
        <v>0.95000000000000018</v>
      </c>
      <c r="BP61" s="127">
        <f>Planbase100[[#This Row],[05/05/25]]+(1-Planbase100[[#This Row],[05/05/25]])*'Plan 39'!W33</f>
        <v>0.95000000000000018</v>
      </c>
      <c r="BQ61" s="127">
        <f>Planbase100[[#This Row],[05/05/25]]+(1-Planbase100[[#This Row],[05/05/25]])*'Plan 39'!X33</f>
        <v>0.95000000000000018</v>
      </c>
      <c r="BR61" s="127">
        <f>Planbase100[[#This Row],[05/05/25]]+(1-Planbase100[[#This Row],[05/05/25]])*'Plan 39'!Y33</f>
        <v>0.95000000000000018</v>
      </c>
      <c r="BS61" s="127">
        <f>Planbase100[[#This Row],[05/05/25]]+(1-Planbase100[[#This Row],[05/05/25]])*'Plan 39'!Z33</f>
        <v>0.95000000000000018</v>
      </c>
      <c r="BT61" s="127">
        <f>Planbase100[[#This Row],[05/05/25]]+(1-Planbase100[[#This Row],[05/05/25]])*'Plan 39'!AA33</f>
        <v>0.95000000000000018</v>
      </c>
      <c r="BU61" s="127">
        <f>Planbase100[[#This Row],[05/05/25]]+(1-Planbase100[[#This Row],[05/05/25]])*'Plan 39'!AB33</f>
        <v>0.95500000000000018</v>
      </c>
      <c r="BV61" s="127">
        <f>Planbase100[[#This Row],[05/05/25]]+(1-Planbase100[[#This Row],[05/05/25]])*'Plan 39'!AC33</f>
        <v>0.96000000000000019</v>
      </c>
      <c r="BW61" s="127">
        <f>Planbase100[[#This Row],[05/05/25]]+(1-Planbase100[[#This Row],[05/05/25]])*'Plan 39'!AD33</f>
        <v>0.96500000000000008</v>
      </c>
      <c r="BX61" s="127">
        <f>Planbase100[[#This Row],[05/05/25]]+(1-Planbase100[[#This Row],[05/05/25]])*'Plan 39'!AE33</f>
        <v>0.97000000000000008</v>
      </c>
      <c r="BY61" s="127">
        <f>Planbase100[[#This Row],[05/05/25]]+(1-Planbase100[[#This Row],[05/05/25]])*'Plan 39'!AF33</f>
        <v>0.97500000000000009</v>
      </c>
      <c r="BZ61" s="127">
        <f>Planbase100[[#This Row],[05/05/25]]+(1-Planbase100[[#This Row],[05/05/25]])*'Plan 39'!AG33</f>
        <v>0.98000000000000009</v>
      </c>
      <c r="CA61" s="127">
        <f>Planbase100[[#This Row],[05/05/25]]+(1-Planbase100[[#This Row],[05/05/25]])*'Plan 39'!AH33</f>
        <v>0.9850000000000001</v>
      </c>
      <c r="CB61" s="127">
        <f>Planbase100[[#This Row],[05/05/25]]+(1-Planbase100[[#This Row],[05/05/25]])*'Plan 39'!AI33</f>
        <v>0.99</v>
      </c>
      <c r="CC61" s="127">
        <f>Planbase100[[#This Row],[05/05/25]]+(1-Planbase100[[#This Row],[05/05/25]])*'Plan 39'!AJ33</f>
        <v>0.995</v>
      </c>
      <c r="CD61" s="127">
        <f>Planbase100[[#This Row],[05/05/25]]+(1-Planbase100[[#This Row],[05/05/25]])*'Plan 39'!AK33</f>
        <v>1</v>
      </c>
      <c r="CE61" s="127">
        <f>Planbase100[[#This Row],[05/05/25]]+(1-Planbase100[[#This Row],[05/05/25]])*'Plan 39'!AL33</f>
        <v>1</v>
      </c>
      <c r="CF61" s="127">
        <f>Planbase100[[#This Row],[05/05/25]]+(1-Planbase100[[#This Row],[05/05/25]])*'Plan 39'!AM33</f>
        <v>1</v>
      </c>
      <c r="CG61" s="127">
        <f>Planbase100[[#This Row],[05/05/25]]+(1-Planbase100[[#This Row],[05/05/25]])*'Plan 39'!AN33</f>
        <v>1</v>
      </c>
      <c r="CH61" s="127">
        <f>Planbase100[[#This Row],[05/05/25]]+(1-Planbase100[[#This Row],[05/05/25]])*'Plan 39'!AO33</f>
        <v>1</v>
      </c>
      <c r="CI61" s="127">
        <f>Planbase100[[#This Row],[05/05/25]]+(1-Planbase100[[#This Row],[05/05/25]])*'Plan 39'!AP33</f>
        <v>1</v>
      </c>
      <c r="CJ61" s="127">
        <f>Planbase100[[#This Row],[05/05/25]]+(1-Planbase100[[#This Row],[05/05/25]])*'Plan 39'!AQ33</f>
        <v>1</v>
      </c>
      <c r="CK61" s="127">
        <f>Planbase100[[#This Row],[05/05/25]]+(1-Planbase100[[#This Row],[05/05/25]])*'Plan 39'!AR33</f>
        <v>1</v>
      </c>
      <c r="CL61" s="127">
        <f>Planbase100[[#This Row],[05/05/25]]+(1-Planbase100[[#This Row],[05/05/25]])*'Plan 39'!AS33</f>
        <v>1</v>
      </c>
      <c r="CM61" s="127">
        <f>Planbase100[[#This Row],[05/05/25]]+(1-Planbase100[[#This Row],[05/05/25]])*'Plan 39'!AT33</f>
        <v>1</v>
      </c>
      <c r="CN61" s="127">
        <f>Planbase100[[#This Row],[05/05/25]]+(1-Planbase100[[#This Row],[05/05/25]])*'Plan 39'!AU33</f>
        <v>1</v>
      </c>
      <c r="CO61" s="127">
        <f>Planbase100[[#This Row],[05/05/25]]+(1-Planbase100[[#This Row],[05/05/25]])*'Plan 39'!AV33</f>
        <v>1</v>
      </c>
      <c r="CP61" s="127">
        <f>Planbase100[[#This Row],[05/05/25]]+(1-Planbase100[[#This Row],[05/05/25]])*'Plan 39'!AW33</f>
        <v>1</v>
      </c>
      <c r="CQ61" s="127">
        <f>Planbase100[[#This Row],[05/05/25]]+(1-Planbase100[[#This Row],[05/05/25]])*'Plan 39'!AX33</f>
        <v>1</v>
      </c>
      <c r="CR61" s="127">
        <f>Planbase100[[#This Row],[05/05/25]]+(1-Planbase100[[#This Row],[05/05/25]])*'Plan 39'!AY33</f>
        <v>1</v>
      </c>
      <c r="CS61" s="127">
        <f>Planbase100[[#This Row],[05/05/25]]+(1-Planbase100[[#This Row],[05/05/25]])*'Plan 39'!AZ33</f>
        <v>1</v>
      </c>
      <c r="CT61" s="127">
        <f>Planbase100[[#This Row],[05/05/25]]+(1-Planbase100[[#This Row],[05/05/25]])*'Plan 39'!BA33</f>
        <v>1</v>
      </c>
      <c r="CU61" s="127">
        <f>Planbase100[[#This Row],[05/05/25]]+(1-Planbase100[[#This Row],[05/05/25]])*'Plan 39'!BB33</f>
        <v>1</v>
      </c>
      <c r="CV61" s="127">
        <f>Planbase100[[#This Row],[05/05/25]]+(1-Planbase100[[#This Row],[05/05/25]])*'Plan 39'!BC33</f>
        <v>1</v>
      </c>
      <c r="CW61" s="127">
        <f>Planbase100[[#This Row],[05/05/25]]+(1-Planbase100[[#This Row],[05/05/25]])*'Plan 39'!BD33</f>
        <v>1</v>
      </c>
      <c r="CX61" s="127">
        <f>Planbase100[[#This Row],[05/05/25]]+(1-Planbase100[[#This Row],[05/05/25]])*'Plan 39'!BE33</f>
        <v>1</v>
      </c>
      <c r="CY61" s="127">
        <f>Planbase100[[#This Row],[05/05/25]]+(1-Planbase100[[#This Row],[05/05/25]])*'Plan 39'!BF33</f>
        <v>1</v>
      </c>
      <c r="CZ61" s="127">
        <f>Planbase100[[#This Row],[05/05/25]]+(1-Planbase100[[#This Row],[05/05/25]])*'Plan 39'!BG33</f>
        <v>1</v>
      </c>
      <c r="DA61" s="127">
        <f>Planbase100[[#This Row],[05/05/25]]+(1-Planbase100[[#This Row],[05/05/25]])*'Plan 39'!BH33</f>
        <v>1</v>
      </c>
      <c r="DB61" s="127">
        <f>Planbase100[[#This Row],[05/05/25]]+(1-Planbase100[[#This Row],[05/05/25]])*'Plan 39'!BI33</f>
        <v>1</v>
      </c>
      <c r="DC61" s="127">
        <f>Planbase100[[#This Row],[05/05/25]]+(1-Planbase100[[#This Row],[05/05/25]])*'Plan 39'!BJ33</f>
        <v>1</v>
      </c>
      <c r="DD61" s="127">
        <f>Planbase100[[#This Row],[05/05/25]]+(1-Planbase100[[#This Row],[05/05/25]])*'Plan 39'!BK33</f>
        <v>1</v>
      </c>
      <c r="DE61" s="127">
        <f>Planbase100[[#This Row],[05/05/25]]+(1-Planbase100[[#This Row],[05/05/25]])*'Plan 39'!BL33</f>
        <v>1</v>
      </c>
      <c r="DF61" s="127">
        <f>Planbase100[[#This Row],[05/05/25]]+(1-Planbase100[[#This Row],[05/05/25]])*'Plan 39'!BM33</f>
        <v>1</v>
      </c>
      <c r="DG61" s="127">
        <f>Planbase100[[#This Row],[05/05/25]]+(1-Planbase100[[#This Row],[05/05/25]])*'Plan 39'!BN33</f>
        <v>1</v>
      </c>
      <c r="DH61" s="127">
        <f>Planbase100[[#This Row],[05/05/25]]+(1-Planbase100[[#This Row],[05/05/25]])*'Plan 39'!BO33</f>
        <v>1</v>
      </c>
      <c r="DI61" s="127">
        <f>Planbase100[[#This Row],[05/05/25]]+(1-Planbase100[[#This Row],[05/05/25]])*'Plan 39'!BP33</f>
        <v>1</v>
      </c>
      <c r="DJ61" s="127">
        <f>Planbase100[[#This Row],[05/05/25]]+(1-Planbase100[[#This Row],[05/05/25]])*'Plan 39'!BQ33</f>
        <v>1</v>
      </c>
      <c r="DK61" s="127">
        <f>Planbase100[[#This Row],[05/05/25]]+(1-Planbase100[[#This Row],[05/05/25]])*'Plan 39'!BR33</f>
        <v>1</v>
      </c>
      <c r="DL61" s="127">
        <f>Planbase100[[#This Row],[05/05/25]]+(1-Planbase100[[#This Row],[05/05/25]])*'Plan 39'!BS33</f>
        <v>1</v>
      </c>
      <c r="DM61" s="127">
        <f>Planbase100[[#This Row],[05/05/25]]+(1-Planbase100[[#This Row],[05/05/25]])*'Plan 39'!BT33</f>
        <v>1</v>
      </c>
      <c r="DN61" s="127">
        <f>Planbase100[[#This Row],[05/05/25]]+(1-Planbase100[[#This Row],[05/05/25]])*'Plan 39'!BU33</f>
        <v>1</v>
      </c>
      <c r="DO61" s="127">
        <f>Planbase100[[#This Row],[05/05/25]]+(1-Planbase100[[#This Row],[05/05/25]])*'Plan 39'!BV33</f>
        <v>1</v>
      </c>
      <c r="DP61" s="127">
        <f>Planbase100[[#This Row],[05/05/25]]+(1-Planbase100[[#This Row],[05/05/25]])*'Plan 39'!BW33</f>
        <v>1</v>
      </c>
      <c r="DQ61" s="127">
        <f>Planbase100[[#This Row],[05/05/25]]+(1-Planbase100[[#This Row],[05/05/25]])*'Plan 39'!BX33</f>
        <v>1</v>
      </c>
      <c r="DR61" s="127">
        <f>Planbase100[[#This Row],[05/05/25]]+(1-Planbase100[[#This Row],[05/05/25]])*'Plan 39'!BY33</f>
        <v>1</v>
      </c>
      <c r="DS61" s="127">
        <f>Planbase100[[#This Row],[05/05/25]]+(1-Planbase100[[#This Row],[05/05/25]])*'Plan 39'!BZ33</f>
        <v>1</v>
      </c>
      <c r="DT61" s="127">
        <f>Planbase100[[#This Row],[05/05/25]]+(1-Planbase100[[#This Row],[05/05/25]])*'Plan 39'!CA33</f>
        <v>1</v>
      </c>
      <c r="DU61" s="127">
        <f>Planbase100[[#This Row],[05/05/25]]+(1-Planbase100[[#This Row],[05/05/25]])*'Plan 39'!CB33</f>
        <v>1</v>
      </c>
      <c r="DV61" s="127">
        <f>Planbase100[[#This Row],[05/05/25]]+(1-Planbase100[[#This Row],[05/05/25]])*'Plan 39'!CC33</f>
        <v>1</v>
      </c>
      <c r="DW61" s="127">
        <f>Planbase100[[#This Row],[05/05/25]]+(1-Planbase100[[#This Row],[05/05/25]])*'Plan 39'!CD33</f>
        <v>1</v>
      </c>
      <c r="DX61" s="127">
        <f>Planbase100[[#This Row],[05/05/25]]+(1-Planbase100[[#This Row],[05/05/25]])*'Plan 39'!CE33</f>
        <v>1</v>
      </c>
      <c r="DY61" s="127">
        <f>Planbase100[[#This Row],[05/05/25]]+(1-Planbase100[[#This Row],[05/05/25]])*'Plan 39'!CF33</f>
        <v>1</v>
      </c>
      <c r="DZ61" s="127">
        <f>Planbase100[[#This Row],[05/05/25]]+(1-Planbase100[[#This Row],[05/05/25]])*'Plan 39'!CG33</f>
        <v>1</v>
      </c>
      <c r="EA61" s="127">
        <f>Planbase100[[#This Row],[05/05/25]]+(1-Planbase100[[#This Row],[05/05/25]])*'Plan 39'!CH33</f>
        <v>1</v>
      </c>
      <c r="EB61" s="127">
        <f>Planbase100[[#This Row],[05/05/25]]+(1-Planbase100[[#This Row],[05/05/25]])*'Plan 39'!CI33</f>
        <v>1</v>
      </c>
      <c r="EC61" s="127">
        <f>Planbase100[[#This Row],[05/05/25]]+(1-Planbase100[[#This Row],[05/05/25]])*'Plan 39'!CJ33</f>
        <v>1</v>
      </c>
      <c r="ED61" s="127">
        <f>Planbase100[[#This Row],[05/05/25]]+(1-Planbase100[[#This Row],[05/05/25]])*'Plan 39'!CK33</f>
        <v>1</v>
      </c>
      <c r="EE61" s="127">
        <f>Planbase100[[#This Row],[05/05/25]]+(1-Planbase100[[#This Row],[05/05/25]])*'Plan 39'!CL33</f>
        <v>1</v>
      </c>
      <c r="EF61" s="127">
        <f>Planbase100[[#This Row],[05/05/25]]+(1-Planbase100[[#This Row],[05/05/25]])*'Plan 39'!CM33</f>
        <v>1</v>
      </c>
      <c r="EG61" s="127">
        <f>Planbase100[[#This Row],[05/05/25]]+(1-Planbase100[[#This Row],[05/05/25]])*'Plan 39'!CN33</f>
        <v>1</v>
      </c>
      <c r="EH61" s="127">
        <f>Planbase100[[#This Row],[05/05/25]]+(1-Planbase100[[#This Row],[05/05/25]])*'Plan 39'!CO33</f>
        <v>1</v>
      </c>
      <c r="EI61" s="127">
        <f>Planbase100[[#This Row],[05/05/25]]+(1-Planbase100[[#This Row],[05/05/25]])*'Plan 39'!CP33</f>
        <v>1</v>
      </c>
    </row>
    <row r="62" spans="2:139" hidden="1" outlineLevel="3" x14ac:dyDescent="0.3">
      <c r="B62" s="29"/>
      <c r="C62" s="30"/>
      <c r="D62" s="65"/>
      <c r="E62" s="52" t="s">
        <v>67</v>
      </c>
      <c r="F62" s="33">
        <v>30</v>
      </c>
      <c r="G62" s="35">
        <v>0.06</v>
      </c>
      <c r="H62" s="53"/>
      <c r="I62" s="126">
        <v>0</v>
      </c>
      <c r="J62" s="127">
        <v>0</v>
      </c>
      <c r="K62" s="127">
        <v>0</v>
      </c>
      <c r="L62" s="127">
        <v>0</v>
      </c>
      <c r="M62" s="128">
        <v>0</v>
      </c>
      <c r="N62" s="128">
        <v>0</v>
      </c>
      <c r="O62" s="127">
        <v>0</v>
      </c>
      <c r="P62" s="127">
        <v>0</v>
      </c>
      <c r="Q62" s="127">
        <v>0</v>
      </c>
      <c r="R62" s="127">
        <v>0</v>
      </c>
      <c r="S62" s="127">
        <v>0</v>
      </c>
      <c r="T62" s="127">
        <v>0</v>
      </c>
      <c r="U62" s="127">
        <v>0</v>
      </c>
      <c r="V62" s="127">
        <v>0</v>
      </c>
      <c r="W62" s="127">
        <v>0</v>
      </c>
      <c r="X62" s="127">
        <v>0</v>
      </c>
      <c r="Y62" s="127">
        <v>0</v>
      </c>
      <c r="Z62" s="127">
        <v>0</v>
      </c>
      <c r="AA62" s="127">
        <v>0</v>
      </c>
      <c r="AB62" s="127">
        <v>0</v>
      </c>
      <c r="AC62" s="127">
        <v>0</v>
      </c>
      <c r="AD62" s="127">
        <v>0</v>
      </c>
      <c r="AE62" s="127">
        <v>2.3167420814479641E-2</v>
      </c>
      <c r="AF62" s="127">
        <v>0.12452488687782806</v>
      </c>
      <c r="AG62" s="127">
        <v>0.21285067873303168</v>
      </c>
      <c r="AH62" s="127">
        <v>0.28524886877828054</v>
      </c>
      <c r="AI62" s="127">
        <v>0.28524886877828054</v>
      </c>
      <c r="AJ62" s="127">
        <v>0.28524886877828054</v>
      </c>
      <c r="AK62" s="127">
        <v>0.36343891402714934</v>
      </c>
      <c r="AL62" s="127">
        <v>0.48970588235294116</v>
      </c>
      <c r="AM62" s="127">
        <v>0.48970588235294116</v>
      </c>
      <c r="AN62" s="127">
        <v>0.48970588235294116</v>
      </c>
      <c r="AO62" s="127">
        <v>0.48970588235294116</v>
      </c>
      <c r="AP62" s="127">
        <v>0.57205882352941173</v>
      </c>
      <c r="AQ62" s="127">
        <v>0.72941176470588243</v>
      </c>
      <c r="AR62" s="127">
        <v>0.81423529411764706</v>
      </c>
      <c r="AS62" s="127">
        <v>0.83152941176470585</v>
      </c>
      <c r="AT62" s="127">
        <v>0.86282352941176466</v>
      </c>
      <c r="AU62" s="127">
        <v>0.9110588235294117</v>
      </c>
      <c r="AV62" s="127">
        <v>0.9110588235294117</v>
      </c>
      <c r="AW62" s="127">
        <v>0.9110588235294117</v>
      </c>
      <c r="AX62" s="127">
        <v>0.9110588235294117</v>
      </c>
      <c r="AY62" s="127">
        <v>0.9110588235294117</v>
      </c>
      <c r="AZ62" s="127">
        <v>0.9110588235294117</v>
      </c>
      <c r="BA62" s="127">
        <v>0.9110588235294117</v>
      </c>
      <c r="BB62" s="127">
        <f>Planbase100[[#This Row],[05/05/25]]+(1-Planbase100[[#This Row],[05/05/25]])*'Plan 39'!I34</f>
        <v>0.9110588235294117</v>
      </c>
      <c r="BC62" s="127">
        <f>Planbase100[[#This Row],[05/05/25]]+(1-Planbase100[[#This Row],[05/05/25]])*'Plan 39'!J34</f>
        <v>0.9110588235294117</v>
      </c>
      <c r="BD62" s="127">
        <f>Planbase100[[#This Row],[05/05/25]]+(1-Planbase100[[#This Row],[05/05/25]])*'Plan 39'!K34</f>
        <v>0.91435294117647048</v>
      </c>
      <c r="BE62" s="127">
        <f>Planbase100[[#This Row],[05/05/25]]+(1-Planbase100[[#This Row],[05/05/25]])*'Plan 39'!L34</f>
        <v>0.91764376470588227</v>
      </c>
      <c r="BF62" s="127">
        <f>Planbase100[[#This Row],[05/05/25]]+(1-Planbase100[[#This Row],[05/05/25]])*'Plan 39'!M34</f>
        <v>0.92093458823529406</v>
      </c>
      <c r="BG62" s="127">
        <f>Planbase100[[#This Row],[05/05/25]]+(1-Planbase100[[#This Row],[05/05/25]])*'Plan 39'!N34</f>
        <v>0.92422541176470585</v>
      </c>
      <c r="BH62" s="127">
        <f>Planbase100[[#This Row],[05/05/25]]+(1-Planbase100[[#This Row],[05/05/25]])*'Plan 39'!O34</f>
        <v>0.92751623529411764</v>
      </c>
      <c r="BI62" s="127">
        <f>Planbase100[[#This Row],[05/05/25]]+(1-Planbase100[[#This Row],[05/05/25]])*'Plan 39'!P34</f>
        <v>0.93080705882352932</v>
      </c>
      <c r="BJ62" s="127">
        <f>Planbase100[[#This Row],[05/05/25]]+(1-Planbase100[[#This Row],[05/05/25]])*'Plan 39'!Q34</f>
        <v>0.93409788235294111</v>
      </c>
      <c r="BK62" s="127">
        <f>Planbase100[[#This Row],[05/05/25]]+(1-Planbase100[[#This Row],[05/05/25]])*'Plan 39'!R34</f>
        <v>0.9373887058823529</v>
      </c>
      <c r="BL62" s="127">
        <f>Planbase100[[#This Row],[05/05/25]]+(1-Planbase100[[#This Row],[05/05/25]])*'Plan 39'!S34</f>
        <v>0.94067952941176469</v>
      </c>
      <c r="BM62" s="127">
        <f>Planbase100[[#This Row],[05/05/25]]+(1-Planbase100[[#This Row],[05/05/25]])*'Plan 39'!T34</f>
        <v>0.94397035294117648</v>
      </c>
      <c r="BN62" s="127">
        <f>Planbase100[[#This Row],[05/05/25]]+(1-Planbase100[[#This Row],[05/05/25]])*'Plan 39'!U34</f>
        <v>0.94726117647058816</v>
      </c>
      <c r="BO62" s="127">
        <f>Planbase100[[#This Row],[05/05/25]]+(1-Planbase100[[#This Row],[05/05/25]])*'Plan 39'!V34</f>
        <v>0.95055199999999995</v>
      </c>
      <c r="BP62" s="127">
        <f>Planbase100[[#This Row],[05/05/25]]+(1-Planbase100[[#This Row],[05/05/25]])*'Plan 39'!W34</f>
        <v>0.95384282352941174</v>
      </c>
      <c r="BQ62" s="127">
        <f>Planbase100[[#This Row],[05/05/25]]+(1-Planbase100[[#This Row],[05/05/25]])*'Plan 39'!X34</f>
        <v>0.95713364705882353</v>
      </c>
      <c r="BR62" s="127">
        <f>Planbase100[[#This Row],[05/05/25]]+(1-Planbase100[[#This Row],[05/05/25]])*'Plan 39'!Y34</f>
        <v>0.96042447058823532</v>
      </c>
      <c r="BS62" s="127">
        <f>Planbase100[[#This Row],[05/05/25]]+(1-Planbase100[[#This Row],[05/05/25]])*'Plan 39'!Z34</f>
        <v>0.963715294117647</v>
      </c>
      <c r="BT62" s="127">
        <f>Planbase100[[#This Row],[05/05/25]]+(1-Planbase100[[#This Row],[05/05/25]])*'Plan 39'!AA34</f>
        <v>0.96700611764705879</v>
      </c>
      <c r="BU62" s="127">
        <f>Planbase100[[#This Row],[05/05/25]]+(1-Planbase100[[#This Row],[05/05/25]])*'Plan 39'!AB34</f>
        <v>0.97029694117647058</v>
      </c>
      <c r="BV62" s="127">
        <f>Planbase100[[#This Row],[05/05/25]]+(1-Planbase100[[#This Row],[05/05/25]])*'Plan 39'!AC34</f>
        <v>0.97358776470588237</v>
      </c>
      <c r="BW62" s="127">
        <f>Planbase100[[#This Row],[05/05/25]]+(1-Planbase100[[#This Row],[05/05/25]])*'Plan 39'!AD34</f>
        <v>0.97687858823529417</v>
      </c>
      <c r="BX62" s="127">
        <f>Planbase100[[#This Row],[05/05/25]]+(1-Planbase100[[#This Row],[05/05/25]])*'Plan 39'!AE34</f>
        <v>0.98016941176470596</v>
      </c>
      <c r="BY62" s="127">
        <f>Planbase100[[#This Row],[05/05/25]]+(1-Planbase100[[#This Row],[05/05/25]])*'Plan 39'!AF34</f>
        <v>0.98346023529411764</v>
      </c>
      <c r="BZ62" s="127">
        <f>Planbase100[[#This Row],[05/05/25]]+(1-Planbase100[[#This Row],[05/05/25]])*'Plan 39'!AG34</f>
        <v>0.98675105882352943</v>
      </c>
      <c r="CA62" s="127">
        <f>Planbase100[[#This Row],[05/05/25]]+(1-Planbase100[[#This Row],[05/05/25]])*'Plan 39'!AH34</f>
        <v>0.99004188235294122</v>
      </c>
      <c r="CB62" s="127">
        <f>Planbase100[[#This Row],[05/05/25]]+(1-Planbase100[[#This Row],[05/05/25]])*'Plan 39'!AI34</f>
        <v>0.99333270588235301</v>
      </c>
      <c r="CC62" s="127">
        <f>Planbase100[[#This Row],[05/05/25]]+(1-Planbase100[[#This Row],[05/05/25]])*'Plan 39'!AJ34</f>
        <v>0.9966235294117648</v>
      </c>
      <c r="CD62" s="127">
        <f>Planbase100[[#This Row],[05/05/25]]+(1-Planbase100[[#This Row],[05/05/25]])*'Plan 39'!AK34</f>
        <v>1</v>
      </c>
      <c r="CE62" s="127">
        <f>Planbase100[[#This Row],[05/05/25]]+(1-Planbase100[[#This Row],[05/05/25]])*'Plan 39'!AL34</f>
        <v>1</v>
      </c>
      <c r="CF62" s="127">
        <f>Planbase100[[#This Row],[05/05/25]]+(1-Planbase100[[#This Row],[05/05/25]])*'Plan 39'!AM34</f>
        <v>1</v>
      </c>
      <c r="CG62" s="127">
        <f>Planbase100[[#This Row],[05/05/25]]+(1-Planbase100[[#This Row],[05/05/25]])*'Plan 39'!AN34</f>
        <v>1</v>
      </c>
      <c r="CH62" s="127">
        <f>Planbase100[[#This Row],[05/05/25]]+(1-Planbase100[[#This Row],[05/05/25]])*'Plan 39'!AO34</f>
        <v>1</v>
      </c>
      <c r="CI62" s="127">
        <f>Planbase100[[#This Row],[05/05/25]]+(1-Planbase100[[#This Row],[05/05/25]])*'Plan 39'!AP34</f>
        <v>1</v>
      </c>
      <c r="CJ62" s="127">
        <f>Planbase100[[#This Row],[05/05/25]]+(1-Planbase100[[#This Row],[05/05/25]])*'Plan 39'!AQ34</f>
        <v>1</v>
      </c>
      <c r="CK62" s="127">
        <f>Planbase100[[#This Row],[05/05/25]]+(1-Planbase100[[#This Row],[05/05/25]])*'Plan 39'!AR34</f>
        <v>1</v>
      </c>
      <c r="CL62" s="127">
        <f>Planbase100[[#This Row],[05/05/25]]+(1-Planbase100[[#This Row],[05/05/25]])*'Plan 39'!AS34</f>
        <v>1</v>
      </c>
      <c r="CM62" s="127">
        <f>Planbase100[[#This Row],[05/05/25]]+(1-Planbase100[[#This Row],[05/05/25]])*'Plan 39'!AT34</f>
        <v>1</v>
      </c>
      <c r="CN62" s="127">
        <f>Planbase100[[#This Row],[05/05/25]]+(1-Planbase100[[#This Row],[05/05/25]])*'Plan 39'!AU34</f>
        <v>1</v>
      </c>
      <c r="CO62" s="127">
        <f>Planbase100[[#This Row],[05/05/25]]+(1-Planbase100[[#This Row],[05/05/25]])*'Plan 39'!AV34</f>
        <v>1</v>
      </c>
      <c r="CP62" s="127">
        <f>Planbase100[[#This Row],[05/05/25]]+(1-Planbase100[[#This Row],[05/05/25]])*'Plan 39'!AW34</f>
        <v>1</v>
      </c>
      <c r="CQ62" s="127">
        <f>Planbase100[[#This Row],[05/05/25]]+(1-Planbase100[[#This Row],[05/05/25]])*'Plan 39'!AX34</f>
        <v>1</v>
      </c>
      <c r="CR62" s="127">
        <f>Planbase100[[#This Row],[05/05/25]]+(1-Planbase100[[#This Row],[05/05/25]])*'Plan 39'!AY34</f>
        <v>1</v>
      </c>
      <c r="CS62" s="127">
        <f>Planbase100[[#This Row],[05/05/25]]+(1-Planbase100[[#This Row],[05/05/25]])*'Plan 39'!AZ34</f>
        <v>1</v>
      </c>
      <c r="CT62" s="127">
        <f>Planbase100[[#This Row],[05/05/25]]+(1-Planbase100[[#This Row],[05/05/25]])*'Plan 39'!BA34</f>
        <v>1</v>
      </c>
      <c r="CU62" s="127">
        <f>Planbase100[[#This Row],[05/05/25]]+(1-Planbase100[[#This Row],[05/05/25]])*'Plan 39'!BB34</f>
        <v>1</v>
      </c>
      <c r="CV62" s="127">
        <f>Planbase100[[#This Row],[05/05/25]]+(1-Planbase100[[#This Row],[05/05/25]])*'Plan 39'!BC34</f>
        <v>1</v>
      </c>
      <c r="CW62" s="127">
        <f>Planbase100[[#This Row],[05/05/25]]+(1-Planbase100[[#This Row],[05/05/25]])*'Plan 39'!BD34</f>
        <v>1</v>
      </c>
      <c r="CX62" s="127">
        <f>Planbase100[[#This Row],[05/05/25]]+(1-Planbase100[[#This Row],[05/05/25]])*'Plan 39'!BE34</f>
        <v>1</v>
      </c>
      <c r="CY62" s="127">
        <f>Planbase100[[#This Row],[05/05/25]]+(1-Planbase100[[#This Row],[05/05/25]])*'Plan 39'!BF34</f>
        <v>1</v>
      </c>
      <c r="CZ62" s="127">
        <f>Planbase100[[#This Row],[05/05/25]]+(1-Planbase100[[#This Row],[05/05/25]])*'Plan 39'!BG34</f>
        <v>1</v>
      </c>
      <c r="DA62" s="127">
        <f>Planbase100[[#This Row],[05/05/25]]+(1-Planbase100[[#This Row],[05/05/25]])*'Plan 39'!BH34</f>
        <v>1</v>
      </c>
      <c r="DB62" s="127">
        <f>Planbase100[[#This Row],[05/05/25]]+(1-Planbase100[[#This Row],[05/05/25]])*'Plan 39'!BI34</f>
        <v>1</v>
      </c>
      <c r="DC62" s="127">
        <f>Planbase100[[#This Row],[05/05/25]]+(1-Planbase100[[#This Row],[05/05/25]])*'Plan 39'!BJ34</f>
        <v>1</v>
      </c>
      <c r="DD62" s="127">
        <f>Planbase100[[#This Row],[05/05/25]]+(1-Planbase100[[#This Row],[05/05/25]])*'Plan 39'!BK34</f>
        <v>1</v>
      </c>
      <c r="DE62" s="127">
        <f>Planbase100[[#This Row],[05/05/25]]+(1-Planbase100[[#This Row],[05/05/25]])*'Plan 39'!BL34</f>
        <v>1</v>
      </c>
      <c r="DF62" s="127">
        <f>Planbase100[[#This Row],[05/05/25]]+(1-Planbase100[[#This Row],[05/05/25]])*'Plan 39'!BM34</f>
        <v>1</v>
      </c>
      <c r="DG62" s="127">
        <f>Planbase100[[#This Row],[05/05/25]]+(1-Planbase100[[#This Row],[05/05/25]])*'Plan 39'!BN34</f>
        <v>1</v>
      </c>
      <c r="DH62" s="127">
        <f>Planbase100[[#This Row],[05/05/25]]+(1-Planbase100[[#This Row],[05/05/25]])*'Plan 39'!BO34</f>
        <v>1</v>
      </c>
      <c r="DI62" s="127">
        <f>Planbase100[[#This Row],[05/05/25]]+(1-Planbase100[[#This Row],[05/05/25]])*'Plan 39'!BP34</f>
        <v>1</v>
      </c>
      <c r="DJ62" s="127">
        <f>Planbase100[[#This Row],[05/05/25]]+(1-Planbase100[[#This Row],[05/05/25]])*'Plan 39'!BQ34</f>
        <v>1</v>
      </c>
      <c r="DK62" s="127">
        <f>Planbase100[[#This Row],[05/05/25]]+(1-Planbase100[[#This Row],[05/05/25]])*'Plan 39'!BR34</f>
        <v>1</v>
      </c>
      <c r="DL62" s="127">
        <f>Planbase100[[#This Row],[05/05/25]]+(1-Planbase100[[#This Row],[05/05/25]])*'Plan 39'!BS34</f>
        <v>1</v>
      </c>
      <c r="DM62" s="127">
        <f>Planbase100[[#This Row],[05/05/25]]+(1-Planbase100[[#This Row],[05/05/25]])*'Plan 39'!BT34</f>
        <v>1</v>
      </c>
      <c r="DN62" s="127">
        <f>Planbase100[[#This Row],[05/05/25]]+(1-Planbase100[[#This Row],[05/05/25]])*'Plan 39'!BU34</f>
        <v>1</v>
      </c>
      <c r="DO62" s="127">
        <f>Planbase100[[#This Row],[05/05/25]]+(1-Planbase100[[#This Row],[05/05/25]])*'Plan 39'!BV34</f>
        <v>1</v>
      </c>
      <c r="DP62" s="127">
        <f>Planbase100[[#This Row],[05/05/25]]+(1-Planbase100[[#This Row],[05/05/25]])*'Plan 39'!BW34</f>
        <v>1</v>
      </c>
      <c r="DQ62" s="127">
        <f>Planbase100[[#This Row],[05/05/25]]+(1-Planbase100[[#This Row],[05/05/25]])*'Plan 39'!BX34</f>
        <v>1</v>
      </c>
      <c r="DR62" s="127">
        <f>Planbase100[[#This Row],[05/05/25]]+(1-Planbase100[[#This Row],[05/05/25]])*'Plan 39'!BY34</f>
        <v>1</v>
      </c>
      <c r="DS62" s="127">
        <f>Planbase100[[#This Row],[05/05/25]]+(1-Planbase100[[#This Row],[05/05/25]])*'Plan 39'!BZ34</f>
        <v>1</v>
      </c>
      <c r="DT62" s="127">
        <f>Planbase100[[#This Row],[05/05/25]]+(1-Planbase100[[#This Row],[05/05/25]])*'Plan 39'!CA34</f>
        <v>1</v>
      </c>
      <c r="DU62" s="127">
        <f>Planbase100[[#This Row],[05/05/25]]+(1-Planbase100[[#This Row],[05/05/25]])*'Plan 39'!CB34</f>
        <v>1</v>
      </c>
      <c r="DV62" s="127">
        <f>Planbase100[[#This Row],[05/05/25]]+(1-Planbase100[[#This Row],[05/05/25]])*'Plan 39'!CC34</f>
        <v>1</v>
      </c>
      <c r="DW62" s="127">
        <f>Planbase100[[#This Row],[05/05/25]]+(1-Planbase100[[#This Row],[05/05/25]])*'Plan 39'!CD34</f>
        <v>1</v>
      </c>
      <c r="DX62" s="127">
        <f>Planbase100[[#This Row],[05/05/25]]+(1-Planbase100[[#This Row],[05/05/25]])*'Plan 39'!CE34</f>
        <v>1</v>
      </c>
      <c r="DY62" s="127">
        <f>Planbase100[[#This Row],[05/05/25]]+(1-Planbase100[[#This Row],[05/05/25]])*'Plan 39'!CF34</f>
        <v>1</v>
      </c>
      <c r="DZ62" s="127">
        <f>Planbase100[[#This Row],[05/05/25]]+(1-Planbase100[[#This Row],[05/05/25]])*'Plan 39'!CG34</f>
        <v>1</v>
      </c>
      <c r="EA62" s="127">
        <f>Planbase100[[#This Row],[05/05/25]]+(1-Planbase100[[#This Row],[05/05/25]])*'Plan 39'!CH34</f>
        <v>1</v>
      </c>
      <c r="EB62" s="127">
        <f>Planbase100[[#This Row],[05/05/25]]+(1-Planbase100[[#This Row],[05/05/25]])*'Plan 39'!CI34</f>
        <v>1</v>
      </c>
      <c r="EC62" s="127">
        <f>Planbase100[[#This Row],[05/05/25]]+(1-Planbase100[[#This Row],[05/05/25]])*'Plan 39'!CJ34</f>
        <v>1</v>
      </c>
      <c r="ED62" s="127">
        <f>Planbase100[[#This Row],[05/05/25]]+(1-Planbase100[[#This Row],[05/05/25]])*'Plan 39'!CK34</f>
        <v>1</v>
      </c>
      <c r="EE62" s="127">
        <f>Planbase100[[#This Row],[05/05/25]]+(1-Planbase100[[#This Row],[05/05/25]])*'Plan 39'!CL34</f>
        <v>1</v>
      </c>
      <c r="EF62" s="127">
        <f>Planbase100[[#This Row],[05/05/25]]+(1-Planbase100[[#This Row],[05/05/25]])*'Plan 39'!CM34</f>
        <v>1</v>
      </c>
      <c r="EG62" s="127">
        <f>Planbase100[[#This Row],[05/05/25]]+(1-Planbase100[[#This Row],[05/05/25]])*'Plan 39'!CN34</f>
        <v>1</v>
      </c>
      <c r="EH62" s="127">
        <f>Planbase100[[#This Row],[05/05/25]]+(1-Planbase100[[#This Row],[05/05/25]])*'Plan 39'!CO34</f>
        <v>1</v>
      </c>
      <c r="EI62" s="127">
        <f>Planbase100[[#This Row],[05/05/25]]+(1-Planbase100[[#This Row],[05/05/25]])*'Plan 39'!CP34</f>
        <v>1</v>
      </c>
    </row>
    <row r="63" spans="2:139" hidden="1" outlineLevel="3" x14ac:dyDescent="0.3">
      <c r="B63" s="29"/>
      <c r="C63" s="30"/>
      <c r="D63" s="65"/>
      <c r="E63" s="52" t="s">
        <v>68</v>
      </c>
      <c r="F63" s="33">
        <v>30</v>
      </c>
      <c r="G63" s="35">
        <v>0.06</v>
      </c>
      <c r="H63" s="53"/>
      <c r="I63" s="126">
        <v>0</v>
      </c>
      <c r="J63" s="127">
        <v>0</v>
      </c>
      <c r="K63" s="127">
        <v>0</v>
      </c>
      <c r="L63" s="127">
        <v>0</v>
      </c>
      <c r="M63" s="128">
        <v>0</v>
      </c>
      <c r="N63" s="128">
        <v>0</v>
      </c>
      <c r="O63" s="127">
        <v>0</v>
      </c>
      <c r="P63" s="127">
        <v>0</v>
      </c>
      <c r="Q63" s="127">
        <v>0</v>
      </c>
      <c r="R63" s="127">
        <v>0</v>
      </c>
      <c r="S63" s="127">
        <v>0</v>
      </c>
      <c r="T63" s="127">
        <v>0</v>
      </c>
      <c r="U63" s="127">
        <v>0</v>
      </c>
      <c r="V63" s="127">
        <v>0</v>
      </c>
      <c r="W63" s="127">
        <v>0</v>
      </c>
      <c r="X63" s="127">
        <v>0</v>
      </c>
      <c r="Y63" s="127">
        <v>0</v>
      </c>
      <c r="Z63" s="127">
        <v>0</v>
      </c>
      <c r="AA63" s="127">
        <v>0</v>
      </c>
      <c r="AB63" s="127">
        <v>0</v>
      </c>
      <c r="AC63" s="127">
        <v>0</v>
      </c>
      <c r="AD63" s="127">
        <v>0</v>
      </c>
      <c r="AE63" s="127">
        <v>0</v>
      </c>
      <c r="AF63" s="127">
        <v>0</v>
      </c>
      <c r="AG63" s="127">
        <v>0</v>
      </c>
      <c r="AH63" s="127">
        <v>0</v>
      </c>
      <c r="AI63" s="127">
        <v>0</v>
      </c>
      <c r="AJ63" s="127">
        <v>0</v>
      </c>
      <c r="AK63" s="127">
        <v>0</v>
      </c>
      <c r="AL63" s="127">
        <v>0</v>
      </c>
      <c r="AM63" s="127">
        <v>0</v>
      </c>
      <c r="AN63" s="127">
        <v>0.11475409836065575</v>
      </c>
      <c r="AO63" s="127">
        <v>0.11475409836065575</v>
      </c>
      <c r="AP63" s="127">
        <v>0.11475409836065575</v>
      </c>
      <c r="AQ63" s="127">
        <v>0.11475409836065575</v>
      </c>
      <c r="AR63" s="127">
        <v>0.11475409836065575</v>
      </c>
      <c r="AS63" s="127">
        <v>0.11475409836065575</v>
      </c>
      <c r="AT63" s="127">
        <v>0.11475409836065575</v>
      </c>
      <c r="AU63" s="127">
        <v>0.11475409836065575</v>
      </c>
      <c r="AV63" s="127">
        <v>0.11475409836065575</v>
      </c>
      <c r="AW63" s="127">
        <v>0.11475409836065575</v>
      </c>
      <c r="AX63" s="127">
        <v>0.11475409836065575</v>
      </c>
      <c r="AY63" s="127">
        <v>0.11475409836065575</v>
      </c>
      <c r="AZ63" s="127">
        <v>0.11475409836065575</v>
      </c>
      <c r="BA63" s="127">
        <v>0.11475409836065575</v>
      </c>
      <c r="BB63" s="127">
        <f>Planbase100[[#This Row],[05/05/25]]+(1-Planbase100[[#This Row],[05/05/25]])*'Plan 39'!I35</f>
        <v>0.11475409836065575</v>
      </c>
      <c r="BC63" s="127">
        <f>Planbase100[[#This Row],[05/05/25]]+(1-Planbase100[[#This Row],[05/05/25]])*'Plan 39'!J35</f>
        <v>0.11475409836065575</v>
      </c>
      <c r="BD63" s="127">
        <f>Planbase100[[#This Row],[05/05/25]]+(1-Planbase100[[#This Row],[05/05/25]])*'Plan 39'!K35</f>
        <v>0.14754098360655737</v>
      </c>
      <c r="BE63" s="127">
        <f>Planbase100[[#This Row],[05/05/25]]+(1-Planbase100[[#This Row],[05/05/25]])*'Plan 39'!L35</f>
        <v>0.18029508196721314</v>
      </c>
      <c r="BF63" s="127">
        <f>Planbase100[[#This Row],[05/05/25]]+(1-Planbase100[[#This Row],[05/05/25]])*'Plan 39'!M35</f>
        <v>0.21304918032786888</v>
      </c>
      <c r="BG63" s="127">
        <f>Planbase100[[#This Row],[05/05/25]]+(1-Planbase100[[#This Row],[05/05/25]])*'Plan 39'!N35</f>
        <v>0.24580327868852461</v>
      </c>
      <c r="BH63" s="127">
        <f>Planbase100[[#This Row],[05/05/25]]+(1-Planbase100[[#This Row],[05/05/25]])*'Plan 39'!O35</f>
        <v>0.27855737704918038</v>
      </c>
      <c r="BI63" s="127">
        <f>Planbase100[[#This Row],[05/05/25]]+(1-Planbase100[[#This Row],[05/05/25]])*'Plan 39'!P35</f>
        <v>0.31131147540983606</v>
      </c>
      <c r="BJ63" s="127">
        <f>Planbase100[[#This Row],[05/05/25]]+(1-Planbase100[[#This Row],[05/05/25]])*'Plan 39'!Q35</f>
        <v>0.34406557377049185</v>
      </c>
      <c r="BK63" s="127">
        <f>Planbase100[[#This Row],[05/05/25]]+(1-Planbase100[[#This Row],[05/05/25]])*'Plan 39'!R35</f>
        <v>0.37681967213114759</v>
      </c>
      <c r="BL63" s="127">
        <f>Planbase100[[#This Row],[05/05/25]]+(1-Planbase100[[#This Row],[05/05/25]])*'Plan 39'!S35</f>
        <v>0.40957377049180338</v>
      </c>
      <c r="BM63" s="127">
        <f>Planbase100[[#This Row],[05/05/25]]+(1-Planbase100[[#This Row],[05/05/25]])*'Plan 39'!T35</f>
        <v>0.44232786885245912</v>
      </c>
      <c r="BN63" s="127">
        <f>Planbase100[[#This Row],[05/05/25]]+(1-Planbase100[[#This Row],[05/05/25]])*'Plan 39'!U35</f>
        <v>0.47508196721311491</v>
      </c>
      <c r="BO63" s="127">
        <f>Planbase100[[#This Row],[05/05/25]]+(1-Planbase100[[#This Row],[05/05/25]])*'Plan 39'!V35</f>
        <v>0.50783606557377059</v>
      </c>
      <c r="BP63" s="127">
        <f>Planbase100[[#This Row],[05/05/25]]+(1-Planbase100[[#This Row],[05/05/25]])*'Plan 39'!W35</f>
        <v>0.54059016393442638</v>
      </c>
      <c r="BQ63" s="127">
        <f>Planbase100[[#This Row],[05/05/25]]+(1-Planbase100[[#This Row],[05/05/25]])*'Plan 39'!X35</f>
        <v>0.57334426229508217</v>
      </c>
      <c r="BR63" s="127">
        <f>Planbase100[[#This Row],[05/05/25]]+(1-Planbase100[[#This Row],[05/05/25]])*'Plan 39'!Y35</f>
        <v>0.60609836065573797</v>
      </c>
      <c r="BS63" s="127">
        <f>Planbase100[[#This Row],[05/05/25]]+(1-Planbase100[[#This Row],[05/05/25]])*'Plan 39'!Z35</f>
        <v>0.63885245901639376</v>
      </c>
      <c r="BT63" s="127">
        <f>Planbase100[[#This Row],[05/05/25]]+(1-Planbase100[[#This Row],[05/05/25]])*'Plan 39'!AA35</f>
        <v>0.67160655737704955</v>
      </c>
      <c r="BU63" s="127">
        <f>Planbase100[[#This Row],[05/05/25]]+(1-Planbase100[[#This Row],[05/05/25]])*'Plan 39'!AB35</f>
        <v>0.70436065573770523</v>
      </c>
      <c r="BV63" s="127">
        <f>Planbase100[[#This Row],[05/05/25]]+(1-Planbase100[[#This Row],[05/05/25]])*'Plan 39'!AC35</f>
        <v>0.73711475409836102</v>
      </c>
      <c r="BW63" s="127">
        <f>Planbase100[[#This Row],[05/05/25]]+(1-Planbase100[[#This Row],[05/05/25]])*'Plan 39'!AD35</f>
        <v>0.76986885245901682</v>
      </c>
      <c r="BX63" s="127">
        <f>Planbase100[[#This Row],[05/05/25]]+(1-Planbase100[[#This Row],[05/05/25]])*'Plan 39'!AE35</f>
        <v>0.80262295081967261</v>
      </c>
      <c r="BY63" s="127">
        <f>Planbase100[[#This Row],[05/05/25]]+(1-Planbase100[[#This Row],[05/05/25]])*'Plan 39'!AF35</f>
        <v>0.83537704918032829</v>
      </c>
      <c r="BZ63" s="127">
        <f>Planbase100[[#This Row],[05/05/25]]+(1-Planbase100[[#This Row],[05/05/25]])*'Plan 39'!AG35</f>
        <v>0.86813114754098408</v>
      </c>
      <c r="CA63" s="127">
        <f>Planbase100[[#This Row],[05/05/25]]+(1-Planbase100[[#This Row],[05/05/25]])*'Plan 39'!AH35</f>
        <v>0.90088524590163988</v>
      </c>
      <c r="CB63" s="127">
        <f>Planbase100[[#This Row],[05/05/25]]+(1-Planbase100[[#This Row],[05/05/25]])*'Plan 39'!AI35</f>
        <v>0.93363934426229567</v>
      </c>
      <c r="CC63" s="127">
        <f>Planbase100[[#This Row],[05/05/25]]+(1-Planbase100[[#This Row],[05/05/25]])*'Plan 39'!AJ35</f>
        <v>0.96639344262295135</v>
      </c>
      <c r="CD63" s="127">
        <f>Planbase100[[#This Row],[05/05/25]]+(1-Planbase100[[#This Row],[05/05/25]])*'Plan 39'!AK35</f>
        <v>1</v>
      </c>
      <c r="CE63" s="127">
        <f>Planbase100[[#This Row],[05/05/25]]+(1-Planbase100[[#This Row],[05/05/25]])*'Plan 39'!AL35</f>
        <v>1</v>
      </c>
      <c r="CF63" s="127">
        <f>Planbase100[[#This Row],[05/05/25]]+(1-Planbase100[[#This Row],[05/05/25]])*'Plan 39'!AM35</f>
        <v>1</v>
      </c>
      <c r="CG63" s="127">
        <f>Planbase100[[#This Row],[05/05/25]]+(1-Planbase100[[#This Row],[05/05/25]])*'Plan 39'!AN35</f>
        <v>1</v>
      </c>
      <c r="CH63" s="127">
        <f>Planbase100[[#This Row],[05/05/25]]+(1-Planbase100[[#This Row],[05/05/25]])*'Plan 39'!AO35</f>
        <v>1</v>
      </c>
      <c r="CI63" s="127">
        <f>Planbase100[[#This Row],[05/05/25]]+(1-Planbase100[[#This Row],[05/05/25]])*'Plan 39'!AP35</f>
        <v>1</v>
      </c>
      <c r="CJ63" s="127">
        <f>Planbase100[[#This Row],[05/05/25]]+(1-Planbase100[[#This Row],[05/05/25]])*'Plan 39'!AQ35</f>
        <v>1</v>
      </c>
      <c r="CK63" s="127">
        <f>Planbase100[[#This Row],[05/05/25]]+(1-Planbase100[[#This Row],[05/05/25]])*'Plan 39'!AR35</f>
        <v>1</v>
      </c>
      <c r="CL63" s="127">
        <f>Planbase100[[#This Row],[05/05/25]]+(1-Planbase100[[#This Row],[05/05/25]])*'Plan 39'!AS35</f>
        <v>1</v>
      </c>
      <c r="CM63" s="127">
        <f>Planbase100[[#This Row],[05/05/25]]+(1-Planbase100[[#This Row],[05/05/25]])*'Plan 39'!AT35</f>
        <v>1</v>
      </c>
      <c r="CN63" s="127">
        <f>Planbase100[[#This Row],[05/05/25]]+(1-Planbase100[[#This Row],[05/05/25]])*'Plan 39'!AU35</f>
        <v>1</v>
      </c>
      <c r="CO63" s="127">
        <f>Planbase100[[#This Row],[05/05/25]]+(1-Planbase100[[#This Row],[05/05/25]])*'Plan 39'!AV35</f>
        <v>1</v>
      </c>
      <c r="CP63" s="127">
        <f>Planbase100[[#This Row],[05/05/25]]+(1-Planbase100[[#This Row],[05/05/25]])*'Plan 39'!AW35</f>
        <v>1</v>
      </c>
      <c r="CQ63" s="127">
        <f>Planbase100[[#This Row],[05/05/25]]+(1-Planbase100[[#This Row],[05/05/25]])*'Plan 39'!AX35</f>
        <v>1</v>
      </c>
      <c r="CR63" s="127">
        <f>Planbase100[[#This Row],[05/05/25]]+(1-Planbase100[[#This Row],[05/05/25]])*'Plan 39'!AY35</f>
        <v>1</v>
      </c>
      <c r="CS63" s="127">
        <f>Planbase100[[#This Row],[05/05/25]]+(1-Planbase100[[#This Row],[05/05/25]])*'Plan 39'!AZ35</f>
        <v>1</v>
      </c>
      <c r="CT63" s="127">
        <f>Planbase100[[#This Row],[05/05/25]]+(1-Planbase100[[#This Row],[05/05/25]])*'Plan 39'!BA35</f>
        <v>1</v>
      </c>
      <c r="CU63" s="127">
        <f>Planbase100[[#This Row],[05/05/25]]+(1-Planbase100[[#This Row],[05/05/25]])*'Plan 39'!BB35</f>
        <v>1</v>
      </c>
      <c r="CV63" s="127">
        <f>Planbase100[[#This Row],[05/05/25]]+(1-Planbase100[[#This Row],[05/05/25]])*'Plan 39'!BC35</f>
        <v>1</v>
      </c>
      <c r="CW63" s="127">
        <f>Planbase100[[#This Row],[05/05/25]]+(1-Planbase100[[#This Row],[05/05/25]])*'Plan 39'!BD35</f>
        <v>1</v>
      </c>
      <c r="CX63" s="127">
        <f>Planbase100[[#This Row],[05/05/25]]+(1-Planbase100[[#This Row],[05/05/25]])*'Plan 39'!BE35</f>
        <v>1</v>
      </c>
      <c r="CY63" s="127">
        <f>Planbase100[[#This Row],[05/05/25]]+(1-Planbase100[[#This Row],[05/05/25]])*'Plan 39'!BF35</f>
        <v>1</v>
      </c>
      <c r="CZ63" s="127">
        <f>Planbase100[[#This Row],[05/05/25]]+(1-Planbase100[[#This Row],[05/05/25]])*'Plan 39'!BG35</f>
        <v>1</v>
      </c>
      <c r="DA63" s="127">
        <f>Planbase100[[#This Row],[05/05/25]]+(1-Planbase100[[#This Row],[05/05/25]])*'Plan 39'!BH35</f>
        <v>1</v>
      </c>
      <c r="DB63" s="127">
        <f>Planbase100[[#This Row],[05/05/25]]+(1-Planbase100[[#This Row],[05/05/25]])*'Plan 39'!BI35</f>
        <v>1</v>
      </c>
      <c r="DC63" s="127">
        <f>Planbase100[[#This Row],[05/05/25]]+(1-Planbase100[[#This Row],[05/05/25]])*'Plan 39'!BJ35</f>
        <v>1</v>
      </c>
      <c r="DD63" s="127">
        <f>Planbase100[[#This Row],[05/05/25]]+(1-Planbase100[[#This Row],[05/05/25]])*'Plan 39'!BK35</f>
        <v>1</v>
      </c>
      <c r="DE63" s="127">
        <f>Planbase100[[#This Row],[05/05/25]]+(1-Planbase100[[#This Row],[05/05/25]])*'Plan 39'!BL35</f>
        <v>1</v>
      </c>
      <c r="DF63" s="127">
        <f>Planbase100[[#This Row],[05/05/25]]+(1-Planbase100[[#This Row],[05/05/25]])*'Plan 39'!BM35</f>
        <v>1</v>
      </c>
      <c r="DG63" s="127">
        <f>Planbase100[[#This Row],[05/05/25]]+(1-Planbase100[[#This Row],[05/05/25]])*'Plan 39'!BN35</f>
        <v>1</v>
      </c>
      <c r="DH63" s="127">
        <f>Planbase100[[#This Row],[05/05/25]]+(1-Planbase100[[#This Row],[05/05/25]])*'Plan 39'!BO35</f>
        <v>1</v>
      </c>
      <c r="DI63" s="127">
        <f>Planbase100[[#This Row],[05/05/25]]+(1-Planbase100[[#This Row],[05/05/25]])*'Plan 39'!BP35</f>
        <v>1</v>
      </c>
      <c r="DJ63" s="127">
        <f>Planbase100[[#This Row],[05/05/25]]+(1-Planbase100[[#This Row],[05/05/25]])*'Plan 39'!BQ35</f>
        <v>1</v>
      </c>
      <c r="DK63" s="127">
        <f>Planbase100[[#This Row],[05/05/25]]+(1-Planbase100[[#This Row],[05/05/25]])*'Plan 39'!BR35</f>
        <v>1</v>
      </c>
      <c r="DL63" s="127">
        <f>Planbase100[[#This Row],[05/05/25]]+(1-Planbase100[[#This Row],[05/05/25]])*'Plan 39'!BS35</f>
        <v>1</v>
      </c>
      <c r="DM63" s="127">
        <f>Planbase100[[#This Row],[05/05/25]]+(1-Planbase100[[#This Row],[05/05/25]])*'Plan 39'!BT35</f>
        <v>1</v>
      </c>
      <c r="DN63" s="127">
        <f>Planbase100[[#This Row],[05/05/25]]+(1-Planbase100[[#This Row],[05/05/25]])*'Plan 39'!BU35</f>
        <v>1</v>
      </c>
      <c r="DO63" s="127">
        <f>Planbase100[[#This Row],[05/05/25]]+(1-Planbase100[[#This Row],[05/05/25]])*'Plan 39'!BV35</f>
        <v>1</v>
      </c>
      <c r="DP63" s="127">
        <f>Planbase100[[#This Row],[05/05/25]]+(1-Planbase100[[#This Row],[05/05/25]])*'Plan 39'!BW35</f>
        <v>1</v>
      </c>
      <c r="DQ63" s="127">
        <f>Planbase100[[#This Row],[05/05/25]]+(1-Planbase100[[#This Row],[05/05/25]])*'Plan 39'!BX35</f>
        <v>1</v>
      </c>
      <c r="DR63" s="127">
        <f>Planbase100[[#This Row],[05/05/25]]+(1-Planbase100[[#This Row],[05/05/25]])*'Plan 39'!BY35</f>
        <v>1</v>
      </c>
      <c r="DS63" s="127">
        <f>Planbase100[[#This Row],[05/05/25]]+(1-Planbase100[[#This Row],[05/05/25]])*'Plan 39'!BZ35</f>
        <v>1</v>
      </c>
      <c r="DT63" s="127">
        <f>Planbase100[[#This Row],[05/05/25]]+(1-Planbase100[[#This Row],[05/05/25]])*'Plan 39'!CA35</f>
        <v>1</v>
      </c>
      <c r="DU63" s="127">
        <f>Planbase100[[#This Row],[05/05/25]]+(1-Planbase100[[#This Row],[05/05/25]])*'Plan 39'!CB35</f>
        <v>1</v>
      </c>
      <c r="DV63" s="127">
        <f>Planbase100[[#This Row],[05/05/25]]+(1-Planbase100[[#This Row],[05/05/25]])*'Plan 39'!CC35</f>
        <v>1</v>
      </c>
      <c r="DW63" s="127">
        <f>Planbase100[[#This Row],[05/05/25]]+(1-Planbase100[[#This Row],[05/05/25]])*'Plan 39'!CD35</f>
        <v>1</v>
      </c>
      <c r="DX63" s="127">
        <f>Planbase100[[#This Row],[05/05/25]]+(1-Planbase100[[#This Row],[05/05/25]])*'Plan 39'!CE35</f>
        <v>1</v>
      </c>
      <c r="DY63" s="127">
        <f>Planbase100[[#This Row],[05/05/25]]+(1-Planbase100[[#This Row],[05/05/25]])*'Plan 39'!CF35</f>
        <v>1</v>
      </c>
      <c r="DZ63" s="127">
        <f>Planbase100[[#This Row],[05/05/25]]+(1-Planbase100[[#This Row],[05/05/25]])*'Plan 39'!CG35</f>
        <v>1</v>
      </c>
      <c r="EA63" s="127">
        <f>Planbase100[[#This Row],[05/05/25]]+(1-Planbase100[[#This Row],[05/05/25]])*'Plan 39'!CH35</f>
        <v>1</v>
      </c>
      <c r="EB63" s="127">
        <f>Planbase100[[#This Row],[05/05/25]]+(1-Planbase100[[#This Row],[05/05/25]])*'Plan 39'!CI35</f>
        <v>1</v>
      </c>
      <c r="EC63" s="127">
        <f>Planbase100[[#This Row],[05/05/25]]+(1-Planbase100[[#This Row],[05/05/25]])*'Plan 39'!CJ35</f>
        <v>1</v>
      </c>
      <c r="ED63" s="127">
        <f>Planbase100[[#This Row],[05/05/25]]+(1-Planbase100[[#This Row],[05/05/25]])*'Plan 39'!CK35</f>
        <v>1</v>
      </c>
      <c r="EE63" s="127">
        <f>Planbase100[[#This Row],[05/05/25]]+(1-Planbase100[[#This Row],[05/05/25]])*'Plan 39'!CL35</f>
        <v>1</v>
      </c>
      <c r="EF63" s="127">
        <f>Planbase100[[#This Row],[05/05/25]]+(1-Planbase100[[#This Row],[05/05/25]])*'Plan 39'!CM35</f>
        <v>1</v>
      </c>
      <c r="EG63" s="127">
        <f>Planbase100[[#This Row],[05/05/25]]+(1-Planbase100[[#This Row],[05/05/25]])*'Plan 39'!CN35</f>
        <v>1</v>
      </c>
      <c r="EH63" s="127">
        <f>Planbase100[[#This Row],[05/05/25]]+(1-Planbase100[[#This Row],[05/05/25]])*'Plan 39'!CO35</f>
        <v>1</v>
      </c>
      <c r="EI63" s="127">
        <f>Planbase100[[#This Row],[05/05/25]]+(1-Planbase100[[#This Row],[05/05/25]])*'Plan 39'!CP35</f>
        <v>1</v>
      </c>
    </row>
    <row r="64" spans="2:139" hidden="1" outlineLevel="3" x14ac:dyDescent="0.3">
      <c r="B64" s="29"/>
      <c r="C64" s="30"/>
      <c r="D64" s="65"/>
      <c r="E64" s="52" t="s">
        <v>69</v>
      </c>
      <c r="F64" s="33">
        <v>60</v>
      </c>
      <c r="G64" s="35">
        <v>0.12</v>
      </c>
      <c r="H64" s="53"/>
      <c r="I64" s="126">
        <v>0</v>
      </c>
      <c r="J64" s="127">
        <v>0</v>
      </c>
      <c r="K64" s="127">
        <v>0</v>
      </c>
      <c r="L64" s="127">
        <v>0</v>
      </c>
      <c r="M64" s="128">
        <v>0</v>
      </c>
      <c r="N64" s="128">
        <v>0</v>
      </c>
      <c r="O64" s="127">
        <v>0</v>
      </c>
      <c r="P64" s="127">
        <v>0</v>
      </c>
      <c r="Q64" s="127">
        <v>0</v>
      </c>
      <c r="R64" s="127">
        <v>0</v>
      </c>
      <c r="S64" s="127">
        <v>0</v>
      </c>
      <c r="T64" s="127">
        <v>0</v>
      </c>
      <c r="U64" s="127">
        <v>0</v>
      </c>
      <c r="V64" s="127">
        <v>0</v>
      </c>
      <c r="W64" s="127">
        <v>0</v>
      </c>
      <c r="X64" s="127">
        <v>2.8571428571428574E-2</v>
      </c>
      <c r="Y64" s="127">
        <v>0.13055555555555556</v>
      </c>
      <c r="Z64" s="127">
        <v>0.24801587301587302</v>
      </c>
      <c r="AA64" s="127">
        <v>0.36865079365079367</v>
      </c>
      <c r="AB64" s="127">
        <v>0.63134920634920633</v>
      </c>
      <c r="AC64" s="127">
        <v>0.875</v>
      </c>
      <c r="AD64" s="127">
        <v>0.99285714285714288</v>
      </c>
      <c r="AE64" s="127">
        <v>0.99285714285714288</v>
      </c>
      <c r="AF64" s="127">
        <v>0.99307692307692319</v>
      </c>
      <c r="AG64" s="127">
        <v>0.99307692307692319</v>
      </c>
      <c r="AH64" s="127">
        <v>0.99307692307692319</v>
      </c>
      <c r="AI64" s="127">
        <v>0.99307692307692319</v>
      </c>
      <c r="AJ64" s="127">
        <v>0.99307692307692319</v>
      </c>
      <c r="AK64" s="127">
        <v>0.99307692307692319</v>
      </c>
      <c r="AL64" s="127">
        <v>0.99307692307692319</v>
      </c>
      <c r="AM64" s="127">
        <v>1</v>
      </c>
      <c r="AN64" s="127">
        <v>1</v>
      </c>
      <c r="AO64" s="127">
        <v>1</v>
      </c>
      <c r="AP64" s="127">
        <v>1</v>
      </c>
      <c r="AQ64" s="127">
        <v>1</v>
      </c>
      <c r="AR64" s="127">
        <v>1</v>
      </c>
      <c r="AS64" s="127">
        <v>1</v>
      </c>
      <c r="AT64" s="127">
        <v>1</v>
      </c>
      <c r="AU64" s="127">
        <v>1</v>
      </c>
      <c r="AV64" s="127">
        <v>1</v>
      </c>
      <c r="AW64" s="127">
        <v>1</v>
      </c>
      <c r="AX64" s="127">
        <v>1</v>
      </c>
      <c r="AY64" s="127">
        <v>1</v>
      </c>
      <c r="AZ64" s="127">
        <v>1</v>
      </c>
      <c r="BA64" s="127">
        <v>1</v>
      </c>
      <c r="BB64" s="127">
        <v>1</v>
      </c>
      <c r="BC64" s="127">
        <v>1</v>
      </c>
      <c r="BD64" s="127">
        <v>1</v>
      </c>
      <c r="BE64" s="127">
        <v>1</v>
      </c>
      <c r="BF64" s="127">
        <v>1</v>
      </c>
      <c r="BG64" s="127">
        <v>1</v>
      </c>
      <c r="BH64" s="127">
        <v>1</v>
      </c>
      <c r="BI64" s="127">
        <v>1</v>
      </c>
      <c r="BJ64" s="127">
        <v>1</v>
      </c>
      <c r="BK64" s="127">
        <v>1</v>
      </c>
      <c r="BL64" s="127">
        <v>1</v>
      </c>
      <c r="BM64" s="127">
        <v>1</v>
      </c>
      <c r="BN64" s="127">
        <v>1</v>
      </c>
      <c r="BO64" s="127">
        <v>1</v>
      </c>
      <c r="BP64" s="127">
        <v>1</v>
      </c>
      <c r="BQ64" s="127">
        <v>1</v>
      </c>
      <c r="BR64" s="127">
        <v>1</v>
      </c>
      <c r="BS64" s="127">
        <v>1</v>
      </c>
      <c r="BT64" s="127">
        <v>1</v>
      </c>
      <c r="BU64" s="127">
        <v>1</v>
      </c>
      <c r="BV64" s="127">
        <v>1</v>
      </c>
      <c r="BW64" s="127">
        <v>1</v>
      </c>
      <c r="BX64" s="127">
        <v>1</v>
      </c>
      <c r="BY64" s="127">
        <v>1</v>
      </c>
      <c r="BZ64" s="127">
        <v>1</v>
      </c>
      <c r="CA64" s="127">
        <v>1</v>
      </c>
      <c r="CB64" s="127">
        <v>1</v>
      </c>
      <c r="CC64" s="127">
        <v>1</v>
      </c>
      <c r="CD64" s="127">
        <v>1</v>
      </c>
      <c r="CE64" s="127">
        <v>1</v>
      </c>
      <c r="CF64" s="127">
        <v>1</v>
      </c>
      <c r="CG64" s="127">
        <v>1</v>
      </c>
      <c r="CH64" s="127">
        <v>1</v>
      </c>
      <c r="CI64" s="127">
        <v>1</v>
      </c>
      <c r="CJ64" s="127">
        <v>1</v>
      </c>
      <c r="CK64" s="127">
        <v>1</v>
      </c>
      <c r="CL64" s="127">
        <v>1</v>
      </c>
      <c r="CM64" s="127">
        <v>1</v>
      </c>
      <c r="CN64" s="127">
        <v>1</v>
      </c>
      <c r="CO64" s="127">
        <v>1</v>
      </c>
      <c r="CP64" s="127">
        <v>1</v>
      </c>
      <c r="CQ64" s="127">
        <v>1</v>
      </c>
      <c r="CR64" s="127">
        <v>1</v>
      </c>
      <c r="CS64" s="127">
        <v>1</v>
      </c>
      <c r="CT64" s="127">
        <v>1</v>
      </c>
      <c r="CU64" s="127">
        <v>1</v>
      </c>
      <c r="CV64" s="127">
        <v>1</v>
      </c>
      <c r="CW64" s="127">
        <v>1</v>
      </c>
      <c r="CX64" s="127">
        <v>1</v>
      </c>
      <c r="CY64" s="127">
        <v>1</v>
      </c>
      <c r="CZ64" s="127">
        <v>1</v>
      </c>
      <c r="DA64" s="127">
        <v>1</v>
      </c>
      <c r="DB64" s="127">
        <v>1</v>
      </c>
      <c r="DC64" s="127">
        <v>1</v>
      </c>
      <c r="DD64" s="127">
        <v>1</v>
      </c>
      <c r="DE64" s="127">
        <f>Planbase100[[#This Row],[05/05/25]]+(1-Planbase100[[#This Row],[05/05/25]])*'Plan 39'!BL36</f>
        <v>1</v>
      </c>
      <c r="DF64" s="127">
        <f>Planbase100[[#This Row],[05/05/25]]+(1-Planbase100[[#This Row],[05/05/25]])*'Plan 39'!BM36</f>
        <v>1</v>
      </c>
      <c r="DG64" s="127">
        <f>Planbase100[[#This Row],[05/05/25]]+(1-Planbase100[[#This Row],[05/05/25]])*'Plan 39'!BN36</f>
        <v>1</v>
      </c>
      <c r="DH64" s="127">
        <f>Planbase100[[#This Row],[05/05/25]]+(1-Planbase100[[#This Row],[05/05/25]])*'Plan 39'!BO36</f>
        <v>1</v>
      </c>
      <c r="DI64" s="127">
        <f>Planbase100[[#This Row],[05/05/25]]+(1-Planbase100[[#This Row],[05/05/25]])*'Plan 39'!BP36</f>
        <v>1</v>
      </c>
      <c r="DJ64" s="127">
        <f>Planbase100[[#This Row],[05/05/25]]+(1-Planbase100[[#This Row],[05/05/25]])*'Plan 39'!BQ36</f>
        <v>1</v>
      </c>
      <c r="DK64" s="127">
        <f>Planbase100[[#This Row],[05/05/25]]+(1-Planbase100[[#This Row],[05/05/25]])*'Plan 39'!BR36</f>
        <v>1</v>
      </c>
      <c r="DL64" s="127">
        <f>Planbase100[[#This Row],[05/05/25]]+(1-Planbase100[[#This Row],[05/05/25]])*'Plan 39'!BS36</f>
        <v>1</v>
      </c>
      <c r="DM64" s="127">
        <f>Planbase100[[#This Row],[05/05/25]]+(1-Planbase100[[#This Row],[05/05/25]])*'Plan 39'!BT36</f>
        <v>1</v>
      </c>
      <c r="DN64" s="127">
        <f>Planbase100[[#This Row],[05/05/25]]+(1-Planbase100[[#This Row],[05/05/25]])*'Plan 39'!BU36</f>
        <v>1</v>
      </c>
      <c r="DO64" s="127">
        <f>Planbase100[[#This Row],[05/05/25]]+(1-Planbase100[[#This Row],[05/05/25]])*'Plan 39'!BV36</f>
        <v>1</v>
      </c>
      <c r="DP64" s="127">
        <f>Planbase100[[#This Row],[05/05/25]]+(1-Planbase100[[#This Row],[05/05/25]])*'Plan 39'!BW36</f>
        <v>1</v>
      </c>
      <c r="DQ64" s="127">
        <f>Planbase100[[#This Row],[05/05/25]]+(1-Planbase100[[#This Row],[05/05/25]])*'Plan 39'!BX36</f>
        <v>1</v>
      </c>
      <c r="DR64" s="127">
        <f>Planbase100[[#This Row],[05/05/25]]+(1-Planbase100[[#This Row],[05/05/25]])*'Plan 39'!BY36</f>
        <v>1</v>
      </c>
      <c r="DS64" s="127">
        <f>Planbase100[[#This Row],[05/05/25]]+(1-Planbase100[[#This Row],[05/05/25]])*'Plan 39'!BZ36</f>
        <v>1</v>
      </c>
      <c r="DT64" s="127">
        <f>Planbase100[[#This Row],[05/05/25]]+(1-Planbase100[[#This Row],[05/05/25]])*'Plan 39'!CA36</f>
        <v>1</v>
      </c>
      <c r="DU64" s="127">
        <f>Planbase100[[#This Row],[05/05/25]]+(1-Planbase100[[#This Row],[05/05/25]])*'Plan 39'!CB36</f>
        <v>1</v>
      </c>
      <c r="DV64" s="127">
        <f>Planbase100[[#This Row],[05/05/25]]+(1-Planbase100[[#This Row],[05/05/25]])*'Plan 39'!CC36</f>
        <v>1</v>
      </c>
      <c r="DW64" s="127">
        <f>Planbase100[[#This Row],[05/05/25]]+(1-Planbase100[[#This Row],[05/05/25]])*'Plan 39'!CD36</f>
        <v>1</v>
      </c>
      <c r="DX64" s="127">
        <f>Planbase100[[#This Row],[05/05/25]]+(1-Planbase100[[#This Row],[05/05/25]])*'Plan 39'!CE36</f>
        <v>1</v>
      </c>
      <c r="DY64" s="127">
        <f>Planbase100[[#This Row],[05/05/25]]+(1-Planbase100[[#This Row],[05/05/25]])*'Plan 39'!CF36</f>
        <v>1</v>
      </c>
      <c r="DZ64" s="127">
        <f>Planbase100[[#This Row],[05/05/25]]+(1-Planbase100[[#This Row],[05/05/25]])*'Plan 39'!CG36</f>
        <v>1</v>
      </c>
      <c r="EA64" s="127">
        <f>Planbase100[[#This Row],[05/05/25]]+(1-Planbase100[[#This Row],[05/05/25]])*'Plan 39'!CH36</f>
        <v>1</v>
      </c>
      <c r="EB64" s="127">
        <f>Planbase100[[#This Row],[05/05/25]]+(1-Planbase100[[#This Row],[05/05/25]])*'Plan 39'!CI36</f>
        <v>1</v>
      </c>
      <c r="EC64" s="127">
        <f>Planbase100[[#This Row],[05/05/25]]+(1-Planbase100[[#This Row],[05/05/25]])*'Plan 39'!CJ36</f>
        <v>1</v>
      </c>
      <c r="ED64" s="127">
        <f>Planbase100[[#This Row],[05/05/25]]+(1-Planbase100[[#This Row],[05/05/25]])*'Plan 39'!CK36</f>
        <v>1</v>
      </c>
      <c r="EE64" s="127">
        <f>Planbase100[[#This Row],[05/05/25]]+(1-Planbase100[[#This Row],[05/05/25]])*'Plan 39'!CL36</f>
        <v>1</v>
      </c>
      <c r="EF64" s="127">
        <f>Planbase100[[#This Row],[05/05/25]]+(1-Planbase100[[#This Row],[05/05/25]])*'Plan 39'!CM36</f>
        <v>1</v>
      </c>
      <c r="EG64" s="127">
        <f>Planbase100[[#This Row],[05/05/25]]+(1-Planbase100[[#This Row],[05/05/25]])*'Plan 39'!CN36</f>
        <v>1</v>
      </c>
      <c r="EH64" s="127">
        <f>Planbase100[[#This Row],[05/05/25]]+(1-Planbase100[[#This Row],[05/05/25]])*'Plan 39'!CO36</f>
        <v>1</v>
      </c>
      <c r="EI64" s="127">
        <f>Planbase100[[#This Row],[05/05/25]]+(1-Planbase100[[#This Row],[05/05/25]])*'Plan 39'!CP36</f>
        <v>1</v>
      </c>
    </row>
    <row r="65" spans="2:139" hidden="1" outlineLevel="3" x14ac:dyDescent="0.3">
      <c r="B65" s="29"/>
      <c r="C65" s="30"/>
      <c r="D65" s="65"/>
      <c r="E65" s="52" t="s">
        <v>70</v>
      </c>
      <c r="F65" s="33">
        <v>20</v>
      </c>
      <c r="G65" s="35">
        <v>0.04</v>
      </c>
      <c r="H65" s="53"/>
      <c r="I65" s="126">
        <v>0</v>
      </c>
      <c r="J65" s="127">
        <v>0</v>
      </c>
      <c r="K65" s="127">
        <v>0</v>
      </c>
      <c r="L65" s="127">
        <v>0</v>
      </c>
      <c r="M65" s="128">
        <v>0</v>
      </c>
      <c r="N65" s="128">
        <v>0</v>
      </c>
      <c r="O65" s="127">
        <v>0</v>
      </c>
      <c r="P65" s="127">
        <v>0</v>
      </c>
      <c r="Q65" s="127">
        <v>0</v>
      </c>
      <c r="R65" s="127">
        <v>0</v>
      </c>
      <c r="S65" s="127">
        <v>0</v>
      </c>
      <c r="T65" s="127">
        <v>0</v>
      </c>
      <c r="U65" s="127">
        <v>0</v>
      </c>
      <c r="V65" s="127">
        <v>0</v>
      </c>
      <c r="W65" s="127">
        <v>0</v>
      </c>
      <c r="X65" s="127">
        <v>0</v>
      </c>
      <c r="Y65" s="127">
        <v>0</v>
      </c>
      <c r="Z65" s="127">
        <v>0</v>
      </c>
      <c r="AA65" s="127">
        <v>0.03</v>
      </c>
      <c r="AB65" s="127">
        <v>3.4999999999999996E-2</v>
      </c>
      <c r="AC65" s="127">
        <v>4.0000000000000008E-2</v>
      </c>
      <c r="AD65" s="127">
        <v>4.5000000000000005E-2</v>
      </c>
      <c r="AE65" s="127">
        <v>0.80777777777777793</v>
      </c>
      <c r="AF65" s="127">
        <v>1</v>
      </c>
      <c r="AG65" s="127">
        <v>1</v>
      </c>
      <c r="AH65" s="127">
        <v>1</v>
      </c>
      <c r="AI65" s="127">
        <v>1</v>
      </c>
      <c r="AJ65" s="127">
        <v>1</v>
      </c>
      <c r="AK65" s="127">
        <v>1</v>
      </c>
      <c r="AL65" s="127">
        <v>1</v>
      </c>
      <c r="AM65" s="127">
        <v>1</v>
      </c>
      <c r="AN65" s="127">
        <v>1</v>
      </c>
      <c r="AO65" s="127">
        <v>1</v>
      </c>
      <c r="AP65" s="127">
        <v>1</v>
      </c>
      <c r="AQ65" s="127">
        <v>1</v>
      </c>
      <c r="AR65" s="127">
        <v>1</v>
      </c>
      <c r="AS65" s="127">
        <v>1</v>
      </c>
      <c r="AT65" s="127">
        <v>1</v>
      </c>
      <c r="AU65" s="127">
        <v>1</v>
      </c>
      <c r="AV65" s="127">
        <v>1</v>
      </c>
      <c r="AW65" s="127">
        <v>1</v>
      </c>
      <c r="AX65" s="127">
        <v>1</v>
      </c>
      <c r="AY65" s="127">
        <v>1</v>
      </c>
      <c r="AZ65" s="127">
        <v>1</v>
      </c>
      <c r="BA65" s="127">
        <v>1</v>
      </c>
      <c r="BB65" s="127">
        <v>1</v>
      </c>
      <c r="BC65" s="127">
        <v>1</v>
      </c>
      <c r="BD65" s="127">
        <v>1</v>
      </c>
      <c r="BE65" s="127">
        <v>1</v>
      </c>
      <c r="BF65" s="127">
        <v>1</v>
      </c>
      <c r="BG65" s="127">
        <v>1</v>
      </c>
      <c r="BH65" s="127">
        <v>1</v>
      </c>
      <c r="BI65" s="127">
        <v>1</v>
      </c>
      <c r="BJ65" s="127">
        <v>1</v>
      </c>
      <c r="BK65" s="127">
        <v>1</v>
      </c>
      <c r="BL65" s="127">
        <v>1</v>
      </c>
      <c r="BM65" s="127">
        <v>1</v>
      </c>
      <c r="BN65" s="127">
        <v>1</v>
      </c>
      <c r="BO65" s="127">
        <v>1</v>
      </c>
      <c r="BP65" s="127">
        <v>1</v>
      </c>
      <c r="BQ65" s="127">
        <v>1</v>
      </c>
      <c r="BR65" s="127">
        <v>1</v>
      </c>
      <c r="BS65" s="127">
        <v>1</v>
      </c>
      <c r="BT65" s="127">
        <v>1</v>
      </c>
      <c r="BU65" s="127">
        <v>1</v>
      </c>
      <c r="BV65" s="127">
        <v>1</v>
      </c>
      <c r="BW65" s="127">
        <v>1</v>
      </c>
      <c r="BX65" s="127">
        <v>1</v>
      </c>
      <c r="BY65" s="127">
        <v>1</v>
      </c>
      <c r="BZ65" s="127">
        <v>1</v>
      </c>
      <c r="CA65" s="127">
        <v>1</v>
      </c>
      <c r="CB65" s="127">
        <v>1</v>
      </c>
      <c r="CC65" s="127">
        <v>1</v>
      </c>
      <c r="CD65" s="127">
        <v>1</v>
      </c>
      <c r="CE65" s="127">
        <v>1</v>
      </c>
      <c r="CF65" s="127">
        <v>1</v>
      </c>
      <c r="CG65" s="127">
        <v>1</v>
      </c>
      <c r="CH65" s="127">
        <v>1</v>
      </c>
      <c r="CI65" s="127">
        <v>1</v>
      </c>
      <c r="CJ65" s="127">
        <v>1</v>
      </c>
      <c r="CK65" s="127">
        <v>1</v>
      </c>
      <c r="CL65" s="127">
        <v>1</v>
      </c>
      <c r="CM65" s="127">
        <v>1</v>
      </c>
      <c r="CN65" s="127">
        <v>1</v>
      </c>
      <c r="CO65" s="127">
        <v>1</v>
      </c>
      <c r="CP65" s="127">
        <v>1</v>
      </c>
      <c r="CQ65" s="127">
        <v>1</v>
      </c>
      <c r="CR65" s="127">
        <v>1</v>
      </c>
      <c r="CS65" s="127">
        <v>1</v>
      </c>
      <c r="CT65" s="127">
        <v>1</v>
      </c>
      <c r="CU65" s="127">
        <v>1</v>
      </c>
      <c r="CV65" s="127">
        <v>1</v>
      </c>
      <c r="CW65" s="127">
        <v>1</v>
      </c>
      <c r="CX65" s="127">
        <v>1</v>
      </c>
      <c r="CY65" s="127">
        <v>1</v>
      </c>
      <c r="CZ65" s="127">
        <v>1</v>
      </c>
      <c r="DA65" s="127">
        <v>1</v>
      </c>
      <c r="DB65" s="127">
        <v>1</v>
      </c>
      <c r="DC65" s="127">
        <v>1</v>
      </c>
      <c r="DD65" s="127">
        <v>1</v>
      </c>
      <c r="DE65" s="127">
        <f>Planbase100[[#This Row],[05/05/25]]+(1-Planbase100[[#This Row],[05/05/25]])*'Plan 39'!BL37</f>
        <v>1</v>
      </c>
      <c r="DF65" s="127">
        <f>Planbase100[[#This Row],[05/05/25]]+(1-Planbase100[[#This Row],[05/05/25]])*'Plan 39'!BM37</f>
        <v>1</v>
      </c>
      <c r="DG65" s="127">
        <f>Planbase100[[#This Row],[05/05/25]]+(1-Planbase100[[#This Row],[05/05/25]])*'Plan 39'!BN37</f>
        <v>1</v>
      </c>
      <c r="DH65" s="127">
        <f>Planbase100[[#This Row],[05/05/25]]+(1-Planbase100[[#This Row],[05/05/25]])*'Plan 39'!BO37</f>
        <v>1</v>
      </c>
      <c r="DI65" s="127">
        <f>Planbase100[[#This Row],[05/05/25]]+(1-Planbase100[[#This Row],[05/05/25]])*'Plan 39'!BP37</f>
        <v>1</v>
      </c>
      <c r="DJ65" s="127">
        <f>Planbase100[[#This Row],[05/05/25]]+(1-Planbase100[[#This Row],[05/05/25]])*'Plan 39'!BQ37</f>
        <v>1</v>
      </c>
      <c r="DK65" s="127">
        <f>Planbase100[[#This Row],[05/05/25]]+(1-Planbase100[[#This Row],[05/05/25]])*'Plan 39'!BR37</f>
        <v>1</v>
      </c>
      <c r="DL65" s="127">
        <f>Planbase100[[#This Row],[05/05/25]]+(1-Planbase100[[#This Row],[05/05/25]])*'Plan 39'!BS37</f>
        <v>1</v>
      </c>
      <c r="DM65" s="127">
        <f>Planbase100[[#This Row],[05/05/25]]+(1-Planbase100[[#This Row],[05/05/25]])*'Plan 39'!BT37</f>
        <v>1</v>
      </c>
      <c r="DN65" s="127">
        <f>Planbase100[[#This Row],[05/05/25]]+(1-Planbase100[[#This Row],[05/05/25]])*'Plan 39'!BU37</f>
        <v>1</v>
      </c>
      <c r="DO65" s="127">
        <f>Planbase100[[#This Row],[05/05/25]]+(1-Planbase100[[#This Row],[05/05/25]])*'Plan 39'!BV37</f>
        <v>1</v>
      </c>
      <c r="DP65" s="127">
        <f>Planbase100[[#This Row],[05/05/25]]+(1-Planbase100[[#This Row],[05/05/25]])*'Plan 39'!BW37</f>
        <v>1</v>
      </c>
      <c r="DQ65" s="127">
        <f>Planbase100[[#This Row],[05/05/25]]+(1-Planbase100[[#This Row],[05/05/25]])*'Plan 39'!BX37</f>
        <v>1</v>
      </c>
      <c r="DR65" s="127">
        <f>Planbase100[[#This Row],[05/05/25]]+(1-Planbase100[[#This Row],[05/05/25]])*'Plan 39'!BY37</f>
        <v>1</v>
      </c>
      <c r="DS65" s="127">
        <f>Planbase100[[#This Row],[05/05/25]]+(1-Planbase100[[#This Row],[05/05/25]])*'Plan 39'!BZ37</f>
        <v>1</v>
      </c>
      <c r="DT65" s="127">
        <f>Planbase100[[#This Row],[05/05/25]]+(1-Planbase100[[#This Row],[05/05/25]])*'Plan 39'!CA37</f>
        <v>1</v>
      </c>
      <c r="DU65" s="127">
        <f>Planbase100[[#This Row],[05/05/25]]+(1-Planbase100[[#This Row],[05/05/25]])*'Plan 39'!CB37</f>
        <v>1</v>
      </c>
      <c r="DV65" s="127">
        <f>Planbase100[[#This Row],[05/05/25]]+(1-Planbase100[[#This Row],[05/05/25]])*'Plan 39'!CC37</f>
        <v>1</v>
      </c>
      <c r="DW65" s="127">
        <f>Planbase100[[#This Row],[05/05/25]]+(1-Planbase100[[#This Row],[05/05/25]])*'Plan 39'!CD37</f>
        <v>1</v>
      </c>
      <c r="DX65" s="127">
        <f>Planbase100[[#This Row],[05/05/25]]+(1-Planbase100[[#This Row],[05/05/25]])*'Plan 39'!CE37</f>
        <v>1</v>
      </c>
      <c r="DY65" s="127">
        <f>Planbase100[[#This Row],[05/05/25]]+(1-Planbase100[[#This Row],[05/05/25]])*'Plan 39'!CF37</f>
        <v>1</v>
      </c>
      <c r="DZ65" s="127">
        <f>Planbase100[[#This Row],[05/05/25]]+(1-Planbase100[[#This Row],[05/05/25]])*'Plan 39'!CG37</f>
        <v>1</v>
      </c>
      <c r="EA65" s="127">
        <f>Planbase100[[#This Row],[05/05/25]]+(1-Planbase100[[#This Row],[05/05/25]])*'Plan 39'!CH37</f>
        <v>1</v>
      </c>
      <c r="EB65" s="127">
        <f>Planbase100[[#This Row],[05/05/25]]+(1-Planbase100[[#This Row],[05/05/25]])*'Plan 39'!CI37</f>
        <v>1</v>
      </c>
      <c r="EC65" s="127">
        <f>Planbase100[[#This Row],[05/05/25]]+(1-Planbase100[[#This Row],[05/05/25]])*'Plan 39'!CJ37</f>
        <v>1</v>
      </c>
      <c r="ED65" s="127">
        <f>Planbase100[[#This Row],[05/05/25]]+(1-Planbase100[[#This Row],[05/05/25]])*'Plan 39'!CK37</f>
        <v>1</v>
      </c>
      <c r="EE65" s="127">
        <f>Planbase100[[#This Row],[05/05/25]]+(1-Planbase100[[#This Row],[05/05/25]])*'Plan 39'!CL37</f>
        <v>1</v>
      </c>
      <c r="EF65" s="127">
        <f>Planbase100[[#This Row],[05/05/25]]+(1-Planbase100[[#This Row],[05/05/25]])*'Plan 39'!CM37</f>
        <v>1</v>
      </c>
      <c r="EG65" s="127">
        <f>Planbase100[[#This Row],[05/05/25]]+(1-Planbase100[[#This Row],[05/05/25]])*'Plan 39'!CN37</f>
        <v>1</v>
      </c>
      <c r="EH65" s="127">
        <f>Planbase100[[#This Row],[05/05/25]]+(1-Planbase100[[#This Row],[05/05/25]])*'Plan 39'!CO37</f>
        <v>1</v>
      </c>
      <c r="EI65" s="127">
        <f>Planbase100[[#This Row],[05/05/25]]+(1-Planbase100[[#This Row],[05/05/25]])*'Plan 39'!CP37</f>
        <v>1</v>
      </c>
    </row>
    <row r="66" spans="2:139" hidden="1" outlineLevel="3" x14ac:dyDescent="0.3">
      <c r="B66" s="29"/>
      <c r="C66" s="30"/>
      <c r="D66" s="65"/>
      <c r="E66" s="52" t="s">
        <v>71</v>
      </c>
      <c r="F66" s="33">
        <v>60</v>
      </c>
      <c r="G66" s="35">
        <v>0.12</v>
      </c>
      <c r="H66" s="53"/>
      <c r="I66" s="126">
        <v>0</v>
      </c>
      <c r="J66" s="127">
        <v>0</v>
      </c>
      <c r="K66" s="127">
        <v>0</v>
      </c>
      <c r="L66" s="127">
        <v>0</v>
      </c>
      <c r="M66" s="128">
        <v>0</v>
      </c>
      <c r="N66" s="128">
        <v>0</v>
      </c>
      <c r="O66" s="127">
        <v>0</v>
      </c>
      <c r="P66" s="127">
        <v>0</v>
      </c>
      <c r="Q66" s="127">
        <v>0</v>
      </c>
      <c r="R66" s="127">
        <v>0</v>
      </c>
      <c r="S66" s="127">
        <v>0</v>
      </c>
      <c r="T66" s="127">
        <v>0</v>
      </c>
      <c r="U66" s="127">
        <v>0</v>
      </c>
      <c r="V66" s="127">
        <v>0</v>
      </c>
      <c r="W66" s="127">
        <v>0</v>
      </c>
      <c r="X66" s="127">
        <v>0</v>
      </c>
      <c r="Y66" s="127">
        <v>0</v>
      </c>
      <c r="Z66" s="127">
        <v>0</v>
      </c>
      <c r="AA66" s="127">
        <v>0</v>
      </c>
      <c r="AB66" s="127">
        <v>0</v>
      </c>
      <c r="AC66" s="127">
        <v>0</v>
      </c>
      <c r="AD66" s="127">
        <v>0</v>
      </c>
      <c r="AE66" s="127">
        <v>0</v>
      </c>
      <c r="AF66" s="127">
        <v>0</v>
      </c>
      <c r="AG66" s="127">
        <v>0</v>
      </c>
      <c r="AH66" s="127">
        <v>0</v>
      </c>
      <c r="AI66" s="127">
        <v>0</v>
      </c>
      <c r="AJ66" s="127">
        <v>0</v>
      </c>
      <c r="AK66" s="127">
        <v>0</v>
      </c>
      <c r="AL66" s="127">
        <v>0</v>
      </c>
      <c r="AM66" s="127">
        <v>0</v>
      </c>
      <c r="AN66" s="127">
        <v>0</v>
      </c>
      <c r="AO66" s="127">
        <v>0</v>
      </c>
      <c r="AP66" s="127">
        <v>0</v>
      </c>
      <c r="AQ66" s="127">
        <v>0</v>
      </c>
      <c r="AR66" s="127">
        <v>0</v>
      </c>
      <c r="AS66" s="127">
        <v>0</v>
      </c>
      <c r="AT66" s="127">
        <v>0</v>
      </c>
      <c r="AU66" s="127">
        <v>0</v>
      </c>
      <c r="AV66" s="127">
        <v>0</v>
      </c>
      <c r="AW66" s="127">
        <v>0</v>
      </c>
      <c r="AX66" s="127">
        <v>0</v>
      </c>
      <c r="AY66" s="127">
        <v>0</v>
      </c>
      <c r="AZ66" s="127">
        <v>0</v>
      </c>
      <c r="BA66" s="127">
        <v>0</v>
      </c>
      <c r="BB66" s="127">
        <f>Planbase100[[#This Row],[05/05/25]]+(1-Planbase100[[#This Row],[05/05/25]])*'Plan 39'!I36</f>
        <v>0</v>
      </c>
      <c r="BC66" s="127">
        <f>Planbase100[[#This Row],[05/05/25]]+(1-Planbase100[[#This Row],[05/05/25]])*'Plan 39'!J36</f>
        <v>0</v>
      </c>
      <c r="BD66" s="127">
        <f>Planbase100[[#This Row],[05/05/25]]+(1-Planbase100[[#This Row],[05/05/25]])*'Plan 39'!K36</f>
        <v>0</v>
      </c>
      <c r="BE66" s="127">
        <f>Planbase100[[#This Row],[05/05/25]]+(1-Planbase100[[#This Row],[05/05/25]])*'Plan 39'!L36</f>
        <v>0</v>
      </c>
      <c r="BF66" s="127">
        <f>Planbase100[[#This Row],[05/05/25]]+(1-Planbase100[[#This Row],[05/05/25]])*'Plan 39'!M36</f>
        <v>0</v>
      </c>
      <c r="BG66" s="127">
        <f>Planbase100[[#This Row],[05/05/25]]+(1-Planbase100[[#This Row],[05/05/25]])*'Plan 39'!N36</f>
        <v>0</v>
      </c>
      <c r="BH66" s="127">
        <f>Planbase100[[#This Row],[05/05/25]]+(1-Planbase100[[#This Row],[05/05/25]])*'Plan 39'!O36</f>
        <v>0</v>
      </c>
      <c r="BI66" s="127">
        <f>Planbase100[[#This Row],[05/05/25]]+(1-Planbase100[[#This Row],[05/05/25]])*'Plan 39'!P36</f>
        <v>0</v>
      </c>
      <c r="BJ66" s="127">
        <f>Planbase100[[#This Row],[05/05/25]]+(1-Planbase100[[#This Row],[05/05/25]])*'Plan 39'!Q36</f>
        <v>4.7619047619047616E-2</v>
      </c>
      <c r="BK66" s="127">
        <f>Planbase100[[#This Row],[05/05/25]]+(1-Planbase100[[#This Row],[05/05/25]])*'Plan 39'!R36</f>
        <v>9.5619047619047617E-2</v>
      </c>
      <c r="BL66" s="127">
        <f>Planbase100[[#This Row],[05/05/25]]+(1-Planbase100[[#This Row],[05/05/25]])*'Plan 39'!S36</f>
        <v>0.14361904761904762</v>
      </c>
      <c r="BM66" s="127">
        <f>Planbase100[[#This Row],[05/05/25]]+(1-Planbase100[[#This Row],[05/05/25]])*'Plan 39'!T36</f>
        <v>0.19161904761904763</v>
      </c>
      <c r="BN66" s="127">
        <f>Planbase100[[#This Row],[05/05/25]]+(1-Planbase100[[#This Row],[05/05/25]])*'Plan 39'!U36</f>
        <v>0.23961904761904762</v>
      </c>
      <c r="BO66" s="127">
        <f>Planbase100[[#This Row],[05/05/25]]+(1-Planbase100[[#This Row],[05/05/25]])*'Plan 39'!V36</f>
        <v>0.28761904761904761</v>
      </c>
      <c r="BP66" s="127">
        <f>Planbase100[[#This Row],[05/05/25]]+(1-Planbase100[[#This Row],[05/05/25]])*'Plan 39'!W36</f>
        <v>0.33561904761904759</v>
      </c>
      <c r="BQ66" s="127">
        <f>Planbase100[[#This Row],[05/05/25]]+(1-Planbase100[[#This Row],[05/05/25]])*'Plan 39'!X36</f>
        <v>0.38361904761904758</v>
      </c>
      <c r="BR66" s="127">
        <f>Planbase100[[#This Row],[05/05/25]]+(1-Planbase100[[#This Row],[05/05/25]])*'Plan 39'!Y36</f>
        <v>0.43161904761904757</v>
      </c>
      <c r="BS66" s="127">
        <f>Planbase100[[#This Row],[05/05/25]]+(1-Planbase100[[#This Row],[05/05/25]])*'Plan 39'!Z36</f>
        <v>0.47961904761904756</v>
      </c>
      <c r="BT66" s="127">
        <f>Planbase100[[#This Row],[05/05/25]]+(1-Planbase100[[#This Row],[05/05/25]])*'Plan 39'!AA36</f>
        <v>0.52761904761904754</v>
      </c>
      <c r="BU66" s="127">
        <f>Planbase100[[#This Row],[05/05/25]]+(1-Planbase100[[#This Row],[05/05/25]])*'Plan 39'!AB36</f>
        <v>0.57561904761904759</v>
      </c>
      <c r="BV66" s="127">
        <f>Planbase100[[#This Row],[05/05/25]]+(1-Planbase100[[#This Row],[05/05/25]])*'Plan 39'!AC36</f>
        <v>0.62361904761904763</v>
      </c>
      <c r="BW66" s="127">
        <f>Planbase100[[#This Row],[05/05/25]]+(1-Planbase100[[#This Row],[05/05/25]])*'Plan 39'!AD36</f>
        <v>0.67161904761904767</v>
      </c>
      <c r="BX66" s="127">
        <f>Planbase100[[#This Row],[05/05/25]]+(1-Planbase100[[#This Row],[05/05/25]])*'Plan 39'!AE36</f>
        <v>0.71961904761904771</v>
      </c>
      <c r="BY66" s="127">
        <f>Planbase100[[#This Row],[05/05/25]]+(1-Planbase100[[#This Row],[05/05/25]])*'Plan 39'!AF36</f>
        <v>0.76761904761904776</v>
      </c>
      <c r="BZ66" s="127">
        <f>Planbase100[[#This Row],[05/05/25]]+(1-Planbase100[[#This Row],[05/05/25]])*'Plan 39'!AG36</f>
        <v>0.8156190476190478</v>
      </c>
      <c r="CA66" s="127">
        <f>Planbase100[[#This Row],[05/05/25]]+(1-Planbase100[[#This Row],[05/05/25]])*'Plan 39'!AH36</f>
        <v>0.86361904761904784</v>
      </c>
      <c r="CB66" s="127">
        <f>Planbase100[[#This Row],[05/05/25]]+(1-Planbase100[[#This Row],[05/05/25]])*'Plan 39'!AI36</f>
        <v>0.91161904761904788</v>
      </c>
      <c r="CC66" s="127">
        <f>Planbase100[[#This Row],[05/05/25]]+(1-Planbase100[[#This Row],[05/05/25]])*'Plan 39'!AJ36</f>
        <v>0.95961904761904793</v>
      </c>
      <c r="CD66" s="127">
        <f>Planbase100[[#This Row],[05/05/25]]+(1-Planbase100[[#This Row],[05/05/25]])*'Plan 39'!AK36</f>
        <v>1</v>
      </c>
      <c r="CE66" s="127">
        <f>Planbase100[[#This Row],[05/05/25]]+(1-Planbase100[[#This Row],[05/05/25]])*'Plan 39'!AL36</f>
        <v>1</v>
      </c>
      <c r="CF66" s="127">
        <f>Planbase100[[#This Row],[05/05/25]]+(1-Planbase100[[#This Row],[05/05/25]])*'Plan 39'!AM36</f>
        <v>1</v>
      </c>
      <c r="CG66" s="127">
        <f>Planbase100[[#This Row],[05/05/25]]+(1-Planbase100[[#This Row],[05/05/25]])*'Plan 39'!AN36</f>
        <v>1</v>
      </c>
      <c r="CH66" s="127">
        <f>Planbase100[[#This Row],[05/05/25]]+(1-Planbase100[[#This Row],[05/05/25]])*'Plan 39'!AO36</f>
        <v>1</v>
      </c>
      <c r="CI66" s="127">
        <f>Planbase100[[#This Row],[05/05/25]]+(1-Planbase100[[#This Row],[05/05/25]])*'Plan 39'!AP36</f>
        <v>1</v>
      </c>
      <c r="CJ66" s="127">
        <f>Planbase100[[#This Row],[05/05/25]]+(1-Planbase100[[#This Row],[05/05/25]])*'Plan 39'!AQ36</f>
        <v>1</v>
      </c>
      <c r="CK66" s="127">
        <f>Planbase100[[#This Row],[05/05/25]]+(1-Planbase100[[#This Row],[05/05/25]])*'Plan 39'!AR36</f>
        <v>1</v>
      </c>
      <c r="CL66" s="127">
        <f>Planbase100[[#This Row],[05/05/25]]+(1-Planbase100[[#This Row],[05/05/25]])*'Plan 39'!AS36</f>
        <v>1</v>
      </c>
      <c r="CM66" s="127">
        <f>Planbase100[[#This Row],[05/05/25]]+(1-Planbase100[[#This Row],[05/05/25]])*'Plan 39'!AT36</f>
        <v>1</v>
      </c>
      <c r="CN66" s="127">
        <f>Planbase100[[#This Row],[05/05/25]]+(1-Planbase100[[#This Row],[05/05/25]])*'Plan 39'!AU36</f>
        <v>1</v>
      </c>
      <c r="CO66" s="127">
        <f>Planbase100[[#This Row],[05/05/25]]+(1-Planbase100[[#This Row],[05/05/25]])*'Plan 39'!AV36</f>
        <v>1</v>
      </c>
      <c r="CP66" s="127">
        <f>Planbase100[[#This Row],[05/05/25]]+(1-Planbase100[[#This Row],[05/05/25]])*'Plan 39'!AW36</f>
        <v>1</v>
      </c>
      <c r="CQ66" s="127">
        <f>Planbase100[[#This Row],[05/05/25]]+(1-Planbase100[[#This Row],[05/05/25]])*'Plan 39'!AX36</f>
        <v>1</v>
      </c>
      <c r="CR66" s="127">
        <f>Planbase100[[#This Row],[05/05/25]]+(1-Planbase100[[#This Row],[05/05/25]])*'Plan 39'!AY36</f>
        <v>1</v>
      </c>
      <c r="CS66" s="127">
        <f>Planbase100[[#This Row],[05/05/25]]+(1-Planbase100[[#This Row],[05/05/25]])*'Plan 39'!AZ36</f>
        <v>1</v>
      </c>
      <c r="CT66" s="127">
        <f>Planbase100[[#This Row],[05/05/25]]+(1-Planbase100[[#This Row],[05/05/25]])*'Plan 39'!BA36</f>
        <v>1</v>
      </c>
      <c r="CU66" s="127">
        <f>Planbase100[[#This Row],[05/05/25]]+(1-Planbase100[[#This Row],[05/05/25]])*'Plan 39'!BB36</f>
        <v>1</v>
      </c>
      <c r="CV66" s="127">
        <f>Planbase100[[#This Row],[05/05/25]]+(1-Planbase100[[#This Row],[05/05/25]])*'Plan 39'!BC36</f>
        <v>1</v>
      </c>
      <c r="CW66" s="127">
        <f>Planbase100[[#This Row],[05/05/25]]+(1-Planbase100[[#This Row],[05/05/25]])*'Plan 39'!BD36</f>
        <v>1</v>
      </c>
      <c r="CX66" s="127">
        <f>Planbase100[[#This Row],[05/05/25]]+(1-Planbase100[[#This Row],[05/05/25]])*'Plan 39'!BE36</f>
        <v>1</v>
      </c>
      <c r="CY66" s="127">
        <f>Planbase100[[#This Row],[05/05/25]]+(1-Planbase100[[#This Row],[05/05/25]])*'Plan 39'!BF36</f>
        <v>1</v>
      </c>
      <c r="CZ66" s="127">
        <f>Planbase100[[#This Row],[05/05/25]]+(1-Planbase100[[#This Row],[05/05/25]])*'Plan 39'!BG36</f>
        <v>1</v>
      </c>
      <c r="DA66" s="127">
        <f>Planbase100[[#This Row],[05/05/25]]+(1-Planbase100[[#This Row],[05/05/25]])*'Plan 39'!BH36</f>
        <v>1</v>
      </c>
      <c r="DB66" s="127">
        <f>Planbase100[[#This Row],[05/05/25]]+(1-Planbase100[[#This Row],[05/05/25]])*'Plan 39'!BI36</f>
        <v>1</v>
      </c>
      <c r="DC66" s="127">
        <f>Planbase100[[#This Row],[05/05/25]]+(1-Planbase100[[#This Row],[05/05/25]])*'Plan 39'!BJ36</f>
        <v>1</v>
      </c>
      <c r="DD66" s="127">
        <f>Planbase100[[#This Row],[05/05/25]]+(1-Planbase100[[#This Row],[05/05/25]])*'Plan 39'!BK36</f>
        <v>1</v>
      </c>
      <c r="DE66" s="127">
        <f>Planbase100[[#This Row],[05/05/25]]+(1-Planbase100[[#This Row],[05/05/25]])*'Plan 39'!BL38</f>
        <v>1</v>
      </c>
      <c r="DF66" s="127">
        <f>Planbase100[[#This Row],[05/05/25]]+(1-Planbase100[[#This Row],[05/05/25]])*'Plan 39'!BM38</f>
        <v>1</v>
      </c>
      <c r="DG66" s="127">
        <f>Planbase100[[#This Row],[05/05/25]]+(1-Planbase100[[#This Row],[05/05/25]])*'Plan 39'!BN38</f>
        <v>1</v>
      </c>
      <c r="DH66" s="127">
        <f>Planbase100[[#This Row],[05/05/25]]+(1-Planbase100[[#This Row],[05/05/25]])*'Plan 39'!BO38</f>
        <v>1</v>
      </c>
      <c r="DI66" s="127">
        <f>Planbase100[[#This Row],[05/05/25]]+(1-Planbase100[[#This Row],[05/05/25]])*'Plan 39'!BP38</f>
        <v>1</v>
      </c>
      <c r="DJ66" s="127">
        <f>Planbase100[[#This Row],[05/05/25]]+(1-Planbase100[[#This Row],[05/05/25]])*'Plan 39'!BQ38</f>
        <v>1</v>
      </c>
      <c r="DK66" s="127">
        <f>Planbase100[[#This Row],[05/05/25]]+(1-Planbase100[[#This Row],[05/05/25]])*'Plan 39'!BR38</f>
        <v>1</v>
      </c>
      <c r="DL66" s="127">
        <f>Planbase100[[#This Row],[05/05/25]]+(1-Planbase100[[#This Row],[05/05/25]])*'Plan 39'!BS38</f>
        <v>1</v>
      </c>
      <c r="DM66" s="127">
        <f>Planbase100[[#This Row],[05/05/25]]+(1-Planbase100[[#This Row],[05/05/25]])*'Plan 39'!BT38</f>
        <v>1</v>
      </c>
      <c r="DN66" s="127">
        <f>Planbase100[[#This Row],[05/05/25]]+(1-Planbase100[[#This Row],[05/05/25]])*'Plan 39'!BU38</f>
        <v>1</v>
      </c>
      <c r="DO66" s="127">
        <f>Planbase100[[#This Row],[05/05/25]]+(1-Planbase100[[#This Row],[05/05/25]])*'Plan 39'!BV38</f>
        <v>1</v>
      </c>
      <c r="DP66" s="127">
        <f>Planbase100[[#This Row],[05/05/25]]+(1-Planbase100[[#This Row],[05/05/25]])*'Plan 39'!BW38</f>
        <v>1</v>
      </c>
      <c r="DQ66" s="127">
        <f>Planbase100[[#This Row],[05/05/25]]+(1-Planbase100[[#This Row],[05/05/25]])*'Plan 39'!BX38</f>
        <v>1</v>
      </c>
      <c r="DR66" s="127">
        <f>Planbase100[[#This Row],[05/05/25]]+(1-Planbase100[[#This Row],[05/05/25]])*'Plan 39'!BY38</f>
        <v>1</v>
      </c>
      <c r="DS66" s="127">
        <f>Planbase100[[#This Row],[05/05/25]]+(1-Planbase100[[#This Row],[05/05/25]])*'Plan 39'!BZ38</f>
        <v>1</v>
      </c>
      <c r="DT66" s="127">
        <f>Planbase100[[#This Row],[05/05/25]]+(1-Planbase100[[#This Row],[05/05/25]])*'Plan 39'!CA38</f>
        <v>1</v>
      </c>
      <c r="DU66" s="127">
        <f>Planbase100[[#This Row],[05/05/25]]+(1-Planbase100[[#This Row],[05/05/25]])*'Plan 39'!CB38</f>
        <v>1</v>
      </c>
      <c r="DV66" s="127">
        <f>Planbase100[[#This Row],[05/05/25]]+(1-Planbase100[[#This Row],[05/05/25]])*'Plan 39'!CC38</f>
        <v>1</v>
      </c>
      <c r="DW66" s="127">
        <f>Planbase100[[#This Row],[05/05/25]]+(1-Planbase100[[#This Row],[05/05/25]])*'Plan 39'!CD38</f>
        <v>1</v>
      </c>
      <c r="DX66" s="127">
        <f>Planbase100[[#This Row],[05/05/25]]+(1-Planbase100[[#This Row],[05/05/25]])*'Plan 39'!CE38</f>
        <v>1</v>
      </c>
      <c r="DY66" s="127">
        <f>Planbase100[[#This Row],[05/05/25]]+(1-Planbase100[[#This Row],[05/05/25]])*'Plan 39'!CF38</f>
        <v>1</v>
      </c>
      <c r="DZ66" s="127">
        <f>Planbase100[[#This Row],[05/05/25]]+(1-Planbase100[[#This Row],[05/05/25]])*'Plan 39'!CG38</f>
        <v>1</v>
      </c>
      <c r="EA66" s="127">
        <f>Planbase100[[#This Row],[05/05/25]]+(1-Planbase100[[#This Row],[05/05/25]])*'Plan 39'!CH38</f>
        <v>1</v>
      </c>
      <c r="EB66" s="127">
        <f>Planbase100[[#This Row],[05/05/25]]+(1-Planbase100[[#This Row],[05/05/25]])*'Plan 39'!CI38</f>
        <v>1</v>
      </c>
      <c r="EC66" s="127">
        <f>Planbase100[[#This Row],[05/05/25]]+(1-Planbase100[[#This Row],[05/05/25]])*'Plan 39'!CJ38</f>
        <v>1</v>
      </c>
      <c r="ED66" s="127">
        <f>Planbase100[[#This Row],[05/05/25]]+(1-Planbase100[[#This Row],[05/05/25]])*'Plan 39'!CK38</f>
        <v>1</v>
      </c>
      <c r="EE66" s="127">
        <f>Planbase100[[#This Row],[05/05/25]]+(1-Planbase100[[#This Row],[05/05/25]])*'Plan 39'!CL38</f>
        <v>1</v>
      </c>
      <c r="EF66" s="127">
        <f>Planbase100[[#This Row],[05/05/25]]+(1-Planbase100[[#This Row],[05/05/25]])*'Plan 39'!CM38</f>
        <v>1</v>
      </c>
      <c r="EG66" s="127">
        <f>Planbase100[[#This Row],[05/05/25]]+(1-Planbase100[[#This Row],[05/05/25]])*'Plan 39'!CN38</f>
        <v>1</v>
      </c>
      <c r="EH66" s="127">
        <f>Planbase100[[#This Row],[05/05/25]]+(1-Planbase100[[#This Row],[05/05/25]])*'Plan 39'!CO38</f>
        <v>1</v>
      </c>
      <c r="EI66" s="127">
        <f>Planbase100[[#This Row],[05/05/25]]+(1-Planbase100[[#This Row],[05/05/25]])*'Plan 39'!CP38</f>
        <v>1</v>
      </c>
    </row>
    <row r="67" spans="2:139" hidden="1" outlineLevel="3" x14ac:dyDescent="0.3">
      <c r="B67" s="29"/>
      <c r="C67" s="30"/>
      <c r="D67" s="65"/>
      <c r="E67" s="52" t="s">
        <v>72</v>
      </c>
      <c r="F67" s="33">
        <v>60</v>
      </c>
      <c r="G67" s="35">
        <v>0.12</v>
      </c>
      <c r="H67" s="53"/>
      <c r="I67" s="126">
        <v>0</v>
      </c>
      <c r="J67" s="127">
        <v>0</v>
      </c>
      <c r="K67" s="127">
        <v>0</v>
      </c>
      <c r="L67" s="127">
        <v>0</v>
      </c>
      <c r="M67" s="128">
        <v>0</v>
      </c>
      <c r="N67" s="128">
        <v>0</v>
      </c>
      <c r="O67" s="127">
        <v>0</v>
      </c>
      <c r="P67" s="127">
        <v>0</v>
      </c>
      <c r="Q67" s="127">
        <v>0</v>
      </c>
      <c r="R67" s="127">
        <v>0</v>
      </c>
      <c r="S67" s="127">
        <v>0</v>
      </c>
      <c r="T67" s="127">
        <v>0</v>
      </c>
      <c r="U67" s="127">
        <v>0</v>
      </c>
      <c r="V67" s="127">
        <v>0</v>
      </c>
      <c r="W67" s="127">
        <v>0</v>
      </c>
      <c r="X67" s="127">
        <v>0</v>
      </c>
      <c r="Y67" s="127">
        <v>0</v>
      </c>
      <c r="Z67" s="127">
        <v>0</v>
      </c>
      <c r="AA67" s="127">
        <v>0</v>
      </c>
      <c r="AB67" s="127">
        <v>0</v>
      </c>
      <c r="AC67" s="127">
        <v>0</v>
      </c>
      <c r="AD67" s="127">
        <v>0</v>
      </c>
      <c r="AE67" s="127">
        <v>0</v>
      </c>
      <c r="AF67" s="127">
        <v>0</v>
      </c>
      <c r="AG67" s="127">
        <v>0</v>
      </c>
      <c r="AH67" s="127">
        <v>0</v>
      </c>
      <c r="AI67" s="127">
        <v>0</v>
      </c>
      <c r="AJ67" s="127">
        <v>0</v>
      </c>
      <c r="AK67" s="127">
        <v>0</v>
      </c>
      <c r="AL67" s="127">
        <v>0</v>
      </c>
      <c r="AM67" s="127">
        <v>0</v>
      </c>
      <c r="AN67" s="127">
        <v>0</v>
      </c>
      <c r="AO67" s="127">
        <v>0</v>
      </c>
      <c r="AP67" s="127">
        <v>0</v>
      </c>
      <c r="AQ67" s="127">
        <v>0</v>
      </c>
      <c r="AR67" s="127">
        <v>0</v>
      </c>
      <c r="AS67" s="127">
        <v>0</v>
      </c>
      <c r="AT67" s="127">
        <v>0</v>
      </c>
      <c r="AU67" s="127">
        <v>0</v>
      </c>
      <c r="AV67" s="127">
        <v>0.11891891891891893</v>
      </c>
      <c r="AW67" s="127">
        <v>0.19459459459459461</v>
      </c>
      <c r="AX67" s="127">
        <v>0.36756756756756759</v>
      </c>
      <c r="AY67" s="127">
        <v>0.36756756756756759</v>
      </c>
      <c r="AZ67" s="127">
        <v>0.4756756756756757</v>
      </c>
      <c r="BA67" s="127">
        <v>0.60540540540540544</v>
      </c>
      <c r="BB67" s="127">
        <f>Planbase100[[#This Row],[05/05/25]]+(1-Planbase100[[#This Row],[05/05/25]])*'Plan 39'!I37</f>
        <v>0.61901211556383973</v>
      </c>
      <c r="BC67" s="127">
        <f>Planbase100[[#This Row],[05/05/25]]+(1-Planbase100[[#This Row],[05/05/25]])*'Plan 39'!J37</f>
        <v>0.63242833178005597</v>
      </c>
      <c r="BD67" s="127">
        <f>Planbase100[[#This Row],[05/05/25]]+(1-Planbase100[[#This Row],[05/05/25]])*'Plan 39'!K37</f>
        <v>0.64584454799627222</v>
      </c>
      <c r="BE67" s="127">
        <f>Planbase100[[#This Row],[05/05/25]]+(1-Planbase100[[#This Row],[05/05/25]])*'Plan 39'!L37</f>
        <v>0.65926076421248836</v>
      </c>
      <c r="BF67" s="127">
        <f>Planbase100[[#This Row],[05/05/25]]+(1-Planbase100[[#This Row],[05/05/25]])*'Plan 39'!M37</f>
        <v>0.67267698042870461</v>
      </c>
      <c r="BG67" s="127">
        <f>Planbase100[[#This Row],[05/05/25]]+(1-Planbase100[[#This Row],[05/05/25]])*'Plan 39'!N37</f>
        <v>0.68609319664492086</v>
      </c>
      <c r="BH67" s="127">
        <f>Planbase100[[#This Row],[05/05/25]]+(1-Planbase100[[#This Row],[05/05/25]])*'Plan 39'!O37</f>
        <v>0.69950941286113699</v>
      </c>
      <c r="BI67" s="127">
        <f>Planbase100[[#This Row],[05/05/25]]+(1-Planbase100[[#This Row],[05/05/25]])*'Plan 39'!P37</f>
        <v>0.71292562907735324</v>
      </c>
      <c r="BJ67" s="127">
        <f>Planbase100[[#This Row],[05/05/25]]+(1-Planbase100[[#This Row],[05/05/25]])*'Plan 39'!Q37</f>
        <v>0.72634184529356949</v>
      </c>
      <c r="BK67" s="127">
        <f>Planbase100[[#This Row],[05/05/25]]+(1-Planbase100[[#This Row],[05/05/25]])*'Plan 39'!R37</f>
        <v>0.73975806150978562</v>
      </c>
      <c r="BL67" s="127">
        <f>Planbase100[[#This Row],[05/05/25]]+(1-Planbase100[[#This Row],[05/05/25]])*'Plan 39'!S37</f>
        <v>0.75317427772600187</v>
      </c>
      <c r="BM67" s="127">
        <f>Planbase100[[#This Row],[05/05/25]]+(1-Planbase100[[#This Row],[05/05/25]])*'Plan 39'!T37</f>
        <v>0.76659049394221812</v>
      </c>
      <c r="BN67" s="127">
        <f>Planbase100[[#This Row],[05/05/25]]+(1-Planbase100[[#This Row],[05/05/25]])*'Plan 39'!U37</f>
        <v>0.78000671015843437</v>
      </c>
      <c r="BO67" s="127">
        <f>Planbase100[[#This Row],[05/05/25]]+(1-Planbase100[[#This Row],[05/05/25]])*'Plan 39'!V37</f>
        <v>0.79342292637465062</v>
      </c>
      <c r="BP67" s="127">
        <f>Planbase100[[#This Row],[05/05/25]]+(1-Planbase100[[#This Row],[05/05/25]])*'Plan 39'!W37</f>
        <v>0.80683914259086675</v>
      </c>
      <c r="BQ67" s="127">
        <f>Planbase100[[#This Row],[05/05/25]]+(1-Planbase100[[#This Row],[05/05/25]])*'Plan 39'!X37</f>
        <v>0.820255358807083</v>
      </c>
      <c r="BR67" s="127">
        <f>Planbase100[[#This Row],[05/05/25]]+(1-Planbase100[[#This Row],[05/05/25]])*'Plan 39'!Y37</f>
        <v>0.83367157502329925</v>
      </c>
      <c r="BS67" s="127">
        <f>Planbase100[[#This Row],[05/05/25]]+(1-Planbase100[[#This Row],[05/05/25]])*'Plan 39'!Z37</f>
        <v>0.8470877912395155</v>
      </c>
      <c r="BT67" s="127">
        <f>Planbase100[[#This Row],[05/05/25]]+(1-Planbase100[[#This Row],[05/05/25]])*'Plan 39'!AA37</f>
        <v>0.86050400745573175</v>
      </c>
      <c r="BU67" s="127">
        <f>Planbase100[[#This Row],[05/05/25]]+(1-Planbase100[[#This Row],[05/05/25]])*'Plan 39'!AB37</f>
        <v>0.87392022367194788</v>
      </c>
      <c r="BV67" s="127">
        <f>Planbase100[[#This Row],[05/05/25]]+(1-Planbase100[[#This Row],[05/05/25]])*'Plan 39'!AC37</f>
        <v>0.88733643988816424</v>
      </c>
      <c r="BW67" s="127">
        <f>Planbase100[[#This Row],[05/05/25]]+(1-Planbase100[[#This Row],[05/05/25]])*'Plan 39'!AD37</f>
        <v>0.90075265610438038</v>
      </c>
      <c r="BX67" s="127">
        <f>Planbase100[[#This Row],[05/05/25]]+(1-Planbase100[[#This Row],[05/05/25]])*'Plan 39'!AE37</f>
        <v>0.91416887232059663</v>
      </c>
      <c r="BY67" s="127">
        <f>Planbase100[[#This Row],[05/05/25]]+(1-Planbase100[[#This Row],[05/05/25]])*'Plan 39'!AF37</f>
        <v>0.92758508853681287</v>
      </c>
      <c r="BZ67" s="127">
        <f>Planbase100[[#This Row],[05/05/25]]+(1-Planbase100[[#This Row],[05/05/25]])*'Plan 39'!AG37</f>
        <v>0.94100130475302901</v>
      </c>
      <c r="CA67" s="127">
        <f>Planbase100[[#This Row],[05/05/25]]+(1-Planbase100[[#This Row],[05/05/25]])*'Plan 39'!AH37</f>
        <v>0.95441752096924537</v>
      </c>
      <c r="CB67" s="127">
        <f>Planbase100[[#This Row],[05/05/25]]+(1-Planbase100[[#This Row],[05/05/25]])*'Plan 39'!AI37</f>
        <v>0.96783373718546151</v>
      </c>
      <c r="CC67" s="127">
        <f>Planbase100[[#This Row],[05/05/25]]+(1-Planbase100[[#This Row],[05/05/25]])*'Plan 39'!AJ37</f>
        <v>0.98124995340167775</v>
      </c>
      <c r="CD67" s="127">
        <f>Planbase100[[#This Row],[05/05/25]]+(1-Planbase100[[#This Row],[05/05/25]])*'Plan 39'!AK37</f>
        <v>1</v>
      </c>
      <c r="CE67" s="127">
        <f>Planbase100[[#This Row],[05/05/25]]+(1-Planbase100[[#This Row],[05/05/25]])*'Plan 39'!AL37</f>
        <v>1</v>
      </c>
      <c r="CF67" s="127">
        <f>Planbase100[[#This Row],[05/05/25]]+(1-Planbase100[[#This Row],[05/05/25]])*'Plan 39'!AM37</f>
        <v>1</v>
      </c>
      <c r="CG67" s="127">
        <f>Planbase100[[#This Row],[05/05/25]]+(1-Planbase100[[#This Row],[05/05/25]])*'Plan 39'!AN37</f>
        <v>1</v>
      </c>
      <c r="CH67" s="127">
        <f>Planbase100[[#This Row],[05/05/25]]+(1-Planbase100[[#This Row],[05/05/25]])*'Plan 39'!AO37</f>
        <v>1</v>
      </c>
      <c r="CI67" s="127">
        <f>Planbase100[[#This Row],[05/05/25]]+(1-Planbase100[[#This Row],[05/05/25]])*'Plan 39'!AP37</f>
        <v>1</v>
      </c>
      <c r="CJ67" s="127">
        <f>Planbase100[[#This Row],[05/05/25]]+(1-Planbase100[[#This Row],[05/05/25]])*'Plan 39'!AQ37</f>
        <v>1</v>
      </c>
      <c r="CK67" s="127">
        <f>Planbase100[[#This Row],[05/05/25]]+(1-Planbase100[[#This Row],[05/05/25]])*'Plan 39'!AR37</f>
        <v>1</v>
      </c>
      <c r="CL67" s="127">
        <f>Planbase100[[#This Row],[05/05/25]]+(1-Planbase100[[#This Row],[05/05/25]])*'Plan 39'!AS37</f>
        <v>1</v>
      </c>
      <c r="CM67" s="127">
        <f>Planbase100[[#This Row],[05/05/25]]+(1-Planbase100[[#This Row],[05/05/25]])*'Plan 39'!AT37</f>
        <v>1</v>
      </c>
      <c r="CN67" s="127">
        <f>Planbase100[[#This Row],[05/05/25]]+(1-Planbase100[[#This Row],[05/05/25]])*'Plan 39'!AU37</f>
        <v>1</v>
      </c>
      <c r="CO67" s="127">
        <f>Planbase100[[#This Row],[05/05/25]]+(1-Planbase100[[#This Row],[05/05/25]])*'Plan 39'!AV37</f>
        <v>1</v>
      </c>
      <c r="CP67" s="127">
        <f>Planbase100[[#This Row],[05/05/25]]+(1-Planbase100[[#This Row],[05/05/25]])*'Plan 39'!AW37</f>
        <v>1</v>
      </c>
      <c r="CQ67" s="127">
        <f>Planbase100[[#This Row],[05/05/25]]+(1-Planbase100[[#This Row],[05/05/25]])*'Plan 39'!AX37</f>
        <v>1</v>
      </c>
      <c r="CR67" s="127">
        <f>Planbase100[[#This Row],[05/05/25]]+(1-Planbase100[[#This Row],[05/05/25]])*'Plan 39'!AY37</f>
        <v>1</v>
      </c>
      <c r="CS67" s="127">
        <f>Planbase100[[#This Row],[05/05/25]]+(1-Planbase100[[#This Row],[05/05/25]])*'Plan 39'!AZ37</f>
        <v>1</v>
      </c>
      <c r="CT67" s="127">
        <f>Planbase100[[#This Row],[05/05/25]]+(1-Planbase100[[#This Row],[05/05/25]])*'Plan 39'!BA37</f>
        <v>1</v>
      </c>
      <c r="CU67" s="127">
        <f>Planbase100[[#This Row],[05/05/25]]+(1-Planbase100[[#This Row],[05/05/25]])*'Plan 39'!BB37</f>
        <v>1</v>
      </c>
      <c r="CV67" s="127">
        <f>Planbase100[[#This Row],[05/05/25]]+(1-Planbase100[[#This Row],[05/05/25]])*'Plan 39'!BC37</f>
        <v>1</v>
      </c>
      <c r="CW67" s="127">
        <f>Planbase100[[#This Row],[05/05/25]]+(1-Planbase100[[#This Row],[05/05/25]])*'Plan 39'!BD37</f>
        <v>1</v>
      </c>
      <c r="CX67" s="127">
        <f>Planbase100[[#This Row],[05/05/25]]+(1-Planbase100[[#This Row],[05/05/25]])*'Plan 39'!BE37</f>
        <v>1</v>
      </c>
      <c r="CY67" s="127">
        <f>Planbase100[[#This Row],[05/05/25]]+(1-Planbase100[[#This Row],[05/05/25]])*'Plan 39'!BF37</f>
        <v>1</v>
      </c>
      <c r="CZ67" s="127">
        <f>Planbase100[[#This Row],[05/05/25]]+(1-Planbase100[[#This Row],[05/05/25]])*'Plan 39'!BG37</f>
        <v>1</v>
      </c>
      <c r="DA67" s="127">
        <f>Planbase100[[#This Row],[05/05/25]]+(1-Planbase100[[#This Row],[05/05/25]])*'Plan 39'!BH37</f>
        <v>1</v>
      </c>
      <c r="DB67" s="127">
        <f>Planbase100[[#This Row],[05/05/25]]+(1-Planbase100[[#This Row],[05/05/25]])*'Plan 39'!BI37</f>
        <v>1</v>
      </c>
      <c r="DC67" s="127">
        <f>Planbase100[[#This Row],[05/05/25]]+(1-Planbase100[[#This Row],[05/05/25]])*'Plan 39'!BJ37</f>
        <v>1</v>
      </c>
      <c r="DD67" s="127">
        <f>Planbase100[[#This Row],[05/05/25]]+(1-Planbase100[[#This Row],[05/05/25]])*'Plan 39'!BK37</f>
        <v>1</v>
      </c>
      <c r="DE67" s="127">
        <f>Planbase100[[#This Row],[05/05/25]]+(1-Planbase100[[#This Row],[05/05/25]])*'Plan 39'!BL39</f>
        <v>1</v>
      </c>
      <c r="DF67" s="127">
        <f>Planbase100[[#This Row],[05/05/25]]+(1-Planbase100[[#This Row],[05/05/25]])*'Plan 39'!BM39</f>
        <v>1</v>
      </c>
      <c r="DG67" s="127">
        <f>Planbase100[[#This Row],[05/05/25]]+(1-Planbase100[[#This Row],[05/05/25]])*'Plan 39'!BN39</f>
        <v>1</v>
      </c>
      <c r="DH67" s="127">
        <f>Planbase100[[#This Row],[05/05/25]]+(1-Planbase100[[#This Row],[05/05/25]])*'Plan 39'!BO39</f>
        <v>1</v>
      </c>
      <c r="DI67" s="127">
        <f>Planbase100[[#This Row],[05/05/25]]+(1-Planbase100[[#This Row],[05/05/25]])*'Plan 39'!BP39</f>
        <v>1</v>
      </c>
      <c r="DJ67" s="127">
        <f>Planbase100[[#This Row],[05/05/25]]+(1-Planbase100[[#This Row],[05/05/25]])*'Plan 39'!BQ39</f>
        <v>1</v>
      </c>
      <c r="DK67" s="127">
        <f>Planbase100[[#This Row],[05/05/25]]+(1-Planbase100[[#This Row],[05/05/25]])*'Plan 39'!BR39</f>
        <v>1</v>
      </c>
      <c r="DL67" s="127">
        <f>Planbase100[[#This Row],[05/05/25]]+(1-Planbase100[[#This Row],[05/05/25]])*'Plan 39'!BS39</f>
        <v>1</v>
      </c>
      <c r="DM67" s="127">
        <f>Planbase100[[#This Row],[05/05/25]]+(1-Planbase100[[#This Row],[05/05/25]])*'Plan 39'!BT39</f>
        <v>1</v>
      </c>
      <c r="DN67" s="127">
        <f>Planbase100[[#This Row],[05/05/25]]+(1-Planbase100[[#This Row],[05/05/25]])*'Plan 39'!BU39</f>
        <v>1</v>
      </c>
      <c r="DO67" s="127">
        <f>Planbase100[[#This Row],[05/05/25]]+(1-Planbase100[[#This Row],[05/05/25]])*'Plan 39'!BV39</f>
        <v>1</v>
      </c>
      <c r="DP67" s="127">
        <f>Planbase100[[#This Row],[05/05/25]]+(1-Planbase100[[#This Row],[05/05/25]])*'Plan 39'!BW39</f>
        <v>1</v>
      </c>
      <c r="DQ67" s="127">
        <f>Planbase100[[#This Row],[05/05/25]]+(1-Planbase100[[#This Row],[05/05/25]])*'Plan 39'!BX39</f>
        <v>1</v>
      </c>
      <c r="DR67" s="127">
        <f>Planbase100[[#This Row],[05/05/25]]+(1-Planbase100[[#This Row],[05/05/25]])*'Plan 39'!BY39</f>
        <v>1</v>
      </c>
      <c r="DS67" s="127">
        <f>Planbase100[[#This Row],[05/05/25]]+(1-Planbase100[[#This Row],[05/05/25]])*'Plan 39'!BZ39</f>
        <v>1</v>
      </c>
      <c r="DT67" s="127">
        <f>Planbase100[[#This Row],[05/05/25]]+(1-Planbase100[[#This Row],[05/05/25]])*'Plan 39'!CA39</f>
        <v>1</v>
      </c>
      <c r="DU67" s="127">
        <f>Planbase100[[#This Row],[05/05/25]]+(1-Planbase100[[#This Row],[05/05/25]])*'Plan 39'!CB39</f>
        <v>1</v>
      </c>
      <c r="DV67" s="127">
        <f>Planbase100[[#This Row],[05/05/25]]+(1-Planbase100[[#This Row],[05/05/25]])*'Plan 39'!CC39</f>
        <v>1</v>
      </c>
      <c r="DW67" s="127">
        <f>Planbase100[[#This Row],[05/05/25]]+(1-Planbase100[[#This Row],[05/05/25]])*'Plan 39'!CD39</f>
        <v>1</v>
      </c>
      <c r="DX67" s="127">
        <f>Planbase100[[#This Row],[05/05/25]]+(1-Planbase100[[#This Row],[05/05/25]])*'Plan 39'!CE39</f>
        <v>1</v>
      </c>
      <c r="DY67" s="127">
        <f>Planbase100[[#This Row],[05/05/25]]+(1-Planbase100[[#This Row],[05/05/25]])*'Plan 39'!CF39</f>
        <v>1</v>
      </c>
      <c r="DZ67" s="127">
        <f>Planbase100[[#This Row],[05/05/25]]+(1-Planbase100[[#This Row],[05/05/25]])*'Plan 39'!CG39</f>
        <v>1</v>
      </c>
      <c r="EA67" s="127">
        <f>Planbase100[[#This Row],[05/05/25]]+(1-Planbase100[[#This Row],[05/05/25]])*'Plan 39'!CH39</f>
        <v>1</v>
      </c>
      <c r="EB67" s="127">
        <f>Planbase100[[#This Row],[05/05/25]]+(1-Planbase100[[#This Row],[05/05/25]])*'Plan 39'!CI39</f>
        <v>1</v>
      </c>
      <c r="EC67" s="127">
        <f>Planbase100[[#This Row],[05/05/25]]+(1-Planbase100[[#This Row],[05/05/25]])*'Plan 39'!CJ39</f>
        <v>1</v>
      </c>
      <c r="ED67" s="127">
        <f>Planbase100[[#This Row],[05/05/25]]+(1-Planbase100[[#This Row],[05/05/25]])*'Plan 39'!CK39</f>
        <v>1</v>
      </c>
      <c r="EE67" s="127">
        <f>Planbase100[[#This Row],[05/05/25]]+(1-Planbase100[[#This Row],[05/05/25]])*'Plan 39'!CL39</f>
        <v>1</v>
      </c>
      <c r="EF67" s="127">
        <f>Planbase100[[#This Row],[05/05/25]]+(1-Planbase100[[#This Row],[05/05/25]])*'Plan 39'!CM39</f>
        <v>1</v>
      </c>
      <c r="EG67" s="127">
        <f>Planbase100[[#This Row],[05/05/25]]+(1-Planbase100[[#This Row],[05/05/25]])*'Plan 39'!CN39</f>
        <v>1</v>
      </c>
      <c r="EH67" s="127">
        <f>Planbase100[[#This Row],[05/05/25]]+(1-Planbase100[[#This Row],[05/05/25]])*'Plan 39'!CO39</f>
        <v>1</v>
      </c>
      <c r="EI67" s="127">
        <f>Planbase100[[#This Row],[05/05/25]]+(1-Planbase100[[#This Row],[05/05/25]])*'Plan 39'!CP39</f>
        <v>1</v>
      </c>
    </row>
    <row r="68" spans="2:139" hidden="1" outlineLevel="3" x14ac:dyDescent="0.3">
      <c r="B68" s="29"/>
      <c r="C68" s="30"/>
      <c r="D68" s="65"/>
      <c r="E68" s="52" t="s">
        <v>73</v>
      </c>
      <c r="F68" s="33">
        <v>30</v>
      </c>
      <c r="G68" s="35">
        <v>0.06</v>
      </c>
      <c r="H68" s="53"/>
      <c r="I68" s="126">
        <v>0</v>
      </c>
      <c r="J68" s="127">
        <v>0</v>
      </c>
      <c r="K68" s="127">
        <v>0</v>
      </c>
      <c r="L68" s="127">
        <v>0</v>
      </c>
      <c r="M68" s="128">
        <v>0</v>
      </c>
      <c r="N68" s="128">
        <v>0</v>
      </c>
      <c r="O68" s="127">
        <v>0</v>
      </c>
      <c r="P68" s="127">
        <v>0</v>
      </c>
      <c r="Q68" s="127">
        <v>0</v>
      </c>
      <c r="R68" s="127">
        <v>0</v>
      </c>
      <c r="S68" s="127">
        <v>0</v>
      </c>
      <c r="T68" s="127">
        <v>0</v>
      </c>
      <c r="U68" s="127">
        <v>0</v>
      </c>
      <c r="V68" s="127">
        <v>0</v>
      </c>
      <c r="W68" s="127">
        <v>0</v>
      </c>
      <c r="X68" s="127">
        <v>0</v>
      </c>
      <c r="Y68" s="127">
        <v>0</v>
      </c>
      <c r="Z68" s="127">
        <v>0</v>
      </c>
      <c r="AA68" s="127">
        <v>0</v>
      </c>
      <c r="AB68" s="127">
        <v>0</v>
      </c>
      <c r="AC68" s="127">
        <v>2.8125000000000001E-2</v>
      </c>
      <c r="AD68" s="127">
        <v>0.22500000000000001</v>
      </c>
      <c r="AE68" s="127">
        <v>0.39374999999999999</v>
      </c>
      <c r="AF68" s="127">
        <v>0.45</v>
      </c>
      <c r="AG68" s="127">
        <v>0.45</v>
      </c>
      <c r="AH68" s="127">
        <v>0.45</v>
      </c>
      <c r="AI68" s="127">
        <v>0.45</v>
      </c>
      <c r="AJ68" s="127">
        <v>0.45</v>
      </c>
      <c r="AK68" s="127">
        <v>0.45</v>
      </c>
      <c r="AL68" s="127">
        <v>0.45</v>
      </c>
      <c r="AM68" s="127">
        <v>0.45</v>
      </c>
      <c r="AN68" s="127">
        <v>0.45</v>
      </c>
      <c r="AO68" s="127">
        <v>0.45</v>
      </c>
      <c r="AP68" s="127">
        <v>0.45</v>
      </c>
      <c r="AQ68" s="127">
        <v>0.45</v>
      </c>
      <c r="AR68" s="127">
        <v>0.45</v>
      </c>
      <c r="AS68" s="127">
        <v>0.45</v>
      </c>
      <c r="AT68" s="127">
        <v>0.52031249999999996</v>
      </c>
      <c r="AU68" s="127">
        <v>0.57499999999999996</v>
      </c>
      <c r="AV68" s="127">
        <v>0.7</v>
      </c>
      <c r="AW68" s="127">
        <v>0.7</v>
      </c>
      <c r="AX68" s="127">
        <v>0.7</v>
      </c>
      <c r="AY68" s="127">
        <v>0.7</v>
      </c>
      <c r="AZ68" s="127">
        <v>0.7</v>
      </c>
      <c r="BA68" s="127">
        <v>0.7</v>
      </c>
      <c r="BB68" s="127">
        <f>Planbase100[[#This Row],[05/05/25]]+(1-Planbase100[[#This Row],[05/05/25]])*'Plan 39'!I38</f>
        <v>0.7</v>
      </c>
      <c r="BC68" s="127">
        <f>Planbase100[[#This Row],[05/05/25]]+(1-Planbase100[[#This Row],[05/05/25]])*'Plan 39'!J38</f>
        <v>0.7</v>
      </c>
      <c r="BD68" s="127">
        <f>Planbase100[[#This Row],[05/05/25]]+(1-Planbase100[[#This Row],[05/05/25]])*'Plan 39'!K38</f>
        <v>0.7</v>
      </c>
      <c r="BE68" s="127">
        <f>Planbase100[[#This Row],[05/05/25]]+(1-Planbase100[[#This Row],[05/05/25]])*'Plan 39'!L38</f>
        <v>0.7</v>
      </c>
      <c r="BF68" s="127">
        <f>Planbase100[[#This Row],[05/05/25]]+(1-Planbase100[[#This Row],[05/05/25]])*'Plan 39'!M38</f>
        <v>0.7</v>
      </c>
      <c r="BG68" s="127">
        <f>Planbase100[[#This Row],[05/05/25]]+(1-Planbase100[[#This Row],[05/05/25]])*'Plan 39'!N38</f>
        <v>0.7</v>
      </c>
      <c r="BH68" s="127">
        <f>Planbase100[[#This Row],[05/05/25]]+(1-Planbase100[[#This Row],[05/05/25]])*'Plan 39'!O38</f>
        <v>0.7</v>
      </c>
      <c r="BI68" s="127">
        <f>Planbase100[[#This Row],[05/05/25]]+(1-Planbase100[[#This Row],[05/05/25]])*'Plan 39'!P38</f>
        <v>0.7</v>
      </c>
      <c r="BJ68" s="127">
        <f>Planbase100[[#This Row],[05/05/25]]+(1-Planbase100[[#This Row],[05/05/25]])*'Plan 39'!Q38</f>
        <v>0.7</v>
      </c>
      <c r="BK68" s="127">
        <f>Planbase100[[#This Row],[05/05/25]]+(1-Planbase100[[#This Row],[05/05/25]])*'Plan 39'!R38</f>
        <v>0.7</v>
      </c>
      <c r="BL68" s="127">
        <f>Planbase100[[#This Row],[05/05/25]]+(1-Planbase100[[#This Row],[05/05/25]])*'Plan 39'!S38</f>
        <v>0.7</v>
      </c>
      <c r="BM68" s="127">
        <f>Planbase100[[#This Row],[05/05/25]]+(1-Planbase100[[#This Row],[05/05/25]])*'Plan 39'!T38</f>
        <v>0.7</v>
      </c>
      <c r="BN68" s="127">
        <f>Planbase100[[#This Row],[05/05/25]]+(1-Planbase100[[#This Row],[05/05/25]])*'Plan 39'!U38</f>
        <v>0.7</v>
      </c>
      <c r="BO68" s="127">
        <f>Planbase100[[#This Row],[05/05/25]]+(1-Planbase100[[#This Row],[05/05/25]])*'Plan 39'!V38</f>
        <v>0.7</v>
      </c>
      <c r="BP68" s="127">
        <f>Planbase100[[#This Row],[05/05/25]]+(1-Planbase100[[#This Row],[05/05/25]])*'Plan 39'!W38</f>
        <v>0.7</v>
      </c>
      <c r="BQ68" s="127">
        <f>Planbase100[[#This Row],[05/05/25]]+(1-Planbase100[[#This Row],[05/05/25]])*'Plan 39'!X38</f>
        <v>0.7</v>
      </c>
      <c r="BR68" s="127">
        <f>Planbase100[[#This Row],[05/05/25]]+(1-Planbase100[[#This Row],[05/05/25]])*'Plan 39'!Y38</f>
        <v>0.76</v>
      </c>
      <c r="BS68" s="127">
        <f>Planbase100[[#This Row],[05/05/25]]+(1-Planbase100[[#This Row],[05/05/25]])*'Plan 39'!Z38</f>
        <v>0.82</v>
      </c>
      <c r="BT68" s="127">
        <f>Planbase100[[#This Row],[05/05/25]]+(1-Planbase100[[#This Row],[05/05/25]])*'Plan 39'!AA38</f>
        <v>0.88</v>
      </c>
      <c r="BU68" s="127">
        <f>Planbase100[[#This Row],[05/05/25]]+(1-Planbase100[[#This Row],[05/05/25]])*'Plan 39'!AB38</f>
        <v>0.94</v>
      </c>
      <c r="BV68" s="127">
        <f>Planbase100[[#This Row],[05/05/25]]+(1-Planbase100[[#This Row],[05/05/25]])*'Plan 39'!AC38</f>
        <v>1</v>
      </c>
      <c r="BW68" s="127">
        <f>Planbase100[[#This Row],[05/05/25]]+(1-Planbase100[[#This Row],[05/05/25]])*'Plan 39'!AD38</f>
        <v>1</v>
      </c>
      <c r="BX68" s="127">
        <f>Planbase100[[#This Row],[05/05/25]]+(1-Planbase100[[#This Row],[05/05/25]])*'Plan 39'!AE38</f>
        <v>1</v>
      </c>
      <c r="BY68" s="127">
        <f>Planbase100[[#This Row],[05/05/25]]+(1-Planbase100[[#This Row],[05/05/25]])*'Plan 39'!AF38</f>
        <v>1</v>
      </c>
      <c r="BZ68" s="127">
        <f>Planbase100[[#This Row],[05/05/25]]+(1-Planbase100[[#This Row],[05/05/25]])*'Plan 39'!AG38</f>
        <v>1</v>
      </c>
      <c r="CA68" s="127">
        <f>Planbase100[[#This Row],[05/05/25]]+(1-Planbase100[[#This Row],[05/05/25]])*'Plan 39'!AH38</f>
        <v>1</v>
      </c>
      <c r="CB68" s="127">
        <f>Planbase100[[#This Row],[05/05/25]]+(1-Planbase100[[#This Row],[05/05/25]])*'Plan 39'!AI38</f>
        <v>1</v>
      </c>
      <c r="CC68" s="127">
        <f>Planbase100[[#This Row],[05/05/25]]+(1-Planbase100[[#This Row],[05/05/25]])*'Plan 39'!AJ38</f>
        <v>1</v>
      </c>
      <c r="CD68" s="127">
        <f>Planbase100[[#This Row],[05/05/25]]+(1-Planbase100[[#This Row],[05/05/25]])*'Plan 39'!AK38</f>
        <v>1</v>
      </c>
      <c r="CE68" s="127">
        <f>Planbase100[[#This Row],[05/05/25]]+(1-Planbase100[[#This Row],[05/05/25]])*'Plan 39'!AL38</f>
        <v>1</v>
      </c>
      <c r="CF68" s="127">
        <f>Planbase100[[#This Row],[05/05/25]]+(1-Planbase100[[#This Row],[05/05/25]])*'Plan 39'!AM38</f>
        <v>1</v>
      </c>
      <c r="CG68" s="127">
        <f>Planbase100[[#This Row],[05/05/25]]+(1-Planbase100[[#This Row],[05/05/25]])*'Plan 39'!AN38</f>
        <v>1</v>
      </c>
      <c r="CH68" s="127">
        <f>Planbase100[[#This Row],[05/05/25]]+(1-Planbase100[[#This Row],[05/05/25]])*'Plan 39'!AO38</f>
        <v>1</v>
      </c>
      <c r="CI68" s="127">
        <f>Planbase100[[#This Row],[05/05/25]]+(1-Planbase100[[#This Row],[05/05/25]])*'Plan 39'!AP38</f>
        <v>1</v>
      </c>
      <c r="CJ68" s="127">
        <f>Planbase100[[#This Row],[05/05/25]]+(1-Planbase100[[#This Row],[05/05/25]])*'Plan 39'!AQ38</f>
        <v>1</v>
      </c>
      <c r="CK68" s="127">
        <f>Planbase100[[#This Row],[05/05/25]]+(1-Planbase100[[#This Row],[05/05/25]])*'Plan 39'!AR38</f>
        <v>1</v>
      </c>
      <c r="CL68" s="127">
        <f>Planbase100[[#This Row],[05/05/25]]+(1-Planbase100[[#This Row],[05/05/25]])*'Plan 39'!AS38</f>
        <v>1</v>
      </c>
      <c r="CM68" s="127">
        <f>Planbase100[[#This Row],[05/05/25]]+(1-Planbase100[[#This Row],[05/05/25]])*'Plan 39'!AT38</f>
        <v>1</v>
      </c>
      <c r="CN68" s="127">
        <f>Planbase100[[#This Row],[05/05/25]]+(1-Planbase100[[#This Row],[05/05/25]])*'Plan 39'!AU38</f>
        <v>1</v>
      </c>
      <c r="CO68" s="127">
        <f>Planbase100[[#This Row],[05/05/25]]+(1-Planbase100[[#This Row],[05/05/25]])*'Plan 39'!AV38</f>
        <v>1</v>
      </c>
      <c r="CP68" s="127">
        <f>Planbase100[[#This Row],[05/05/25]]+(1-Planbase100[[#This Row],[05/05/25]])*'Plan 39'!AW38</f>
        <v>1</v>
      </c>
      <c r="CQ68" s="127">
        <f>Planbase100[[#This Row],[05/05/25]]+(1-Planbase100[[#This Row],[05/05/25]])*'Plan 39'!AX38</f>
        <v>1</v>
      </c>
      <c r="CR68" s="127">
        <f>Planbase100[[#This Row],[05/05/25]]+(1-Planbase100[[#This Row],[05/05/25]])*'Plan 39'!AY38</f>
        <v>1</v>
      </c>
      <c r="CS68" s="127">
        <f>Planbase100[[#This Row],[05/05/25]]+(1-Planbase100[[#This Row],[05/05/25]])*'Plan 39'!AZ38</f>
        <v>1</v>
      </c>
      <c r="CT68" s="127">
        <f>Planbase100[[#This Row],[05/05/25]]+(1-Planbase100[[#This Row],[05/05/25]])*'Plan 39'!BA38</f>
        <v>1</v>
      </c>
      <c r="CU68" s="127">
        <f>Planbase100[[#This Row],[05/05/25]]+(1-Planbase100[[#This Row],[05/05/25]])*'Plan 39'!BB38</f>
        <v>1</v>
      </c>
      <c r="CV68" s="127">
        <f>Planbase100[[#This Row],[05/05/25]]+(1-Planbase100[[#This Row],[05/05/25]])*'Plan 39'!BC38</f>
        <v>1</v>
      </c>
      <c r="CW68" s="127">
        <f>Planbase100[[#This Row],[05/05/25]]+(1-Planbase100[[#This Row],[05/05/25]])*'Plan 39'!BD38</f>
        <v>1</v>
      </c>
      <c r="CX68" s="127">
        <f>Planbase100[[#This Row],[05/05/25]]+(1-Planbase100[[#This Row],[05/05/25]])*'Plan 39'!BE38</f>
        <v>1</v>
      </c>
      <c r="CY68" s="127">
        <f>Planbase100[[#This Row],[05/05/25]]+(1-Planbase100[[#This Row],[05/05/25]])*'Plan 39'!BF38</f>
        <v>1</v>
      </c>
      <c r="CZ68" s="127">
        <f>Planbase100[[#This Row],[05/05/25]]+(1-Planbase100[[#This Row],[05/05/25]])*'Plan 39'!BG38</f>
        <v>1</v>
      </c>
      <c r="DA68" s="127">
        <f>Planbase100[[#This Row],[05/05/25]]+(1-Planbase100[[#This Row],[05/05/25]])*'Plan 39'!BH38</f>
        <v>1</v>
      </c>
      <c r="DB68" s="127">
        <f>Planbase100[[#This Row],[05/05/25]]+(1-Planbase100[[#This Row],[05/05/25]])*'Plan 39'!BI38</f>
        <v>1</v>
      </c>
      <c r="DC68" s="127">
        <f>Planbase100[[#This Row],[05/05/25]]+(1-Planbase100[[#This Row],[05/05/25]])*'Plan 39'!BJ38</f>
        <v>1</v>
      </c>
      <c r="DD68" s="127">
        <f>Planbase100[[#This Row],[05/05/25]]+(1-Planbase100[[#This Row],[05/05/25]])*'Plan 39'!BK38</f>
        <v>1</v>
      </c>
      <c r="DE68" s="127">
        <f>Planbase100[[#This Row],[05/05/25]]+(1-Planbase100[[#This Row],[05/05/25]])*'Plan 39'!BL40</f>
        <v>1</v>
      </c>
      <c r="DF68" s="127">
        <f>Planbase100[[#This Row],[05/05/25]]+(1-Planbase100[[#This Row],[05/05/25]])*'Plan 39'!BM40</f>
        <v>1</v>
      </c>
      <c r="DG68" s="127">
        <f>Planbase100[[#This Row],[05/05/25]]+(1-Planbase100[[#This Row],[05/05/25]])*'Plan 39'!BN40</f>
        <v>1</v>
      </c>
      <c r="DH68" s="127">
        <f>Planbase100[[#This Row],[05/05/25]]+(1-Planbase100[[#This Row],[05/05/25]])*'Plan 39'!BO40</f>
        <v>1</v>
      </c>
      <c r="DI68" s="127">
        <f>Planbase100[[#This Row],[05/05/25]]+(1-Planbase100[[#This Row],[05/05/25]])*'Plan 39'!BP40</f>
        <v>1</v>
      </c>
      <c r="DJ68" s="127">
        <f>Planbase100[[#This Row],[05/05/25]]+(1-Planbase100[[#This Row],[05/05/25]])*'Plan 39'!BQ40</f>
        <v>1</v>
      </c>
      <c r="DK68" s="127">
        <f>Planbase100[[#This Row],[05/05/25]]+(1-Planbase100[[#This Row],[05/05/25]])*'Plan 39'!BR40</f>
        <v>1</v>
      </c>
      <c r="DL68" s="127">
        <f>Planbase100[[#This Row],[05/05/25]]+(1-Planbase100[[#This Row],[05/05/25]])*'Plan 39'!BS40</f>
        <v>1</v>
      </c>
      <c r="DM68" s="127">
        <f>Planbase100[[#This Row],[05/05/25]]+(1-Planbase100[[#This Row],[05/05/25]])*'Plan 39'!BT40</f>
        <v>1</v>
      </c>
      <c r="DN68" s="127">
        <f>Planbase100[[#This Row],[05/05/25]]+(1-Planbase100[[#This Row],[05/05/25]])*'Plan 39'!BU40</f>
        <v>1</v>
      </c>
      <c r="DO68" s="127">
        <f>Planbase100[[#This Row],[05/05/25]]+(1-Planbase100[[#This Row],[05/05/25]])*'Plan 39'!BV40</f>
        <v>1</v>
      </c>
      <c r="DP68" s="127">
        <f>Planbase100[[#This Row],[05/05/25]]+(1-Planbase100[[#This Row],[05/05/25]])*'Plan 39'!BW40</f>
        <v>1</v>
      </c>
      <c r="DQ68" s="127">
        <f>Planbase100[[#This Row],[05/05/25]]+(1-Planbase100[[#This Row],[05/05/25]])*'Plan 39'!BX40</f>
        <v>1</v>
      </c>
      <c r="DR68" s="127">
        <f>Planbase100[[#This Row],[05/05/25]]+(1-Planbase100[[#This Row],[05/05/25]])*'Plan 39'!BY40</f>
        <v>1</v>
      </c>
      <c r="DS68" s="127">
        <f>Planbase100[[#This Row],[05/05/25]]+(1-Planbase100[[#This Row],[05/05/25]])*'Plan 39'!BZ40</f>
        <v>1</v>
      </c>
      <c r="DT68" s="127">
        <f>Planbase100[[#This Row],[05/05/25]]+(1-Planbase100[[#This Row],[05/05/25]])*'Plan 39'!CA40</f>
        <v>1</v>
      </c>
      <c r="DU68" s="127">
        <f>Planbase100[[#This Row],[05/05/25]]+(1-Planbase100[[#This Row],[05/05/25]])*'Plan 39'!CB40</f>
        <v>1</v>
      </c>
      <c r="DV68" s="127">
        <f>Planbase100[[#This Row],[05/05/25]]+(1-Planbase100[[#This Row],[05/05/25]])*'Plan 39'!CC40</f>
        <v>1</v>
      </c>
      <c r="DW68" s="127">
        <f>Planbase100[[#This Row],[05/05/25]]+(1-Planbase100[[#This Row],[05/05/25]])*'Plan 39'!CD40</f>
        <v>1</v>
      </c>
      <c r="DX68" s="127">
        <f>Planbase100[[#This Row],[05/05/25]]+(1-Planbase100[[#This Row],[05/05/25]])*'Plan 39'!CE40</f>
        <v>1</v>
      </c>
      <c r="DY68" s="127">
        <f>Planbase100[[#This Row],[05/05/25]]+(1-Planbase100[[#This Row],[05/05/25]])*'Plan 39'!CF40</f>
        <v>1</v>
      </c>
      <c r="DZ68" s="127">
        <f>Planbase100[[#This Row],[05/05/25]]+(1-Planbase100[[#This Row],[05/05/25]])*'Plan 39'!CG40</f>
        <v>1</v>
      </c>
      <c r="EA68" s="127">
        <f>Planbase100[[#This Row],[05/05/25]]+(1-Planbase100[[#This Row],[05/05/25]])*'Plan 39'!CH40</f>
        <v>1</v>
      </c>
      <c r="EB68" s="127">
        <f>Planbase100[[#This Row],[05/05/25]]+(1-Planbase100[[#This Row],[05/05/25]])*'Plan 39'!CI40</f>
        <v>1</v>
      </c>
      <c r="EC68" s="127">
        <f>Planbase100[[#This Row],[05/05/25]]+(1-Planbase100[[#This Row],[05/05/25]])*'Plan 39'!CJ40</f>
        <v>1</v>
      </c>
      <c r="ED68" s="127">
        <f>Planbase100[[#This Row],[05/05/25]]+(1-Planbase100[[#This Row],[05/05/25]])*'Plan 39'!CK40</f>
        <v>1</v>
      </c>
      <c r="EE68" s="127">
        <f>Planbase100[[#This Row],[05/05/25]]+(1-Planbase100[[#This Row],[05/05/25]])*'Plan 39'!CL40</f>
        <v>1</v>
      </c>
      <c r="EF68" s="127">
        <f>Planbase100[[#This Row],[05/05/25]]+(1-Planbase100[[#This Row],[05/05/25]])*'Plan 39'!CM40</f>
        <v>1</v>
      </c>
      <c r="EG68" s="127">
        <f>Planbase100[[#This Row],[05/05/25]]+(1-Planbase100[[#This Row],[05/05/25]])*'Plan 39'!CN40</f>
        <v>1</v>
      </c>
      <c r="EH68" s="127">
        <f>Planbase100[[#This Row],[05/05/25]]+(1-Planbase100[[#This Row],[05/05/25]])*'Plan 39'!CO40</f>
        <v>1</v>
      </c>
      <c r="EI68" s="127">
        <f>Planbase100[[#This Row],[05/05/25]]+(1-Planbase100[[#This Row],[05/05/25]])*'Plan 39'!CP40</f>
        <v>1</v>
      </c>
    </row>
    <row r="69" spans="2:139" hidden="1" outlineLevel="3" x14ac:dyDescent="0.3">
      <c r="B69" s="29"/>
      <c r="C69" s="30"/>
      <c r="D69" s="65"/>
      <c r="E69" s="52" t="s">
        <v>74</v>
      </c>
      <c r="F69" s="33">
        <v>60</v>
      </c>
      <c r="G69" s="35">
        <v>0.12</v>
      </c>
      <c r="H69" s="53"/>
      <c r="I69" s="126">
        <v>0</v>
      </c>
      <c r="J69" s="127">
        <v>0</v>
      </c>
      <c r="K69" s="127">
        <v>0</v>
      </c>
      <c r="L69" s="127">
        <v>0</v>
      </c>
      <c r="M69" s="128">
        <v>0</v>
      </c>
      <c r="N69" s="128">
        <v>0</v>
      </c>
      <c r="O69" s="127">
        <v>0</v>
      </c>
      <c r="P69" s="127">
        <v>0</v>
      </c>
      <c r="Q69" s="127">
        <v>0</v>
      </c>
      <c r="R69" s="127">
        <v>0</v>
      </c>
      <c r="S69" s="127">
        <v>0</v>
      </c>
      <c r="T69" s="127">
        <v>0</v>
      </c>
      <c r="U69" s="127">
        <v>0</v>
      </c>
      <c r="V69" s="127">
        <v>0</v>
      </c>
      <c r="W69" s="127">
        <v>0</v>
      </c>
      <c r="X69" s="127">
        <v>0</v>
      </c>
      <c r="Y69" s="127">
        <v>0</v>
      </c>
      <c r="Z69" s="127">
        <v>0</v>
      </c>
      <c r="AA69" s="127">
        <v>0</v>
      </c>
      <c r="AB69" s="127">
        <v>0</v>
      </c>
      <c r="AC69" s="127">
        <v>0</v>
      </c>
      <c r="AD69" s="127">
        <v>0</v>
      </c>
      <c r="AE69" s="127">
        <v>0</v>
      </c>
      <c r="AF69" s="127">
        <v>0</v>
      </c>
      <c r="AG69" s="127">
        <v>0</v>
      </c>
      <c r="AH69" s="127">
        <v>0</v>
      </c>
      <c r="AI69" s="127">
        <v>0</v>
      </c>
      <c r="AJ69" s="127">
        <v>0</v>
      </c>
      <c r="AK69" s="127">
        <v>0</v>
      </c>
      <c r="AL69" s="127">
        <v>0</v>
      </c>
      <c r="AM69" s="127">
        <v>0.16</v>
      </c>
      <c r="AN69" s="127">
        <v>0.32</v>
      </c>
      <c r="AO69" s="127">
        <v>0.64</v>
      </c>
      <c r="AP69" s="127">
        <v>0.8666666666666667</v>
      </c>
      <c r="AQ69" s="127">
        <v>0.92</v>
      </c>
      <c r="AR69" s="127">
        <v>0.92</v>
      </c>
      <c r="AS69" s="127">
        <v>0.92</v>
      </c>
      <c r="AT69" s="127">
        <v>0.92</v>
      </c>
      <c r="AU69" s="127">
        <v>0.92</v>
      </c>
      <c r="AV69" s="127">
        <v>0.92</v>
      </c>
      <c r="AW69" s="127">
        <v>0.92</v>
      </c>
      <c r="AX69" s="127">
        <v>0.92</v>
      </c>
      <c r="AY69" s="127">
        <v>0.92</v>
      </c>
      <c r="AZ69" s="127">
        <v>0.92</v>
      </c>
      <c r="BA69" s="127">
        <v>0.92</v>
      </c>
      <c r="BB69" s="127">
        <f>Planbase100[[#This Row],[05/05/25]]+(1-Planbase100[[#This Row],[05/05/25]])*'Plan 39'!I39</f>
        <v>0.92</v>
      </c>
      <c r="BC69" s="127">
        <f>Planbase100[[#This Row],[05/05/25]]+(1-Planbase100[[#This Row],[05/05/25]])*'Plan 39'!J39</f>
        <v>0.92</v>
      </c>
      <c r="BD69" s="127">
        <f>Planbase100[[#This Row],[05/05/25]]+(1-Planbase100[[#This Row],[05/05/25]])*'Plan 39'!K39</f>
        <v>0.92</v>
      </c>
      <c r="BE69" s="127">
        <f>Planbase100[[#This Row],[05/05/25]]+(1-Planbase100[[#This Row],[05/05/25]])*'Plan 39'!L39</f>
        <v>0.92</v>
      </c>
      <c r="BF69" s="127">
        <f>Planbase100[[#This Row],[05/05/25]]+(1-Planbase100[[#This Row],[05/05/25]])*'Plan 39'!M39</f>
        <v>0.92</v>
      </c>
      <c r="BG69" s="127">
        <f>Planbase100[[#This Row],[05/05/25]]+(1-Planbase100[[#This Row],[05/05/25]])*'Plan 39'!N39</f>
        <v>0.92333333333333334</v>
      </c>
      <c r="BH69" s="127">
        <f>Planbase100[[#This Row],[05/05/25]]+(1-Planbase100[[#This Row],[05/05/25]])*'Plan 39'!O39</f>
        <v>0.92669333333333337</v>
      </c>
      <c r="BI69" s="127">
        <f>Planbase100[[#This Row],[05/05/25]]+(1-Planbase100[[#This Row],[05/05/25]])*'Plan 39'!P39</f>
        <v>0.9300533333333334</v>
      </c>
      <c r="BJ69" s="127">
        <f>Planbase100[[#This Row],[05/05/25]]+(1-Planbase100[[#This Row],[05/05/25]])*'Plan 39'!Q39</f>
        <v>0.93341333333333332</v>
      </c>
      <c r="BK69" s="127">
        <f>Planbase100[[#This Row],[05/05/25]]+(1-Planbase100[[#This Row],[05/05/25]])*'Plan 39'!R39</f>
        <v>0.93677333333333335</v>
      </c>
      <c r="BL69" s="127">
        <f>Planbase100[[#This Row],[05/05/25]]+(1-Planbase100[[#This Row],[05/05/25]])*'Plan 39'!S39</f>
        <v>0.94013333333333338</v>
      </c>
      <c r="BM69" s="127">
        <f>Planbase100[[#This Row],[05/05/25]]+(1-Planbase100[[#This Row],[05/05/25]])*'Plan 39'!T39</f>
        <v>0.94349333333333341</v>
      </c>
      <c r="BN69" s="127">
        <f>Planbase100[[#This Row],[05/05/25]]+(1-Planbase100[[#This Row],[05/05/25]])*'Plan 39'!U39</f>
        <v>0.94685333333333332</v>
      </c>
      <c r="BO69" s="127">
        <f>Planbase100[[#This Row],[05/05/25]]+(1-Planbase100[[#This Row],[05/05/25]])*'Plan 39'!V39</f>
        <v>0.95021333333333335</v>
      </c>
      <c r="BP69" s="127">
        <f>Planbase100[[#This Row],[05/05/25]]+(1-Planbase100[[#This Row],[05/05/25]])*'Plan 39'!W39</f>
        <v>0.95357333333333338</v>
      </c>
      <c r="BQ69" s="127">
        <f>Planbase100[[#This Row],[05/05/25]]+(1-Planbase100[[#This Row],[05/05/25]])*'Plan 39'!X39</f>
        <v>0.9569333333333333</v>
      </c>
      <c r="BR69" s="127">
        <f>Planbase100[[#This Row],[05/05/25]]+(1-Planbase100[[#This Row],[05/05/25]])*'Plan 39'!Y39</f>
        <v>0.96029333333333333</v>
      </c>
      <c r="BS69" s="127">
        <f>Planbase100[[#This Row],[05/05/25]]+(1-Planbase100[[#This Row],[05/05/25]])*'Plan 39'!Z39</f>
        <v>0.96365333333333336</v>
      </c>
      <c r="BT69" s="127">
        <f>Planbase100[[#This Row],[05/05/25]]+(1-Planbase100[[#This Row],[05/05/25]])*'Plan 39'!AA39</f>
        <v>0.96701333333333339</v>
      </c>
      <c r="BU69" s="127">
        <f>Planbase100[[#This Row],[05/05/25]]+(1-Planbase100[[#This Row],[05/05/25]])*'Plan 39'!AB39</f>
        <v>0.97037333333333331</v>
      </c>
      <c r="BV69" s="127">
        <f>Planbase100[[#This Row],[05/05/25]]+(1-Planbase100[[#This Row],[05/05/25]])*'Plan 39'!AC39</f>
        <v>0.97373333333333334</v>
      </c>
      <c r="BW69" s="127">
        <f>Planbase100[[#This Row],[05/05/25]]+(1-Planbase100[[#This Row],[05/05/25]])*'Plan 39'!AD39</f>
        <v>0.97709333333333337</v>
      </c>
      <c r="BX69" s="127">
        <f>Planbase100[[#This Row],[05/05/25]]+(1-Planbase100[[#This Row],[05/05/25]])*'Plan 39'!AE39</f>
        <v>0.9804533333333334</v>
      </c>
      <c r="BY69" s="127">
        <f>Planbase100[[#This Row],[05/05/25]]+(1-Planbase100[[#This Row],[05/05/25]])*'Plan 39'!AF39</f>
        <v>0.98381333333333332</v>
      </c>
      <c r="BZ69" s="127">
        <f>Planbase100[[#This Row],[05/05/25]]+(1-Planbase100[[#This Row],[05/05/25]])*'Plan 39'!AG39</f>
        <v>0.98717333333333335</v>
      </c>
      <c r="CA69" s="127">
        <f>Planbase100[[#This Row],[05/05/25]]+(1-Planbase100[[#This Row],[05/05/25]])*'Plan 39'!AH39</f>
        <v>0.99053333333333338</v>
      </c>
      <c r="CB69" s="127">
        <f>Planbase100[[#This Row],[05/05/25]]+(1-Planbase100[[#This Row],[05/05/25]])*'Plan 39'!AI39</f>
        <v>0.99389333333333341</v>
      </c>
      <c r="CC69" s="127">
        <f>Planbase100[[#This Row],[05/05/25]]+(1-Planbase100[[#This Row],[05/05/25]])*'Plan 39'!AJ39</f>
        <v>0.99725333333333332</v>
      </c>
      <c r="CD69" s="127">
        <f>Planbase100[[#This Row],[05/05/25]]+(1-Planbase100[[#This Row],[05/05/25]])*'Plan 39'!AK39</f>
        <v>1</v>
      </c>
      <c r="CE69" s="127">
        <f>Planbase100[[#This Row],[05/05/25]]+(1-Planbase100[[#This Row],[05/05/25]])*'Plan 39'!AL39</f>
        <v>1</v>
      </c>
      <c r="CF69" s="127">
        <f>Planbase100[[#This Row],[05/05/25]]+(1-Planbase100[[#This Row],[05/05/25]])*'Plan 39'!AM39</f>
        <v>1</v>
      </c>
      <c r="CG69" s="127">
        <f>Planbase100[[#This Row],[05/05/25]]+(1-Planbase100[[#This Row],[05/05/25]])*'Plan 39'!AN39</f>
        <v>1</v>
      </c>
      <c r="CH69" s="127">
        <f>Planbase100[[#This Row],[05/05/25]]+(1-Planbase100[[#This Row],[05/05/25]])*'Plan 39'!AO39</f>
        <v>1</v>
      </c>
      <c r="CI69" s="127">
        <f>Planbase100[[#This Row],[05/05/25]]+(1-Planbase100[[#This Row],[05/05/25]])*'Plan 39'!AP39</f>
        <v>1</v>
      </c>
      <c r="CJ69" s="127">
        <f>Planbase100[[#This Row],[05/05/25]]+(1-Planbase100[[#This Row],[05/05/25]])*'Plan 39'!AQ39</f>
        <v>1</v>
      </c>
      <c r="CK69" s="127">
        <f>Planbase100[[#This Row],[05/05/25]]+(1-Planbase100[[#This Row],[05/05/25]])*'Plan 39'!AR39</f>
        <v>1</v>
      </c>
      <c r="CL69" s="127">
        <f>Planbase100[[#This Row],[05/05/25]]+(1-Planbase100[[#This Row],[05/05/25]])*'Plan 39'!AS39</f>
        <v>1</v>
      </c>
      <c r="CM69" s="127">
        <f>Planbase100[[#This Row],[05/05/25]]+(1-Planbase100[[#This Row],[05/05/25]])*'Plan 39'!AT39</f>
        <v>1</v>
      </c>
      <c r="CN69" s="127">
        <f>Planbase100[[#This Row],[05/05/25]]+(1-Planbase100[[#This Row],[05/05/25]])*'Plan 39'!AU39</f>
        <v>1</v>
      </c>
      <c r="CO69" s="127">
        <f>Planbase100[[#This Row],[05/05/25]]+(1-Planbase100[[#This Row],[05/05/25]])*'Plan 39'!AV39</f>
        <v>1</v>
      </c>
      <c r="CP69" s="127">
        <f>Planbase100[[#This Row],[05/05/25]]+(1-Planbase100[[#This Row],[05/05/25]])*'Plan 39'!AW39</f>
        <v>1</v>
      </c>
      <c r="CQ69" s="127">
        <f>Planbase100[[#This Row],[05/05/25]]+(1-Planbase100[[#This Row],[05/05/25]])*'Plan 39'!AX39</f>
        <v>1</v>
      </c>
      <c r="CR69" s="127">
        <f>Planbase100[[#This Row],[05/05/25]]+(1-Planbase100[[#This Row],[05/05/25]])*'Plan 39'!AY39</f>
        <v>1</v>
      </c>
      <c r="CS69" s="127">
        <f>Planbase100[[#This Row],[05/05/25]]+(1-Planbase100[[#This Row],[05/05/25]])*'Plan 39'!AZ39</f>
        <v>1</v>
      </c>
      <c r="CT69" s="127">
        <f>Planbase100[[#This Row],[05/05/25]]+(1-Planbase100[[#This Row],[05/05/25]])*'Plan 39'!BA39</f>
        <v>1</v>
      </c>
      <c r="CU69" s="127">
        <f>Planbase100[[#This Row],[05/05/25]]+(1-Planbase100[[#This Row],[05/05/25]])*'Plan 39'!BB39</f>
        <v>1</v>
      </c>
      <c r="CV69" s="127">
        <f>Planbase100[[#This Row],[05/05/25]]+(1-Planbase100[[#This Row],[05/05/25]])*'Plan 39'!BC39</f>
        <v>1</v>
      </c>
      <c r="CW69" s="127">
        <f>Planbase100[[#This Row],[05/05/25]]+(1-Planbase100[[#This Row],[05/05/25]])*'Plan 39'!BD39</f>
        <v>1</v>
      </c>
      <c r="CX69" s="127">
        <f>Planbase100[[#This Row],[05/05/25]]+(1-Planbase100[[#This Row],[05/05/25]])*'Plan 39'!BE39</f>
        <v>1</v>
      </c>
      <c r="CY69" s="127">
        <f>Planbase100[[#This Row],[05/05/25]]+(1-Planbase100[[#This Row],[05/05/25]])*'Plan 39'!BF39</f>
        <v>1</v>
      </c>
      <c r="CZ69" s="127">
        <f>Planbase100[[#This Row],[05/05/25]]+(1-Planbase100[[#This Row],[05/05/25]])*'Plan 39'!BG39</f>
        <v>1</v>
      </c>
      <c r="DA69" s="127">
        <f>Planbase100[[#This Row],[05/05/25]]+(1-Planbase100[[#This Row],[05/05/25]])*'Plan 39'!BH39</f>
        <v>1</v>
      </c>
      <c r="DB69" s="127">
        <f>Planbase100[[#This Row],[05/05/25]]+(1-Planbase100[[#This Row],[05/05/25]])*'Plan 39'!BI39</f>
        <v>1</v>
      </c>
      <c r="DC69" s="127">
        <f>Planbase100[[#This Row],[05/05/25]]+(1-Planbase100[[#This Row],[05/05/25]])*'Plan 39'!BJ39</f>
        <v>1</v>
      </c>
      <c r="DD69" s="127">
        <f>Planbase100[[#This Row],[05/05/25]]+(1-Planbase100[[#This Row],[05/05/25]])*'Plan 39'!BK39</f>
        <v>1</v>
      </c>
      <c r="DE69" s="127">
        <f>Planbase100[[#This Row],[05/05/25]]+(1-Planbase100[[#This Row],[05/05/25]])*'Plan 39'!BL41</f>
        <v>1</v>
      </c>
      <c r="DF69" s="127">
        <f>Planbase100[[#This Row],[05/05/25]]+(1-Planbase100[[#This Row],[05/05/25]])*'Plan 39'!BM41</f>
        <v>1</v>
      </c>
      <c r="DG69" s="127">
        <f>Planbase100[[#This Row],[05/05/25]]+(1-Planbase100[[#This Row],[05/05/25]])*'Plan 39'!BN41</f>
        <v>1</v>
      </c>
      <c r="DH69" s="127">
        <f>Planbase100[[#This Row],[05/05/25]]+(1-Planbase100[[#This Row],[05/05/25]])*'Plan 39'!BO41</f>
        <v>1</v>
      </c>
      <c r="DI69" s="127">
        <f>Planbase100[[#This Row],[05/05/25]]+(1-Planbase100[[#This Row],[05/05/25]])*'Plan 39'!BP41</f>
        <v>1</v>
      </c>
      <c r="DJ69" s="127">
        <f>Planbase100[[#This Row],[05/05/25]]+(1-Planbase100[[#This Row],[05/05/25]])*'Plan 39'!BQ41</f>
        <v>1</v>
      </c>
      <c r="DK69" s="127">
        <f>Planbase100[[#This Row],[05/05/25]]+(1-Planbase100[[#This Row],[05/05/25]])*'Plan 39'!BR41</f>
        <v>1</v>
      </c>
      <c r="DL69" s="127">
        <f>Planbase100[[#This Row],[05/05/25]]+(1-Planbase100[[#This Row],[05/05/25]])*'Plan 39'!BS41</f>
        <v>1</v>
      </c>
      <c r="DM69" s="127">
        <f>Planbase100[[#This Row],[05/05/25]]+(1-Planbase100[[#This Row],[05/05/25]])*'Plan 39'!BT41</f>
        <v>1</v>
      </c>
      <c r="DN69" s="127">
        <f>Planbase100[[#This Row],[05/05/25]]+(1-Planbase100[[#This Row],[05/05/25]])*'Plan 39'!BU41</f>
        <v>1</v>
      </c>
      <c r="DO69" s="127">
        <f>Planbase100[[#This Row],[05/05/25]]+(1-Planbase100[[#This Row],[05/05/25]])*'Plan 39'!BV41</f>
        <v>1</v>
      </c>
      <c r="DP69" s="127">
        <f>Planbase100[[#This Row],[05/05/25]]+(1-Planbase100[[#This Row],[05/05/25]])*'Plan 39'!BW41</f>
        <v>1</v>
      </c>
      <c r="DQ69" s="127">
        <f>Planbase100[[#This Row],[05/05/25]]+(1-Planbase100[[#This Row],[05/05/25]])*'Plan 39'!BX41</f>
        <v>1</v>
      </c>
      <c r="DR69" s="127">
        <f>Planbase100[[#This Row],[05/05/25]]+(1-Planbase100[[#This Row],[05/05/25]])*'Plan 39'!BY41</f>
        <v>1</v>
      </c>
      <c r="DS69" s="127">
        <f>Planbase100[[#This Row],[05/05/25]]+(1-Planbase100[[#This Row],[05/05/25]])*'Plan 39'!BZ41</f>
        <v>1</v>
      </c>
      <c r="DT69" s="127">
        <f>Planbase100[[#This Row],[05/05/25]]+(1-Planbase100[[#This Row],[05/05/25]])*'Plan 39'!CA41</f>
        <v>1</v>
      </c>
      <c r="DU69" s="127">
        <f>Planbase100[[#This Row],[05/05/25]]+(1-Planbase100[[#This Row],[05/05/25]])*'Plan 39'!CB41</f>
        <v>1</v>
      </c>
      <c r="DV69" s="127">
        <f>Planbase100[[#This Row],[05/05/25]]+(1-Planbase100[[#This Row],[05/05/25]])*'Plan 39'!CC41</f>
        <v>1</v>
      </c>
      <c r="DW69" s="127">
        <f>Planbase100[[#This Row],[05/05/25]]+(1-Planbase100[[#This Row],[05/05/25]])*'Plan 39'!CD41</f>
        <v>1</v>
      </c>
      <c r="DX69" s="127">
        <f>Planbase100[[#This Row],[05/05/25]]+(1-Planbase100[[#This Row],[05/05/25]])*'Plan 39'!CE41</f>
        <v>1</v>
      </c>
      <c r="DY69" s="127">
        <f>Planbase100[[#This Row],[05/05/25]]+(1-Planbase100[[#This Row],[05/05/25]])*'Plan 39'!CF41</f>
        <v>1</v>
      </c>
      <c r="DZ69" s="127">
        <f>Planbase100[[#This Row],[05/05/25]]+(1-Planbase100[[#This Row],[05/05/25]])*'Plan 39'!CG41</f>
        <v>1</v>
      </c>
      <c r="EA69" s="127">
        <f>Planbase100[[#This Row],[05/05/25]]+(1-Planbase100[[#This Row],[05/05/25]])*'Plan 39'!CH41</f>
        <v>1</v>
      </c>
      <c r="EB69" s="127">
        <f>Planbase100[[#This Row],[05/05/25]]+(1-Planbase100[[#This Row],[05/05/25]])*'Plan 39'!CI41</f>
        <v>1</v>
      </c>
      <c r="EC69" s="127">
        <f>Planbase100[[#This Row],[05/05/25]]+(1-Planbase100[[#This Row],[05/05/25]])*'Plan 39'!CJ41</f>
        <v>1</v>
      </c>
      <c r="ED69" s="127">
        <f>Planbase100[[#This Row],[05/05/25]]+(1-Planbase100[[#This Row],[05/05/25]])*'Plan 39'!CK41</f>
        <v>1</v>
      </c>
      <c r="EE69" s="127">
        <f>Planbase100[[#This Row],[05/05/25]]+(1-Planbase100[[#This Row],[05/05/25]])*'Plan 39'!CL41</f>
        <v>1</v>
      </c>
      <c r="EF69" s="127">
        <f>Planbase100[[#This Row],[05/05/25]]+(1-Planbase100[[#This Row],[05/05/25]])*'Plan 39'!CM41</f>
        <v>1</v>
      </c>
      <c r="EG69" s="127">
        <f>Planbase100[[#This Row],[05/05/25]]+(1-Planbase100[[#This Row],[05/05/25]])*'Plan 39'!CN41</f>
        <v>1</v>
      </c>
      <c r="EH69" s="127">
        <f>Planbase100[[#This Row],[05/05/25]]+(1-Planbase100[[#This Row],[05/05/25]])*'Plan 39'!CO41</f>
        <v>1</v>
      </c>
      <c r="EI69" s="127">
        <f>Planbase100[[#This Row],[05/05/25]]+(1-Planbase100[[#This Row],[05/05/25]])*'Plan 39'!CP41</f>
        <v>1</v>
      </c>
    </row>
    <row r="70" spans="2:139" hidden="1" outlineLevel="3" x14ac:dyDescent="0.3">
      <c r="B70" s="29"/>
      <c r="C70" s="30"/>
      <c r="D70" s="65"/>
      <c r="E70" s="52" t="s">
        <v>75</v>
      </c>
      <c r="F70" s="33">
        <v>60</v>
      </c>
      <c r="G70" s="35">
        <v>0.12</v>
      </c>
      <c r="H70" s="53"/>
      <c r="I70" s="126">
        <v>0</v>
      </c>
      <c r="J70" s="127">
        <v>0</v>
      </c>
      <c r="K70" s="127">
        <v>0</v>
      </c>
      <c r="L70" s="127">
        <v>0</v>
      </c>
      <c r="M70" s="128">
        <v>0</v>
      </c>
      <c r="N70" s="128">
        <v>0</v>
      </c>
      <c r="O70" s="127">
        <v>0</v>
      </c>
      <c r="P70" s="127">
        <v>0</v>
      </c>
      <c r="Q70" s="127">
        <v>0</v>
      </c>
      <c r="R70" s="127">
        <v>0</v>
      </c>
      <c r="S70" s="127">
        <v>0</v>
      </c>
      <c r="T70" s="127">
        <v>0</v>
      </c>
      <c r="U70" s="127">
        <v>0</v>
      </c>
      <c r="V70" s="127">
        <v>0</v>
      </c>
      <c r="W70" s="127">
        <v>0</v>
      </c>
      <c r="X70" s="127">
        <v>0</v>
      </c>
      <c r="Y70" s="127">
        <v>0</v>
      </c>
      <c r="Z70" s="127">
        <v>0</v>
      </c>
      <c r="AA70" s="127">
        <v>0</v>
      </c>
      <c r="AB70" s="127">
        <v>0</v>
      </c>
      <c r="AC70" s="127">
        <v>0</v>
      </c>
      <c r="AD70" s="127">
        <v>0</v>
      </c>
      <c r="AE70" s="127">
        <v>0</v>
      </c>
      <c r="AF70" s="127">
        <v>0</v>
      </c>
      <c r="AG70" s="127">
        <v>0</v>
      </c>
      <c r="AH70" s="127">
        <v>0</v>
      </c>
      <c r="AI70" s="127">
        <v>0</v>
      </c>
      <c r="AJ70" s="127">
        <v>0</v>
      </c>
      <c r="AK70" s="127">
        <v>0</v>
      </c>
      <c r="AL70" s="127">
        <v>0</v>
      </c>
      <c r="AM70" s="127">
        <v>0</v>
      </c>
      <c r="AN70" s="127">
        <v>0</v>
      </c>
      <c r="AO70" s="127">
        <v>0</v>
      </c>
      <c r="AP70" s="127">
        <v>0</v>
      </c>
      <c r="AQ70" s="127">
        <v>0</v>
      </c>
      <c r="AR70" s="127">
        <v>0</v>
      </c>
      <c r="AS70" s="127">
        <v>0</v>
      </c>
      <c r="AT70" s="127">
        <v>0</v>
      </c>
      <c r="AU70" s="127">
        <v>0</v>
      </c>
      <c r="AV70" s="127">
        <v>0</v>
      </c>
      <c r="AW70" s="127">
        <v>0</v>
      </c>
      <c r="AX70" s="127">
        <v>1.5533980582524271E-2</v>
      </c>
      <c r="AY70" s="127">
        <v>1.5533980582524271E-2</v>
      </c>
      <c r="AZ70" s="127">
        <v>2.9126213592233014E-2</v>
      </c>
      <c r="BA70" s="127">
        <v>8.7378640776699032E-2</v>
      </c>
      <c r="BB70" s="127">
        <f>Planbase100[[#This Row],[05/05/25]]+(1-Planbase100[[#This Row],[05/05/25]])*'Plan 39'!I40</f>
        <v>0.11884834281888182</v>
      </c>
      <c r="BC70" s="127">
        <f>Planbase100[[#This Row],[05/05/25]]+(1-Planbase100[[#This Row],[05/05/25]])*'Plan 39'!J40</f>
        <v>0.14987746903247406</v>
      </c>
      <c r="BD70" s="127">
        <f>Planbase100[[#This Row],[05/05/25]]+(1-Planbase100[[#This Row],[05/05/25]])*'Plan 39'!K40</f>
        <v>0.18090659524606628</v>
      </c>
      <c r="BE70" s="127">
        <f>Planbase100[[#This Row],[05/05/25]]+(1-Planbase100[[#This Row],[05/05/25]])*'Plan 39'!L40</f>
        <v>0.21193572145965853</v>
      </c>
      <c r="BF70" s="127">
        <f>Planbase100[[#This Row],[05/05/25]]+(1-Planbase100[[#This Row],[05/05/25]])*'Plan 39'!M40</f>
        <v>0.24296484767325077</v>
      </c>
      <c r="BG70" s="127">
        <f>Planbase100[[#This Row],[05/05/25]]+(1-Planbase100[[#This Row],[05/05/25]])*'Plan 39'!N40</f>
        <v>0.27399397388684299</v>
      </c>
      <c r="BH70" s="127">
        <f>Planbase100[[#This Row],[05/05/25]]+(1-Planbase100[[#This Row],[05/05/25]])*'Plan 39'!O40</f>
        <v>0.30502310010043521</v>
      </c>
      <c r="BI70" s="127">
        <f>Planbase100[[#This Row],[05/05/25]]+(1-Planbase100[[#This Row],[05/05/25]])*'Plan 39'!P40</f>
        <v>0.33605222631402748</v>
      </c>
      <c r="BJ70" s="127">
        <f>Planbase100[[#This Row],[05/05/25]]+(1-Planbase100[[#This Row],[05/05/25]])*'Plan 39'!Q40</f>
        <v>0.3670813525276197</v>
      </c>
      <c r="BK70" s="127">
        <f>Planbase100[[#This Row],[05/05/25]]+(1-Planbase100[[#This Row],[05/05/25]])*'Plan 39'!R40</f>
        <v>0.39811047874121197</v>
      </c>
      <c r="BL70" s="127">
        <f>Planbase100[[#This Row],[05/05/25]]+(1-Planbase100[[#This Row],[05/05/25]])*'Plan 39'!S40</f>
        <v>0.42913960495480424</v>
      </c>
      <c r="BM70" s="127">
        <f>Planbase100[[#This Row],[05/05/25]]+(1-Planbase100[[#This Row],[05/05/25]])*'Plan 39'!T40</f>
        <v>0.46016873116839646</v>
      </c>
      <c r="BN70" s="127">
        <f>Planbase100[[#This Row],[05/05/25]]+(1-Planbase100[[#This Row],[05/05/25]])*'Plan 39'!U40</f>
        <v>0.49119785738198873</v>
      </c>
      <c r="BO70" s="127">
        <f>Planbase100[[#This Row],[05/05/25]]+(1-Planbase100[[#This Row],[05/05/25]])*'Plan 39'!V40</f>
        <v>0.52222698359558095</v>
      </c>
      <c r="BP70" s="127">
        <f>Planbase100[[#This Row],[05/05/25]]+(1-Planbase100[[#This Row],[05/05/25]])*'Plan 39'!W40</f>
        <v>0.55325610980917328</v>
      </c>
      <c r="BQ70" s="127">
        <f>Planbase100[[#This Row],[05/05/25]]+(1-Planbase100[[#This Row],[05/05/25]])*'Plan 39'!X40</f>
        <v>0.5842852360227655</v>
      </c>
      <c r="BR70" s="127">
        <f>Planbase100[[#This Row],[05/05/25]]+(1-Planbase100[[#This Row],[05/05/25]])*'Plan 39'!Y40</f>
        <v>0.61531436223635771</v>
      </c>
      <c r="BS70" s="127">
        <f>Planbase100[[#This Row],[05/05/25]]+(1-Planbase100[[#This Row],[05/05/25]])*'Plan 39'!Z40</f>
        <v>0.64634348844995004</v>
      </c>
      <c r="BT70" s="127">
        <f>Planbase100[[#This Row],[05/05/25]]+(1-Planbase100[[#This Row],[05/05/25]])*'Plan 39'!AA40</f>
        <v>0.67737261466354226</v>
      </c>
      <c r="BU70" s="127">
        <f>Planbase100[[#This Row],[05/05/25]]+(1-Planbase100[[#This Row],[05/05/25]])*'Plan 39'!AB40</f>
        <v>0.70840174087713448</v>
      </c>
      <c r="BV70" s="127">
        <f>Planbase100[[#This Row],[05/05/25]]+(1-Planbase100[[#This Row],[05/05/25]])*'Plan 39'!AC40</f>
        <v>0.73943086709072681</v>
      </c>
      <c r="BW70" s="127">
        <f>Planbase100[[#This Row],[05/05/25]]+(1-Planbase100[[#This Row],[05/05/25]])*'Plan 39'!AD40</f>
        <v>0.77045999330431902</v>
      </c>
      <c r="BX70" s="127">
        <f>Planbase100[[#This Row],[05/05/25]]+(1-Planbase100[[#This Row],[05/05/25]])*'Plan 39'!AE40</f>
        <v>0.80148911951791135</v>
      </c>
      <c r="BY70" s="127">
        <f>Planbase100[[#This Row],[05/05/25]]+(1-Planbase100[[#This Row],[05/05/25]])*'Plan 39'!AF40</f>
        <v>0.83251824573150357</v>
      </c>
      <c r="BZ70" s="127">
        <f>Planbase100[[#This Row],[05/05/25]]+(1-Planbase100[[#This Row],[05/05/25]])*'Plan 39'!AG40</f>
        <v>0.86354737194509579</v>
      </c>
      <c r="CA70" s="127">
        <f>Planbase100[[#This Row],[05/05/25]]+(1-Planbase100[[#This Row],[05/05/25]])*'Plan 39'!AH40</f>
        <v>0.89457649815868812</v>
      </c>
      <c r="CB70" s="127">
        <f>Planbase100[[#This Row],[05/05/25]]+(1-Planbase100[[#This Row],[05/05/25]])*'Plan 39'!AI40</f>
        <v>0.92560562437228033</v>
      </c>
      <c r="CC70" s="127">
        <f>Planbase100[[#This Row],[05/05/25]]+(1-Planbase100[[#This Row],[05/05/25]])*'Plan 39'!AJ40</f>
        <v>0.95663475058587266</v>
      </c>
      <c r="CD70" s="127">
        <f>Planbase100[[#This Row],[05/05/25]]+(1-Planbase100[[#This Row],[05/05/25]])*'Plan 39'!AK40</f>
        <v>1</v>
      </c>
      <c r="CE70" s="127">
        <f>Planbase100[[#This Row],[05/05/25]]+(1-Planbase100[[#This Row],[05/05/25]])*'Plan 39'!AL40</f>
        <v>1</v>
      </c>
      <c r="CF70" s="127">
        <f>Planbase100[[#This Row],[05/05/25]]+(1-Planbase100[[#This Row],[05/05/25]])*'Plan 39'!AM40</f>
        <v>1</v>
      </c>
      <c r="CG70" s="127">
        <f>Planbase100[[#This Row],[05/05/25]]+(1-Planbase100[[#This Row],[05/05/25]])*'Plan 39'!AN40</f>
        <v>1</v>
      </c>
      <c r="CH70" s="127">
        <f>Planbase100[[#This Row],[05/05/25]]+(1-Planbase100[[#This Row],[05/05/25]])*'Plan 39'!AO40</f>
        <v>1</v>
      </c>
      <c r="CI70" s="127">
        <f>Planbase100[[#This Row],[05/05/25]]+(1-Planbase100[[#This Row],[05/05/25]])*'Plan 39'!AP40</f>
        <v>1</v>
      </c>
      <c r="CJ70" s="127">
        <f>Planbase100[[#This Row],[05/05/25]]+(1-Planbase100[[#This Row],[05/05/25]])*'Plan 39'!AQ40</f>
        <v>1</v>
      </c>
      <c r="CK70" s="127">
        <f>Planbase100[[#This Row],[05/05/25]]+(1-Planbase100[[#This Row],[05/05/25]])*'Plan 39'!AR40</f>
        <v>1</v>
      </c>
      <c r="CL70" s="127">
        <f>Planbase100[[#This Row],[05/05/25]]+(1-Planbase100[[#This Row],[05/05/25]])*'Plan 39'!AS40</f>
        <v>1</v>
      </c>
      <c r="CM70" s="127">
        <f>Planbase100[[#This Row],[05/05/25]]+(1-Planbase100[[#This Row],[05/05/25]])*'Plan 39'!AT40</f>
        <v>1</v>
      </c>
      <c r="CN70" s="127">
        <f>Planbase100[[#This Row],[05/05/25]]+(1-Planbase100[[#This Row],[05/05/25]])*'Plan 39'!AU40</f>
        <v>1</v>
      </c>
      <c r="CO70" s="127">
        <f>Planbase100[[#This Row],[05/05/25]]+(1-Planbase100[[#This Row],[05/05/25]])*'Plan 39'!AV40</f>
        <v>1</v>
      </c>
      <c r="CP70" s="127">
        <f>Planbase100[[#This Row],[05/05/25]]+(1-Planbase100[[#This Row],[05/05/25]])*'Plan 39'!AW40</f>
        <v>1</v>
      </c>
      <c r="CQ70" s="127">
        <f>Planbase100[[#This Row],[05/05/25]]+(1-Planbase100[[#This Row],[05/05/25]])*'Plan 39'!AX40</f>
        <v>1</v>
      </c>
      <c r="CR70" s="127">
        <f>Planbase100[[#This Row],[05/05/25]]+(1-Planbase100[[#This Row],[05/05/25]])*'Plan 39'!AY40</f>
        <v>1</v>
      </c>
      <c r="CS70" s="127">
        <f>Planbase100[[#This Row],[05/05/25]]+(1-Planbase100[[#This Row],[05/05/25]])*'Plan 39'!AZ40</f>
        <v>1</v>
      </c>
      <c r="CT70" s="127">
        <f>Planbase100[[#This Row],[05/05/25]]+(1-Planbase100[[#This Row],[05/05/25]])*'Plan 39'!BA40</f>
        <v>1</v>
      </c>
      <c r="CU70" s="127">
        <f>Planbase100[[#This Row],[05/05/25]]+(1-Planbase100[[#This Row],[05/05/25]])*'Plan 39'!BB40</f>
        <v>1</v>
      </c>
      <c r="CV70" s="127">
        <f>Planbase100[[#This Row],[05/05/25]]+(1-Planbase100[[#This Row],[05/05/25]])*'Plan 39'!BC40</f>
        <v>1</v>
      </c>
      <c r="CW70" s="127">
        <f>Planbase100[[#This Row],[05/05/25]]+(1-Planbase100[[#This Row],[05/05/25]])*'Plan 39'!BD40</f>
        <v>1</v>
      </c>
      <c r="CX70" s="127">
        <f>Planbase100[[#This Row],[05/05/25]]+(1-Planbase100[[#This Row],[05/05/25]])*'Plan 39'!BE40</f>
        <v>1</v>
      </c>
      <c r="CY70" s="127">
        <f>Planbase100[[#This Row],[05/05/25]]+(1-Planbase100[[#This Row],[05/05/25]])*'Plan 39'!BF40</f>
        <v>1</v>
      </c>
      <c r="CZ70" s="127">
        <f>Planbase100[[#This Row],[05/05/25]]+(1-Planbase100[[#This Row],[05/05/25]])*'Plan 39'!BG40</f>
        <v>1</v>
      </c>
      <c r="DA70" s="127">
        <f>Planbase100[[#This Row],[05/05/25]]+(1-Planbase100[[#This Row],[05/05/25]])*'Plan 39'!BH40</f>
        <v>1</v>
      </c>
      <c r="DB70" s="127">
        <f>Planbase100[[#This Row],[05/05/25]]+(1-Planbase100[[#This Row],[05/05/25]])*'Plan 39'!BI40</f>
        <v>1</v>
      </c>
      <c r="DC70" s="127">
        <f>Planbase100[[#This Row],[05/05/25]]+(1-Planbase100[[#This Row],[05/05/25]])*'Plan 39'!BJ40</f>
        <v>1</v>
      </c>
      <c r="DD70" s="127">
        <f>Planbase100[[#This Row],[05/05/25]]+(1-Planbase100[[#This Row],[05/05/25]])*'Plan 39'!BK40</f>
        <v>1</v>
      </c>
      <c r="DE70" s="127">
        <f>Planbase100[[#This Row],[05/05/25]]+(1-Planbase100[[#This Row],[05/05/25]])*'Plan 39'!BL42</f>
        <v>1</v>
      </c>
      <c r="DF70" s="127">
        <f>Planbase100[[#This Row],[05/05/25]]+(1-Planbase100[[#This Row],[05/05/25]])*'Plan 39'!BM42</f>
        <v>1</v>
      </c>
      <c r="DG70" s="127">
        <f>Planbase100[[#This Row],[05/05/25]]+(1-Planbase100[[#This Row],[05/05/25]])*'Plan 39'!BN42</f>
        <v>1</v>
      </c>
      <c r="DH70" s="127">
        <f>Planbase100[[#This Row],[05/05/25]]+(1-Planbase100[[#This Row],[05/05/25]])*'Plan 39'!BO42</f>
        <v>1</v>
      </c>
      <c r="DI70" s="127">
        <f>Planbase100[[#This Row],[05/05/25]]+(1-Planbase100[[#This Row],[05/05/25]])*'Plan 39'!BP42</f>
        <v>1</v>
      </c>
      <c r="DJ70" s="127">
        <f>Planbase100[[#This Row],[05/05/25]]+(1-Planbase100[[#This Row],[05/05/25]])*'Plan 39'!BQ42</f>
        <v>1</v>
      </c>
      <c r="DK70" s="127">
        <f>Planbase100[[#This Row],[05/05/25]]+(1-Planbase100[[#This Row],[05/05/25]])*'Plan 39'!BR42</f>
        <v>1</v>
      </c>
      <c r="DL70" s="127">
        <f>Planbase100[[#This Row],[05/05/25]]+(1-Planbase100[[#This Row],[05/05/25]])*'Plan 39'!BS42</f>
        <v>1</v>
      </c>
      <c r="DM70" s="127">
        <f>Planbase100[[#This Row],[05/05/25]]+(1-Planbase100[[#This Row],[05/05/25]])*'Plan 39'!BT42</f>
        <v>1</v>
      </c>
      <c r="DN70" s="127">
        <f>Planbase100[[#This Row],[05/05/25]]+(1-Planbase100[[#This Row],[05/05/25]])*'Plan 39'!BU42</f>
        <v>1</v>
      </c>
      <c r="DO70" s="127">
        <f>Planbase100[[#This Row],[05/05/25]]+(1-Planbase100[[#This Row],[05/05/25]])*'Plan 39'!BV42</f>
        <v>1</v>
      </c>
      <c r="DP70" s="127">
        <f>Planbase100[[#This Row],[05/05/25]]+(1-Planbase100[[#This Row],[05/05/25]])*'Plan 39'!BW42</f>
        <v>1</v>
      </c>
      <c r="DQ70" s="127">
        <f>Planbase100[[#This Row],[05/05/25]]+(1-Planbase100[[#This Row],[05/05/25]])*'Plan 39'!BX42</f>
        <v>1</v>
      </c>
      <c r="DR70" s="127">
        <f>Planbase100[[#This Row],[05/05/25]]+(1-Planbase100[[#This Row],[05/05/25]])*'Plan 39'!BY42</f>
        <v>1</v>
      </c>
      <c r="DS70" s="127">
        <f>Planbase100[[#This Row],[05/05/25]]+(1-Planbase100[[#This Row],[05/05/25]])*'Plan 39'!BZ42</f>
        <v>1</v>
      </c>
      <c r="DT70" s="127">
        <f>Planbase100[[#This Row],[05/05/25]]+(1-Planbase100[[#This Row],[05/05/25]])*'Plan 39'!CA42</f>
        <v>1</v>
      </c>
      <c r="DU70" s="127">
        <f>Planbase100[[#This Row],[05/05/25]]+(1-Planbase100[[#This Row],[05/05/25]])*'Plan 39'!CB42</f>
        <v>1</v>
      </c>
      <c r="DV70" s="127">
        <f>Planbase100[[#This Row],[05/05/25]]+(1-Planbase100[[#This Row],[05/05/25]])*'Plan 39'!CC42</f>
        <v>1</v>
      </c>
      <c r="DW70" s="127">
        <f>Planbase100[[#This Row],[05/05/25]]+(1-Planbase100[[#This Row],[05/05/25]])*'Plan 39'!CD42</f>
        <v>1</v>
      </c>
      <c r="DX70" s="127">
        <f>Planbase100[[#This Row],[05/05/25]]+(1-Planbase100[[#This Row],[05/05/25]])*'Plan 39'!CE42</f>
        <v>1</v>
      </c>
      <c r="DY70" s="127">
        <f>Planbase100[[#This Row],[05/05/25]]+(1-Planbase100[[#This Row],[05/05/25]])*'Plan 39'!CF42</f>
        <v>1</v>
      </c>
      <c r="DZ70" s="127">
        <f>Planbase100[[#This Row],[05/05/25]]+(1-Planbase100[[#This Row],[05/05/25]])*'Plan 39'!CG42</f>
        <v>1</v>
      </c>
      <c r="EA70" s="127">
        <f>Planbase100[[#This Row],[05/05/25]]+(1-Planbase100[[#This Row],[05/05/25]])*'Plan 39'!CH42</f>
        <v>1</v>
      </c>
      <c r="EB70" s="127">
        <f>Planbase100[[#This Row],[05/05/25]]+(1-Planbase100[[#This Row],[05/05/25]])*'Plan 39'!CI42</f>
        <v>1</v>
      </c>
      <c r="EC70" s="127">
        <f>Planbase100[[#This Row],[05/05/25]]+(1-Planbase100[[#This Row],[05/05/25]])*'Plan 39'!CJ42</f>
        <v>1</v>
      </c>
      <c r="ED70" s="127">
        <f>Planbase100[[#This Row],[05/05/25]]+(1-Planbase100[[#This Row],[05/05/25]])*'Plan 39'!CK42</f>
        <v>1</v>
      </c>
      <c r="EE70" s="127">
        <f>Planbase100[[#This Row],[05/05/25]]+(1-Planbase100[[#This Row],[05/05/25]])*'Plan 39'!CL42</f>
        <v>1</v>
      </c>
      <c r="EF70" s="127">
        <f>Planbase100[[#This Row],[05/05/25]]+(1-Planbase100[[#This Row],[05/05/25]])*'Plan 39'!CM42</f>
        <v>1</v>
      </c>
      <c r="EG70" s="127">
        <f>Planbase100[[#This Row],[05/05/25]]+(1-Planbase100[[#This Row],[05/05/25]])*'Plan 39'!CN42</f>
        <v>1</v>
      </c>
      <c r="EH70" s="127">
        <f>Planbase100[[#This Row],[05/05/25]]+(1-Planbase100[[#This Row],[05/05/25]])*'Plan 39'!CO42</f>
        <v>1</v>
      </c>
      <c r="EI70" s="127">
        <f>Planbase100[[#This Row],[05/05/25]]+(1-Planbase100[[#This Row],[05/05/25]])*'Plan 39'!CP42</f>
        <v>1</v>
      </c>
    </row>
    <row r="71" spans="2:139" hidden="1" outlineLevel="3" x14ac:dyDescent="0.3">
      <c r="B71" s="29"/>
      <c r="C71" s="30"/>
      <c r="D71" s="65"/>
      <c r="E71" s="52" t="s">
        <v>76</v>
      </c>
      <c r="F71" s="33">
        <v>10</v>
      </c>
      <c r="G71" s="35">
        <v>0.02</v>
      </c>
      <c r="H71" s="53"/>
      <c r="I71" s="126">
        <v>0</v>
      </c>
      <c r="J71" s="127">
        <v>0</v>
      </c>
      <c r="K71" s="127">
        <v>0</v>
      </c>
      <c r="L71" s="127">
        <v>0</v>
      </c>
      <c r="M71" s="128">
        <v>0</v>
      </c>
      <c r="N71" s="128">
        <v>0</v>
      </c>
      <c r="O71" s="127">
        <v>0</v>
      </c>
      <c r="P71" s="127">
        <v>0</v>
      </c>
      <c r="Q71" s="127">
        <v>0</v>
      </c>
      <c r="R71" s="127">
        <v>0</v>
      </c>
      <c r="S71" s="127">
        <v>0</v>
      </c>
      <c r="T71" s="127">
        <v>0</v>
      </c>
      <c r="U71" s="127">
        <v>0</v>
      </c>
      <c r="V71" s="127">
        <v>0</v>
      </c>
      <c r="W71" s="127">
        <v>0</v>
      </c>
      <c r="X71" s="127">
        <v>0</v>
      </c>
      <c r="Y71" s="127">
        <v>0</v>
      </c>
      <c r="Z71" s="127">
        <v>0</v>
      </c>
      <c r="AA71" s="127">
        <v>0</v>
      </c>
      <c r="AB71" s="127">
        <v>0</v>
      </c>
      <c r="AC71" s="127">
        <v>0</v>
      </c>
      <c r="AD71" s="127">
        <v>0</v>
      </c>
      <c r="AE71" s="127">
        <v>0</v>
      </c>
      <c r="AF71" s="127">
        <v>0</v>
      </c>
      <c r="AG71" s="127">
        <v>0</v>
      </c>
      <c r="AH71" s="127">
        <v>0</v>
      </c>
      <c r="AI71" s="127">
        <v>0</v>
      </c>
      <c r="AJ71" s="127">
        <v>0</v>
      </c>
      <c r="AK71" s="127">
        <v>0</v>
      </c>
      <c r="AL71" s="127">
        <v>0</v>
      </c>
      <c r="AM71" s="127">
        <v>0</v>
      </c>
      <c r="AN71" s="127">
        <v>0</v>
      </c>
      <c r="AO71" s="127">
        <v>0</v>
      </c>
      <c r="AP71" s="127">
        <v>0</v>
      </c>
      <c r="AQ71" s="127">
        <v>0</v>
      </c>
      <c r="AR71" s="127">
        <v>0</v>
      </c>
      <c r="AS71" s="127">
        <v>0</v>
      </c>
      <c r="AT71" s="127">
        <v>0</v>
      </c>
      <c r="AU71" s="127">
        <v>0.56666666666666665</v>
      </c>
      <c r="AV71" s="127">
        <v>1</v>
      </c>
      <c r="AW71" s="127">
        <v>1</v>
      </c>
      <c r="AX71" s="127">
        <v>1</v>
      </c>
      <c r="AY71" s="127">
        <v>1</v>
      </c>
      <c r="AZ71" s="127">
        <v>1</v>
      </c>
      <c r="BA71" s="127">
        <v>1</v>
      </c>
      <c r="BB71" s="127">
        <v>1</v>
      </c>
      <c r="BC71" s="127">
        <v>1</v>
      </c>
      <c r="BD71" s="127">
        <v>1</v>
      </c>
      <c r="BE71" s="127">
        <v>1</v>
      </c>
      <c r="BF71" s="127">
        <v>1</v>
      </c>
      <c r="BG71" s="127">
        <v>1</v>
      </c>
      <c r="BH71" s="127">
        <v>1</v>
      </c>
      <c r="BI71" s="127">
        <v>1</v>
      </c>
      <c r="BJ71" s="127">
        <v>1</v>
      </c>
      <c r="BK71" s="127">
        <v>1</v>
      </c>
      <c r="BL71" s="127">
        <v>1</v>
      </c>
      <c r="BM71" s="127">
        <v>1</v>
      </c>
      <c r="BN71" s="127">
        <v>1</v>
      </c>
      <c r="BO71" s="127">
        <v>1</v>
      </c>
      <c r="BP71" s="127">
        <v>1</v>
      </c>
      <c r="BQ71" s="127">
        <v>1</v>
      </c>
      <c r="BR71" s="127">
        <v>1</v>
      </c>
      <c r="BS71" s="127">
        <v>1</v>
      </c>
      <c r="BT71" s="127">
        <v>1</v>
      </c>
      <c r="BU71" s="127">
        <v>1</v>
      </c>
      <c r="BV71" s="127">
        <v>1</v>
      </c>
      <c r="BW71" s="127">
        <v>1</v>
      </c>
      <c r="BX71" s="127">
        <v>1</v>
      </c>
      <c r="BY71" s="127">
        <v>1</v>
      </c>
      <c r="BZ71" s="127">
        <v>1</v>
      </c>
      <c r="CA71" s="127">
        <v>1</v>
      </c>
      <c r="CB71" s="127">
        <v>1</v>
      </c>
      <c r="CC71" s="127">
        <v>1</v>
      </c>
      <c r="CD71" s="127">
        <v>1</v>
      </c>
      <c r="CE71" s="127">
        <v>1</v>
      </c>
      <c r="CF71" s="127">
        <v>1</v>
      </c>
      <c r="CG71" s="127">
        <v>1</v>
      </c>
      <c r="CH71" s="127">
        <v>1</v>
      </c>
      <c r="CI71" s="127">
        <v>1</v>
      </c>
      <c r="CJ71" s="127">
        <v>1</v>
      </c>
      <c r="CK71" s="127">
        <v>1</v>
      </c>
      <c r="CL71" s="127">
        <v>1</v>
      </c>
      <c r="CM71" s="127">
        <v>1</v>
      </c>
      <c r="CN71" s="127">
        <v>1</v>
      </c>
      <c r="CO71" s="127">
        <v>1</v>
      </c>
      <c r="CP71" s="127">
        <v>1</v>
      </c>
      <c r="CQ71" s="127">
        <v>1</v>
      </c>
      <c r="CR71" s="127">
        <v>1</v>
      </c>
      <c r="CS71" s="127">
        <v>1</v>
      </c>
      <c r="CT71" s="127">
        <v>1</v>
      </c>
      <c r="CU71" s="127">
        <v>1</v>
      </c>
      <c r="CV71" s="127">
        <v>1</v>
      </c>
      <c r="CW71" s="127">
        <v>1</v>
      </c>
      <c r="CX71" s="127">
        <v>1</v>
      </c>
      <c r="CY71" s="127">
        <v>1</v>
      </c>
      <c r="CZ71" s="127">
        <v>1</v>
      </c>
      <c r="DA71" s="127">
        <v>1</v>
      </c>
      <c r="DB71" s="127">
        <v>1</v>
      </c>
      <c r="DC71" s="127">
        <v>1</v>
      </c>
      <c r="DD71" s="127">
        <v>1</v>
      </c>
      <c r="DE71" s="127">
        <f>Planbase100[[#This Row],[05/05/25]]+(1-Planbase100[[#This Row],[05/05/25]])*'Plan 39'!BL43</f>
        <v>1</v>
      </c>
      <c r="DF71" s="127">
        <f>Planbase100[[#This Row],[05/05/25]]+(1-Planbase100[[#This Row],[05/05/25]])*'Plan 39'!BM43</f>
        <v>1</v>
      </c>
      <c r="DG71" s="127">
        <f>Planbase100[[#This Row],[05/05/25]]+(1-Planbase100[[#This Row],[05/05/25]])*'Plan 39'!BN43</f>
        <v>1</v>
      </c>
      <c r="DH71" s="127">
        <f>Planbase100[[#This Row],[05/05/25]]+(1-Planbase100[[#This Row],[05/05/25]])*'Plan 39'!BO43</f>
        <v>1</v>
      </c>
      <c r="DI71" s="127">
        <f>Planbase100[[#This Row],[05/05/25]]+(1-Planbase100[[#This Row],[05/05/25]])*'Plan 39'!BP43</f>
        <v>1</v>
      </c>
      <c r="DJ71" s="127">
        <f>Planbase100[[#This Row],[05/05/25]]+(1-Planbase100[[#This Row],[05/05/25]])*'Plan 39'!BQ43</f>
        <v>1</v>
      </c>
      <c r="DK71" s="127">
        <f>Planbase100[[#This Row],[05/05/25]]+(1-Planbase100[[#This Row],[05/05/25]])*'Plan 39'!BR43</f>
        <v>1</v>
      </c>
      <c r="DL71" s="127">
        <f>Planbase100[[#This Row],[05/05/25]]+(1-Planbase100[[#This Row],[05/05/25]])*'Plan 39'!BS43</f>
        <v>1</v>
      </c>
      <c r="DM71" s="127">
        <f>Planbase100[[#This Row],[05/05/25]]+(1-Planbase100[[#This Row],[05/05/25]])*'Plan 39'!BT43</f>
        <v>1</v>
      </c>
      <c r="DN71" s="127">
        <f>Planbase100[[#This Row],[05/05/25]]+(1-Planbase100[[#This Row],[05/05/25]])*'Plan 39'!BU43</f>
        <v>1</v>
      </c>
      <c r="DO71" s="127">
        <f>Planbase100[[#This Row],[05/05/25]]+(1-Planbase100[[#This Row],[05/05/25]])*'Plan 39'!BV43</f>
        <v>1</v>
      </c>
      <c r="DP71" s="127">
        <f>Planbase100[[#This Row],[05/05/25]]+(1-Planbase100[[#This Row],[05/05/25]])*'Plan 39'!BW43</f>
        <v>1</v>
      </c>
      <c r="DQ71" s="127">
        <f>Planbase100[[#This Row],[05/05/25]]+(1-Planbase100[[#This Row],[05/05/25]])*'Plan 39'!BX43</f>
        <v>1</v>
      </c>
      <c r="DR71" s="127">
        <f>Planbase100[[#This Row],[05/05/25]]+(1-Planbase100[[#This Row],[05/05/25]])*'Plan 39'!BY43</f>
        <v>1</v>
      </c>
      <c r="DS71" s="127">
        <f>Planbase100[[#This Row],[05/05/25]]+(1-Planbase100[[#This Row],[05/05/25]])*'Plan 39'!BZ43</f>
        <v>1</v>
      </c>
      <c r="DT71" s="127">
        <f>Planbase100[[#This Row],[05/05/25]]+(1-Planbase100[[#This Row],[05/05/25]])*'Plan 39'!CA43</f>
        <v>1</v>
      </c>
      <c r="DU71" s="127">
        <f>Planbase100[[#This Row],[05/05/25]]+(1-Planbase100[[#This Row],[05/05/25]])*'Plan 39'!CB43</f>
        <v>1</v>
      </c>
      <c r="DV71" s="127">
        <f>Planbase100[[#This Row],[05/05/25]]+(1-Planbase100[[#This Row],[05/05/25]])*'Plan 39'!CC43</f>
        <v>1</v>
      </c>
      <c r="DW71" s="127">
        <f>Planbase100[[#This Row],[05/05/25]]+(1-Planbase100[[#This Row],[05/05/25]])*'Plan 39'!CD43</f>
        <v>1</v>
      </c>
      <c r="DX71" s="127">
        <f>Planbase100[[#This Row],[05/05/25]]+(1-Planbase100[[#This Row],[05/05/25]])*'Plan 39'!CE43</f>
        <v>1</v>
      </c>
      <c r="DY71" s="127">
        <f>Planbase100[[#This Row],[05/05/25]]+(1-Planbase100[[#This Row],[05/05/25]])*'Plan 39'!CF43</f>
        <v>1</v>
      </c>
      <c r="DZ71" s="127">
        <f>Planbase100[[#This Row],[05/05/25]]+(1-Planbase100[[#This Row],[05/05/25]])*'Plan 39'!CG43</f>
        <v>1</v>
      </c>
      <c r="EA71" s="127">
        <f>Planbase100[[#This Row],[05/05/25]]+(1-Planbase100[[#This Row],[05/05/25]])*'Plan 39'!CH43</f>
        <v>1</v>
      </c>
      <c r="EB71" s="127">
        <f>Planbase100[[#This Row],[05/05/25]]+(1-Planbase100[[#This Row],[05/05/25]])*'Plan 39'!CI43</f>
        <v>1</v>
      </c>
      <c r="EC71" s="127">
        <f>Planbase100[[#This Row],[05/05/25]]+(1-Planbase100[[#This Row],[05/05/25]])*'Plan 39'!CJ43</f>
        <v>1</v>
      </c>
      <c r="ED71" s="127">
        <f>Planbase100[[#This Row],[05/05/25]]+(1-Planbase100[[#This Row],[05/05/25]])*'Plan 39'!CK43</f>
        <v>1</v>
      </c>
      <c r="EE71" s="127">
        <f>Planbase100[[#This Row],[05/05/25]]+(1-Planbase100[[#This Row],[05/05/25]])*'Plan 39'!CL43</f>
        <v>1</v>
      </c>
      <c r="EF71" s="127">
        <f>Planbase100[[#This Row],[05/05/25]]+(1-Planbase100[[#This Row],[05/05/25]])*'Plan 39'!CM43</f>
        <v>1</v>
      </c>
      <c r="EG71" s="127">
        <f>Planbase100[[#This Row],[05/05/25]]+(1-Planbase100[[#This Row],[05/05/25]])*'Plan 39'!CN43</f>
        <v>1</v>
      </c>
      <c r="EH71" s="127">
        <f>Planbase100[[#This Row],[05/05/25]]+(1-Planbase100[[#This Row],[05/05/25]])*'Plan 39'!CO43</f>
        <v>1</v>
      </c>
      <c r="EI71" s="127">
        <f>Planbase100[[#This Row],[05/05/25]]+(1-Planbase100[[#This Row],[05/05/25]])*'Plan 39'!CP43</f>
        <v>1</v>
      </c>
    </row>
    <row r="72" spans="2:139" ht="15" hidden="1" outlineLevel="2" collapsed="1" x14ac:dyDescent="0.3">
      <c r="B72" s="22"/>
      <c r="C72" s="23"/>
      <c r="D72" s="23" t="s">
        <v>77</v>
      </c>
      <c r="E72" s="50"/>
      <c r="F72" s="26">
        <f>+F73</f>
        <v>40</v>
      </c>
      <c r="G72" s="28">
        <v>4.0203871063869114E-2</v>
      </c>
      <c r="H72" s="51"/>
      <c r="I72" s="125">
        <f>+I73*$G$73</f>
        <v>0</v>
      </c>
      <c r="J72" s="28">
        <f>+J73*$G$73</f>
        <v>0</v>
      </c>
      <c r="K72" s="28">
        <f t="shared" ref="K72:BV72" si="223">+K73*$G$73</f>
        <v>0</v>
      </c>
      <c r="L72" s="28">
        <f t="shared" si="223"/>
        <v>0</v>
      </c>
      <c r="M72" s="64">
        <f t="shared" si="223"/>
        <v>0</v>
      </c>
      <c r="N72" s="64">
        <f t="shared" si="223"/>
        <v>0</v>
      </c>
      <c r="O72" s="28">
        <f t="shared" si="223"/>
        <v>0</v>
      </c>
      <c r="P72" s="28">
        <f t="shared" si="223"/>
        <v>0</v>
      </c>
      <c r="Q72" s="28">
        <f t="shared" si="223"/>
        <v>0</v>
      </c>
      <c r="R72" s="28">
        <f t="shared" si="223"/>
        <v>0</v>
      </c>
      <c r="S72" s="28">
        <f t="shared" si="223"/>
        <v>0</v>
      </c>
      <c r="T72" s="28">
        <f t="shared" si="223"/>
        <v>0</v>
      </c>
      <c r="U72" s="28">
        <f t="shared" si="223"/>
        <v>0.12</v>
      </c>
      <c r="V72" s="28">
        <f t="shared" si="223"/>
        <v>0.25</v>
      </c>
      <c r="W72" s="28">
        <f t="shared" si="223"/>
        <v>0.25</v>
      </c>
      <c r="X72" s="28">
        <f t="shared" si="223"/>
        <v>0.25</v>
      </c>
      <c r="Y72" s="28">
        <f t="shared" si="223"/>
        <v>0.25</v>
      </c>
      <c r="Z72" s="28">
        <f t="shared" si="223"/>
        <v>0.25</v>
      </c>
      <c r="AA72" s="28">
        <f t="shared" si="223"/>
        <v>0.31687500000000002</v>
      </c>
      <c r="AB72" s="28">
        <f t="shared" si="223"/>
        <v>0.51218750000000002</v>
      </c>
      <c r="AC72" s="28">
        <f t="shared" si="223"/>
        <v>0.57437500000000008</v>
      </c>
      <c r="AD72" s="28">
        <f t="shared" si="223"/>
        <v>0.57999999999999996</v>
      </c>
      <c r="AE72" s="28">
        <f t="shared" si="223"/>
        <v>0.57999999999999996</v>
      </c>
      <c r="AF72" s="28">
        <f t="shared" si="223"/>
        <v>0.57999999999999996</v>
      </c>
      <c r="AG72" s="28">
        <f t="shared" si="223"/>
        <v>0.62</v>
      </c>
      <c r="AH72" s="28">
        <f t="shared" si="223"/>
        <v>0.62</v>
      </c>
      <c r="AI72" s="28">
        <f t="shared" si="223"/>
        <v>0.62</v>
      </c>
      <c r="AJ72" s="28">
        <f t="shared" si="223"/>
        <v>0.62</v>
      </c>
      <c r="AK72" s="28">
        <f t="shared" si="223"/>
        <v>0.65749999999999997</v>
      </c>
      <c r="AL72" s="28">
        <f t="shared" si="223"/>
        <v>0.76187500000000008</v>
      </c>
      <c r="AM72" s="28">
        <f t="shared" si="223"/>
        <v>0.85125000000000006</v>
      </c>
      <c r="AN72" s="28">
        <f t="shared" si="223"/>
        <v>0.85125000000000006</v>
      </c>
      <c r="AO72" s="28">
        <f t="shared" si="223"/>
        <v>0.85125000000000006</v>
      </c>
      <c r="AP72" s="28">
        <f t="shared" si="223"/>
        <v>0.85125000000000006</v>
      </c>
      <c r="AQ72" s="28">
        <f t="shared" si="223"/>
        <v>0.85125000000000006</v>
      </c>
      <c r="AR72" s="28">
        <f t="shared" si="223"/>
        <v>0.85125000000000006</v>
      </c>
      <c r="AS72" s="28">
        <f t="shared" si="223"/>
        <v>0.85125000000000006</v>
      </c>
      <c r="AT72" s="28">
        <f t="shared" si="223"/>
        <v>0.85125000000000006</v>
      </c>
      <c r="AU72" s="28">
        <f t="shared" si="223"/>
        <v>0.85125000000000006</v>
      </c>
      <c r="AV72" s="28">
        <f t="shared" si="223"/>
        <v>0.89437500000000014</v>
      </c>
      <c r="AW72" s="28">
        <f t="shared" si="223"/>
        <v>0.90062500000000001</v>
      </c>
      <c r="AX72" s="28">
        <f t="shared" si="223"/>
        <v>0.90437500000000015</v>
      </c>
      <c r="AY72" s="28">
        <f t="shared" si="223"/>
        <v>0.90437500000000015</v>
      </c>
      <c r="AZ72" s="28">
        <f t="shared" si="223"/>
        <v>0.90625</v>
      </c>
      <c r="BA72" s="28">
        <f t="shared" si="223"/>
        <v>0.92375000000000007</v>
      </c>
      <c r="BB72" s="28">
        <f t="shared" si="223"/>
        <v>0.92919642857142859</v>
      </c>
      <c r="BC72" s="28">
        <f t="shared" si="223"/>
        <v>0.93461017857142858</v>
      </c>
      <c r="BD72" s="28">
        <f t="shared" si="223"/>
        <v>0.94002392857142858</v>
      </c>
      <c r="BE72" s="28">
        <f t="shared" si="223"/>
        <v>0.94543767857142857</v>
      </c>
      <c r="BF72" s="28">
        <f t="shared" si="223"/>
        <v>0.95085142857142857</v>
      </c>
      <c r="BG72" s="28">
        <f t="shared" si="223"/>
        <v>0.95626517857142856</v>
      </c>
      <c r="BH72" s="28">
        <f t="shared" si="223"/>
        <v>0.96167892857142856</v>
      </c>
      <c r="BI72" s="28">
        <f t="shared" si="223"/>
        <v>0.96709267857142855</v>
      </c>
      <c r="BJ72" s="28">
        <f t="shared" si="223"/>
        <v>0.97250642857142855</v>
      </c>
      <c r="BK72" s="28">
        <f t="shared" si="223"/>
        <v>0.97792017857142854</v>
      </c>
      <c r="BL72" s="28">
        <f t="shared" si="223"/>
        <v>0.98333392857142854</v>
      </c>
      <c r="BM72" s="28">
        <f t="shared" si="223"/>
        <v>0.98874767857142853</v>
      </c>
      <c r="BN72" s="28">
        <f t="shared" si="223"/>
        <v>0.99416142857142853</v>
      </c>
      <c r="BO72" s="28">
        <f t="shared" si="223"/>
        <v>0.99957517857142852</v>
      </c>
      <c r="BP72" s="28">
        <f t="shared" si="223"/>
        <v>1</v>
      </c>
      <c r="BQ72" s="28">
        <f t="shared" si="223"/>
        <v>1</v>
      </c>
      <c r="BR72" s="28">
        <f t="shared" si="223"/>
        <v>1</v>
      </c>
      <c r="BS72" s="28">
        <f t="shared" si="223"/>
        <v>1</v>
      </c>
      <c r="BT72" s="28">
        <f t="shared" si="223"/>
        <v>1</v>
      </c>
      <c r="BU72" s="28">
        <f t="shared" si="223"/>
        <v>1</v>
      </c>
      <c r="BV72" s="28">
        <f t="shared" si="223"/>
        <v>1</v>
      </c>
      <c r="BW72" s="28">
        <f t="shared" ref="BW72:EH72" si="224">+BW73*$G$73</f>
        <v>1</v>
      </c>
      <c r="BX72" s="28">
        <f t="shared" si="224"/>
        <v>1</v>
      </c>
      <c r="BY72" s="28">
        <f t="shared" si="224"/>
        <v>1</v>
      </c>
      <c r="BZ72" s="28">
        <f t="shared" si="224"/>
        <v>1</v>
      </c>
      <c r="CA72" s="28">
        <f t="shared" si="224"/>
        <v>1</v>
      </c>
      <c r="CB72" s="28">
        <f t="shared" si="224"/>
        <v>1</v>
      </c>
      <c r="CC72" s="28">
        <f t="shared" si="224"/>
        <v>1</v>
      </c>
      <c r="CD72" s="28">
        <f t="shared" si="224"/>
        <v>1</v>
      </c>
      <c r="CE72" s="28">
        <f t="shared" si="224"/>
        <v>1</v>
      </c>
      <c r="CF72" s="28">
        <f t="shared" si="224"/>
        <v>1</v>
      </c>
      <c r="CG72" s="28">
        <f t="shared" si="224"/>
        <v>1</v>
      </c>
      <c r="CH72" s="28">
        <f t="shared" si="224"/>
        <v>1</v>
      </c>
      <c r="CI72" s="28">
        <f t="shared" si="224"/>
        <v>1</v>
      </c>
      <c r="CJ72" s="28">
        <f t="shared" si="224"/>
        <v>1</v>
      </c>
      <c r="CK72" s="28">
        <f t="shared" si="224"/>
        <v>1</v>
      </c>
      <c r="CL72" s="28">
        <f t="shared" si="224"/>
        <v>1</v>
      </c>
      <c r="CM72" s="28">
        <f t="shared" si="224"/>
        <v>1</v>
      </c>
      <c r="CN72" s="28">
        <f t="shared" si="224"/>
        <v>1</v>
      </c>
      <c r="CO72" s="28">
        <f t="shared" si="224"/>
        <v>1</v>
      </c>
      <c r="CP72" s="28">
        <f t="shared" si="224"/>
        <v>1</v>
      </c>
      <c r="CQ72" s="28">
        <f t="shared" si="224"/>
        <v>1</v>
      </c>
      <c r="CR72" s="28">
        <f t="shared" si="224"/>
        <v>1</v>
      </c>
      <c r="CS72" s="28">
        <f t="shared" si="224"/>
        <v>1</v>
      </c>
      <c r="CT72" s="28">
        <f t="shared" si="224"/>
        <v>1</v>
      </c>
      <c r="CU72" s="28">
        <f t="shared" si="224"/>
        <v>1</v>
      </c>
      <c r="CV72" s="28">
        <f t="shared" si="224"/>
        <v>1</v>
      </c>
      <c r="CW72" s="28">
        <f t="shared" si="224"/>
        <v>1</v>
      </c>
      <c r="CX72" s="28">
        <f t="shared" si="224"/>
        <v>1</v>
      </c>
      <c r="CY72" s="28">
        <f t="shared" si="224"/>
        <v>1</v>
      </c>
      <c r="CZ72" s="28">
        <f t="shared" si="224"/>
        <v>1</v>
      </c>
      <c r="DA72" s="28">
        <f t="shared" si="224"/>
        <v>1</v>
      </c>
      <c r="DB72" s="28">
        <f t="shared" si="224"/>
        <v>1</v>
      </c>
      <c r="DC72" s="28">
        <f t="shared" si="224"/>
        <v>1</v>
      </c>
      <c r="DD72" s="28">
        <f t="shared" si="224"/>
        <v>1</v>
      </c>
      <c r="DE72" s="28">
        <f t="shared" si="224"/>
        <v>1</v>
      </c>
      <c r="DF72" s="28">
        <f t="shared" si="224"/>
        <v>1</v>
      </c>
      <c r="DG72" s="28">
        <f t="shared" si="224"/>
        <v>1</v>
      </c>
      <c r="DH72" s="28">
        <f t="shared" si="224"/>
        <v>1</v>
      </c>
      <c r="DI72" s="28">
        <f t="shared" si="224"/>
        <v>1</v>
      </c>
      <c r="DJ72" s="28">
        <f t="shared" si="224"/>
        <v>1</v>
      </c>
      <c r="DK72" s="28">
        <f t="shared" si="224"/>
        <v>1</v>
      </c>
      <c r="DL72" s="28">
        <f t="shared" si="224"/>
        <v>1</v>
      </c>
      <c r="DM72" s="28">
        <f t="shared" si="224"/>
        <v>1</v>
      </c>
      <c r="DN72" s="28">
        <f t="shared" si="224"/>
        <v>1</v>
      </c>
      <c r="DO72" s="28">
        <f t="shared" si="224"/>
        <v>1</v>
      </c>
      <c r="DP72" s="28">
        <f t="shared" si="224"/>
        <v>1</v>
      </c>
      <c r="DQ72" s="28">
        <f t="shared" si="224"/>
        <v>1</v>
      </c>
      <c r="DR72" s="28">
        <f t="shared" si="224"/>
        <v>1</v>
      </c>
      <c r="DS72" s="28">
        <f t="shared" si="224"/>
        <v>1</v>
      </c>
      <c r="DT72" s="28">
        <f t="shared" si="224"/>
        <v>1</v>
      </c>
      <c r="DU72" s="28">
        <f t="shared" si="224"/>
        <v>1</v>
      </c>
      <c r="DV72" s="28">
        <f t="shared" si="224"/>
        <v>1</v>
      </c>
      <c r="DW72" s="28">
        <f t="shared" si="224"/>
        <v>1</v>
      </c>
      <c r="DX72" s="28">
        <f t="shared" si="224"/>
        <v>1</v>
      </c>
      <c r="DY72" s="28">
        <f t="shared" si="224"/>
        <v>1</v>
      </c>
      <c r="DZ72" s="28">
        <f t="shared" si="224"/>
        <v>1</v>
      </c>
      <c r="EA72" s="28">
        <f t="shared" si="224"/>
        <v>1</v>
      </c>
      <c r="EB72" s="28">
        <f t="shared" si="224"/>
        <v>1</v>
      </c>
      <c r="EC72" s="28">
        <f t="shared" si="224"/>
        <v>1</v>
      </c>
      <c r="ED72" s="28">
        <f t="shared" si="224"/>
        <v>1</v>
      </c>
      <c r="EE72" s="28">
        <f t="shared" si="224"/>
        <v>1</v>
      </c>
      <c r="EF72" s="28">
        <f t="shared" si="224"/>
        <v>1</v>
      </c>
      <c r="EG72" s="28">
        <f t="shared" si="224"/>
        <v>1</v>
      </c>
      <c r="EH72" s="28">
        <f t="shared" si="224"/>
        <v>1</v>
      </c>
      <c r="EI72" s="28">
        <f t="shared" ref="EI72" si="225">+EI73*$G$73</f>
        <v>1</v>
      </c>
    </row>
    <row r="73" spans="2:139" hidden="1" outlineLevel="3" x14ac:dyDescent="0.3">
      <c r="B73" s="29"/>
      <c r="C73" s="30"/>
      <c r="D73" s="30"/>
      <c r="E73" s="52" t="s">
        <v>78</v>
      </c>
      <c r="F73" s="33">
        <v>40</v>
      </c>
      <c r="G73" s="35">
        <v>1</v>
      </c>
      <c r="H73" s="53"/>
      <c r="I73" s="126">
        <v>0</v>
      </c>
      <c r="J73" s="127">
        <v>0</v>
      </c>
      <c r="K73" s="127">
        <v>0</v>
      </c>
      <c r="L73" s="127">
        <v>0</v>
      </c>
      <c r="M73" s="128">
        <v>0</v>
      </c>
      <c r="N73" s="128">
        <v>0</v>
      </c>
      <c r="O73" s="127">
        <v>0</v>
      </c>
      <c r="P73" s="127">
        <v>0</v>
      </c>
      <c r="Q73" s="127">
        <v>0</v>
      </c>
      <c r="R73" s="127">
        <v>0</v>
      </c>
      <c r="S73" s="127">
        <v>0</v>
      </c>
      <c r="T73" s="127">
        <v>0</v>
      </c>
      <c r="U73" s="127">
        <v>0.12</v>
      </c>
      <c r="V73" s="127">
        <v>0.25</v>
      </c>
      <c r="W73" s="127">
        <v>0.25</v>
      </c>
      <c r="X73" s="127">
        <v>0.25</v>
      </c>
      <c r="Y73" s="127">
        <v>0.25</v>
      </c>
      <c r="Z73" s="127">
        <v>0.25</v>
      </c>
      <c r="AA73" s="127">
        <v>0.31687500000000002</v>
      </c>
      <c r="AB73" s="127">
        <v>0.51218750000000002</v>
      </c>
      <c r="AC73" s="127">
        <v>0.57437500000000008</v>
      </c>
      <c r="AD73" s="127">
        <v>0.57999999999999996</v>
      </c>
      <c r="AE73" s="127">
        <v>0.57999999999999996</v>
      </c>
      <c r="AF73" s="127">
        <v>0.57999999999999996</v>
      </c>
      <c r="AG73" s="127">
        <v>0.62</v>
      </c>
      <c r="AH73" s="127">
        <v>0.62</v>
      </c>
      <c r="AI73" s="127">
        <v>0.62</v>
      </c>
      <c r="AJ73" s="127">
        <v>0.62</v>
      </c>
      <c r="AK73" s="127">
        <v>0.65749999999999997</v>
      </c>
      <c r="AL73" s="127">
        <v>0.76187500000000008</v>
      </c>
      <c r="AM73" s="127">
        <v>0.85125000000000006</v>
      </c>
      <c r="AN73" s="127">
        <v>0.85125000000000006</v>
      </c>
      <c r="AO73" s="127">
        <v>0.85125000000000006</v>
      </c>
      <c r="AP73" s="127">
        <v>0.85125000000000006</v>
      </c>
      <c r="AQ73" s="127">
        <v>0.85125000000000006</v>
      </c>
      <c r="AR73" s="127">
        <v>0.85125000000000006</v>
      </c>
      <c r="AS73" s="127">
        <v>0.85125000000000006</v>
      </c>
      <c r="AT73" s="127">
        <v>0.85125000000000006</v>
      </c>
      <c r="AU73" s="127">
        <v>0.85125000000000006</v>
      </c>
      <c r="AV73" s="127">
        <v>0.89437500000000014</v>
      </c>
      <c r="AW73" s="127">
        <v>0.90062500000000001</v>
      </c>
      <c r="AX73" s="127">
        <v>0.90437500000000015</v>
      </c>
      <c r="AY73" s="127">
        <v>0.90437500000000015</v>
      </c>
      <c r="AZ73" s="127">
        <v>0.90625</v>
      </c>
      <c r="BA73" s="127">
        <v>0.92375000000000007</v>
      </c>
      <c r="BB73" s="127">
        <f>Planbase100[[#This Row],[05/05/25]]+(1-Planbase100[[#This Row],[05/05/25]])*'Plan 39'!I42</f>
        <v>0.92919642857142859</v>
      </c>
      <c r="BC73" s="127">
        <f>Planbase100[[#This Row],[05/05/25]]+(1-Planbase100[[#This Row],[05/05/25]])*'Plan 39'!J42</f>
        <v>0.93461017857142858</v>
      </c>
      <c r="BD73" s="127">
        <f>Planbase100[[#This Row],[05/05/25]]+(1-Planbase100[[#This Row],[05/05/25]])*'Plan 39'!K42</f>
        <v>0.94002392857142858</v>
      </c>
      <c r="BE73" s="127">
        <f>Planbase100[[#This Row],[05/05/25]]+(1-Planbase100[[#This Row],[05/05/25]])*'Plan 39'!L42</f>
        <v>0.94543767857142857</v>
      </c>
      <c r="BF73" s="127">
        <f>Planbase100[[#This Row],[05/05/25]]+(1-Planbase100[[#This Row],[05/05/25]])*'Plan 39'!M42</f>
        <v>0.95085142857142857</v>
      </c>
      <c r="BG73" s="127">
        <f>Planbase100[[#This Row],[05/05/25]]+(1-Planbase100[[#This Row],[05/05/25]])*'Plan 39'!N42</f>
        <v>0.95626517857142856</v>
      </c>
      <c r="BH73" s="127">
        <f>Planbase100[[#This Row],[05/05/25]]+(1-Planbase100[[#This Row],[05/05/25]])*'Plan 39'!O42</f>
        <v>0.96167892857142856</v>
      </c>
      <c r="BI73" s="127">
        <f>Planbase100[[#This Row],[05/05/25]]+(1-Planbase100[[#This Row],[05/05/25]])*'Plan 39'!P42</f>
        <v>0.96709267857142855</v>
      </c>
      <c r="BJ73" s="127">
        <f>Planbase100[[#This Row],[05/05/25]]+(1-Planbase100[[#This Row],[05/05/25]])*'Plan 39'!Q42</f>
        <v>0.97250642857142855</v>
      </c>
      <c r="BK73" s="127">
        <f>Planbase100[[#This Row],[05/05/25]]+(1-Planbase100[[#This Row],[05/05/25]])*'Plan 39'!R42</f>
        <v>0.97792017857142854</v>
      </c>
      <c r="BL73" s="127">
        <f>Planbase100[[#This Row],[05/05/25]]+(1-Planbase100[[#This Row],[05/05/25]])*'Plan 39'!S42</f>
        <v>0.98333392857142854</v>
      </c>
      <c r="BM73" s="127">
        <f>Planbase100[[#This Row],[05/05/25]]+(1-Planbase100[[#This Row],[05/05/25]])*'Plan 39'!T42</f>
        <v>0.98874767857142853</v>
      </c>
      <c r="BN73" s="127">
        <f>Planbase100[[#This Row],[05/05/25]]+(1-Planbase100[[#This Row],[05/05/25]])*'Plan 39'!U42</f>
        <v>0.99416142857142853</v>
      </c>
      <c r="BO73" s="127">
        <f>Planbase100[[#This Row],[05/05/25]]+(1-Planbase100[[#This Row],[05/05/25]])*'Plan 39'!V42</f>
        <v>0.99957517857142852</v>
      </c>
      <c r="BP73" s="127">
        <f>Planbase100[[#This Row],[05/05/25]]+(1-Planbase100[[#This Row],[05/05/25]])*'Plan 39'!W42</f>
        <v>1</v>
      </c>
      <c r="BQ73" s="127">
        <f>Planbase100[[#This Row],[05/05/25]]+(1-Planbase100[[#This Row],[05/05/25]])*'Plan 39'!X42</f>
        <v>1</v>
      </c>
      <c r="BR73" s="127">
        <f>Planbase100[[#This Row],[05/05/25]]+(1-Planbase100[[#This Row],[05/05/25]])*'Plan 39'!Y42</f>
        <v>1</v>
      </c>
      <c r="BS73" s="127">
        <f>Planbase100[[#This Row],[05/05/25]]+(1-Planbase100[[#This Row],[05/05/25]])*'Plan 39'!Z42</f>
        <v>1</v>
      </c>
      <c r="BT73" s="127">
        <f>Planbase100[[#This Row],[05/05/25]]+(1-Planbase100[[#This Row],[05/05/25]])*'Plan 39'!AA42</f>
        <v>1</v>
      </c>
      <c r="BU73" s="127">
        <f>Planbase100[[#This Row],[05/05/25]]+(1-Planbase100[[#This Row],[05/05/25]])*'Plan 39'!AB42</f>
        <v>1</v>
      </c>
      <c r="BV73" s="127">
        <f>Planbase100[[#This Row],[05/05/25]]+(1-Planbase100[[#This Row],[05/05/25]])*'Plan 39'!AC42</f>
        <v>1</v>
      </c>
      <c r="BW73" s="127">
        <f>Planbase100[[#This Row],[05/05/25]]+(1-Planbase100[[#This Row],[05/05/25]])*'Plan 39'!AD42</f>
        <v>1</v>
      </c>
      <c r="BX73" s="127">
        <f>Planbase100[[#This Row],[05/05/25]]+(1-Planbase100[[#This Row],[05/05/25]])*'Plan 39'!AE42</f>
        <v>1</v>
      </c>
      <c r="BY73" s="127">
        <f>Planbase100[[#This Row],[05/05/25]]+(1-Planbase100[[#This Row],[05/05/25]])*'Plan 39'!AF42</f>
        <v>1</v>
      </c>
      <c r="BZ73" s="127">
        <f>Planbase100[[#This Row],[05/05/25]]+(1-Planbase100[[#This Row],[05/05/25]])*'Plan 39'!AG42</f>
        <v>1</v>
      </c>
      <c r="CA73" s="127">
        <f>Planbase100[[#This Row],[05/05/25]]+(1-Planbase100[[#This Row],[05/05/25]])*'Plan 39'!AH42</f>
        <v>1</v>
      </c>
      <c r="CB73" s="127">
        <f>Planbase100[[#This Row],[05/05/25]]+(1-Planbase100[[#This Row],[05/05/25]])*'Plan 39'!AI42</f>
        <v>1</v>
      </c>
      <c r="CC73" s="127">
        <f>Planbase100[[#This Row],[05/05/25]]+(1-Planbase100[[#This Row],[05/05/25]])*'Plan 39'!AJ42</f>
        <v>1</v>
      </c>
      <c r="CD73" s="127">
        <f>Planbase100[[#This Row],[05/05/25]]+(1-Planbase100[[#This Row],[05/05/25]])*'Plan 39'!AK42</f>
        <v>1</v>
      </c>
      <c r="CE73" s="127">
        <f>Planbase100[[#This Row],[05/05/25]]+(1-Planbase100[[#This Row],[05/05/25]])*'Plan 39'!AL42</f>
        <v>1</v>
      </c>
      <c r="CF73" s="127">
        <f>Planbase100[[#This Row],[05/05/25]]+(1-Planbase100[[#This Row],[05/05/25]])*'Plan 39'!AM42</f>
        <v>1</v>
      </c>
      <c r="CG73" s="127">
        <f>Planbase100[[#This Row],[05/05/25]]+(1-Planbase100[[#This Row],[05/05/25]])*'Plan 39'!AN42</f>
        <v>1</v>
      </c>
      <c r="CH73" s="127">
        <f>Planbase100[[#This Row],[05/05/25]]+(1-Planbase100[[#This Row],[05/05/25]])*'Plan 39'!AO42</f>
        <v>1</v>
      </c>
      <c r="CI73" s="127">
        <f>Planbase100[[#This Row],[05/05/25]]+(1-Planbase100[[#This Row],[05/05/25]])*'Plan 39'!AP42</f>
        <v>1</v>
      </c>
      <c r="CJ73" s="127">
        <f>Planbase100[[#This Row],[05/05/25]]+(1-Planbase100[[#This Row],[05/05/25]])*'Plan 39'!AQ42</f>
        <v>1</v>
      </c>
      <c r="CK73" s="127">
        <f>Planbase100[[#This Row],[05/05/25]]+(1-Planbase100[[#This Row],[05/05/25]])*'Plan 39'!AR42</f>
        <v>1</v>
      </c>
      <c r="CL73" s="127">
        <f>Planbase100[[#This Row],[05/05/25]]+(1-Planbase100[[#This Row],[05/05/25]])*'Plan 39'!AS42</f>
        <v>1</v>
      </c>
      <c r="CM73" s="127">
        <f>Planbase100[[#This Row],[05/05/25]]+(1-Planbase100[[#This Row],[05/05/25]])*'Plan 39'!AT42</f>
        <v>1</v>
      </c>
      <c r="CN73" s="127">
        <f>Planbase100[[#This Row],[05/05/25]]+(1-Planbase100[[#This Row],[05/05/25]])*'Plan 39'!AU42</f>
        <v>1</v>
      </c>
      <c r="CO73" s="127">
        <f>Planbase100[[#This Row],[05/05/25]]+(1-Planbase100[[#This Row],[05/05/25]])*'Plan 39'!AV42</f>
        <v>1</v>
      </c>
      <c r="CP73" s="127">
        <f>Planbase100[[#This Row],[05/05/25]]+(1-Planbase100[[#This Row],[05/05/25]])*'Plan 39'!AW42</f>
        <v>1</v>
      </c>
      <c r="CQ73" s="127">
        <f>Planbase100[[#This Row],[05/05/25]]+(1-Planbase100[[#This Row],[05/05/25]])*'Plan 39'!AX42</f>
        <v>1</v>
      </c>
      <c r="CR73" s="127">
        <f>Planbase100[[#This Row],[05/05/25]]+(1-Planbase100[[#This Row],[05/05/25]])*'Plan 39'!AY42</f>
        <v>1</v>
      </c>
      <c r="CS73" s="127">
        <f>Planbase100[[#This Row],[05/05/25]]+(1-Planbase100[[#This Row],[05/05/25]])*'Plan 39'!AZ42</f>
        <v>1</v>
      </c>
      <c r="CT73" s="127">
        <f>Planbase100[[#This Row],[05/05/25]]+(1-Planbase100[[#This Row],[05/05/25]])*'Plan 39'!BA42</f>
        <v>1</v>
      </c>
      <c r="CU73" s="127">
        <f>Planbase100[[#This Row],[05/05/25]]+(1-Planbase100[[#This Row],[05/05/25]])*'Plan 39'!BB42</f>
        <v>1</v>
      </c>
      <c r="CV73" s="127">
        <f>Planbase100[[#This Row],[05/05/25]]+(1-Planbase100[[#This Row],[05/05/25]])*'Plan 39'!BC42</f>
        <v>1</v>
      </c>
      <c r="CW73" s="127">
        <f>Planbase100[[#This Row],[05/05/25]]+(1-Planbase100[[#This Row],[05/05/25]])*'Plan 39'!BD42</f>
        <v>1</v>
      </c>
      <c r="CX73" s="127">
        <f>Planbase100[[#This Row],[05/05/25]]+(1-Planbase100[[#This Row],[05/05/25]])*'Plan 39'!BE42</f>
        <v>1</v>
      </c>
      <c r="CY73" s="127">
        <f>Planbase100[[#This Row],[05/05/25]]+(1-Planbase100[[#This Row],[05/05/25]])*'Plan 39'!BF42</f>
        <v>1</v>
      </c>
      <c r="CZ73" s="127">
        <f>Planbase100[[#This Row],[05/05/25]]+(1-Planbase100[[#This Row],[05/05/25]])*'Plan 39'!BG42</f>
        <v>1</v>
      </c>
      <c r="DA73" s="127">
        <f>Planbase100[[#This Row],[05/05/25]]+(1-Planbase100[[#This Row],[05/05/25]])*'Plan 39'!BH42</f>
        <v>1</v>
      </c>
      <c r="DB73" s="127">
        <f>Planbase100[[#This Row],[05/05/25]]+(1-Planbase100[[#This Row],[05/05/25]])*'Plan 39'!BI42</f>
        <v>1</v>
      </c>
      <c r="DC73" s="127">
        <f>Planbase100[[#This Row],[05/05/25]]+(1-Planbase100[[#This Row],[05/05/25]])*'Plan 39'!BJ42</f>
        <v>1</v>
      </c>
      <c r="DD73" s="127">
        <f>Planbase100[[#This Row],[05/05/25]]+(1-Planbase100[[#This Row],[05/05/25]])*'Plan 39'!BK42</f>
        <v>1</v>
      </c>
      <c r="DE73" s="127">
        <f>Planbase100[[#This Row],[05/05/25]]+(1-Planbase100[[#This Row],[05/05/25]])*'Plan 39'!BL42</f>
        <v>1</v>
      </c>
      <c r="DF73" s="127">
        <f>Planbase100[[#This Row],[05/05/25]]+(1-Planbase100[[#This Row],[05/05/25]])*'Plan 39'!BM42</f>
        <v>1</v>
      </c>
      <c r="DG73" s="127">
        <f>Planbase100[[#This Row],[19/05/25]]+(1-Planbase100[[#This Row],[19/05/25]])*'Plan 39'!BN42</f>
        <v>1</v>
      </c>
      <c r="DH73" s="127">
        <f>Planbase100[[#This Row],[26/05/25]]+(1-Planbase100[[#This Row],[26/05/25]])*'Plan 39'!BO42</f>
        <v>1</v>
      </c>
      <c r="DI73" s="127">
        <f>Planbase100[[#This Row],[02/06/25]]+(1-Planbase100[[#This Row],[02/06/25]])*'Plan 39'!BP42</f>
        <v>1</v>
      </c>
      <c r="DJ73" s="127">
        <f>Planbase100[[#This Row],[09/06/25]]+(1-Planbase100[[#This Row],[09/06/25]])*'Plan 39'!BQ42</f>
        <v>1</v>
      </c>
      <c r="DK73" s="127">
        <f>Planbase100[[#This Row],[16/06/25]]+(1-Planbase100[[#This Row],[16/06/25]])*'Plan 39'!BR42</f>
        <v>1</v>
      </c>
      <c r="DL73" s="127">
        <f>Planbase100[[#This Row],[23/06/25]]+(1-Planbase100[[#This Row],[23/06/25]])*'Plan 39'!BS42</f>
        <v>1</v>
      </c>
      <c r="DM73" s="127">
        <f>Planbase100[[#This Row],[30/06/25]]+(1-Planbase100[[#This Row],[30/06/25]])*'Plan 39'!BT42</f>
        <v>1</v>
      </c>
      <c r="DN73" s="127">
        <f>Planbase100[[#This Row],[07/07/25]]+(1-Planbase100[[#This Row],[07/07/25]])*'Plan 39'!BU42</f>
        <v>1</v>
      </c>
      <c r="DO73" s="127">
        <f>Planbase100[[#This Row],[14/07/25]]+(1-Planbase100[[#This Row],[14/07/25]])*'Plan 39'!BV42</f>
        <v>1</v>
      </c>
      <c r="DP73" s="127">
        <f>Planbase100[[#This Row],[21/07/25]]+(1-Planbase100[[#This Row],[21/07/25]])*'Plan 39'!BW42</f>
        <v>1</v>
      </c>
      <c r="DQ73" s="127">
        <f>Planbase100[[#This Row],[28/07/25]]+(1-Planbase100[[#This Row],[28/07/25]])*'Plan 39'!BX42</f>
        <v>1</v>
      </c>
      <c r="DR73" s="127">
        <f>Planbase100[[#This Row],[04/08/25]]+(1-Planbase100[[#This Row],[04/08/25]])*'Plan 39'!BY42</f>
        <v>1</v>
      </c>
      <c r="DS73" s="127">
        <f>Planbase100[[#This Row],[11/08/25]]+(1-Planbase100[[#This Row],[11/08/25]])*'Plan 39'!BZ42</f>
        <v>1</v>
      </c>
      <c r="DT73" s="127">
        <f>Planbase100[[#This Row],[18/08/25]]+(1-Planbase100[[#This Row],[18/08/25]])*'Plan 39'!CA42</f>
        <v>1</v>
      </c>
      <c r="DU73" s="127">
        <f>Planbase100[[#This Row],[25/08/25]]+(1-Planbase100[[#This Row],[25/08/25]])*'Plan 39'!CB42</f>
        <v>1</v>
      </c>
      <c r="DV73" s="127">
        <f>Planbase100[[#This Row],[01/09/25]]+(1-Planbase100[[#This Row],[01/09/25]])*'Plan 39'!CC42</f>
        <v>1</v>
      </c>
      <c r="DW73" s="127">
        <f>Planbase100[[#This Row],[08/09/25]]+(1-Planbase100[[#This Row],[08/09/25]])*'Plan 39'!CD42</f>
        <v>1</v>
      </c>
      <c r="DX73" s="127">
        <f>Planbase100[[#This Row],[15/09/25]]+(1-Planbase100[[#This Row],[15/09/25]])*'Plan 39'!CE42</f>
        <v>1</v>
      </c>
      <c r="DY73" s="127">
        <f>Planbase100[[#This Row],[22/09/25]]+(1-Planbase100[[#This Row],[22/09/25]])*'Plan 39'!CF42</f>
        <v>1</v>
      </c>
      <c r="DZ73" s="127">
        <f>Planbase100[[#This Row],[29/09/25]]+(1-Planbase100[[#This Row],[29/09/25]])*'Plan 39'!CG42</f>
        <v>1</v>
      </c>
      <c r="EA73" s="127">
        <f>Planbase100[[#This Row],[06/10/25]]+(1-Planbase100[[#This Row],[06/10/25]])*'Plan 39'!CH42</f>
        <v>1</v>
      </c>
      <c r="EB73" s="127">
        <f>Planbase100[[#This Row],[13/10/25]]+(1-Planbase100[[#This Row],[13/10/25]])*'Plan 39'!CI42</f>
        <v>1</v>
      </c>
      <c r="EC73" s="127">
        <f>Planbase100[[#This Row],[20/10/25]]+(1-Planbase100[[#This Row],[20/10/25]])*'Plan 39'!CJ42</f>
        <v>1</v>
      </c>
      <c r="ED73" s="127">
        <f>Planbase100[[#This Row],[27/10/25]]+(1-Planbase100[[#This Row],[27/10/25]])*'Plan 39'!CK42</f>
        <v>1</v>
      </c>
      <c r="EE73" s="127">
        <f>Planbase100[[#This Row],[03/11/25]]+(1-Planbase100[[#This Row],[03/11/25]])*'Plan 39'!CL42</f>
        <v>1</v>
      </c>
      <c r="EF73" s="127">
        <f>Planbase100[[#This Row],[10/11/25]]+(1-Planbase100[[#This Row],[10/11/25]])*'Plan 39'!CM42</f>
        <v>1</v>
      </c>
      <c r="EG73" s="127">
        <f>Planbase100[[#This Row],[17/11/25]]+(1-Planbase100[[#This Row],[17/11/25]])*'Plan 39'!CN42</f>
        <v>1</v>
      </c>
      <c r="EH73" s="127">
        <f>Planbase100[[#This Row],[24/11/25]]+(1-Planbase100[[#This Row],[24/11/25]])*'Plan 39'!CO42</f>
        <v>1</v>
      </c>
      <c r="EI73" s="127">
        <f>Planbase100[[#This Row],[01/12/25]]+(1-Planbase100[[#This Row],[01/12/25]])*'Plan 39'!CP42</f>
        <v>1</v>
      </c>
    </row>
    <row r="74" spans="2:139" ht="15" hidden="1" outlineLevel="2" collapsed="1" x14ac:dyDescent="0.3">
      <c r="B74" s="22"/>
      <c r="C74" s="23"/>
      <c r="D74" s="23" t="s">
        <v>79</v>
      </c>
      <c r="E74" s="50"/>
      <c r="F74" s="26">
        <f>+SUM(F75:F77)</f>
        <v>60</v>
      </c>
      <c r="G74" s="28">
        <v>0.02</v>
      </c>
      <c r="H74" s="51"/>
      <c r="I74" s="125">
        <f>+SUMPRODUCT($G$75:$G$77,I75:I77)</f>
        <v>0</v>
      </c>
      <c r="J74" s="28">
        <f>+SUMPRODUCT($G$75:$G$77,J75:J77)</f>
        <v>0</v>
      </c>
      <c r="K74" s="28">
        <f t="shared" ref="K74:BB74" si="226">+SUMPRODUCT($G$75:$G$77,K75:K77)</f>
        <v>0</v>
      </c>
      <c r="L74" s="28">
        <f t="shared" si="226"/>
        <v>0</v>
      </c>
      <c r="M74" s="64">
        <f t="shared" si="226"/>
        <v>0</v>
      </c>
      <c r="N74" s="64">
        <f t="shared" si="226"/>
        <v>0</v>
      </c>
      <c r="O74" s="28">
        <f t="shared" si="226"/>
        <v>0</v>
      </c>
      <c r="P74" s="28">
        <f t="shared" si="226"/>
        <v>0</v>
      </c>
      <c r="Q74" s="28">
        <f t="shared" si="226"/>
        <v>0</v>
      </c>
      <c r="R74" s="28">
        <f t="shared" si="226"/>
        <v>0</v>
      </c>
      <c r="S74" s="28">
        <f t="shared" si="226"/>
        <v>0</v>
      </c>
      <c r="T74" s="28">
        <f t="shared" si="226"/>
        <v>0</v>
      </c>
      <c r="U74" s="28">
        <f t="shared" si="226"/>
        <v>0</v>
      </c>
      <c r="V74" s="28">
        <f t="shared" si="226"/>
        <v>0</v>
      </c>
      <c r="W74" s="28">
        <f t="shared" si="226"/>
        <v>0</v>
      </c>
      <c r="X74" s="28">
        <f t="shared" si="226"/>
        <v>0</v>
      </c>
      <c r="Y74" s="28">
        <f t="shared" si="226"/>
        <v>0</v>
      </c>
      <c r="Z74" s="28">
        <f t="shared" si="226"/>
        <v>0</v>
      </c>
      <c r="AA74" s="28">
        <f t="shared" si="226"/>
        <v>0</v>
      </c>
      <c r="AB74" s="28">
        <f t="shared" si="226"/>
        <v>0</v>
      </c>
      <c r="AC74" s="28">
        <f t="shared" si="226"/>
        <v>0</v>
      </c>
      <c r="AD74" s="28">
        <f t="shared" si="226"/>
        <v>0</v>
      </c>
      <c r="AE74" s="28">
        <f t="shared" si="226"/>
        <v>0</v>
      </c>
      <c r="AF74" s="28">
        <f t="shared" si="226"/>
        <v>0</v>
      </c>
      <c r="AG74" s="28">
        <f t="shared" si="226"/>
        <v>0</v>
      </c>
      <c r="AH74" s="28">
        <f t="shared" si="226"/>
        <v>0</v>
      </c>
      <c r="AI74" s="28">
        <f>+SUMPRODUCT($G$75:$G$77,AI75:AI77)</f>
        <v>0</v>
      </c>
      <c r="AJ74" s="28">
        <f>+SUMPRODUCT($G$75:$G$77,AJ75:AJ77)</f>
        <v>0</v>
      </c>
      <c r="AK74" s="28">
        <f t="shared" si="226"/>
        <v>0</v>
      </c>
      <c r="AL74" s="28">
        <f t="shared" si="226"/>
        <v>0</v>
      </c>
      <c r="AM74" s="28">
        <f t="shared" si="226"/>
        <v>0</v>
      </c>
      <c r="AN74" s="28">
        <f t="shared" si="226"/>
        <v>0</v>
      </c>
      <c r="AO74" s="28">
        <f t="shared" si="226"/>
        <v>0</v>
      </c>
      <c r="AP74" s="28">
        <f t="shared" si="226"/>
        <v>0</v>
      </c>
      <c r="AQ74" s="28">
        <f t="shared" si="226"/>
        <v>0</v>
      </c>
      <c r="AR74" s="28">
        <f t="shared" si="226"/>
        <v>0</v>
      </c>
      <c r="AS74" s="28">
        <f t="shared" si="226"/>
        <v>0</v>
      </c>
      <c r="AT74" s="28">
        <f t="shared" si="226"/>
        <v>0</v>
      </c>
      <c r="AU74" s="28">
        <f t="shared" si="226"/>
        <v>0</v>
      </c>
      <c r="AV74" s="28">
        <f t="shared" si="226"/>
        <v>0</v>
      </c>
      <c r="AW74" s="28">
        <f t="shared" si="226"/>
        <v>0</v>
      </c>
      <c r="AX74" s="28">
        <f t="shared" si="226"/>
        <v>0</v>
      </c>
      <c r="AY74" s="28">
        <f t="shared" si="226"/>
        <v>0</v>
      </c>
      <c r="AZ74" s="28">
        <f t="shared" si="226"/>
        <v>0</v>
      </c>
      <c r="BA74" s="28">
        <f t="shared" si="226"/>
        <v>0</v>
      </c>
      <c r="BB74" s="28">
        <f t="shared" si="226"/>
        <v>0</v>
      </c>
      <c r="BC74" s="28">
        <f t="shared" ref="BC74:CE74" si="227">+SUMPRODUCT($G$75:$G$77,BC75:BC77)</f>
        <v>0</v>
      </c>
      <c r="BD74" s="28">
        <f t="shared" si="227"/>
        <v>0</v>
      </c>
      <c r="BE74" s="28">
        <f t="shared" si="227"/>
        <v>0</v>
      </c>
      <c r="BF74" s="28">
        <f t="shared" si="227"/>
        <v>0</v>
      </c>
      <c r="BG74" s="28">
        <f t="shared" si="227"/>
        <v>0</v>
      </c>
      <c r="BH74" s="28">
        <f t="shared" si="227"/>
        <v>0</v>
      </c>
      <c r="BI74" s="28">
        <f t="shared" si="227"/>
        <v>0</v>
      </c>
      <c r="BJ74" s="28">
        <f t="shared" si="227"/>
        <v>0</v>
      </c>
      <c r="BK74" s="28">
        <f t="shared" si="227"/>
        <v>0</v>
      </c>
      <c r="BL74" s="28">
        <f t="shared" si="227"/>
        <v>0</v>
      </c>
      <c r="BM74" s="28">
        <f t="shared" si="227"/>
        <v>0</v>
      </c>
      <c r="BN74" s="28">
        <f t="shared" si="227"/>
        <v>0</v>
      </c>
      <c r="BO74" s="28">
        <f t="shared" si="227"/>
        <v>0</v>
      </c>
      <c r="BP74" s="28">
        <f t="shared" si="227"/>
        <v>0</v>
      </c>
      <c r="BQ74" s="28">
        <f t="shared" si="227"/>
        <v>0</v>
      </c>
      <c r="BR74" s="28">
        <f t="shared" si="227"/>
        <v>0</v>
      </c>
      <c r="BS74" s="28">
        <f t="shared" si="227"/>
        <v>0</v>
      </c>
      <c r="BT74" s="28">
        <f t="shared" si="227"/>
        <v>0</v>
      </c>
      <c r="BU74" s="28">
        <f t="shared" si="227"/>
        <v>0</v>
      </c>
      <c r="BV74" s="28">
        <f t="shared" si="227"/>
        <v>0</v>
      </c>
      <c r="BW74" s="28">
        <f t="shared" si="227"/>
        <v>0</v>
      </c>
      <c r="BX74" s="28">
        <f t="shared" si="227"/>
        <v>0</v>
      </c>
      <c r="BY74" s="28">
        <f t="shared" si="227"/>
        <v>0</v>
      </c>
      <c r="BZ74" s="28">
        <f t="shared" si="227"/>
        <v>0</v>
      </c>
      <c r="CA74" s="28">
        <f t="shared" si="227"/>
        <v>0</v>
      </c>
      <c r="CB74" s="28">
        <f t="shared" si="227"/>
        <v>0</v>
      </c>
      <c r="CC74" s="28">
        <f t="shared" si="227"/>
        <v>0</v>
      </c>
      <c r="CD74" s="28">
        <f t="shared" si="227"/>
        <v>0</v>
      </c>
      <c r="CE74" s="28">
        <f t="shared" si="227"/>
        <v>0</v>
      </c>
      <c r="CF74" s="28">
        <f t="shared" ref="CF74:CI74" si="228">+SUMPRODUCT($G$75:$G$77,CF75:CF77)</f>
        <v>1</v>
      </c>
      <c r="CG74" s="28">
        <f t="shared" si="228"/>
        <v>1</v>
      </c>
      <c r="CH74" s="28">
        <f t="shared" si="228"/>
        <v>1</v>
      </c>
      <c r="CI74" s="28">
        <f t="shared" si="228"/>
        <v>1</v>
      </c>
      <c r="CJ74" s="28">
        <f t="shared" ref="CJ74:CK74" si="229">+SUMPRODUCT($G$75:$G$77,CJ75:CJ77)</f>
        <v>1</v>
      </c>
      <c r="CK74" s="28">
        <f t="shared" si="229"/>
        <v>1</v>
      </c>
      <c r="CL74" s="28">
        <f t="shared" ref="CL74" si="230">+SUMPRODUCT($G$75:$G$77,CL75:CL77)</f>
        <v>1</v>
      </c>
      <c r="CM74" s="28">
        <f t="shared" ref="CM74:CV74" si="231">+SUMPRODUCT($G$75:$G$77,CM75:CM77)</f>
        <v>1</v>
      </c>
      <c r="CN74" s="28">
        <f t="shared" si="231"/>
        <v>1</v>
      </c>
      <c r="CO74" s="28">
        <f t="shared" si="231"/>
        <v>1</v>
      </c>
      <c r="CP74" s="28">
        <f t="shared" si="231"/>
        <v>1</v>
      </c>
      <c r="CQ74" s="28">
        <f t="shared" si="231"/>
        <v>1</v>
      </c>
      <c r="CR74" s="28">
        <f t="shared" si="231"/>
        <v>1</v>
      </c>
      <c r="CS74" s="28">
        <f t="shared" si="231"/>
        <v>1</v>
      </c>
      <c r="CT74" s="28">
        <f t="shared" si="231"/>
        <v>1</v>
      </c>
      <c r="CU74" s="28">
        <f t="shared" si="231"/>
        <v>1</v>
      </c>
      <c r="CV74" s="28">
        <f t="shared" si="231"/>
        <v>1</v>
      </c>
      <c r="CW74" s="28">
        <f t="shared" ref="CW74" si="232">+SUMPRODUCT($G$75:$G$77,CW75:CW77)</f>
        <v>1</v>
      </c>
      <c r="CX74" s="28">
        <f t="shared" ref="CX74:CY74" si="233">+SUMPRODUCT($G$75:$G$77,CX75:CX77)</f>
        <v>1</v>
      </c>
      <c r="CY74" s="28">
        <f t="shared" si="233"/>
        <v>1</v>
      </c>
      <c r="CZ74" s="28">
        <f t="shared" ref="CZ74:DA74" si="234">+SUMPRODUCT($G$75:$G$77,CZ75:CZ77)</f>
        <v>1</v>
      </c>
      <c r="DA74" s="28">
        <f t="shared" si="234"/>
        <v>1</v>
      </c>
      <c r="DB74" s="28">
        <f t="shared" ref="DB74:DC74" si="235">+SUMPRODUCT($G$75:$G$77,DB75:DB77)</f>
        <v>1</v>
      </c>
      <c r="DC74" s="28">
        <f t="shared" si="235"/>
        <v>1</v>
      </c>
      <c r="DD74" s="28">
        <f t="shared" ref="DD74:DE74" si="236">+SUMPRODUCT($G$75:$G$77,DD75:DD77)</f>
        <v>1</v>
      </c>
      <c r="DE74" s="28">
        <f t="shared" si="236"/>
        <v>1</v>
      </c>
      <c r="DF74" s="28">
        <f t="shared" ref="DF74" si="237">+SUMPRODUCT($G$75:$G$77,DF75:DF77)</f>
        <v>1</v>
      </c>
      <c r="DG74" s="28">
        <f t="shared" ref="DG74:DJ74" si="238">+SUMPRODUCT($G$75:$G$77,DG75:DG77)</f>
        <v>1</v>
      </c>
      <c r="DH74" s="28">
        <f t="shared" si="238"/>
        <v>1</v>
      </c>
      <c r="DI74" s="28">
        <f t="shared" si="238"/>
        <v>1</v>
      </c>
      <c r="DJ74" s="28">
        <f t="shared" si="238"/>
        <v>1</v>
      </c>
      <c r="DK74" s="28">
        <f t="shared" ref="DK74:EI74" si="239">+SUMPRODUCT($G$75:$G$77,DK75:DK77)</f>
        <v>1</v>
      </c>
      <c r="DL74" s="28">
        <f t="shared" si="239"/>
        <v>1</v>
      </c>
      <c r="DM74" s="28">
        <f t="shared" si="239"/>
        <v>1</v>
      </c>
      <c r="DN74" s="28">
        <f t="shared" si="239"/>
        <v>1</v>
      </c>
      <c r="DO74" s="28">
        <f t="shared" si="239"/>
        <v>1</v>
      </c>
      <c r="DP74" s="28">
        <f t="shared" si="239"/>
        <v>1</v>
      </c>
      <c r="DQ74" s="28">
        <f t="shared" si="239"/>
        <v>1</v>
      </c>
      <c r="DR74" s="28">
        <f t="shared" si="239"/>
        <v>1</v>
      </c>
      <c r="DS74" s="28">
        <f t="shared" si="239"/>
        <v>1</v>
      </c>
      <c r="DT74" s="28">
        <f t="shared" si="239"/>
        <v>1</v>
      </c>
      <c r="DU74" s="28">
        <f t="shared" si="239"/>
        <v>1</v>
      </c>
      <c r="DV74" s="28">
        <f t="shared" si="239"/>
        <v>1</v>
      </c>
      <c r="DW74" s="28">
        <f t="shared" si="239"/>
        <v>1</v>
      </c>
      <c r="DX74" s="28">
        <f t="shared" si="239"/>
        <v>1</v>
      </c>
      <c r="DY74" s="28">
        <f t="shared" si="239"/>
        <v>1</v>
      </c>
      <c r="DZ74" s="28">
        <f t="shared" si="239"/>
        <v>1</v>
      </c>
      <c r="EA74" s="28">
        <f t="shared" si="239"/>
        <v>1</v>
      </c>
      <c r="EB74" s="28">
        <f t="shared" si="239"/>
        <v>1</v>
      </c>
      <c r="EC74" s="28">
        <f t="shared" si="239"/>
        <v>1</v>
      </c>
      <c r="ED74" s="28">
        <f t="shared" si="239"/>
        <v>1</v>
      </c>
      <c r="EE74" s="28">
        <f t="shared" si="239"/>
        <v>1</v>
      </c>
      <c r="EF74" s="28">
        <f t="shared" si="239"/>
        <v>1</v>
      </c>
      <c r="EG74" s="28">
        <f t="shared" si="239"/>
        <v>1</v>
      </c>
      <c r="EH74" s="28">
        <f t="shared" si="239"/>
        <v>1</v>
      </c>
      <c r="EI74" s="28">
        <f t="shared" si="239"/>
        <v>1</v>
      </c>
    </row>
    <row r="75" spans="2:139" hidden="1" outlineLevel="3" x14ac:dyDescent="0.3">
      <c r="B75" s="29"/>
      <c r="C75" s="30"/>
      <c r="D75" s="30"/>
      <c r="E75" s="52" t="s">
        <v>80</v>
      </c>
      <c r="F75" s="33">
        <v>45</v>
      </c>
      <c r="G75" s="35">
        <v>0.75</v>
      </c>
      <c r="H75" s="53"/>
      <c r="I75" s="126">
        <v>0</v>
      </c>
      <c r="J75" s="127">
        <v>0</v>
      </c>
      <c r="K75" s="127">
        <v>0</v>
      </c>
      <c r="L75" s="127">
        <v>0</v>
      </c>
      <c r="M75" s="128">
        <v>0</v>
      </c>
      <c r="N75" s="128">
        <v>0</v>
      </c>
      <c r="O75" s="127">
        <v>0</v>
      </c>
      <c r="P75" s="127">
        <v>0</v>
      </c>
      <c r="Q75" s="127">
        <v>0</v>
      </c>
      <c r="R75" s="127">
        <v>0</v>
      </c>
      <c r="S75" s="127">
        <v>0</v>
      </c>
      <c r="T75" s="127">
        <v>0</v>
      </c>
      <c r="U75" s="127">
        <v>0</v>
      </c>
      <c r="V75" s="127">
        <v>0</v>
      </c>
      <c r="W75" s="127">
        <v>0</v>
      </c>
      <c r="X75" s="127">
        <v>0</v>
      </c>
      <c r="Y75" s="127">
        <v>0</v>
      </c>
      <c r="Z75" s="127">
        <v>0</v>
      </c>
      <c r="AA75" s="127">
        <v>0</v>
      </c>
      <c r="AB75" s="127">
        <v>0</v>
      </c>
      <c r="AC75" s="127">
        <v>0</v>
      </c>
      <c r="AD75" s="127">
        <v>0</v>
      </c>
      <c r="AE75" s="127">
        <v>0</v>
      </c>
      <c r="AF75" s="127">
        <v>0</v>
      </c>
      <c r="AG75" s="127">
        <v>0</v>
      </c>
      <c r="AH75" s="127">
        <v>0</v>
      </c>
      <c r="AI75" s="127">
        <v>0</v>
      </c>
      <c r="AJ75" s="127">
        <v>0</v>
      </c>
      <c r="AK75" s="127">
        <v>0</v>
      </c>
      <c r="AL75" s="127">
        <v>0</v>
      </c>
      <c r="AM75" s="127">
        <v>0</v>
      </c>
      <c r="AN75" s="127">
        <v>0</v>
      </c>
      <c r="AO75" s="127">
        <v>0</v>
      </c>
      <c r="AP75" s="127">
        <v>0</v>
      </c>
      <c r="AQ75" s="127">
        <v>0</v>
      </c>
      <c r="AR75" s="127">
        <v>0</v>
      </c>
      <c r="AS75" s="127">
        <v>0</v>
      </c>
      <c r="AT75" s="127">
        <v>0</v>
      </c>
      <c r="AU75" s="127">
        <v>0</v>
      </c>
      <c r="AV75" s="127">
        <v>0</v>
      </c>
      <c r="AW75" s="127">
        <v>0</v>
      </c>
      <c r="AX75" s="127">
        <v>0</v>
      </c>
      <c r="AY75" s="127">
        <v>0</v>
      </c>
      <c r="AZ75" s="127">
        <v>0</v>
      </c>
      <c r="BA75" s="127">
        <v>0</v>
      </c>
      <c r="BB75" s="127">
        <f>Planbase100[[#This Row],[05/05/25]]+(1-Planbase100[[#This Row],[05/05/25]])*'Plan 39'!H44</f>
        <v>0</v>
      </c>
      <c r="BC75" s="127">
        <f>Planbase100[[#This Row],[05/05/25]]+(1-Planbase100[[#This Row],[05/05/25]])*'Plan 39'!I44</f>
        <v>0</v>
      </c>
      <c r="BD75" s="127">
        <f>Planbase100[[#This Row],[05/05/25]]+(1-Planbase100[[#This Row],[05/05/25]])*'Plan 39'!J44</f>
        <v>0</v>
      </c>
      <c r="BE75" s="127">
        <f>Planbase100[[#This Row],[05/05/25]]+(1-Planbase100[[#This Row],[05/05/25]])*'Plan 39'!K44</f>
        <v>0</v>
      </c>
      <c r="BF75" s="127">
        <f>Planbase100[[#This Row],[05/05/25]]+(1-Planbase100[[#This Row],[05/05/25]])*'Plan 39'!L44</f>
        <v>0</v>
      </c>
      <c r="BG75" s="127">
        <f>Planbase100[[#This Row],[05/05/25]]+(1-Planbase100[[#This Row],[05/05/25]])*'Plan 39'!M44</f>
        <v>0</v>
      </c>
      <c r="BH75" s="127">
        <f>Planbase100[[#This Row],[05/05/25]]+(1-Planbase100[[#This Row],[05/05/25]])*'Plan 39'!N44</f>
        <v>0</v>
      </c>
      <c r="BI75" s="127">
        <f>Planbase100[[#This Row],[05/05/25]]+(1-Planbase100[[#This Row],[05/05/25]])*'Plan 39'!O44</f>
        <v>0</v>
      </c>
      <c r="BJ75" s="127">
        <f>Planbase100[[#This Row],[05/05/25]]+(1-Planbase100[[#This Row],[05/05/25]])*'Plan 39'!P44</f>
        <v>0</v>
      </c>
      <c r="BK75" s="127">
        <f>Planbase100[[#This Row],[05/05/25]]+(1-Planbase100[[#This Row],[05/05/25]])*'Plan 39'!Q44</f>
        <v>0</v>
      </c>
      <c r="BL75" s="127">
        <f>Planbase100[[#This Row],[05/05/25]]+(1-Planbase100[[#This Row],[05/05/25]])*'Plan 39'!R44</f>
        <v>0</v>
      </c>
      <c r="BM75" s="127">
        <f>Planbase100[[#This Row],[05/05/25]]+(1-Planbase100[[#This Row],[05/05/25]])*'Plan 39'!S44</f>
        <v>0</v>
      </c>
      <c r="BN75" s="127">
        <f>Planbase100[[#This Row],[05/05/25]]+(1-Planbase100[[#This Row],[05/05/25]])*'Plan 39'!T44</f>
        <v>0</v>
      </c>
      <c r="BO75" s="127">
        <f>Planbase100[[#This Row],[05/05/25]]+(1-Planbase100[[#This Row],[05/05/25]])*'Plan 39'!U44</f>
        <v>0</v>
      </c>
      <c r="BP75" s="127">
        <f>Planbase100[[#This Row],[05/05/25]]+(1-Planbase100[[#This Row],[05/05/25]])*'Plan 39'!V44</f>
        <v>0</v>
      </c>
      <c r="BQ75" s="127">
        <f>Planbase100[[#This Row],[05/05/25]]+(1-Planbase100[[#This Row],[05/05/25]])*'Plan 39'!W44</f>
        <v>0</v>
      </c>
      <c r="BR75" s="127">
        <f>Planbase100[[#This Row],[05/05/25]]+(1-Planbase100[[#This Row],[05/05/25]])*'Plan 39'!X44</f>
        <v>0</v>
      </c>
      <c r="BS75" s="127">
        <f>Planbase100[[#This Row],[05/05/25]]+(1-Planbase100[[#This Row],[05/05/25]])*'Plan 39'!Y44</f>
        <v>0</v>
      </c>
      <c r="BT75" s="127">
        <f>Planbase100[[#This Row],[05/05/25]]+(1-Planbase100[[#This Row],[05/05/25]])*'Plan 39'!Z44</f>
        <v>0</v>
      </c>
      <c r="BU75" s="127">
        <f>Planbase100[[#This Row],[05/05/25]]+(1-Planbase100[[#This Row],[05/05/25]])*'Plan 39'!AA44</f>
        <v>0</v>
      </c>
      <c r="BV75" s="127">
        <f>Planbase100[[#This Row],[05/05/25]]+(1-Planbase100[[#This Row],[05/05/25]])*'Plan 39'!AB44</f>
        <v>0</v>
      </c>
      <c r="BW75" s="127">
        <f>Planbase100[[#This Row],[05/05/25]]+(1-Planbase100[[#This Row],[05/05/25]])*'Plan 39'!AC44</f>
        <v>0</v>
      </c>
      <c r="BX75" s="127">
        <f>Planbase100[[#This Row],[05/05/25]]+(1-Planbase100[[#This Row],[05/05/25]])*'Plan 39'!AD44</f>
        <v>0</v>
      </c>
      <c r="BY75" s="127">
        <f>Planbase100[[#This Row],[05/05/25]]+(1-Planbase100[[#This Row],[05/05/25]])*'Plan 39'!AE44</f>
        <v>0</v>
      </c>
      <c r="BZ75" s="127">
        <f>Planbase100[[#This Row],[05/05/25]]+(1-Planbase100[[#This Row],[05/05/25]])*'Plan 39'!AF44</f>
        <v>0</v>
      </c>
      <c r="CA75" s="127">
        <f>Planbase100[[#This Row],[05/05/25]]+(1-Planbase100[[#This Row],[05/05/25]])*'Plan 39'!AG44</f>
        <v>0</v>
      </c>
      <c r="CB75" s="127">
        <f>Planbase100[[#This Row],[05/05/25]]+(1-Planbase100[[#This Row],[05/05/25]])*'Plan 39'!AH44</f>
        <v>0</v>
      </c>
      <c r="CC75" s="127">
        <f>Planbase100[[#This Row],[05/05/25]]+(1-Planbase100[[#This Row],[05/05/25]])*'Plan 39'!AI44</f>
        <v>0</v>
      </c>
      <c r="CD75" s="127">
        <f>Planbase100[[#This Row],[05/05/25]]+(1-Planbase100[[#This Row],[05/05/25]])*'Plan 39'!AJ44</f>
        <v>0</v>
      </c>
      <c r="CE75" s="127">
        <f>Planbase100[[#This Row],[05/05/25]]+(1-Planbase100[[#This Row],[05/05/25]])*'Plan 39'!AK44</f>
        <v>0</v>
      </c>
      <c r="CF75" s="127">
        <f>Planbase100[[#This Row],[05/05/25]]+(1-Planbase100[[#This Row],[05/05/25]])*'Plan 39'!AL44</f>
        <v>1</v>
      </c>
      <c r="CG75" s="127">
        <f>Planbase100[[#This Row],[05/05/25]]+(1-Planbase100[[#This Row],[05/05/25]])*'Plan 39'!AM44</f>
        <v>1</v>
      </c>
      <c r="CH75" s="127">
        <f>Planbase100[[#This Row],[05/05/25]]+(1-Planbase100[[#This Row],[05/05/25]])*'Plan 39'!AN44</f>
        <v>1</v>
      </c>
      <c r="CI75" s="127">
        <f>Planbase100[[#This Row],[05/05/25]]+(1-Planbase100[[#This Row],[05/05/25]])*'Plan 39'!AO44</f>
        <v>1</v>
      </c>
      <c r="CJ75" s="127">
        <f>Planbase100[[#This Row],[05/05/25]]+(1-Planbase100[[#This Row],[05/05/25]])*'Plan 39'!AP44</f>
        <v>1</v>
      </c>
      <c r="CK75" s="127">
        <f>Planbase100[[#This Row],[05/05/25]]+(1-Planbase100[[#This Row],[05/05/25]])*'Plan 39'!AQ44</f>
        <v>1</v>
      </c>
      <c r="CL75" s="127">
        <f>Planbase100[[#This Row],[05/05/25]]+(1-Planbase100[[#This Row],[05/05/25]])*'Plan 39'!AR44</f>
        <v>1</v>
      </c>
      <c r="CM75" s="127">
        <f>Planbase100[[#This Row],[05/05/25]]+(1-Planbase100[[#This Row],[05/05/25]])*'Plan 39'!AS44</f>
        <v>1</v>
      </c>
      <c r="CN75" s="127">
        <f>Planbase100[[#This Row],[05/05/25]]+(1-Planbase100[[#This Row],[05/05/25]])*'Plan 39'!AT44</f>
        <v>1</v>
      </c>
      <c r="CO75" s="127">
        <f>Planbase100[[#This Row],[05/05/25]]+(1-Planbase100[[#This Row],[05/05/25]])*'Plan 39'!AU44</f>
        <v>1</v>
      </c>
      <c r="CP75" s="127">
        <f>Planbase100[[#This Row],[05/05/25]]+(1-Planbase100[[#This Row],[05/05/25]])*'Plan 39'!AV44</f>
        <v>1</v>
      </c>
      <c r="CQ75" s="127">
        <f>Planbase100[[#This Row],[05/05/25]]+(1-Planbase100[[#This Row],[05/05/25]])*'Plan 39'!AW44</f>
        <v>1</v>
      </c>
      <c r="CR75" s="127">
        <f>Planbase100[[#This Row],[05/05/25]]+(1-Planbase100[[#This Row],[05/05/25]])*'Plan 39'!AX44</f>
        <v>1</v>
      </c>
      <c r="CS75" s="127">
        <f>Planbase100[[#This Row],[05/05/25]]+(1-Planbase100[[#This Row],[05/05/25]])*'Plan 39'!AY44</f>
        <v>1</v>
      </c>
      <c r="CT75" s="127">
        <f>Planbase100[[#This Row],[05/05/25]]+(1-Planbase100[[#This Row],[05/05/25]])*'Plan 39'!AZ44</f>
        <v>1</v>
      </c>
      <c r="CU75" s="127">
        <f>Planbase100[[#This Row],[05/05/25]]+(1-Planbase100[[#This Row],[05/05/25]])*'Plan 39'!BA44</f>
        <v>1</v>
      </c>
      <c r="CV75" s="127">
        <f>Planbase100[[#This Row],[05/05/25]]+(1-Planbase100[[#This Row],[05/05/25]])*'Plan 39'!BB44</f>
        <v>1</v>
      </c>
      <c r="CW75" s="127">
        <f>Planbase100[[#This Row],[05/05/25]]+(1-Planbase100[[#This Row],[05/05/25]])*'Plan 39'!BC44</f>
        <v>1</v>
      </c>
      <c r="CX75" s="127">
        <f>Planbase100[[#This Row],[05/05/25]]+(1-Planbase100[[#This Row],[05/05/25]])*'Plan 39'!BD44</f>
        <v>1</v>
      </c>
      <c r="CY75" s="127">
        <f>Planbase100[[#This Row],[05/05/25]]+(1-Planbase100[[#This Row],[05/05/25]])*'Plan 39'!BE44</f>
        <v>1</v>
      </c>
      <c r="CZ75" s="127">
        <f>Planbase100[[#This Row],[05/05/25]]+(1-Planbase100[[#This Row],[05/05/25]])*'Plan 39'!BF44</f>
        <v>1</v>
      </c>
      <c r="DA75" s="127">
        <f>Planbase100[[#This Row],[05/05/25]]+(1-Planbase100[[#This Row],[05/05/25]])*'Plan 39'!BG44</f>
        <v>1</v>
      </c>
      <c r="DB75" s="127">
        <f>Planbase100[[#This Row],[05/05/25]]+(1-Planbase100[[#This Row],[05/05/25]])*'Plan 39'!BH44</f>
        <v>1</v>
      </c>
      <c r="DC75" s="127">
        <f>Planbase100[[#This Row],[05/05/25]]+(1-Planbase100[[#This Row],[05/05/25]])*'Plan 39'!BI44</f>
        <v>1</v>
      </c>
      <c r="DD75" s="127">
        <f>Planbase100[[#This Row],[05/05/25]]+(1-Planbase100[[#This Row],[05/05/25]])*'Plan 39'!BJ44</f>
        <v>1</v>
      </c>
      <c r="DE75" s="127">
        <f>Planbase100[[#This Row],[05/05/25]]+(1-Planbase100[[#This Row],[05/05/25]])*'Plan 39'!BK44</f>
        <v>1</v>
      </c>
      <c r="DF75" s="127">
        <f>Planbase100[[#This Row],[12/05/25]]+(1-Planbase100[[#This Row],[12/05/25]])*'Plan 39'!BL44</f>
        <v>1</v>
      </c>
      <c r="DG75" s="127">
        <f>Planbase100[[#This Row],[19/05/25]]+(1-Planbase100[[#This Row],[19/05/25]])*'Plan 39'!BM44</f>
        <v>1</v>
      </c>
      <c r="DH75" s="127">
        <f>Planbase100[[#This Row],[26/05/25]]+(1-Planbase100[[#This Row],[26/05/25]])*'Plan 39'!BN44</f>
        <v>1</v>
      </c>
      <c r="DI75" s="127">
        <f>Planbase100[[#This Row],[02/06/25]]+(1-Planbase100[[#This Row],[02/06/25]])*'Plan 39'!BO44</f>
        <v>1</v>
      </c>
      <c r="DJ75" s="127">
        <f>Planbase100[[#This Row],[09/06/25]]+(1-Planbase100[[#This Row],[09/06/25]])*'Plan 39'!BP44</f>
        <v>1</v>
      </c>
      <c r="DK75" s="127">
        <f>Planbase100[[#This Row],[16/06/25]]+(1-Planbase100[[#This Row],[16/06/25]])*'Plan 39'!BQ44</f>
        <v>1</v>
      </c>
      <c r="DL75" s="127">
        <f>Planbase100[[#This Row],[23/06/25]]+(1-Planbase100[[#This Row],[23/06/25]])*'Plan 39'!BR44</f>
        <v>1</v>
      </c>
      <c r="DM75" s="127">
        <f>Planbase100[[#This Row],[30/06/25]]+(1-Planbase100[[#This Row],[30/06/25]])*'Plan 39'!BS44</f>
        <v>1</v>
      </c>
      <c r="DN75" s="127">
        <f>Planbase100[[#This Row],[07/07/25]]+(1-Planbase100[[#This Row],[07/07/25]])*'Plan 39'!BT44</f>
        <v>1</v>
      </c>
      <c r="DO75" s="127">
        <f>Planbase100[[#This Row],[14/07/25]]+(1-Planbase100[[#This Row],[14/07/25]])*'Plan 39'!BU44</f>
        <v>1</v>
      </c>
      <c r="DP75" s="127">
        <f>Planbase100[[#This Row],[21/07/25]]+(1-Planbase100[[#This Row],[21/07/25]])*'Plan 39'!BV44</f>
        <v>1</v>
      </c>
      <c r="DQ75" s="127">
        <f>Planbase100[[#This Row],[28/07/25]]+(1-Planbase100[[#This Row],[28/07/25]])*'Plan 39'!BW44</f>
        <v>1</v>
      </c>
      <c r="DR75" s="127">
        <f>Planbase100[[#This Row],[04/08/25]]+(1-Planbase100[[#This Row],[04/08/25]])*'Plan 39'!BX44</f>
        <v>1</v>
      </c>
      <c r="DS75" s="127">
        <f>Planbase100[[#This Row],[11/08/25]]+(1-Planbase100[[#This Row],[11/08/25]])*'Plan 39'!BY44</f>
        <v>1</v>
      </c>
      <c r="DT75" s="127">
        <f>Planbase100[[#This Row],[18/08/25]]+(1-Planbase100[[#This Row],[18/08/25]])*'Plan 39'!BZ44</f>
        <v>1</v>
      </c>
      <c r="DU75" s="127">
        <f>Planbase100[[#This Row],[25/08/25]]+(1-Planbase100[[#This Row],[25/08/25]])*'Plan 39'!CA44</f>
        <v>1</v>
      </c>
      <c r="DV75" s="127">
        <f>Planbase100[[#This Row],[01/09/25]]+(1-Planbase100[[#This Row],[01/09/25]])*'Plan 39'!CB44</f>
        <v>1</v>
      </c>
      <c r="DW75" s="127">
        <f>Planbase100[[#This Row],[08/09/25]]+(1-Planbase100[[#This Row],[08/09/25]])*'Plan 39'!CC44</f>
        <v>1</v>
      </c>
      <c r="DX75" s="127">
        <f>Planbase100[[#This Row],[15/09/25]]+(1-Planbase100[[#This Row],[15/09/25]])*'Plan 39'!CD44</f>
        <v>1</v>
      </c>
      <c r="DY75" s="127">
        <f>Planbase100[[#This Row],[22/09/25]]+(1-Planbase100[[#This Row],[22/09/25]])*'Plan 39'!CE44</f>
        <v>1</v>
      </c>
      <c r="DZ75" s="127">
        <f>Planbase100[[#This Row],[29/09/25]]+(1-Planbase100[[#This Row],[29/09/25]])*'Plan 39'!CF44</f>
        <v>1</v>
      </c>
      <c r="EA75" s="127">
        <f>Planbase100[[#This Row],[06/10/25]]+(1-Planbase100[[#This Row],[06/10/25]])*'Plan 39'!CG44</f>
        <v>1</v>
      </c>
      <c r="EB75" s="127">
        <f>Planbase100[[#This Row],[13/10/25]]+(1-Planbase100[[#This Row],[13/10/25]])*'Plan 39'!CH44</f>
        <v>1</v>
      </c>
      <c r="EC75" s="127">
        <f>Planbase100[[#This Row],[20/10/25]]+(1-Planbase100[[#This Row],[20/10/25]])*'Plan 39'!CI44</f>
        <v>1</v>
      </c>
      <c r="ED75" s="127">
        <f>Planbase100[[#This Row],[27/10/25]]+(1-Planbase100[[#This Row],[27/10/25]])*'Plan 39'!CJ44</f>
        <v>1</v>
      </c>
      <c r="EE75" s="127">
        <f>Planbase100[[#This Row],[03/11/25]]+(1-Planbase100[[#This Row],[03/11/25]])*'Plan 39'!CK44</f>
        <v>1</v>
      </c>
      <c r="EF75" s="127">
        <f>Planbase100[[#This Row],[10/11/25]]+(1-Planbase100[[#This Row],[10/11/25]])*'Plan 39'!CL44</f>
        <v>1</v>
      </c>
      <c r="EG75" s="127">
        <f>Planbase100[[#This Row],[17/11/25]]+(1-Planbase100[[#This Row],[17/11/25]])*'Plan 39'!CM44</f>
        <v>1</v>
      </c>
      <c r="EH75" s="127">
        <f>Planbase100[[#This Row],[24/11/25]]+(1-Planbase100[[#This Row],[24/11/25]])*'Plan 39'!CN44</f>
        <v>1</v>
      </c>
      <c r="EI75" s="127">
        <f>Planbase100[[#This Row],[01/12/25]]+(1-Planbase100[[#This Row],[01/12/25]])*'Plan 39'!CO44</f>
        <v>1</v>
      </c>
    </row>
    <row r="76" spans="2:139" hidden="1" outlineLevel="3" x14ac:dyDescent="0.3">
      <c r="B76" s="29"/>
      <c r="C76" s="30"/>
      <c r="D76" s="30"/>
      <c r="E76" s="52" t="s">
        <v>81</v>
      </c>
      <c r="F76" s="33">
        <v>15</v>
      </c>
      <c r="G76" s="35">
        <v>0.25</v>
      </c>
      <c r="H76" s="53"/>
      <c r="I76" s="126">
        <v>0</v>
      </c>
      <c r="J76" s="127">
        <v>0</v>
      </c>
      <c r="K76" s="127">
        <v>0</v>
      </c>
      <c r="L76" s="127">
        <v>0</v>
      </c>
      <c r="M76" s="128">
        <v>0</v>
      </c>
      <c r="N76" s="128">
        <v>0</v>
      </c>
      <c r="O76" s="127">
        <v>0</v>
      </c>
      <c r="P76" s="127">
        <v>0</v>
      </c>
      <c r="Q76" s="127">
        <v>0</v>
      </c>
      <c r="R76" s="127">
        <v>0</v>
      </c>
      <c r="S76" s="127">
        <v>0</v>
      </c>
      <c r="T76" s="127">
        <v>0</v>
      </c>
      <c r="U76" s="127">
        <v>0</v>
      </c>
      <c r="V76" s="127">
        <v>0</v>
      </c>
      <c r="W76" s="127">
        <v>0</v>
      </c>
      <c r="X76" s="127">
        <v>0</v>
      </c>
      <c r="Y76" s="127">
        <v>0</v>
      </c>
      <c r="Z76" s="127">
        <v>0</v>
      </c>
      <c r="AA76" s="127">
        <v>0</v>
      </c>
      <c r="AB76" s="127">
        <v>0</v>
      </c>
      <c r="AC76" s="127">
        <v>0</v>
      </c>
      <c r="AD76" s="127">
        <v>0</v>
      </c>
      <c r="AE76" s="127">
        <v>0</v>
      </c>
      <c r="AF76" s="127">
        <v>0</v>
      </c>
      <c r="AG76" s="127">
        <v>0</v>
      </c>
      <c r="AH76" s="127">
        <v>0</v>
      </c>
      <c r="AI76" s="127">
        <v>0</v>
      </c>
      <c r="AJ76" s="127">
        <v>0</v>
      </c>
      <c r="AK76" s="127">
        <v>0</v>
      </c>
      <c r="AL76" s="127">
        <v>0</v>
      </c>
      <c r="AM76" s="127">
        <v>0</v>
      </c>
      <c r="AN76" s="127">
        <v>0</v>
      </c>
      <c r="AO76" s="127">
        <v>0</v>
      </c>
      <c r="AP76" s="127">
        <v>0</v>
      </c>
      <c r="AQ76" s="127">
        <v>0</v>
      </c>
      <c r="AR76" s="127">
        <v>0</v>
      </c>
      <c r="AS76" s="127">
        <v>0</v>
      </c>
      <c r="AT76" s="127">
        <v>0</v>
      </c>
      <c r="AU76" s="127">
        <v>0</v>
      </c>
      <c r="AV76" s="127">
        <v>0</v>
      </c>
      <c r="AW76" s="127">
        <v>0</v>
      </c>
      <c r="AX76" s="127">
        <v>0</v>
      </c>
      <c r="AY76" s="127">
        <v>0</v>
      </c>
      <c r="AZ76" s="127">
        <v>0</v>
      </c>
      <c r="BA76" s="127">
        <v>0</v>
      </c>
      <c r="BB76" s="127">
        <f>Planbase100[[#This Row],[05/05/25]]+(1-Planbase100[[#This Row],[05/05/25]])*'Plan 39'!H44</f>
        <v>0</v>
      </c>
      <c r="BC76" s="127">
        <f>Planbase100[[#This Row],[05/05/25]]+(1-Planbase100[[#This Row],[05/05/25]])*'Plan 39'!I44</f>
        <v>0</v>
      </c>
      <c r="BD76" s="127">
        <f>Planbase100[[#This Row],[05/05/25]]+(1-Planbase100[[#This Row],[05/05/25]])*'Plan 39'!J44</f>
        <v>0</v>
      </c>
      <c r="BE76" s="127">
        <f>Planbase100[[#This Row],[05/05/25]]+(1-Planbase100[[#This Row],[05/05/25]])*'Plan 39'!K44</f>
        <v>0</v>
      </c>
      <c r="BF76" s="127">
        <f>Planbase100[[#This Row],[05/05/25]]+(1-Planbase100[[#This Row],[05/05/25]])*'Plan 39'!L44</f>
        <v>0</v>
      </c>
      <c r="BG76" s="127">
        <f>Planbase100[[#This Row],[05/05/25]]+(1-Planbase100[[#This Row],[05/05/25]])*'Plan 39'!M44</f>
        <v>0</v>
      </c>
      <c r="BH76" s="127">
        <f>Planbase100[[#This Row],[05/05/25]]+(1-Planbase100[[#This Row],[05/05/25]])*'Plan 39'!N44</f>
        <v>0</v>
      </c>
      <c r="BI76" s="127">
        <f>Planbase100[[#This Row],[05/05/25]]+(1-Planbase100[[#This Row],[05/05/25]])*'Plan 39'!O44</f>
        <v>0</v>
      </c>
      <c r="BJ76" s="127">
        <f>Planbase100[[#This Row],[05/05/25]]+(1-Planbase100[[#This Row],[05/05/25]])*'Plan 39'!P44</f>
        <v>0</v>
      </c>
      <c r="BK76" s="127">
        <f>Planbase100[[#This Row],[05/05/25]]+(1-Planbase100[[#This Row],[05/05/25]])*'Plan 39'!Q44</f>
        <v>0</v>
      </c>
      <c r="BL76" s="127">
        <f>Planbase100[[#This Row],[05/05/25]]+(1-Planbase100[[#This Row],[05/05/25]])*'Plan 39'!R44</f>
        <v>0</v>
      </c>
      <c r="BM76" s="127">
        <f>Planbase100[[#This Row],[05/05/25]]+(1-Planbase100[[#This Row],[05/05/25]])*'Plan 39'!S44</f>
        <v>0</v>
      </c>
      <c r="BN76" s="127">
        <f>Planbase100[[#This Row],[05/05/25]]+(1-Planbase100[[#This Row],[05/05/25]])*'Plan 39'!T44</f>
        <v>0</v>
      </c>
      <c r="BO76" s="127">
        <f>Planbase100[[#This Row],[05/05/25]]+(1-Planbase100[[#This Row],[05/05/25]])*'Plan 39'!U44</f>
        <v>0</v>
      </c>
      <c r="BP76" s="127">
        <f>Planbase100[[#This Row],[05/05/25]]+(1-Planbase100[[#This Row],[05/05/25]])*'Plan 39'!V44</f>
        <v>0</v>
      </c>
      <c r="BQ76" s="127">
        <f>Planbase100[[#This Row],[05/05/25]]+(1-Planbase100[[#This Row],[05/05/25]])*'Plan 39'!W44</f>
        <v>0</v>
      </c>
      <c r="BR76" s="127">
        <f>Planbase100[[#This Row],[05/05/25]]+(1-Planbase100[[#This Row],[05/05/25]])*'Plan 39'!X44</f>
        <v>0</v>
      </c>
      <c r="BS76" s="127">
        <f>Planbase100[[#This Row],[05/05/25]]+(1-Planbase100[[#This Row],[05/05/25]])*'Plan 39'!Y44</f>
        <v>0</v>
      </c>
      <c r="BT76" s="127">
        <f>Planbase100[[#This Row],[05/05/25]]+(1-Planbase100[[#This Row],[05/05/25]])*'Plan 39'!Z44</f>
        <v>0</v>
      </c>
      <c r="BU76" s="127">
        <f>Planbase100[[#This Row],[05/05/25]]+(1-Planbase100[[#This Row],[05/05/25]])*'Plan 39'!AA44</f>
        <v>0</v>
      </c>
      <c r="BV76" s="127">
        <f>Planbase100[[#This Row],[05/05/25]]+(1-Planbase100[[#This Row],[05/05/25]])*'Plan 39'!AB44</f>
        <v>0</v>
      </c>
      <c r="BW76" s="127">
        <f>Planbase100[[#This Row],[05/05/25]]+(1-Planbase100[[#This Row],[05/05/25]])*'Plan 39'!AC44</f>
        <v>0</v>
      </c>
      <c r="BX76" s="127">
        <f>Planbase100[[#This Row],[05/05/25]]+(1-Planbase100[[#This Row],[05/05/25]])*'Plan 39'!AD44</f>
        <v>0</v>
      </c>
      <c r="BY76" s="127">
        <f>Planbase100[[#This Row],[05/05/25]]+(1-Planbase100[[#This Row],[05/05/25]])*'Plan 39'!AE44</f>
        <v>0</v>
      </c>
      <c r="BZ76" s="127">
        <f>Planbase100[[#This Row],[05/05/25]]+(1-Planbase100[[#This Row],[05/05/25]])*'Plan 39'!AF44</f>
        <v>0</v>
      </c>
      <c r="CA76" s="127">
        <f>Planbase100[[#This Row],[05/05/25]]+(1-Planbase100[[#This Row],[05/05/25]])*'Plan 39'!AG44</f>
        <v>0</v>
      </c>
      <c r="CB76" s="127">
        <f>Planbase100[[#This Row],[05/05/25]]+(1-Planbase100[[#This Row],[05/05/25]])*'Plan 39'!AH44</f>
        <v>0</v>
      </c>
      <c r="CC76" s="127">
        <f>Planbase100[[#This Row],[05/05/25]]+(1-Planbase100[[#This Row],[05/05/25]])*'Plan 39'!AI44</f>
        <v>0</v>
      </c>
      <c r="CD76" s="127">
        <f>Planbase100[[#This Row],[05/05/25]]+(1-Planbase100[[#This Row],[05/05/25]])*'Plan 39'!AJ44</f>
        <v>0</v>
      </c>
      <c r="CE76" s="127">
        <f>Planbase100[[#This Row],[05/05/25]]+(1-Planbase100[[#This Row],[05/05/25]])*'Plan 39'!AK44</f>
        <v>0</v>
      </c>
      <c r="CF76" s="127">
        <f>Planbase100[[#This Row],[05/05/25]]+(1-Planbase100[[#This Row],[05/05/25]])*'Plan 39'!AL44</f>
        <v>1</v>
      </c>
      <c r="CG76" s="127">
        <f>Planbase100[[#This Row],[05/05/25]]+(1-Planbase100[[#This Row],[05/05/25]])*'Plan 39'!AM44</f>
        <v>1</v>
      </c>
      <c r="CH76" s="127">
        <f>Planbase100[[#This Row],[05/05/25]]+(1-Planbase100[[#This Row],[05/05/25]])*'Plan 39'!AN44</f>
        <v>1</v>
      </c>
      <c r="CI76" s="127">
        <f>Planbase100[[#This Row],[05/05/25]]+(1-Planbase100[[#This Row],[05/05/25]])*'Plan 39'!AO44</f>
        <v>1</v>
      </c>
      <c r="CJ76" s="127">
        <f>Planbase100[[#This Row],[05/05/25]]+(1-Planbase100[[#This Row],[05/05/25]])*'Plan 39'!AP44</f>
        <v>1</v>
      </c>
      <c r="CK76" s="127">
        <f>Planbase100[[#This Row],[05/05/25]]+(1-Planbase100[[#This Row],[05/05/25]])*'Plan 39'!AQ44</f>
        <v>1</v>
      </c>
      <c r="CL76" s="127">
        <f>Planbase100[[#This Row],[05/05/25]]+(1-Planbase100[[#This Row],[05/05/25]])*'Plan 39'!AR44</f>
        <v>1</v>
      </c>
      <c r="CM76" s="127">
        <f>Planbase100[[#This Row],[05/05/25]]+(1-Planbase100[[#This Row],[05/05/25]])*'Plan 39'!AS44</f>
        <v>1</v>
      </c>
      <c r="CN76" s="127">
        <f>Planbase100[[#This Row],[05/05/25]]+(1-Planbase100[[#This Row],[05/05/25]])*'Plan 39'!AT44</f>
        <v>1</v>
      </c>
      <c r="CO76" s="127">
        <f>Planbase100[[#This Row],[05/05/25]]+(1-Planbase100[[#This Row],[05/05/25]])*'Plan 39'!AU44</f>
        <v>1</v>
      </c>
      <c r="CP76" s="127">
        <f>Planbase100[[#This Row],[05/05/25]]+(1-Planbase100[[#This Row],[05/05/25]])*'Plan 39'!AV44</f>
        <v>1</v>
      </c>
      <c r="CQ76" s="127">
        <f>Planbase100[[#This Row],[05/05/25]]+(1-Planbase100[[#This Row],[05/05/25]])*'Plan 39'!AW44</f>
        <v>1</v>
      </c>
      <c r="CR76" s="127">
        <f>Planbase100[[#This Row],[05/05/25]]+(1-Planbase100[[#This Row],[05/05/25]])*'Plan 39'!AX44</f>
        <v>1</v>
      </c>
      <c r="CS76" s="127">
        <f>Planbase100[[#This Row],[05/05/25]]+(1-Planbase100[[#This Row],[05/05/25]])*'Plan 39'!AY44</f>
        <v>1</v>
      </c>
      <c r="CT76" s="127">
        <f>Planbase100[[#This Row],[05/05/25]]+(1-Planbase100[[#This Row],[05/05/25]])*'Plan 39'!AZ44</f>
        <v>1</v>
      </c>
      <c r="CU76" s="127">
        <f>Planbase100[[#This Row],[05/05/25]]+(1-Planbase100[[#This Row],[05/05/25]])*'Plan 39'!BA44</f>
        <v>1</v>
      </c>
      <c r="CV76" s="127">
        <f>Planbase100[[#This Row],[05/05/25]]+(1-Planbase100[[#This Row],[05/05/25]])*'Plan 39'!BB44</f>
        <v>1</v>
      </c>
      <c r="CW76" s="127">
        <f>Planbase100[[#This Row],[05/05/25]]+(1-Planbase100[[#This Row],[05/05/25]])*'Plan 39'!BC44</f>
        <v>1</v>
      </c>
      <c r="CX76" s="127">
        <f>Planbase100[[#This Row],[05/05/25]]+(1-Planbase100[[#This Row],[05/05/25]])*'Plan 39'!BD44</f>
        <v>1</v>
      </c>
      <c r="CY76" s="127">
        <f>Planbase100[[#This Row],[05/05/25]]+(1-Planbase100[[#This Row],[05/05/25]])*'Plan 39'!BE44</f>
        <v>1</v>
      </c>
      <c r="CZ76" s="127">
        <f>Planbase100[[#This Row],[05/05/25]]+(1-Planbase100[[#This Row],[05/05/25]])*'Plan 39'!BF44</f>
        <v>1</v>
      </c>
      <c r="DA76" s="127">
        <f>Planbase100[[#This Row],[05/05/25]]+(1-Planbase100[[#This Row],[05/05/25]])*'Plan 39'!BG44</f>
        <v>1</v>
      </c>
      <c r="DB76" s="127">
        <f>Planbase100[[#This Row],[05/05/25]]+(1-Planbase100[[#This Row],[05/05/25]])*'Plan 39'!BH44</f>
        <v>1</v>
      </c>
      <c r="DC76" s="127">
        <f>Planbase100[[#This Row],[05/05/25]]+(1-Planbase100[[#This Row],[05/05/25]])*'Plan 39'!BI44</f>
        <v>1</v>
      </c>
      <c r="DD76" s="127">
        <f>Planbase100[[#This Row],[05/05/25]]+(1-Planbase100[[#This Row],[05/05/25]])*'Plan 39'!BJ44</f>
        <v>1</v>
      </c>
      <c r="DE76" s="127">
        <f>Planbase100[[#This Row],[05/05/25]]+(1-Planbase100[[#This Row],[05/05/25]])*'Plan 39'!BK44</f>
        <v>1</v>
      </c>
      <c r="DF76" s="127">
        <f>Planbase100[[#This Row],[12/05/25]]+(1-Planbase100[[#This Row],[12/05/25]])*'Plan 39'!BL44</f>
        <v>1</v>
      </c>
      <c r="DG76" s="127">
        <f>Planbase100[[#This Row],[19/05/25]]+(1-Planbase100[[#This Row],[19/05/25]])*'Plan 39'!BM44</f>
        <v>1</v>
      </c>
      <c r="DH76" s="127">
        <f>Planbase100[[#This Row],[26/05/25]]+(1-Planbase100[[#This Row],[26/05/25]])*'Plan 39'!BN44</f>
        <v>1</v>
      </c>
      <c r="DI76" s="127">
        <f>Planbase100[[#This Row],[02/06/25]]+(1-Planbase100[[#This Row],[02/06/25]])*'Plan 39'!BO44</f>
        <v>1</v>
      </c>
      <c r="DJ76" s="127">
        <f>Planbase100[[#This Row],[09/06/25]]+(1-Planbase100[[#This Row],[09/06/25]])*'Plan 39'!BP44</f>
        <v>1</v>
      </c>
      <c r="DK76" s="127">
        <f>Planbase100[[#This Row],[16/06/25]]+(1-Planbase100[[#This Row],[16/06/25]])*'Plan 39'!BQ44</f>
        <v>1</v>
      </c>
      <c r="DL76" s="127">
        <f>Planbase100[[#This Row],[23/06/25]]+(1-Planbase100[[#This Row],[23/06/25]])*'Plan 39'!BR44</f>
        <v>1</v>
      </c>
      <c r="DM76" s="127">
        <f>Planbase100[[#This Row],[30/06/25]]+(1-Planbase100[[#This Row],[30/06/25]])*'Plan 39'!BS44</f>
        <v>1</v>
      </c>
      <c r="DN76" s="127">
        <f>Planbase100[[#This Row],[07/07/25]]+(1-Planbase100[[#This Row],[07/07/25]])*'Plan 39'!BT44</f>
        <v>1</v>
      </c>
      <c r="DO76" s="127">
        <f>Planbase100[[#This Row],[14/07/25]]+(1-Planbase100[[#This Row],[14/07/25]])*'Plan 39'!BU44</f>
        <v>1</v>
      </c>
      <c r="DP76" s="127">
        <f>Planbase100[[#This Row],[21/07/25]]+(1-Planbase100[[#This Row],[21/07/25]])*'Plan 39'!BV44</f>
        <v>1</v>
      </c>
      <c r="DQ76" s="127">
        <f>Planbase100[[#This Row],[28/07/25]]+(1-Planbase100[[#This Row],[28/07/25]])*'Plan 39'!BW44</f>
        <v>1</v>
      </c>
      <c r="DR76" s="127">
        <f>Planbase100[[#This Row],[04/08/25]]+(1-Planbase100[[#This Row],[04/08/25]])*'Plan 39'!BX44</f>
        <v>1</v>
      </c>
      <c r="DS76" s="127">
        <f>Planbase100[[#This Row],[11/08/25]]+(1-Planbase100[[#This Row],[11/08/25]])*'Plan 39'!BY44</f>
        <v>1</v>
      </c>
      <c r="DT76" s="127">
        <f>Planbase100[[#This Row],[18/08/25]]+(1-Planbase100[[#This Row],[18/08/25]])*'Plan 39'!BZ44</f>
        <v>1</v>
      </c>
      <c r="DU76" s="127">
        <f>Planbase100[[#This Row],[25/08/25]]+(1-Planbase100[[#This Row],[25/08/25]])*'Plan 39'!CA44</f>
        <v>1</v>
      </c>
      <c r="DV76" s="127">
        <f>Planbase100[[#This Row],[01/09/25]]+(1-Planbase100[[#This Row],[01/09/25]])*'Plan 39'!CB44</f>
        <v>1</v>
      </c>
      <c r="DW76" s="127">
        <f>Planbase100[[#This Row],[08/09/25]]+(1-Planbase100[[#This Row],[08/09/25]])*'Plan 39'!CC44</f>
        <v>1</v>
      </c>
      <c r="DX76" s="127">
        <f>Planbase100[[#This Row],[15/09/25]]+(1-Planbase100[[#This Row],[15/09/25]])*'Plan 39'!CD44</f>
        <v>1</v>
      </c>
      <c r="DY76" s="127">
        <f>Planbase100[[#This Row],[22/09/25]]+(1-Planbase100[[#This Row],[22/09/25]])*'Plan 39'!CE44</f>
        <v>1</v>
      </c>
      <c r="DZ76" s="127">
        <f>Planbase100[[#This Row],[29/09/25]]+(1-Planbase100[[#This Row],[29/09/25]])*'Plan 39'!CF44</f>
        <v>1</v>
      </c>
      <c r="EA76" s="127">
        <f>Planbase100[[#This Row],[06/10/25]]+(1-Planbase100[[#This Row],[06/10/25]])*'Plan 39'!CG44</f>
        <v>1</v>
      </c>
      <c r="EB76" s="127">
        <f>Planbase100[[#This Row],[13/10/25]]+(1-Planbase100[[#This Row],[13/10/25]])*'Plan 39'!CH44</f>
        <v>1</v>
      </c>
      <c r="EC76" s="127">
        <f>Planbase100[[#This Row],[20/10/25]]+(1-Planbase100[[#This Row],[20/10/25]])*'Plan 39'!CI44</f>
        <v>1</v>
      </c>
      <c r="ED76" s="127">
        <f>Planbase100[[#This Row],[27/10/25]]+(1-Planbase100[[#This Row],[27/10/25]])*'Plan 39'!CJ44</f>
        <v>1</v>
      </c>
      <c r="EE76" s="127">
        <f>Planbase100[[#This Row],[03/11/25]]+(1-Planbase100[[#This Row],[03/11/25]])*'Plan 39'!CK44</f>
        <v>1</v>
      </c>
      <c r="EF76" s="127">
        <f>Planbase100[[#This Row],[10/11/25]]+(1-Planbase100[[#This Row],[10/11/25]])*'Plan 39'!CL44</f>
        <v>1</v>
      </c>
      <c r="EG76" s="127">
        <f>Planbase100[[#This Row],[17/11/25]]+(1-Planbase100[[#This Row],[17/11/25]])*'Plan 39'!CM44</f>
        <v>1</v>
      </c>
      <c r="EH76" s="127">
        <f>Planbase100[[#This Row],[24/11/25]]+(1-Planbase100[[#This Row],[24/11/25]])*'Plan 39'!CN44</f>
        <v>1</v>
      </c>
      <c r="EI76" s="127">
        <f>Planbase100[[#This Row],[01/12/25]]+(1-Planbase100[[#This Row],[01/12/25]])*'Plan 39'!CO44</f>
        <v>1</v>
      </c>
    </row>
    <row r="77" spans="2:139" hidden="1" outlineLevel="3" x14ac:dyDescent="0.3">
      <c r="B77" s="29"/>
      <c r="C77" s="30"/>
      <c r="D77" s="30"/>
      <c r="E77" s="52" t="s">
        <v>82</v>
      </c>
      <c r="F77" s="33">
        <v>0</v>
      </c>
      <c r="G77" s="35">
        <v>1E-119</v>
      </c>
      <c r="H77" s="53"/>
      <c r="I77" s="126">
        <v>0</v>
      </c>
      <c r="J77" s="127">
        <v>0</v>
      </c>
      <c r="K77" s="127">
        <v>0</v>
      </c>
      <c r="L77" s="127">
        <v>0</v>
      </c>
      <c r="M77" s="128">
        <v>0</v>
      </c>
      <c r="N77" s="128">
        <v>0</v>
      </c>
      <c r="O77" s="127">
        <v>0</v>
      </c>
      <c r="P77" s="127">
        <v>0</v>
      </c>
      <c r="Q77" s="127">
        <v>0</v>
      </c>
      <c r="R77" s="127">
        <v>0</v>
      </c>
      <c r="S77" s="127">
        <v>0</v>
      </c>
      <c r="T77" s="127">
        <v>0</v>
      </c>
      <c r="U77" s="127">
        <v>0</v>
      </c>
      <c r="V77" s="127">
        <v>0</v>
      </c>
      <c r="W77" s="127">
        <v>0</v>
      </c>
      <c r="X77" s="127">
        <v>0</v>
      </c>
      <c r="Y77" s="127">
        <v>0</v>
      </c>
      <c r="Z77" s="127">
        <v>0</v>
      </c>
      <c r="AA77" s="127">
        <v>0</v>
      </c>
      <c r="AB77" s="127">
        <v>0</v>
      </c>
      <c r="AC77" s="127">
        <v>0</v>
      </c>
      <c r="AD77" s="127">
        <v>0</v>
      </c>
      <c r="AE77" s="127">
        <v>0</v>
      </c>
      <c r="AF77" s="127">
        <v>0</v>
      </c>
      <c r="AG77" s="127">
        <v>0</v>
      </c>
      <c r="AH77" s="127">
        <v>0</v>
      </c>
      <c r="AI77" s="127">
        <v>0</v>
      </c>
      <c r="AJ77" s="127">
        <v>0</v>
      </c>
      <c r="AK77" s="127">
        <v>0</v>
      </c>
      <c r="AL77" s="127">
        <v>0</v>
      </c>
      <c r="AM77" s="127">
        <v>0</v>
      </c>
      <c r="AN77" s="127">
        <v>0</v>
      </c>
      <c r="AO77" s="127">
        <v>0</v>
      </c>
      <c r="AP77" s="127">
        <v>0</v>
      </c>
      <c r="AQ77" s="127">
        <v>0</v>
      </c>
      <c r="AR77" s="127">
        <v>0</v>
      </c>
      <c r="AS77" s="127">
        <v>0</v>
      </c>
      <c r="AT77" s="127">
        <v>0</v>
      </c>
      <c r="AU77" s="127">
        <v>0</v>
      </c>
      <c r="AV77" s="127">
        <v>0</v>
      </c>
      <c r="AW77" s="127">
        <v>0</v>
      </c>
      <c r="AX77" s="127">
        <v>0</v>
      </c>
      <c r="AY77" s="127">
        <v>0</v>
      </c>
      <c r="AZ77" s="127">
        <v>0</v>
      </c>
      <c r="BA77" s="127">
        <v>0</v>
      </c>
      <c r="BB77" s="127">
        <f>Planbase100[[#This Row],[05/05/25]]+(1-Planbase100[[#This Row],[05/05/25]])*'Plan 39'!H44</f>
        <v>0</v>
      </c>
      <c r="BC77" s="127">
        <f>Planbase100[[#This Row],[05/05/25]]+(1-Planbase100[[#This Row],[05/05/25]])*'Plan 39'!I44</f>
        <v>0</v>
      </c>
      <c r="BD77" s="127">
        <f>Planbase100[[#This Row],[05/05/25]]+(1-Planbase100[[#This Row],[05/05/25]])*'Plan 39'!J44</f>
        <v>0</v>
      </c>
      <c r="BE77" s="127">
        <f>Planbase100[[#This Row],[05/05/25]]+(1-Planbase100[[#This Row],[05/05/25]])*'Plan 39'!K44</f>
        <v>0</v>
      </c>
      <c r="BF77" s="127">
        <f>Planbase100[[#This Row],[05/05/25]]+(1-Planbase100[[#This Row],[05/05/25]])*'Plan 39'!L44</f>
        <v>0</v>
      </c>
      <c r="BG77" s="127">
        <f>Planbase100[[#This Row],[05/05/25]]+(1-Planbase100[[#This Row],[05/05/25]])*'Plan 39'!M44</f>
        <v>0</v>
      </c>
      <c r="BH77" s="127">
        <f>Planbase100[[#This Row],[05/05/25]]+(1-Planbase100[[#This Row],[05/05/25]])*'Plan 39'!N44</f>
        <v>0</v>
      </c>
      <c r="BI77" s="127">
        <f>Planbase100[[#This Row],[05/05/25]]+(1-Planbase100[[#This Row],[05/05/25]])*'Plan 39'!O44</f>
        <v>0</v>
      </c>
      <c r="BJ77" s="127">
        <f>Planbase100[[#This Row],[05/05/25]]+(1-Planbase100[[#This Row],[05/05/25]])*'Plan 39'!P44</f>
        <v>0</v>
      </c>
      <c r="BK77" s="127">
        <f>Planbase100[[#This Row],[05/05/25]]+(1-Planbase100[[#This Row],[05/05/25]])*'Plan 39'!Q44</f>
        <v>0</v>
      </c>
      <c r="BL77" s="127">
        <f>Planbase100[[#This Row],[05/05/25]]+(1-Planbase100[[#This Row],[05/05/25]])*'Plan 39'!R44</f>
        <v>0</v>
      </c>
      <c r="BM77" s="127">
        <f>Planbase100[[#This Row],[05/05/25]]+(1-Planbase100[[#This Row],[05/05/25]])*'Plan 39'!S44</f>
        <v>0</v>
      </c>
      <c r="BN77" s="127">
        <f>Planbase100[[#This Row],[05/05/25]]+(1-Planbase100[[#This Row],[05/05/25]])*'Plan 39'!T44</f>
        <v>0</v>
      </c>
      <c r="BO77" s="127">
        <f>Planbase100[[#This Row],[05/05/25]]+(1-Planbase100[[#This Row],[05/05/25]])*'Plan 39'!U44</f>
        <v>0</v>
      </c>
      <c r="BP77" s="127">
        <f>Planbase100[[#This Row],[05/05/25]]+(1-Planbase100[[#This Row],[05/05/25]])*'Plan 39'!V44</f>
        <v>0</v>
      </c>
      <c r="BQ77" s="127">
        <f>Planbase100[[#This Row],[05/05/25]]+(1-Planbase100[[#This Row],[05/05/25]])*'Plan 39'!W44</f>
        <v>0</v>
      </c>
      <c r="BR77" s="127">
        <f>Planbase100[[#This Row],[05/05/25]]+(1-Planbase100[[#This Row],[05/05/25]])*'Plan 39'!X44</f>
        <v>0</v>
      </c>
      <c r="BS77" s="127">
        <f>Planbase100[[#This Row],[05/05/25]]+(1-Planbase100[[#This Row],[05/05/25]])*'Plan 39'!Y44</f>
        <v>0</v>
      </c>
      <c r="BT77" s="127">
        <f>Planbase100[[#This Row],[05/05/25]]+(1-Planbase100[[#This Row],[05/05/25]])*'Plan 39'!Z44</f>
        <v>0</v>
      </c>
      <c r="BU77" s="127">
        <f>Planbase100[[#This Row],[05/05/25]]+(1-Planbase100[[#This Row],[05/05/25]])*'Plan 39'!AA44</f>
        <v>0</v>
      </c>
      <c r="BV77" s="127">
        <f>Planbase100[[#This Row],[05/05/25]]+(1-Planbase100[[#This Row],[05/05/25]])*'Plan 39'!AB44</f>
        <v>0</v>
      </c>
      <c r="BW77" s="127">
        <f>Planbase100[[#This Row],[05/05/25]]+(1-Planbase100[[#This Row],[05/05/25]])*'Plan 39'!AC44</f>
        <v>0</v>
      </c>
      <c r="BX77" s="127">
        <f>Planbase100[[#This Row],[05/05/25]]+(1-Planbase100[[#This Row],[05/05/25]])*'Plan 39'!AD44</f>
        <v>0</v>
      </c>
      <c r="BY77" s="127">
        <f>Planbase100[[#This Row],[05/05/25]]+(1-Planbase100[[#This Row],[05/05/25]])*'Plan 39'!AE44</f>
        <v>0</v>
      </c>
      <c r="BZ77" s="127">
        <f>Planbase100[[#This Row],[05/05/25]]+(1-Planbase100[[#This Row],[05/05/25]])*'Plan 39'!AF44</f>
        <v>0</v>
      </c>
      <c r="CA77" s="127">
        <f>Planbase100[[#This Row],[05/05/25]]+(1-Planbase100[[#This Row],[05/05/25]])*'Plan 39'!AG44</f>
        <v>0</v>
      </c>
      <c r="CB77" s="127">
        <f>Planbase100[[#This Row],[05/05/25]]+(1-Planbase100[[#This Row],[05/05/25]])*'Plan 39'!AH44</f>
        <v>0</v>
      </c>
      <c r="CC77" s="127">
        <f>Planbase100[[#This Row],[05/05/25]]+(1-Planbase100[[#This Row],[05/05/25]])*'Plan 39'!AI44</f>
        <v>0</v>
      </c>
      <c r="CD77" s="127">
        <f>Planbase100[[#This Row],[05/05/25]]+(1-Planbase100[[#This Row],[05/05/25]])*'Plan 39'!AJ44</f>
        <v>0</v>
      </c>
      <c r="CE77" s="127">
        <f>Planbase100[[#This Row],[05/05/25]]+(1-Planbase100[[#This Row],[05/05/25]])*'Plan 39'!AK44</f>
        <v>0</v>
      </c>
      <c r="CF77" s="127">
        <f>Planbase100[[#This Row],[05/05/25]]+(1-Planbase100[[#This Row],[05/05/25]])*'Plan 39'!AL44</f>
        <v>1</v>
      </c>
      <c r="CG77" s="127">
        <f>Planbase100[[#This Row],[05/05/25]]+(1-Planbase100[[#This Row],[05/05/25]])*'Plan 39'!AM44</f>
        <v>1</v>
      </c>
      <c r="CH77" s="127">
        <f>Planbase100[[#This Row],[05/05/25]]+(1-Planbase100[[#This Row],[05/05/25]])*'Plan 39'!AN44</f>
        <v>1</v>
      </c>
      <c r="CI77" s="127">
        <f>Planbase100[[#This Row],[05/05/25]]+(1-Planbase100[[#This Row],[05/05/25]])*'Plan 39'!AO44</f>
        <v>1</v>
      </c>
      <c r="CJ77" s="127">
        <f>Planbase100[[#This Row],[05/05/25]]+(1-Planbase100[[#This Row],[05/05/25]])*'Plan 39'!AP44</f>
        <v>1</v>
      </c>
      <c r="CK77" s="127">
        <f>Planbase100[[#This Row],[05/05/25]]+(1-Planbase100[[#This Row],[05/05/25]])*'Plan 39'!AQ44</f>
        <v>1</v>
      </c>
      <c r="CL77" s="127">
        <f>Planbase100[[#This Row],[05/05/25]]+(1-Planbase100[[#This Row],[05/05/25]])*'Plan 39'!AR44</f>
        <v>1</v>
      </c>
      <c r="CM77" s="127">
        <f>Planbase100[[#This Row],[05/05/25]]+(1-Planbase100[[#This Row],[05/05/25]])*'Plan 39'!AS44</f>
        <v>1</v>
      </c>
      <c r="CN77" s="127">
        <f>Planbase100[[#This Row],[05/05/25]]+(1-Planbase100[[#This Row],[05/05/25]])*'Plan 39'!AT44</f>
        <v>1</v>
      </c>
      <c r="CO77" s="127">
        <f>Planbase100[[#This Row],[05/05/25]]+(1-Planbase100[[#This Row],[05/05/25]])*'Plan 39'!AU44</f>
        <v>1</v>
      </c>
      <c r="CP77" s="127">
        <f>Planbase100[[#This Row],[05/05/25]]+(1-Planbase100[[#This Row],[05/05/25]])*'Plan 39'!AV44</f>
        <v>1</v>
      </c>
      <c r="CQ77" s="127">
        <f>Planbase100[[#This Row],[05/05/25]]+(1-Planbase100[[#This Row],[05/05/25]])*'Plan 39'!AW44</f>
        <v>1</v>
      </c>
      <c r="CR77" s="127">
        <f>Planbase100[[#This Row],[05/05/25]]+(1-Planbase100[[#This Row],[05/05/25]])*'Plan 39'!AX44</f>
        <v>1</v>
      </c>
      <c r="CS77" s="127">
        <f>Planbase100[[#This Row],[05/05/25]]+(1-Planbase100[[#This Row],[05/05/25]])*'Plan 39'!AY44</f>
        <v>1</v>
      </c>
      <c r="CT77" s="127">
        <f>Planbase100[[#This Row],[05/05/25]]+(1-Planbase100[[#This Row],[05/05/25]])*'Plan 39'!AZ44</f>
        <v>1</v>
      </c>
      <c r="CU77" s="127">
        <f>Planbase100[[#This Row],[05/05/25]]+(1-Planbase100[[#This Row],[05/05/25]])*'Plan 39'!BA44</f>
        <v>1</v>
      </c>
      <c r="CV77" s="127">
        <f>Planbase100[[#This Row],[05/05/25]]+(1-Planbase100[[#This Row],[05/05/25]])*'Plan 39'!BB44</f>
        <v>1</v>
      </c>
      <c r="CW77" s="127">
        <f>Planbase100[[#This Row],[05/05/25]]+(1-Planbase100[[#This Row],[05/05/25]])*'Plan 39'!BC44</f>
        <v>1</v>
      </c>
      <c r="CX77" s="127">
        <f>Planbase100[[#This Row],[05/05/25]]+(1-Planbase100[[#This Row],[05/05/25]])*'Plan 39'!BD44</f>
        <v>1</v>
      </c>
      <c r="CY77" s="127">
        <f>Planbase100[[#This Row],[05/05/25]]+(1-Planbase100[[#This Row],[05/05/25]])*'Plan 39'!BE44</f>
        <v>1</v>
      </c>
      <c r="CZ77" s="127">
        <f>Planbase100[[#This Row],[05/05/25]]+(1-Planbase100[[#This Row],[05/05/25]])*'Plan 39'!BF44</f>
        <v>1</v>
      </c>
      <c r="DA77" s="127">
        <f>Planbase100[[#This Row],[05/05/25]]+(1-Planbase100[[#This Row],[05/05/25]])*'Plan 39'!BG44</f>
        <v>1</v>
      </c>
      <c r="DB77" s="127">
        <f>Planbase100[[#This Row],[05/05/25]]+(1-Planbase100[[#This Row],[05/05/25]])*'Plan 39'!BH44</f>
        <v>1</v>
      </c>
      <c r="DC77" s="127">
        <f>Planbase100[[#This Row],[05/05/25]]+(1-Planbase100[[#This Row],[05/05/25]])*'Plan 39'!BI44</f>
        <v>1</v>
      </c>
      <c r="DD77" s="127">
        <f>Planbase100[[#This Row],[05/05/25]]+(1-Planbase100[[#This Row],[05/05/25]])*'Plan 39'!BJ44</f>
        <v>1</v>
      </c>
      <c r="DE77" s="127">
        <f>Planbase100[[#This Row],[05/05/25]]+(1-Planbase100[[#This Row],[05/05/25]])*'Plan 39'!BK44</f>
        <v>1</v>
      </c>
      <c r="DF77" s="127">
        <f>Planbase100[[#This Row],[12/05/25]]+(1-Planbase100[[#This Row],[12/05/25]])*'Plan 39'!BL44</f>
        <v>1</v>
      </c>
      <c r="DG77" s="127">
        <f>Planbase100[[#This Row],[19/05/25]]+(1-Planbase100[[#This Row],[19/05/25]])*'Plan 39'!BM44</f>
        <v>1</v>
      </c>
      <c r="DH77" s="127">
        <f>Planbase100[[#This Row],[26/05/25]]+(1-Planbase100[[#This Row],[26/05/25]])*'Plan 39'!BN44</f>
        <v>1</v>
      </c>
      <c r="DI77" s="127">
        <f>Planbase100[[#This Row],[02/06/25]]+(1-Planbase100[[#This Row],[02/06/25]])*'Plan 39'!BO44</f>
        <v>1</v>
      </c>
      <c r="DJ77" s="127">
        <f>Planbase100[[#This Row],[09/06/25]]+(1-Planbase100[[#This Row],[09/06/25]])*'Plan 39'!BP44</f>
        <v>1</v>
      </c>
      <c r="DK77" s="127">
        <f>Planbase100[[#This Row],[16/06/25]]+(1-Planbase100[[#This Row],[16/06/25]])*'Plan 39'!BQ44</f>
        <v>1</v>
      </c>
      <c r="DL77" s="127">
        <f>Planbase100[[#This Row],[23/06/25]]+(1-Planbase100[[#This Row],[23/06/25]])*'Plan 39'!BR44</f>
        <v>1</v>
      </c>
      <c r="DM77" s="127">
        <f>Planbase100[[#This Row],[30/06/25]]+(1-Planbase100[[#This Row],[30/06/25]])*'Plan 39'!BS44</f>
        <v>1</v>
      </c>
      <c r="DN77" s="127">
        <f>Planbase100[[#This Row],[07/07/25]]+(1-Planbase100[[#This Row],[07/07/25]])*'Plan 39'!BT44</f>
        <v>1</v>
      </c>
      <c r="DO77" s="127">
        <f>Planbase100[[#This Row],[14/07/25]]+(1-Planbase100[[#This Row],[14/07/25]])*'Plan 39'!BU44</f>
        <v>1</v>
      </c>
      <c r="DP77" s="127">
        <f>Planbase100[[#This Row],[21/07/25]]+(1-Planbase100[[#This Row],[21/07/25]])*'Plan 39'!BV44</f>
        <v>1</v>
      </c>
      <c r="DQ77" s="127">
        <f>Planbase100[[#This Row],[28/07/25]]+(1-Planbase100[[#This Row],[28/07/25]])*'Plan 39'!BW44</f>
        <v>1</v>
      </c>
      <c r="DR77" s="127">
        <f>Planbase100[[#This Row],[04/08/25]]+(1-Planbase100[[#This Row],[04/08/25]])*'Plan 39'!BX44</f>
        <v>1</v>
      </c>
      <c r="DS77" s="127">
        <f>Planbase100[[#This Row],[11/08/25]]+(1-Planbase100[[#This Row],[11/08/25]])*'Plan 39'!BY44</f>
        <v>1</v>
      </c>
      <c r="DT77" s="127">
        <f>Planbase100[[#This Row],[18/08/25]]+(1-Planbase100[[#This Row],[18/08/25]])*'Plan 39'!BZ44</f>
        <v>1</v>
      </c>
      <c r="DU77" s="127">
        <f>Planbase100[[#This Row],[25/08/25]]+(1-Planbase100[[#This Row],[25/08/25]])*'Plan 39'!CA44</f>
        <v>1</v>
      </c>
      <c r="DV77" s="127">
        <f>Planbase100[[#This Row],[01/09/25]]+(1-Planbase100[[#This Row],[01/09/25]])*'Plan 39'!CB44</f>
        <v>1</v>
      </c>
      <c r="DW77" s="127">
        <f>Planbase100[[#This Row],[08/09/25]]+(1-Planbase100[[#This Row],[08/09/25]])*'Plan 39'!CC44</f>
        <v>1</v>
      </c>
      <c r="DX77" s="127">
        <f>Planbase100[[#This Row],[15/09/25]]+(1-Planbase100[[#This Row],[15/09/25]])*'Plan 39'!CD44</f>
        <v>1</v>
      </c>
      <c r="DY77" s="127">
        <f>Planbase100[[#This Row],[22/09/25]]+(1-Planbase100[[#This Row],[22/09/25]])*'Plan 39'!CE44</f>
        <v>1</v>
      </c>
      <c r="DZ77" s="127">
        <f>Planbase100[[#This Row],[29/09/25]]+(1-Planbase100[[#This Row],[29/09/25]])*'Plan 39'!CF44</f>
        <v>1</v>
      </c>
      <c r="EA77" s="127">
        <f>Planbase100[[#This Row],[06/10/25]]+(1-Planbase100[[#This Row],[06/10/25]])*'Plan 39'!CG44</f>
        <v>1</v>
      </c>
      <c r="EB77" s="127">
        <f>Planbase100[[#This Row],[13/10/25]]+(1-Planbase100[[#This Row],[13/10/25]])*'Plan 39'!CH44</f>
        <v>1</v>
      </c>
      <c r="EC77" s="127">
        <f>Planbase100[[#This Row],[20/10/25]]+(1-Planbase100[[#This Row],[20/10/25]])*'Plan 39'!CI44</f>
        <v>1</v>
      </c>
      <c r="ED77" s="127">
        <f>Planbase100[[#This Row],[27/10/25]]+(1-Planbase100[[#This Row],[27/10/25]])*'Plan 39'!CJ44</f>
        <v>1</v>
      </c>
      <c r="EE77" s="127">
        <f>Planbase100[[#This Row],[03/11/25]]+(1-Planbase100[[#This Row],[03/11/25]])*'Plan 39'!CK44</f>
        <v>1</v>
      </c>
      <c r="EF77" s="127">
        <f>Planbase100[[#This Row],[10/11/25]]+(1-Planbase100[[#This Row],[10/11/25]])*'Plan 39'!CL44</f>
        <v>1</v>
      </c>
      <c r="EG77" s="127">
        <f>Planbase100[[#This Row],[17/11/25]]+(1-Planbase100[[#This Row],[17/11/25]])*'Plan 39'!CM44</f>
        <v>1</v>
      </c>
      <c r="EH77" s="127">
        <f>Planbase100[[#This Row],[24/11/25]]+(1-Planbase100[[#This Row],[24/11/25]])*'Plan 39'!CN44</f>
        <v>1</v>
      </c>
      <c r="EI77" s="127">
        <f>Planbase100[[#This Row],[01/12/25]]+(1-Planbase100[[#This Row],[01/12/25]])*'Plan 39'!CO44</f>
        <v>1</v>
      </c>
    </row>
    <row r="78" spans="2:139" ht="16.8" hidden="1" outlineLevel="1" x14ac:dyDescent="0.3">
      <c r="B78" s="15"/>
      <c r="C78" s="16" t="s">
        <v>83</v>
      </c>
      <c r="D78" s="16"/>
      <c r="E78" s="48"/>
      <c r="F78" s="19">
        <f>+F79+F86+F88+F98+F103+F105+F108+F111+F114+F118+F122+F129+F133+F137</f>
        <v>788</v>
      </c>
      <c r="G78" s="21">
        <v>0.22717450583622398</v>
      </c>
      <c r="H78" s="49"/>
      <c r="I78" s="124">
        <f t="shared" ref="I78:BB78" si="240">+I79*$G$79+I86*$G$86+I88*$G$88+I98*$G$98+I103*$G$103+I105*$G$105+I108*$G$108+I111*$G$111+I114*$G$114+I118*$G$118+I122*$G$122+I129*$G$129+I133*$G$133+I137*$G$137</f>
        <v>3.8654704075202371E-4</v>
      </c>
      <c r="J78" s="21">
        <f t="shared" si="240"/>
        <v>1.1044201164343546E-3</v>
      </c>
      <c r="K78" s="21">
        <f t="shared" si="240"/>
        <v>2.2088402328687084E-3</v>
      </c>
      <c r="L78" s="21">
        <f t="shared" si="240"/>
        <v>3.3132603493030619E-3</v>
      </c>
      <c r="M78" s="63">
        <f t="shared" si="240"/>
        <v>4.4176804657374159E-3</v>
      </c>
      <c r="N78" s="63">
        <f t="shared" si="240"/>
        <v>5.5221005821717694E-3</v>
      </c>
      <c r="O78" s="21">
        <f t="shared" si="240"/>
        <v>6.6265206986061229E-3</v>
      </c>
      <c r="P78" s="21">
        <f t="shared" si="240"/>
        <v>7.7309408150404739E-3</v>
      </c>
      <c r="Q78" s="21">
        <f t="shared" si="240"/>
        <v>7.7309408150404739E-3</v>
      </c>
      <c r="R78" s="21">
        <f t="shared" si="240"/>
        <v>7.7309408150404739E-3</v>
      </c>
      <c r="S78" s="21">
        <f t="shared" si="240"/>
        <v>8.0260057501054093E-3</v>
      </c>
      <c r="T78" s="21">
        <f t="shared" si="240"/>
        <v>8.1815901656898237E-3</v>
      </c>
      <c r="U78" s="21">
        <f t="shared" si="240"/>
        <v>8.9309408150404744E-3</v>
      </c>
      <c r="V78" s="21">
        <f t="shared" si="240"/>
        <v>9.1724992565989146E-3</v>
      </c>
      <c r="W78" s="21">
        <f t="shared" si="240"/>
        <v>1.8928632012731671E-2</v>
      </c>
      <c r="X78" s="21">
        <f t="shared" si="240"/>
        <v>3.8400954149000667E-2</v>
      </c>
      <c r="Y78" s="21">
        <f t="shared" si="240"/>
        <v>4.4702668979919952E-2</v>
      </c>
      <c r="Z78" s="21">
        <f t="shared" si="240"/>
        <v>5.5313087732436629E-2</v>
      </c>
      <c r="AA78" s="21">
        <f t="shared" si="240"/>
        <v>6.8803102157292434E-2</v>
      </c>
      <c r="AB78" s="21">
        <f t="shared" si="240"/>
        <v>6.8952348118972759E-2</v>
      </c>
      <c r="AC78" s="21">
        <f t="shared" si="240"/>
        <v>9.5041160318944828E-2</v>
      </c>
      <c r="AD78" s="21">
        <f t="shared" si="240"/>
        <v>0.11245788117977362</v>
      </c>
      <c r="AE78" s="21">
        <f t="shared" si="240"/>
        <v>0.12214423775431114</v>
      </c>
      <c r="AF78" s="21">
        <f t="shared" si="240"/>
        <v>0.13185370072593064</v>
      </c>
      <c r="AG78" s="21">
        <f t="shared" si="240"/>
        <v>0.13937179730138774</v>
      </c>
      <c r="AH78" s="21">
        <f t="shared" si="240"/>
        <v>0.15658811120818394</v>
      </c>
      <c r="AI78" s="21">
        <f>+AI79*$G$79+AI86*$G$86+AI88*$G$88+AI98*$G$98+AI103*$G$103+AI105*$G$105+AI108*$G$108+AI111*$G$111+AI114*$G$114+AI118*$G$118+AI122*$G$122+AI129*$G$129+AI133*$G$133+AI137*$G$137</f>
        <v>0.15658811120818394</v>
      </c>
      <c r="AJ78" s="21">
        <f>+AJ79*$G$79+AJ86*$G$86+AJ88*$G$88+AJ98*$G$98+AJ103*$G$103+AJ105*$G$105+AJ108*$G$108+AJ111*$G$111+AJ114*$G$114+AJ118*$G$118+AJ122*$G$122+AJ129*$G$129+AJ133*$G$133+AJ137*$G$137</f>
        <v>0.15658811120818394</v>
      </c>
      <c r="AK78" s="21">
        <f t="shared" si="240"/>
        <v>0.15923541629530386</v>
      </c>
      <c r="AL78" s="21">
        <f t="shared" si="240"/>
        <v>0.16268374680960657</v>
      </c>
      <c r="AM78" s="21">
        <f t="shared" si="240"/>
        <v>0.16514837770275062</v>
      </c>
      <c r="AN78" s="21">
        <f t="shared" si="240"/>
        <v>0.18178886465589655</v>
      </c>
      <c r="AO78" s="21">
        <f t="shared" si="240"/>
        <v>0.18724258980216196</v>
      </c>
      <c r="AP78" s="21">
        <f t="shared" si="240"/>
        <v>0.22612302081141444</v>
      </c>
      <c r="AQ78" s="21">
        <f t="shared" si="240"/>
        <v>0.22925978438176242</v>
      </c>
      <c r="AR78" s="21">
        <f t="shared" si="240"/>
        <v>0.22975404764900378</v>
      </c>
      <c r="AS78" s="21">
        <f t="shared" si="240"/>
        <v>0.23752764278760138</v>
      </c>
      <c r="AT78" s="21">
        <f t="shared" si="240"/>
        <v>0.3468750104909209</v>
      </c>
      <c r="AU78" s="21">
        <f t="shared" si="240"/>
        <v>0.3471320239969688</v>
      </c>
      <c r="AV78" s="21">
        <f t="shared" si="240"/>
        <v>0.35257780587464677</v>
      </c>
      <c r="AW78" s="21">
        <f t="shared" si="240"/>
        <v>0.35301778975927656</v>
      </c>
      <c r="AX78" s="21">
        <f t="shared" si="240"/>
        <v>0.37052007010367694</v>
      </c>
      <c r="AY78" s="21">
        <f t="shared" si="240"/>
        <v>0.37084322005548909</v>
      </c>
      <c r="AZ78" s="21">
        <f t="shared" si="240"/>
        <v>0.38343689711996759</v>
      </c>
      <c r="BA78" s="21">
        <f t="shared" si="240"/>
        <v>0.38376156116124605</v>
      </c>
      <c r="BB78" s="21">
        <f t="shared" si="240"/>
        <v>0.38410883697604736</v>
      </c>
      <c r="BC78" s="21">
        <f t="shared" ref="BC78:CE78" si="241">+BC79*$G$79+BC86*$G$86+BC88*$G$88+BC98*$G$98+BC103*$G$103+BC105*$G$105+BC108*$G$108+BC111*$G$111+BC114*$G$114+BC118*$G$118+BC122*$G$122+BC129*$G$129+BC133*$G$133+BC137*$G$137</f>
        <v>0.38445600648502032</v>
      </c>
      <c r="BD78" s="21">
        <f t="shared" si="241"/>
        <v>0.38619405614658392</v>
      </c>
      <c r="BE78" s="21">
        <f t="shared" si="241"/>
        <v>0.39011439676756227</v>
      </c>
      <c r="BF78" s="21">
        <f t="shared" si="241"/>
        <v>0.39402597484357926</v>
      </c>
      <c r="BG78" s="21">
        <f t="shared" si="241"/>
        <v>0.39793755291959626</v>
      </c>
      <c r="BH78" s="21">
        <f t="shared" si="241"/>
        <v>0.40184913099561326</v>
      </c>
      <c r="BI78" s="21">
        <f t="shared" si="241"/>
        <v>0.40576070907163031</v>
      </c>
      <c r="BJ78" s="21">
        <f t="shared" si="241"/>
        <v>0.40967430593360232</v>
      </c>
      <c r="BK78" s="21">
        <f t="shared" si="241"/>
        <v>0.41333378811347671</v>
      </c>
      <c r="BL78" s="21">
        <f t="shared" si="241"/>
        <v>0.41699327029335109</v>
      </c>
      <c r="BM78" s="21">
        <f t="shared" si="241"/>
        <v>0.42065275247322542</v>
      </c>
      <c r="BN78" s="21">
        <f t="shared" si="241"/>
        <v>0.42431223465309986</v>
      </c>
      <c r="BO78" s="21">
        <f t="shared" si="241"/>
        <v>0.42857448396071057</v>
      </c>
      <c r="BP78" s="21">
        <f t="shared" si="241"/>
        <v>0.43548005095838649</v>
      </c>
      <c r="BQ78" s="21">
        <f t="shared" si="241"/>
        <v>0.44616123966815996</v>
      </c>
      <c r="BR78" s="21">
        <f t="shared" si="241"/>
        <v>0.45651620172185653</v>
      </c>
      <c r="BS78" s="21">
        <f t="shared" si="241"/>
        <v>0.46553997597633062</v>
      </c>
      <c r="BT78" s="21">
        <f t="shared" si="241"/>
        <v>0.48000029306564468</v>
      </c>
      <c r="BU78" s="21">
        <f t="shared" si="241"/>
        <v>0.49720813268152536</v>
      </c>
      <c r="BV78" s="21">
        <f t="shared" si="241"/>
        <v>0.52972839736251587</v>
      </c>
      <c r="BW78" s="21">
        <f t="shared" si="241"/>
        <v>0.56703838245251692</v>
      </c>
      <c r="BX78" s="21">
        <f t="shared" si="241"/>
        <v>0.61613018923432561</v>
      </c>
      <c r="BY78" s="21">
        <f t="shared" si="241"/>
        <v>0.67927697190228009</v>
      </c>
      <c r="BZ78" s="21">
        <f t="shared" si="241"/>
        <v>0.74242375457023457</v>
      </c>
      <c r="CA78" s="21">
        <f t="shared" si="241"/>
        <v>0.80353112929792225</v>
      </c>
      <c r="CB78" s="21">
        <f t="shared" si="241"/>
        <v>0.84685431360083685</v>
      </c>
      <c r="CC78" s="21">
        <f t="shared" si="241"/>
        <v>0.88239488924230292</v>
      </c>
      <c r="CD78" s="21">
        <f t="shared" si="241"/>
        <v>0.90640543438838195</v>
      </c>
      <c r="CE78" s="21">
        <f t="shared" si="241"/>
        <v>0.92567281165990045</v>
      </c>
      <c r="CF78" s="21">
        <f t="shared" ref="CF78:CI78" si="242">+CF79*$G$79+CF86*$G$86+CF88*$G$88+CF98*$G$98+CF103*$G$103+CF105*$G$105+CF108*$G$108+CF111*$G$111+CF114*$G$114+CF118*$G$118+CF122*$G$122+CF129*$G$129+CF133*$G$133+CF137*$G$137</f>
        <v>0.93928127955104024</v>
      </c>
      <c r="CG78" s="21">
        <f t="shared" si="242"/>
        <v>0.95080030397865567</v>
      </c>
      <c r="CH78" s="21">
        <f t="shared" si="242"/>
        <v>0.95947868026895555</v>
      </c>
      <c r="CI78" s="21">
        <f t="shared" si="242"/>
        <v>0.99999999999999933</v>
      </c>
      <c r="CJ78" s="21">
        <f t="shared" ref="CJ78:CK78" si="243">+CJ79*$G$79+CJ86*$G$86+CJ88*$G$88+CJ98*$G$98+CJ103*$G$103+CJ105*$G$105+CJ108*$G$108+CJ111*$G$111+CJ114*$G$114+CJ118*$G$118+CJ122*$G$122+CJ129*$G$129+CJ133*$G$133+CJ137*$G$137</f>
        <v>0.99999999999999933</v>
      </c>
      <c r="CK78" s="21">
        <f t="shared" si="243"/>
        <v>0.99999999999999933</v>
      </c>
      <c r="CL78" s="21">
        <f t="shared" ref="CL78" si="244">+CL79*$G$79+CL86*$G$86+CL88*$G$88+CL98*$G$98+CL103*$G$103+CL105*$G$105+CL108*$G$108+CL111*$G$111+CL114*$G$114+CL118*$G$118+CL122*$G$122+CL129*$G$129+CL133*$G$133+CL137*$G$137</f>
        <v>0.99999999999999933</v>
      </c>
      <c r="CM78" s="21">
        <f t="shared" ref="CM78:CV78" si="245">+CM79*$G$79+CM86*$G$86+CM88*$G$88+CM98*$G$98+CM103*$G$103+CM105*$G$105+CM108*$G$108+CM111*$G$111+CM114*$G$114+CM118*$G$118+CM122*$G$122+CM129*$G$129+CM133*$G$133+CM137*$G$137</f>
        <v>0.99999999999999933</v>
      </c>
      <c r="CN78" s="21">
        <f t="shared" si="245"/>
        <v>0.99999999999999933</v>
      </c>
      <c r="CO78" s="21">
        <f t="shared" si="245"/>
        <v>0.99999999999999933</v>
      </c>
      <c r="CP78" s="21">
        <f t="shared" si="245"/>
        <v>0.99999999999999933</v>
      </c>
      <c r="CQ78" s="21">
        <f t="shared" si="245"/>
        <v>0.99999999999999933</v>
      </c>
      <c r="CR78" s="21">
        <f t="shared" si="245"/>
        <v>0.99999999999999933</v>
      </c>
      <c r="CS78" s="21">
        <f t="shared" si="245"/>
        <v>0.99999999999999933</v>
      </c>
      <c r="CT78" s="21">
        <f t="shared" si="245"/>
        <v>0.99999999999999933</v>
      </c>
      <c r="CU78" s="21">
        <f t="shared" si="245"/>
        <v>0.99999999999999933</v>
      </c>
      <c r="CV78" s="21">
        <f t="shared" si="245"/>
        <v>0.99999999999999933</v>
      </c>
      <c r="CW78" s="21">
        <f t="shared" ref="CW78" si="246">+CW79*$G$79+CW86*$G$86+CW88*$G$88+CW98*$G$98+CW103*$G$103+CW105*$G$105+CW108*$G$108+CW111*$G$111+CW114*$G$114+CW118*$G$118+CW122*$G$122+CW129*$G$129+CW133*$G$133+CW137*$G$137</f>
        <v>0.99999999999999933</v>
      </c>
      <c r="CX78" s="21">
        <f t="shared" ref="CX78:CY78" si="247">+CX79*$G$79+CX86*$G$86+CX88*$G$88+CX98*$G$98+CX103*$G$103+CX105*$G$105+CX108*$G$108+CX111*$G$111+CX114*$G$114+CX118*$G$118+CX122*$G$122+CX129*$G$129+CX133*$G$133+CX137*$G$137</f>
        <v>0.99999999999999933</v>
      </c>
      <c r="CY78" s="21">
        <f t="shared" si="247"/>
        <v>0.99999999999999933</v>
      </c>
      <c r="CZ78" s="21">
        <f t="shared" ref="CZ78:DA78" si="248">+CZ79*$G$79+CZ86*$G$86+CZ88*$G$88+CZ98*$G$98+CZ103*$G$103+CZ105*$G$105+CZ108*$G$108+CZ111*$G$111+CZ114*$G$114+CZ118*$G$118+CZ122*$G$122+CZ129*$G$129+CZ133*$G$133+CZ137*$G$137</f>
        <v>0.99999999999999933</v>
      </c>
      <c r="DA78" s="21">
        <f t="shared" si="248"/>
        <v>0.99999999999999933</v>
      </c>
      <c r="DB78" s="21">
        <f t="shared" ref="DB78:DC78" si="249">+DB79*$G$79+DB86*$G$86+DB88*$G$88+DB98*$G$98+DB103*$G$103+DB105*$G$105+DB108*$G$108+DB111*$G$111+DB114*$G$114+DB118*$G$118+DB122*$G$122+DB129*$G$129+DB133*$G$133+DB137*$G$137</f>
        <v>0.99999999999999933</v>
      </c>
      <c r="DC78" s="21">
        <f t="shared" si="249"/>
        <v>0.99999999999999933</v>
      </c>
      <c r="DD78" s="21">
        <f t="shared" ref="DD78:DE78" si="250">+DD79*$G$79+DD86*$G$86+DD88*$G$88+DD98*$G$98+DD103*$G$103+DD105*$G$105+DD108*$G$108+DD111*$G$111+DD114*$G$114+DD118*$G$118+DD122*$G$122+DD129*$G$129+DD133*$G$133+DD137*$G$137</f>
        <v>0.99999999999999933</v>
      </c>
      <c r="DE78" s="21">
        <f t="shared" si="250"/>
        <v>0.99999999999999933</v>
      </c>
      <c r="DF78" s="21">
        <f t="shared" ref="DF78:DJ78" si="251">+DF79*$G$79+DF86*$G$86+DF88*$G$88+DF98*$G$98+DF103*$G$103+DF105*$G$105+DF108*$G$108+DF111*$G$111+DF114*$G$114+DF118*$G$118+DF122*$G$122+DF129*$G$129+DF133*$G$133+DF137*$G$137</f>
        <v>0.99999999999999933</v>
      </c>
      <c r="DG78" s="21">
        <f t="shared" si="251"/>
        <v>0.99999999999999933</v>
      </c>
      <c r="DH78" s="21">
        <f t="shared" si="251"/>
        <v>0.99999999999999933</v>
      </c>
      <c r="DI78" s="21">
        <f t="shared" si="251"/>
        <v>0.99999999999999933</v>
      </c>
      <c r="DJ78" s="21">
        <f t="shared" si="251"/>
        <v>0.99999999999999933</v>
      </c>
      <c r="DK78" s="21">
        <f t="shared" ref="DK78:EI78" si="252">+DK79*$G$79+DK86*$G$86+DK88*$G$88+DK98*$G$98+DK103*$G$103+DK105*$G$105+DK108*$G$108+DK111*$G$111+DK114*$G$114+DK118*$G$118+DK122*$G$122+DK129*$G$129+DK133*$G$133+DK137*$G$137</f>
        <v>0.99999999999999933</v>
      </c>
      <c r="DL78" s="21">
        <f t="shared" si="252"/>
        <v>0.99999999999999933</v>
      </c>
      <c r="DM78" s="21">
        <f t="shared" si="252"/>
        <v>0.99999999999999933</v>
      </c>
      <c r="DN78" s="21">
        <f t="shared" si="252"/>
        <v>0.99999999999999933</v>
      </c>
      <c r="DO78" s="21">
        <f t="shared" si="252"/>
        <v>0.99999999999999933</v>
      </c>
      <c r="DP78" s="21">
        <f t="shared" si="252"/>
        <v>0.99999999999999933</v>
      </c>
      <c r="DQ78" s="21">
        <f t="shared" si="252"/>
        <v>0.99999999999999933</v>
      </c>
      <c r="DR78" s="21">
        <f t="shared" si="252"/>
        <v>0.99999999999999933</v>
      </c>
      <c r="DS78" s="21">
        <f t="shared" si="252"/>
        <v>0.99999999999999933</v>
      </c>
      <c r="DT78" s="21">
        <f t="shared" si="252"/>
        <v>0.99999999999999933</v>
      </c>
      <c r="DU78" s="21">
        <f t="shared" si="252"/>
        <v>0.99999999999999933</v>
      </c>
      <c r="DV78" s="21">
        <f t="shared" si="252"/>
        <v>0.99999999999999933</v>
      </c>
      <c r="DW78" s="21">
        <f t="shared" si="252"/>
        <v>0.99999999999999933</v>
      </c>
      <c r="DX78" s="21">
        <f t="shared" si="252"/>
        <v>0.99999999999999933</v>
      </c>
      <c r="DY78" s="21">
        <f t="shared" si="252"/>
        <v>0.99999999999999933</v>
      </c>
      <c r="DZ78" s="21">
        <f t="shared" si="252"/>
        <v>0.99999999999999933</v>
      </c>
      <c r="EA78" s="21">
        <f t="shared" si="252"/>
        <v>0.99999999999999933</v>
      </c>
      <c r="EB78" s="21">
        <f t="shared" si="252"/>
        <v>0.99999999999999933</v>
      </c>
      <c r="EC78" s="21">
        <f t="shared" si="252"/>
        <v>0.99999999999999933</v>
      </c>
      <c r="ED78" s="21">
        <f t="shared" si="252"/>
        <v>0.99999999999999933</v>
      </c>
      <c r="EE78" s="21">
        <f t="shared" si="252"/>
        <v>0.99999999999999933</v>
      </c>
      <c r="EF78" s="21">
        <f t="shared" si="252"/>
        <v>0.99999999999999933</v>
      </c>
      <c r="EG78" s="21">
        <f t="shared" si="252"/>
        <v>0.99999999999999933</v>
      </c>
      <c r="EH78" s="21">
        <f t="shared" si="252"/>
        <v>0.99999999999999933</v>
      </c>
      <c r="EI78" s="21">
        <f t="shared" si="252"/>
        <v>0.99999999999999933</v>
      </c>
    </row>
    <row r="79" spans="2:139" ht="15" hidden="1" outlineLevel="2" collapsed="1" x14ac:dyDescent="0.3">
      <c r="B79" s="22"/>
      <c r="C79" s="23"/>
      <c r="D79" s="23" t="s">
        <v>13</v>
      </c>
      <c r="E79" s="50"/>
      <c r="F79" s="26">
        <f>+SUM(F80:F85)</f>
        <v>77</v>
      </c>
      <c r="G79" s="28">
        <v>0.02</v>
      </c>
      <c r="H79" s="51"/>
      <c r="I79" s="125">
        <f>+SUMPRODUCT($G$80:$G$85,I80:I85)</f>
        <v>0</v>
      </c>
      <c r="J79" s="28">
        <f>+SUMPRODUCT($G$80:$G$85,J80:J85)</f>
        <v>0</v>
      </c>
      <c r="K79" s="28">
        <f t="shared" ref="K79:BB79" si="253">+SUMPRODUCT($G$80:$G$85,K80:K85)</f>
        <v>0</v>
      </c>
      <c r="L79" s="28">
        <f t="shared" si="253"/>
        <v>0</v>
      </c>
      <c r="M79" s="64">
        <f t="shared" si="253"/>
        <v>0</v>
      </c>
      <c r="N79" s="64">
        <f t="shared" si="253"/>
        <v>0</v>
      </c>
      <c r="O79" s="28">
        <f t="shared" si="253"/>
        <v>0</v>
      </c>
      <c r="P79" s="28">
        <f t="shared" si="253"/>
        <v>0</v>
      </c>
      <c r="Q79" s="28">
        <f t="shared" si="253"/>
        <v>0</v>
      </c>
      <c r="R79" s="28">
        <f t="shared" si="253"/>
        <v>0</v>
      </c>
      <c r="S79" s="28">
        <f t="shared" si="253"/>
        <v>1.4753246753246754E-2</v>
      </c>
      <c r="T79" s="28">
        <f t="shared" si="253"/>
        <v>2.2532467532467529E-2</v>
      </c>
      <c r="U79" s="28">
        <f t="shared" si="253"/>
        <v>6.0000000000000005E-2</v>
      </c>
      <c r="V79" s="28">
        <f t="shared" si="253"/>
        <v>7.2077922077922074E-2</v>
      </c>
      <c r="W79" s="28">
        <f t="shared" si="253"/>
        <v>0.55988455988455987</v>
      </c>
      <c r="X79" s="28">
        <f t="shared" si="253"/>
        <v>0.55988455988455987</v>
      </c>
      <c r="Y79" s="28">
        <f t="shared" si="253"/>
        <v>0.59018759018759015</v>
      </c>
      <c r="Z79" s="28">
        <f t="shared" si="253"/>
        <v>0.61038961038961037</v>
      </c>
      <c r="AA79" s="28">
        <f t="shared" si="253"/>
        <v>0.87012987012987009</v>
      </c>
      <c r="AB79" s="28">
        <f t="shared" si="253"/>
        <v>0.87012987012987009</v>
      </c>
      <c r="AC79" s="28">
        <f t="shared" si="253"/>
        <v>0.87012987012987009</v>
      </c>
      <c r="AD79" s="28">
        <f t="shared" si="253"/>
        <v>0.87012987012987009</v>
      </c>
      <c r="AE79" s="28">
        <f t="shared" si="253"/>
        <v>0.87012987012987009</v>
      </c>
      <c r="AF79" s="28">
        <f t="shared" si="253"/>
        <v>0.87012987012987009</v>
      </c>
      <c r="AG79" s="28">
        <f t="shared" si="253"/>
        <v>0.93506493506493504</v>
      </c>
      <c r="AH79" s="28">
        <f t="shared" si="253"/>
        <v>0.93506493506493504</v>
      </c>
      <c r="AI79" s="28">
        <f>+SUMPRODUCT($G$80:$G$85,AI80:AI85)</f>
        <v>0.93506493506493504</v>
      </c>
      <c r="AJ79" s="28">
        <f>+SUMPRODUCT($G$80:$G$85,AJ80:AJ85)</f>
        <v>0.93506493506493504</v>
      </c>
      <c r="AK79" s="28">
        <f t="shared" si="253"/>
        <v>0.93506493506493504</v>
      </c>
      <c r="AL79" s="28">
        <f t="shared" si="253"/>
        <v>0.93506493506493504</v>
      </c>
      <c r="AM79" s="28">
        <f t="shared" si="253"/>
        <v>0.93506493506493504</v>
      </c>
      <c r="AN79" s="28">
        <f t="shared" si="253"/>
        <v>0.93506493506493504</v>
      </c>
      <c r="AO79" s="28">
        <f t="shared" si="253"/>
        <v>0.93506493506493504</v>
      </c>
      <c r="AP79" s="28">
        <f t="shared" si="253"/>
        <v>0.93506493506493504</v>
      </c>
      <c r="AQ79" s="28">
        <f t="shared" si="253"/>
        <v>0.93506493506493504</v>
      </c>
      <c r="AR79" s="28">
        <f t="shared" si="253"/>
        <v>0.93506493506493504</v>
      </c>
      <c r="AS79" s="28">
        <f t="shared" si="253"/>
        <v>0.93506493506493504</v>
      </c>
      <c r="AT79" s="28">
        <f t="shared" si="253"/>
        <v>0.93506493506493504</v>
      </c>
      <c r="AU79" s="28">
        <f t="shared" si="253"/>
        <v>0.93506493506493504</v>
      </c>
      <c r="AV79" s="28">
        <f t="shared" si="253"/>
        <v>0.93506493506493504</v>
      </c>
      <c r="AW79" s="28">
        <f t="shared" si="253"/>
        <v>0.93506493506493504</v>
      </c>
      <c r="AX79" s="28">
        <f t="shared" si="253"/>
        <v>0.93506493506493504</v>
      </c>
      <c r="AY79" s="28">
        <f t="shared" si="253"/>
        <v>0.93506493506493504</v>
      </c>
      <c r="AZ79" s="28">
        <f t="shared" si="253"/>
        <v>0.93506493506493504</v>
      </c>
      <c r="BA79" s="28">
        <f t="shared" si="253"/>
        <v>0.93506493506493504</v>
      </c>
      <c r="BB79" s="28">
        <f t="shared" si="253"/>
        <v>0.93506493506493504</v>
      </c>
      <c r="BC79" s="28">
        <f t="shared" ref="BC79:CE79" si="254">+SUMPRODUCT($G$80:$G$85,BC80:BC85)</f>
        <v>0.93506493506493504</v>
      </c>
      <c r="BD79" s="28">
        <f t="shared" si="254"/>
        <v>0.93506493506493504</v>
      </c>
      <c r="BE79" s="28">
        <f t="shared" si="254"/>
        <v>0.93506493506493504</v>
      </c>
      <c r="BF79" s="28">
        <f t="shared" si="254"/>
        <v>0.93506493506493504</v>
      </c>
      <c r="BG79" s="28">
        <f t="shared" si="254"/>
        <v>0.93506493506493504</v>
      </c>
      <c r="BH79" s="28">
        <f t="shared" si="254"/>
        <v>0.93506493506493504</v>
      </c>
      <c r="BI79" s="28">
        <f t="shared" si="254"/>
        <v>0.93506493506493504</v>
      </c>
      <c r="BJ79" s="28">
        <f t="shared" si="254"/>
        <v>0.93506493506493504</v>
      </c>
      <c r="BK79" s="28">
        <f t="shared" si="254"/>
        <v>0.93506493506493504</v>
      </c>
      <c r="BL79" s="28">
        <f t="shared" si="254"/>
        <v>0.93506493506493504</v>
      </c>
      <c r="BM79" s="28">
        <f t="shared" si="254"/>
        <v>0.93506493506493504</v>
      </c>
      <c r="BN79" s="28">
        <f t="shared" si="254"/>
        <v>0.93506493506493504</v>
      </c>
      <c r="BO79" s="28">
        <f t="shared" si="254"/>
        <v>0.93506493506493504</v>
      </c>
      <c r="BP79" s="28">
        <f t="shared" si="254"/>
        <v>0.93506493506493504</v>
      </c>
      <c r="BQ79" s="28">
        <f t="shared" si="254"/>
        <v>0.93506493506493504</v>
      </c>
      <c r="BR79" s="28">
        <f t="shared" si="254"/>
        <v>0.93506493506493504</v>
      </c>
      <c r="BS79" s="28">
        <f t="shared" si="254"/>
        <v>0.93506493506493504</v>
      </c>
      <c r="BT79" s="28">
        <f t="shared" si="254"/>
        <v>0.96753246753246747</v>
      </c>
      <c r="BU79" s="28">
        <f t="shared" si="254"/>
        <v>0.99999999999999989</v>
      </c>
      <c r="BV79" s="28">
        <f t="shared" si="254"/>
        <v>0.99999999999999989</v>
      </c>
      <c r="BW79" s="28">
        <f t="shared" si="254"/>
        <v>0.99999999999999989</v>
      </c>
      <c r="BX79" s="28">
        <f t="shared" si="254"/>
        <v>0.99999999999999989</v>
      </c>
      <c r="BY79" s="28">
        <f t="shared" si="254"/>
        <v>0.99999999999999989</v>
      </c>
      <c r="BZ79" s="28">
        <f t="shared" si="254"/>
        <v>0.99999999999999989</v>
      </c>
      <c r="CA79" s="28">
        <f t="shared" si="254"/>
        <v>0.99999999999999989</v>
      </c>
      <c r="CB79" s="28">
        <f t="shared" si="254"/>
        <v>0.99999999999999989</v>
      </c>
      <c r="CC79" s="28">
        <f t="shared" si="254"/>
        <v>0.99999999999999989</v>
      </c>
      <c r="CD79" s="28">
        <f t="shared" si="254"/>
        <v>0.99999999999999989</v>
      </c>
      <c r="CE79" s="28">
        <f t="shared" si="254"/>
        <v>0.99999999999999989</v>
      </c>
      <c r="CF79" s="28">
        <f t="shared" ref="CF79:CI79" si="255">+SUMPRODUCT($G$80:$G$85,CF80:CF85)</f>
        <v>0.99999999999999989</v>
      </c>
      <c r="CG79" s="28">
        <f t="shared" si="255"/>
        <v>0.99999999999999989</v>
      </c>
      <c r="CH79" s="28">
        <f t="shared" si="255"/>
        <v>0.99999999999999989</v>
      </c>
      <c r="CI79" s="28">
        <f t="shared" si="255"/>
        <v>0.99999999999999989</v>
      </c>
      <c r="CJ79" s="28">
        <f t="shared" ref="CJ79:CK79" si="256">+SUMPRODUCT($G$80:$G$85,CJ80:CJ85)</f>
        <v>0.99999999999999989</v>
      </c>
      <c r="CK79" s="28">
        <f t="shared" si="256"/>
        <v>0.99999999999999989</v>
      </c>
      <c r="CL79" s="28">
        <f t="shared" ref="CL79" si="257">+SUMPRODUCT($G$80:$G$85,CL80:CL85)</f>
        <v>0.99999999999999989</v>
      </c>
      <c r="CM79" s="28">
        <f t="shared" ref="CM79:CV79" si="258">+SUMPRODUCT($G$80:$G$85,CM80:CM85)</f>
        <v>0.99999999999999989</v>
      </c>
      <c r="CN79" s="28">
        <f t="shared" si="258"/>
        <v>0.99999999999999989</v>
      </c>
      <c r="CO79" s="28">
        <f t="shared" si="258"/>
        <v>0.99999999999999989</v>
      </c>
      <c r="CP79" s="28">
        <f t="shared" si="258"/>
        <v>0.99999999999999989</v>
      </c>
      <c r="CQ79" s="28">
        <f t="shared" si="258"/>
        <v>0.99999999999999989</v>
      </c>
      <c r="CR79" s="28">
        <f t="shared" si="258"/>
        <v>0.99999999999999989</v>
      </c>
      <c r="CS79" s="28">
        <f t="shared" si="258"/>
        <v>0.99999999999999989</v>
      </c>
      <c r="CT79" s="28">
        <f t="shared" si="258"/>
        <v>0.99999999999999989</v>
      </c>
      <c r="CU79" s="28">
        <f t="shared" si="258"/>
        <v>0.99999999999999989</v>
      </c>
      <c r="CV79" s="28">
        <f t="shared" si="258"/>
        <v>0.99999999999999989</v>
      </c>
      <c r="CW79" s="28">
        <f t="shared" ref="CW79" si="259">+SUMPRODUCT($G$80:$G$85,CW80:CW85)</f>
        <v>0.99999999999999989</v>
      </c>
      <c r="CX79" s="28">
        <f t="shared" ref="CX79:CY79" si="260">+SUMPRODUCT($G$80:$G$85,CX80:CX85)</f>
        <v>0.99999999999999989</v>
      </c>
      <c r="CY79" s="28">
        <f t="shared" si="260"/>
        <v>0.99999999999999989</v>
      </c>
      <c r="CZ79" s="28">
        <f t="shared" ref="CZ79:DA79" si="261">+SUMPRODUCT($G$80:$G$85,CZ80:CZ85)</f>
        <v>0.99999999999999989</v>
      </c>
      <c r="DA79" s="28">
        <f t="shared" si="261"/>
        <v>0.99999999999999989</v>
      </c>
      <c r="DB79" s="28">
        <f t="shared" ref="DB79:DC79" si="262">+SUMPRODUCT($G$80:$G$85,DB80:DB85)</f>
        <v>0.99999999999999989</v>
      </c>
      <c r="DC79" s="28">
        <f t="shared" si="262"/>
        <v>0.99999999999999989</v>
      </c>
      <c r="DD79" s="28">
        <f t="shared" ref="DD79:DE79" si="263">+SUMPRODUCT($G$80:$G$85,DD80:DD85)</f>
        <v>0.99999999999999989</v>
      </c>
      <c r="DE79" s="28">
        <f t="shared" si="263"/>
        <v>0.99999999999999989</v>
      </c>
      <c r="DF79" s="28">
        <f t="shared" ref="DF79:DJ79" si="264">+SUMPRODUCT($G$80:$G$85,DF80:DF85)</f>
        <v>0.99999999999999989</v>
      </c>
      <c r="DG79" s="28">
        <f t="shared" si="264"/>
        <v>0.99999999999999989</v>
      </c>
      <c r="DH79" s="28">
        <f t="shared" si="264"/>
        <v>0.99999999999999989</v>
      </c>
      <c r="DI79" s="28">
        <f t="shared" si="264"/>
        <v>0.99999999999999989</v>
      </c>
      <c r="DJ79" s="28">
        <f t="shared" si="264"/>
        <v>0.99999999999999989</v>
      </c>
      <c r="DK79" s="28">
        <f t="shared" ref="DK79:EI79" si="265">+SUMPRODUCT($G$80:$G$85,DK80:DK85)</f>
        <v>0.99999999999999989</v>
      </c>
      <c r="DL79" s="28">
        <f t="shared" si="265"/>
        <v>0.99999999999999989</v>
      </c>
      <c r="DM79" s="28">
        <f t="shared" si="265"/>
        <v>0.99999999999999989</v>
      </c>
      <c r="DN79" s="28">
        <f t="shared" si="265"/>
        <v>0.99999999999999989</v>
      </c>
      <c r="DO79" s="28">
        <f t="shared" si="265"/>
        <v>0.99999999999999989</v>
      </c>
      <c r="DP79" s="28">
        <f t="shared" si="265"/>
        <v>0.99999999999999989</v>
      </c>
      <c r="DQ79" s="28">
        <f t="shared" si="265"/>
        <v>0.99999999999999989</v>
      </c>
      <c r="DR79" s="28">
        <f t="shared" si="265"/>
        <v>0.99999999999999989</v>
      </c>
      <c r="DS79" s="28">
        <f t="shared" si="265"/>
        <v>0.99999999999999989</v>
      </c>
      <c r="DT79" s="28">
        <f t="shared" si="265"/>
        <v>0.99999999999999989</v>
      </c>
      <c r="DU79" s="28">
        <f t="shared" si="265"/>
        <v>0.99999999999999989</v>
      </c>
      <c r="DV79" s="28">
        <f t="shared" si="265"/>
        <v>0.99999999999999989</v>
      </c>
      <c r="DW79" s="28">
        <f t="shared" si="265"/>
        <v>0.99999999999999989</v>
      </c>
      <c r="DX79" s="28">
        <f t="shared" si="265"/>
        <v>0.99999999999999989</v>
      </c>
      <c r="DY79" s="28">
        <f t="shared" si="265"/>
        <v>0.99999999999999989</v>
      </c>
      <c r="DZ79" s="28">
        <f t="shared" si="265"/>
        <v>0.99999999999999989</v>
      </c>
      <c r="EA79" s="28">
        <f t="shared" si="265"/>
        <v>0.99999999999999989</v>
      </c>
      <c r="EB79" s="28">
        <f t="shared" si="265"/>
        <v>0.99999999999999989</v>
      </c>
      <c r="EC79" s="28">
        <f t="shared" si="265"/>
        <v>0.99999999999999989</v>
      </c>
      <c r="ED79" s="28">
        <f t="shared" si="265"/>
        <v>0.99999999999999989</v>
      </c>
      <c r="EE79" s="28">
        <f t="shared" si="265"/>
        <v>0.99999999999999989</v>
      </c>
      <c r="EF79" s="28">
        <f t="shared" si="265"/>
        <v>0.99999999999999989</v>
      </c>
      <c r="EG79" s="28">
        <f t="shared" si="265"/>
        <v>0.99999999999999989</v>
      </c>
      <c r="EH79" s="28">
        <f t="shared" si="265"/>
        <v>0.99999999999999989</v>
      </c>
      <c r="EI79" s="28">
        <f t="shared" si="265"/>
        <v>0.99999999999999989</v>
      </c>
    </row>
    <row r="80" spans="2:139" hidden="1" outlineLevel="3" x14ac:dyDescent="0.3">
      <c r="B80" s="29"/>
      <c r="C80" s="30"/>
      <c r="D80" s="30"/>
      <c r="E80" s="52" t="s">
        <v>84</v>
      </c>
      <c r="F80" s="33">
        <v>7</v>
      </c>
      <c r="G80" s="35">
        <v>9.0909090909090912E-2</v>
      </c>
      <c r="H80" s="53"/>
      <c r="I80" s="126">
        <v>0</v>
      </c>
      <c r="J80" s="127">
        <v>0</v>
      </c>
      <c r="K80" s="127">
        <v>0</v>
      </c>
      <c r="L80" s="127">
        <v>0</v>
      </c>
      <c r="M80" s="128">
        <v>0</v>
      </c>
      <c r="N80" s="128">
        <v>0</v>
      </c>
      <c r="O80" s="128">
        <v>0</v>
      </c>
      <c r="P80" s="127">
        <v>0</v>
      </c>
      <c r="Q80" s="127">
        <v>0</v>
      </c>
      <c r="R80" s="127">
        <v>0</v>
      </c>
      <c r="S80" s="127">
        <v>0</v>
      </c>
      <c r="T80" s="127">
        <v>0</v>
      </c>
      <c r="U80" s="127">
        <v>0</v>
      </c>
      <c r="V80" s="127">
        <v>0</v>
      </c>
      <c r="W80" s="127">
        <f>4/9</f>
        <v>0.44444444444444442</v>
      </c>
      <c r="X80" s="127">
        <f>4/9</f>
        <v>0.44444444444444442</v>
      </c>
      <c r="Y80" s="127">
        <f>7/9</f>
        <v>0.77777777777777779</v>
      </c>
      <c r="Z80" s="127">
        <v>1</v>
      </c>
      <c r="AA80" s="127">
        <v>1</v>
      </c>
      <c r="AB80" s="127">
        <v>1</v>
      </c>
      <c r="AC80" s="127">
        <v>1</v>
      </c>
      <c r="AD80" s="127">
        <v>1</v>
      </c>
      <c r="AE80" s="127">
        <v>1</v>
      </c>
      <c r="AF80" s="127">
        <v>1</v>
      </c>
      <c r="AG80" s="127">
        <v>1</v>
      </c>
      <c r="AH80" s="127">
        <v>1</v>
      </c>
      <c r="AI80" s="127">
        <v>1</v>
      </c>
      <c r="AJ80" s="127">
        <v>1</v>
      </c>
      <c r="AK80" s="127">
        <v>1</v>
      </c>
      <c r="AL80" s="127">
        <v>1</v>
      </c>
      <c r="AM80" s="127">
        <v>1</v>
      </c>
      <c r="AN80" s="127">
        <v>1</v>
      </c>
      <c r="AO80" s="127">
        <v>1</v>
      </c>
      <c r="AP80" s="127">
        <v>1</v>
      </c>
      <c r="AQ80" s="127">
        <v>1</v>
      </c>
      <c r="AR80" s="127">
        <v>1</v>
      </c>
      <c r="AS80" s="127">
        <v>1</v>
      </c>
      <c r="AT80" s="127">
        <v>1</v>
      </c>
      <c r="AU80" s="127">
        <v>1</v>
      </c>
      <c r="AV80" s="127">
        <v>1</v>
      </c>
      <c r="AW80" s="127">
        <v>1</v>
      </c>
      <c r="AX80" s="127">
        <v>1</v>
      </c>
      <c r="AY80" s="127">
        <v>1</v>
      </c>
      <c r="AZ80" s="127">
        <v>1</v>
      </c>
      <c r="BA80" s="127">
        <v>1</v>
      </c>
      <c r="BB80" s="127">
        <v>1</v>
      </c>
      <c r="BC80" s="127">
        <v>1</v>
      </c>
      <c r="BD80" s="127">
        <v>1</v>
      </c>
      <c r="BE80" s="127">
        <v>1</v>
      </c>
      <c r="BF80" s="127">
        <v>1</v>
      </c>
      <c r="BG80" s="127">
        <v>1</v>
      </c>
      <c r="BH80" s="127">
        <v>1</v>
      </c>
      <c r="BI80" s="127">
        <v>1</v>
      </c>
      <c r="BJ80" s="127">
        <v>1</v>
      </c>
      <c r="BK80" s="127">
        <v>1</v>
      </c>
      <c r="BL80" s="127">
        <v>1</v>
      </c>
      <c r="BM80" s="127">
        <v>1</v>
      </c>
      <c r="BN80" s="127">
        <v>1</v>
      </c>
      <c r="BO80" s="127">
        <v>1</v>
      </c>
      <c r="BP80" s="127">
        <v>1</v>
      </c>
      <c r="BQ80" s="127">
        <v>1</v>
      </c>
      <c r="BR80" s="127">
        <v>1</v>
      </c>
      <c r="BS80" s="127">
        <v>1</v>
      </c>
      <c r="BT80" s="127">
        <v>1</v>
      </c>
      <c r="BU80" s="127">
        <v>1</v>
      </c>
      <c r="BV80" s="127">
        <v>1</v>
      </c>
      <c r="BW80" s="127">
        <v>1</v>
      </c>
      <c r="BX80" s="127">
        <v>1</v>
      </c>
      <c r="BY80" s="127">
        <v>1</v>
      </c>
      <c r="BZ80" s="127">
        <v>1</v>
      </c>
      <c r="CA80" s="127">
        <v>1</v>
      </c>
      <c r="CB80" s="127">
        <v>1</v>
      </c>
      <c r="CC80" s="127">
        <v>1</v>
      </c>
      <c r="CD80" s="127">
        <v>1</v>
      </c>
      <c r="CE80" s="127">
        <v>1</v>
      </c>
      <c r="CF80" s="127">
        <v>1</v>
      </c>
      <c r="CG80" s="127">
        <v>1</v>
      </c>
      <c r="CH80" s="127">
        <v>1</v>
      </c>
      <c r="CI80" s="127">
        <v>1</v>
      </c>
      <c r="CJ80" s="127">
        <v>1</v>
      </c>
      <c r="CK80" s="127">
        <v>1</v>
      </c>
      <c r="CL80" s="127">
        <v>1</v>
      </c>
      <c r="CM80" s="127">
        <v>1</v>
      </c>
      <c r="CN80" s="127">
        <v>1</v>
      </c>
      <c r="CO80" s="127">
        <v>1</v>
      </c>
      <c r="CP80" s="127">
        <v>1</v>
      </c>
      <c r="CQ80" s="127">
        <v>1</v>
      </c>
      <c r="CR80" s="127">
        <v>1</v>
      </c>
      <c r="CS80" s="127">
        <v>1</v>
      </c>
      <c r="CT80" s="127">
        <v>1</v>
      </c>
      <c r="CU80" s="127">
        <v>1</v>
      </c>
      <c r="CV80" s="127">
        <v>1</v>
      </c>
      <c r="CW80" s="127">
        <v>1</v>
      </c>
      <c r="CX80" s="127">
        <v>1</v>
      </c>
      <c r="CY80" s="127">
        <v>1</v>
      </c>
      <c r="CZ80" s="127">
        <v>1</v>
      </c>
      <c r="DA80" s="127">
        <v>1</v>
      </c>
      <c r="DB80" s="127">
        <v>1</v>
      </c>
      <c r="DC80" s="127">
        <v>1</v>
      </c>
      <c r="DD80" s="127">
        <v>1</v>
      </c>
      <c r="DE80" s="127">
        <v>1</v>
      </c>
      <c r="DF80" s="127">
        <v>1</v>
      </c>
      <c r="DG80" s="127">
        <v>1</v>
      </c>
      <c r="DH80" s="127">
        <v>1</v>
      </c>
      <c r="DI80" s="127">
        <v>1</v>
      </c>
      <c r="DJ80" s="127">
        <v>1</v>
      </c>
      <c r="DK80" s="127">
        <v>1</v>
      </c>
      <c r="DL80" s="127">
        <v>1</v>
      </c>
      <c r="DM80" s="127">
        <v>1</v>
      </c>
      <c r="DN80" s="127">
        <v>1</v>
      </c>
      <c r="DO80" s="127">
        <v>1</v>
      </c>
      <c r="DP80" s="127">
        <v>1</v>
      </c>
      <c r="DQ80" s="127">
        <v>1</v>
      </c>
      <c r="DR80" s="127">
        <v>1</v>
      </c>
      <c r="DS80" s="127">
        <v>1</v>
      </c>
      <c r="DT80" s="127">
        <v>1</v>
      </c>
      <c r="DU80" s="127">
        <v>1</v>
      </c>
      <c r="DV80" s="127">
        <v>1</v>
      </c>
      <c r="DW80" s="127">
        <v>1</v>
      </c>
      <c r="DX80" s="127">
        <v>1</v>
      </c>
      <c r="DY80" s="127">
        <v>1</v>
      </c>
      <c r="DZ80" s="127">
        <v>1</v>
      </c>
      <c r="EA80" s="127">
        <v>1</v>
      </c>
      <c r="EB80" s="127">
        <v>1</v>
      </c>
      <c r="EC80" s="127">
        <v>1</v>
      </c>
      <c r="ED80" s="127">
        <v>1</v>
      </c>
      <c r="EE80" s="127">
        <v>1</v>
      </c>
      <c r="EF80" s="127">
        <v>1</v>
      </c>
      <c r="EG80" s="127">
        <v>1</v>
      </c>
      <c r="EH80" s="127">
        <v>1</v>
      </c>
      <c r="EI80" s="127">
        <v>1</v>
      </c>
    </row>
    <row r="81" spans="2:139" hidden="1" outlineLevel="3" x14ac:dyDescent="0.3">
      <c r="B81" s="29"/>
      <c r="C81" s="30"/>
      <c r="D81" s="30"/>
      <c r="E81" s="52" t="s">
        <v>85</v>
      </c>
      <c r="F81" s="33">
        <v>5</v>
      </c>
      <c r="G81" s="35">
        <v>6.4935064935064929E-2</v>
      </c>
      <c r="H81" s="53"/>
      <c r="I81" s="126">
        <v>0</v>
      </c>
      <c r="J81" s="127">
        <v>0</v>
      </c>
      <c r="K81" s="127">
        <v>0</v>
      </c>
      <c r="L81" s="127">
        <v>0</v>
      </c>
      <c r="M81" s="127">
        <v>0</v>
      </c>
      <c r="N81" s="127">
        <v>0</v>
      </c>
      <c r="O81" s="127">
        <v>0</v>
      </c>
      <c r="P81" s="127">
        <v>0</v>
      </c>
      <c r="Q81" s="127">
        <v>0</v>
      </c>
      <c r="R81" s="127">
        <v>0</v>
      </c>
      <c r="S81" s="127">
        <v>0</v>
      </c>
      <c r="T81" s="127">
        <v>0</v>
      </c>
      <c r="U81" s="127">
        <v>0</v>
      </c>
      <c r="V81" s="127">
        <v>0</v>
      </c>
      <c r="W81" s="127">
        <v>0</v>
      </c>
      <c r="X81" s="127">
        <v>0</v>
      </c>
      <c r="Y81" s="127">
        <v>0</v>
      </c>
      <c r="Z81" s="127">
        <v>0</v>
      </c>
      <c r="AA81" s="127">
        <v>0</v>
      </c>
      <c r="AB81" s="127">
        <v>0</v>
      </c>
      <c r="AC81" s="127">
        <v>0</v>
      </c>
      <c r="AD81" s="127">
        <v>0</v>
      </c>
      <c r="AE81" s="127">
        <v>0</v>
      </c>
      <c r="AF81" s="127">
        <v>0</v>
      </c>
      <c r="AG81" s="127">
        <v>1</v>
      </c>
      <c r="AH81" s="127">
        <v>1</v>
      </c>
      <c r="AI81" s="127">
        <v>1</v>
      </c>
      <c r="AJ81" s="127">
        <v>1</v>
      </c>
      <c r="AK81" s="127">
        <v>1</v>
      </c>
      <c r="AL81" s="127">
        <v>1</v>
      </c>
      <c r="AM81" s="127">
        <v>1</v>
      </c>
      <c r="AN81" s="127">
        <v>1</v>
      </c>
      <c r="AO81" s="127">
        <v>1</v>
      </c>
      <c r="AP81" s="127">
        <v>1</v>
      </c>
      <c r="AQ81" s="127">
        <v>1</v>
      </c>
      <c r="AR81" s="127">
        <v>1</v>
      </c>
      <c r="AS81" s="127">
        <v>1</v>
      </c>
      <c r="AT81" s="127">
        <v>1</v>
      </c>
      <c r="AU81" s="127">
        <v>1</v>
      </c>
      <c r="AV81" s="127">
        <v>1</v>
      </c>
      <c r="AW81" s="127">
        <v>1</v>
      </c>
      <c r="AX81" s="127">
        <v>1</v>
      </c>
      <c r="AY81" s="127">
        <v>1</v>
      </c>
      <c r="AZ81" s="127">
        <v>1</v>
      </c>
      <c r="BA81" s="127">
        <v>1</v>
      </c>
      <c r="BB81" s="127">
        <v>1</v>
      </c>
      <c r="BC81" s="127">
        <v>1</v>
      </c>
      <c r="BD81" s="127">
        <v>1</v>
      </c>
      <c r="BE81" s="127">
        <v>1</v>
      </c>
      <c r="BF81" s="127">
        <v>1</v>
      </c>
      <c r="BG81" s="127">
        <v>1</v>
      </c>
      <c r="BH81" s="127">
        <v>1</v>
      </c>
      <c r="BI81" s="127">
        <v>1</v>
      </c>
      <c r="BJ81" s="127">
        <v>1</v>
      </c>
      <c r="BK81" s="127">
        <v>1</v>
      </c>
      <c r="BL81" s="127">
        <v>1</v>
      </c>
      <c r="BM81" s="127">
        <v>1</v>
      </c>
      <c r="BN81" s="127">
        <v>1</v>
      </c>
      <c r="BO81" s="127">
        <v>1</v>
      </c>
      <c r="BP81" s="127">
        <v>1</v>
      </c>
      <c r="BQ81" s="127">
        <v>1</v>
      </c>
      <c r="BR81" s="127">
        <v>1</v>
      </c>
      <c r="BS81" s="127">
        <v>1</v>
      </c>
      <c r="BT81" s="127">
        <v>1</v>
      </c>
      <c r="BU81" s="127">
        <v>1</v>
      </c>
      <c r="BV81" s="127">
        <v>1</v>
      </c>
      <c r="BW81" s="127">
        <v>1</v>
      </c>
      <c r="BX81" s="127">
        <v>1</v>
      </c>
      <c r="BY81" s="127">
        <v>1</v>
      </c>
      <c r="BZ81" s="127">
        <v>1</v>
      </c>
      <c r="CA81" s="127">
        <v>1</v>
      </c>
      <c r="CB81" s="127">
        <v>1</v>
      </c>
      <c r="CC81" s="127">
        <v>1</v>
      </c>
      <c r="CD81" s="127">
        <v>1</v>
      </c>
      <c r="CE81" s="127">
        <v>1</v>
      </c>
      <c r="CF81" s="127">
        <v>1</v>
      </c>
      <c r="CG81" s="127">
        <v>1</v>
      </c>
      <c r="CH81" s="127">
        <v>1</v>
      </c>
      <c r="CI81" s="127">
        <v>1</v>
      </c>
      <c r="CJ81" s="127">
        <v>1</v>
      </c>
      <c r="CK81" s="127">
        <v>1</v>
      </c>
      <c r="CL81" s="127">
        <v>1</v>
      </c>
      <c r="CM81" s="127">
        <v>1</v>
      </c>
      <c r="CN81" s="127">
        <v>1</v>
      </c>
      <c r="CO81" s="127">
        <v>1</v>
      </c>
      <c r="CP81" s="127">
        <v>1</v>
      </c>
      <c r="CQ81" s="127">
        <v>1</v>
      </c>
      <c r="CR81" s="127">
        <v>1</v>
      </c>
      <c r="CS81" s="127">
        <v>1</v>
      </c>
      <c r="CT81" s="127">
        <v>1</v>
      </c>
      <c r="CU81" s="127">
        <v>1</v>
      </c>
      <c r="CV81" s="127">
        <v>1</v>
      </c>
      <c r="CW81" s="127">
        <v>1</v>
      </c>
      <c r="CX81" s="127">
        <v>1</v>
      </c>
      <c r="CY81" s="127">
        <v>1</v>
      </c>
      <c r="CZ81" s="127">
        <v>1</v>
      </c>
      <c r="DA81" s="127">
        <v>1</v>
      </c>
      <c r="DB81" s="127">
        <v>1</v>
      </c>
      <c r="DC81" s="127">
        <v>1</v>
      </c>
      <c r="DD81" s="127">
        <v>1</v>
      </c>
      <c r="DE81" s="127">
        <v>1</v>
      </c>
      <c r="DF81" s="127">
        <v>1</v>
      </c>
      <c r="DG81" s="127">
        <v>1</v>
      </c>
      <c r="DH81" s="127">
        <v>1</v>
      </c>
      <c r="DI81" s="127">
        <v>1</v>
      </c>
      <c r="DJ81" s="127">
        <v>1</v>
      </c>
      <c r="DK81" s="127">
        <v>1</v>
      </c>
      <c r="DL81" s="127">
        <v>1</v>
      </c>
      <c r="DM81" s="127">
        <v>1</v>
      </c>
      <c r="DN81" s="127">
        <v>1</v>
      </c>
      <c r="DO81" s="127">
        <v>1</v>
      </c>
      <c r="DP81" s="127">
        <v>1</v>
      </c>
      <c r="DQ81" s="127">
        <v>1</v>
      </c>
      <c r="DR81" s="127">
        <v>1</v>
      </c>
      <c r="DS81" s="127">
        <v>1</v>
      </c>
      <c r="DT81" s="127">
        <v>1</v>
      </c>
      <c r="DU81" s="127">
        <v>1</v>
      </c>
      <c r="DV81" s="127">
        <v>1</v>
      </c>
      <c r="DW81" s="127">
        <v>1</v>
      </c>
      <c r="DX81" s="127">
        <v>1</v>
      </c>
      <c r="DY81" s="127">
        <v>1</v>
      </c>
      <c r="DZ81" s="127">
        <v>1</v>
      </c>
      <c r="EA81" s="127">
        <v>1</v>
      </c>
      <c r="EB81" s="127">
        <v>1</v>
      </c>
      <c r="EC81" s="127">
        <v>1</v>
      </c>
      <c r="ED81" s="127">
        <v>1</v>
      </c>
      <c r="EE81" s="127">
        <v>1</v>
      </c>
      <c r="EF81" s="127">
        <v>1</v>
      </c>
      <c r="EG81" s="127">
        <v>1</v>
      </c>
      <c r="EH81" s="127">
        <v>1</v>
      </c>
      <c r="EI81" s="127">
        <v>1</v>
      </c>
    </row>
    <row r="82" spans="2:139" hidden="1" outlineLevel="3" x14ac:dyDescent="0.3">
      <c r="B82" s="29"/>
      <c r="C82" s="30"/>
      <c r="D82" s="30"/>
      <c r="E82" s="52" t="s">
        <v>86</v>
      </c>
      <c r="F82" s="33">
        <v>5</v>
      </c>
      <c r="G82" s="35">
        <v>6.4935064935064929E-2</v>
      </c>
      <c r="H82" s="53"/>
      <c r="I82" s="126">
        <v>0</v>
      </c>
      <c r="J82" s="127">
        <v>0</v>
      </c>
      <c r="K82" s="127">
        <v>0</v>
      </c>
      <c r="L82" s="127">
        <v>0</v>
      </c>
      <c r="M82" s="128">
        <v>0</v>
      </c>
      <c r="N82" s="128">
        <v>0</v>
      </c>
      <c r="O82" s="128">
        <v>0</v>
      </c>
      <c r="P82" s="127">
        <v>0</v>
      </c>
      <c r="Q82" s="127">
        <v>0</v>
      </c>
      <c r="R82" s="127">
        <v>0</v>
      </c>
      <c r="S82" s="127">
        <v>0</v>
      </c>
      <c r="T82" s="127">
        <v>0</v>
      </c>
      <c r="U82" s="127">
        <v>0</v>
      </c>
      <c r="V82" s="127">
        <v>0</v>
      </c>
      <c r="W82" s="127">
        <v>0</v>
      </c>
      <c r="X82" s="127">
        <v>0</v>
      </c>
      <c r="Y82" s="127">
        <v>0</v>
      </c>
      <c r="Z82" s="127">
        <v>0</v>
      </c>
      <c r="AA82" s="127">
        <v>0</v>
      </c>
      <c r="AB82" s="127">
        <v>0</v>
      </c>
      <c r="AC82" s="127">
        <v>0</v>
      </c>
      <c r="AD82" s="127">
        <v>0</v>
      </c>
      <c r="AE82" s="127">
        <v>0</v>
      </c>
      <c r="AF82" s="127">
        <v>0</v>
      </c>
      <c r="AG82" s="127">
        <v>0</v>
      </c>
      <c r="AH82" s="127">
        <v>0</v>
      </c>
      <c r="AI82" s="127">
        <v>0</v>
      </c>
      <c r="AJ82" s="127">
        <v>0</v>
      </c>
      <c r="AK82" s="127">
        <v>0</v>
      </c>
      <c r="AL82" s="127">
        <v>0</v>
      </c>
      <c r="AM82" s="127">
        <v>0</v>
      </c>
      <c r="AN82" s="127">
        <v>0</v>
      </c>
      <c r="AO82" s="127">
        <v>0</v>
      </c>
      <c r="AP82" s="127">
        <v>0</v>
      </c>
      <c r="AQ82" s="127">
        <v>0</v>
      </c>
      <c r="AR82" s="127">
        <v>0</v>
      </c>
      <c r="AS82" s="127">
        <v>0</v>
      </c>
      <c r="AT82" s="127">
        <v>0</v>
      </c>
      <c r="AU82" s="127">
        <v>0</v>
      </c>
      <c r="AV82" s="127">
        <v>0</v>
      </c>
      <c r="AW82" s="127">
        <v>0</v>
      </c>
      <c r="AX82" s="127">
        <v>0</v>
      </c>
      <c r="AY82" s="127">
        <v>0</v>
      </c>
      <c r="AZ82" s="127">
        <v>0</v>
      </c>
      <c r="BA82" s="127">
        <v>0</v>
      </c>
      <c r="BB82" s="127">
        <f>Planbase100[[#This Row],[05/05/25]]+(1-Planbase100[[#This Row],[05/05/25]])*'Plan 39'!I47</f>
        <v>0</v>
      </c>
      <c r="BC82" s="127">
        <f>Planbase100[[#This Row],[05/05/25]]+(1-Planbase100[[#This Row],[05/05/25]])*'Plan 39'!J47</f>
        <v>0</v>
      </c>
      <c r="BD82" s="127">
        <f>Planbase100[[#This Row],[05/05/25]]+(1-Planbase100[[#This Row],[05/05/25]])*'Plan 39'!K47</f>
        <v>0</v>
      </c>
      <c r="BE82" s="127">
        <f>Planbase100[[#This Row],[05/05/25]]+(1-Planbase100[[#This Row],[05/05/25]])*'Plan 39'!L47</f>
        <v>0</v>
      </c>
      <c r="BF82" s="127">
        <f>Planbase100[[#This Row],[05/05/25]]+(1-Planbase100[[#This Row],[05/05/25]])*'Plan 39'!M47</f>
        <v>0</v>
      </c>
      <c r="BG82" s="127">
        <f>Planbase100[[#This Row],[05/05/25]]+(1-Planbase100[[#This Row],[05/05/25]])*'Plan 39'!N47</f>
        <v>0</v>
      </c>
      <c r="BH82" s="127">
        <f>Planbase100[[#This Row],[05/05/25]]+(1-Planbase100[[#This Row],[05/05/25]])*'Plan 39'!O47</f>
        <v>0</v>
      </c>
      <c r="BI82" s="127">
        <f>Planbase100[[#This Row],[05/05/25]]+(1-Planbase100[[#This Row],[05/05/25]])*'Plan 39'!P47</f>
        <v>0</v>
      </c>
      <c r="BJ82" s="127">
        <f>Planbase100[[#This Row],[05/05/25]]+(1-Planbase100[[#This Row],[05/05/25]])*'Plan 39'!Q47</f>
        <v>0</v>
      </c>
      <c r="BK82" s="127">
        <f>Planbase100[[#This Row],[05/05/25]]+(1-Planbase100[[#This Row],[05/05/25]])*'Plan 39'!R47</f>
        <v>0</v>
      </c>
      <c r="BL82" s="127">
        <f>Planbase100[[#This Row],[05/05/25]]+(1-Planbase100[[#This Row],[05/05/25]])*'Plan 39'!S47</f>
        <v>0</v>
      </c>
      <c r="BM82" s="127">
        <f>Planbase100[[#This Row],[05/05/25]]+(1-Planbase100[[#This Row],[05/05/25]])*'Plan 39'!T47</f>
        <v>0</v>
      </c>
      <c r="BN82" s="127">
        <f>Planbase100[[#This Row],[05/05/25]]+(1-Planbase100[[#This Row],[05/05/25]])*'Plan 39'!U47</f>
        <v>0</v>
      </c>
      <c r="BO82" s="127">
        <f>Planbase100[[#This Row],[05/05/25]]+(1-Planbase100[[#This Row],[05/05/25]])*'Plan 39'!V47</f>
        <v>0</v>
      </c>
      <c r="BP82" s="127">
        <f>Planbase100[[#This Row],[05/05/25]]+(1-Planbase100[[#This Row],[05/05/25]])*'Plan 39'!W47</f>
        <v>0</v>
      </c>
      <c r="BQ82" s="127">
        <f>Planbase100[[#This Row],[05/05/25]]+(1-Planbase100[[#This Row],[05/05/25]])*'Plan 39'!X47</f>
        <v>0</v>
      </c>
      <c r="BR82" s="127">
        <f>Planbase100[[#This Row],[05/05/25]]+(1-Planbase100[[#This Row],[05/05/25]])*'Plan 39'!Y47</f>
        <v>0</v>
      </c>
      <c r="BS82" s="127">
        <f>Planbase100[[#This Row],[05/05/25]]+(1-Planbase100[[#This Row],[05/05/25]])*'Plan 39'!Z47</f>
        <v>0</v>
      </c>
      <c r="BT82" s="127">
        <f>Planbase100[[#This Row],[05/05/25]]+(1-Planbase100[[#This Row],[05/05/25]])*'Plan 39'!AA47</f>
        <v>0.5</v>
      </c>
      <c r="BU82" s="127">
        <f>Planbase100[[#This Row],[05/05/25]]+(1-Planbase100[[#This Row],[05/05/25]])*'Plan 39'!AB47</f>
        <v>1</v>
      </c>
      <c r="BV82" s="127">
        <f>Planbase100[[#This Row],[05/05/25]]+(1-Planbase100[[#This Row],[05/05/25]])*'Plan 39'!AC47</f>
        <v>1</v>
      </c>
      <c r="BW82" s="127">
        <f>Planbase100[[#This Row],[05/05/25]]+(1-Planbase100[[#This Row],[05/05/25]])*'Plan 39'!AD47</f>
        <v>1</v>
      </c>
      <c r="BX82" s="127">
        <f>Planbase100[[#This Row],[05/05/25]]+(1-Planbase100[[#This Row],[05/05/25]])*'Plan 39'!AE47</f>
        <v>1</v>
      </c>
      <c r="BY82" s="127">
        <f>Planbase100[[#This Row],[05/05/25]]+(1-Planbase100[[#This Row],[05/05/25]])*'Plan 39'!AF47</f>
        <v>1</v>
      </c>
      <c r="BZ82" s="127">
        <f>Planbase100[[#This Row],[05/05/25]]+(1-Planbase100[[#This Row],[05/05/25]])*'Plan 39'!AG47</f>
        <v>1</v>
      </c>
      <c r="CA82" s="127">
        <f>Planbase100[[#This Row],[05/05/25]]+(1-Planbase100[[#This Row],[05/05/25]])*'Plan 39'!AH47</f>
        <v>1</v>
      </c>
      <c r="CB82" s="127">
        <f>Planbase100[[#This Row],[05/05/25]]+(1-Planbase100[[#This Row],[05/05/25]])*'Plan 39'!AI47</f>
        <v>1</v>
      </c>
      <c r="CC82" s="127">
        <f>Planbase100[[#This Row],[05/05/25]]+(1-Planbase100[[#This Row],[05/05/25]])*'Plan 39'!AJ47</f>
        <v>1</v>
      </c>
      <c r="CD82" s="127">
        <f>Planbase100[[#This Row],[05/05/25]]+(1-Planbase100[[#This Row],[05/05/25]])*'Plan 39'!AK47</f>
        <v>1</v>
      </c>
      <c r="CE82" s="127">
        <f>Planbase100[[#This Row],[05/05/25]]+(1-Planbase100[[#This Row],[05/05/25]])*'Plan 39'!AL47</f>
        <v>1</v>
      </c>
      <c r="CF82" s="127">
        <f>Planbase100[[#This Row],[05/05/25]]+(1-Planbase100[[#This Row],[05/05/25]])*'Plan 39'!AM47</f>
        <v>1</v>
      </c>
      <c r="CG82" s="127">
        <f>Planbase100[[#This Row],[05/05/25]]+(1-Planbase100[[#This Row],[05/05/25]])*'Plan 39'!AN47</f>
        <v>1</v>
      </c>
      <c r="CH82" s="127">
        <f>Planbase100[[#This Row],[05/05/25]]+(1-Planbase100[[#This Row],[05/05/25]])*'Plan 39'!AO47</f>
        <v>1</v>
      </c>
      <c r="CI82" s="127">
        <f>Planbase100[[#This Row],[05/05/25]]+(1-Planbase100[[#This Row],[05/05/25]])*'Plan 39'!AP47</f>
        <v>1</v>
      </c>
      <c r="CJ82" s="127">
        <f>Planbase100[[#This Row],[05/05/25]]+(1-Planbase100[[#This Row],[05/05/25]])*'Plan 39'!AQ47</f>
        <v>1</v>
      </c>
      <c r="CK82" s="127">
        <f>Planbase100[[#This Row],[05/05/25]]+(1-Planbase100[[#This Row],[05/05/25]])*'Plan 39'!AR47</f>
        <v>1</v>
      </c>
      <c r="CL82" s="127">
        <f>Planbase100[[#This Row],[05/05/25]]+(1-Planbase100[[#This Row],[05/05/25]])*'Plan 39'!AS47</f>
        <v>1</v>
      </c>
      <c r="CM82" s="127">
        <f>Planbase100[[#This Row],[05/05/25]]+(1-Planbase100[[#This Row],[05/05/25]])*'Plan 39'!AT47</f>
        <v>1</v>
      </c>
      <c r="CN82" s="127">
        <f>Planbase100[[#This Row],[05/05/25]]+(1-Planbase100[[#This Row],[05/05/25]])*'Plan 39'!AU47</f>
        <v>1</v>
      </c>
      <c r="CO82" s="127">
        <f>Planbase100[[#This Row],[05/05/25]]+(1-Planbase100[[#This Row],[05/05/25]])*'Plan 39'!AV47</f>
        <v>1</v>
      </c>
      <c r="CP82" s="127">
        <f>Planbase100[[#This Row],[05/05/25]]+(1-Planbase100[[#This Row],[05/05/25]])*'Plan 39'!AW47</f>
        <v>1</v>
      </c>
      <c r="CQ82" s="127">
        <f>Planbase100[[#This Row],[05/05/25]]+(1-Planbase100[[#This Row],[05/05/25]])*'Plan 39'!AX47</f>
        <v>1</v>
      </c>
      <c r="CR82" s="127">
        <f>Planbase100[[#This Row],[05/05/25]]+(1-Planbase100[[#This Row],[05/05/25]])*'Plan 39'!AY47</f>
        <v>1</v>
      </c>
      <c r="CS82" s="127">
        <f>Planbase100[[#This Row],[05/05/25]]+(1-Planbase100[[#This Row],[05/05/25]])*'Plan 39'!AZ47</f>
        <v>1</v>
      </c>
      <c r="CT82" s="127">
        <f>Planbase100[[#This Row],[05/05/25]]+(1-Planbase100[[#This Row],[05/05/25]])*'Plan 39'!BA47</f>
        <v>1</v>
      </c>
      <c r="CU82" s="127">
        <f>Planbase100[[#This Row],[05/05/25]]+(1-Planbase100[[#This Row],[05/05/25]])*'Plan 39'!BB47</f>
        <v>1</v>
      </c>
      <c r="CV82" s="127">
        <f>Planbase100[[#This Row],[05/05/25]]+(1-Planbase100[[#This Row],[05/05/25]])*'Plan 39'!BC47</f>
        <v>1</v>
      </c>
      <c r="CW82" s="127">
        <f>Planbase100[[#This Row],[05/05/25]]+(1-Planbase100[[#This Row],[05/05/25]])*'Plan 39'!BD47</f>
        <v>1</v>
      </c>
      <c r="CX82" s="127">
        <f>Planbase100[[#This Row],[05/05/25]]+(1-Planbase100[[#This Row],[05/05/25]])*'Plan 39'!BE47</f>
        <v>1</v>
      </c>
      <c r="CY82" s="127">
        <f>Planbase100[[#This Row],[05/05/25]]+(1-Planbase100[[#This Row],[05/05/25]])*'Plan 39'!BF47</f>
        <v>1</v>
      </c>
      <c r="CZ82" s="127">
        <f>Planbase100[[#This Row],[05/05/25]]+(1-Planbase100[[#This Row],[05/05/25]])*'Plan 39'!BG47</f>
        <v>1</v>
      </c>
      <c r="DA82" s="127">
        <f>Planbase100[[#This Row],[05/05/25]]+(1-Planbase100[[#This Row],[05/05/25]])*'Plan 39'!BH47</f>
        <v>1</v>
      </c>
      <c r="DB82" s="127">
        <f>Planbase100[[#This Row],[05/05/25]]+(1-Planbase100[[#This Row],[05/05/25]])*'Plan 39'!BI47</f>
        <v>1</v>
      </c>
      <c r="DC82" s="127">
        <f>Planbase100[[#This Row],[05/05/25]]+(1-Planbase100[[#This Row],[05/05/25]])*'Plan 39'!BJ47</f>
        <v>1</v>
      </c>
      <c r="DD82" s="127">
        <f>Planbase100[[#This Row],[05/05/25]]+(1-Planbase100[[#This Row],[05/05/25]])*'Plan 39'!BK47</f>
        <v>1</v>
      </c>
      <c r="DE82" s="127">
        <f>Planbase100[[#This Row],[05/05/25]]+(1-Planbase100[[#This Row],[05/05/25]])*'Plan 39'!BL47</f>
        <v>1</v>
      </c>
      <c r="DF82" s="127">
        <f>Planbase100[[#This Row],[12/05/25]]+(1-Planbase100[[#This Row],[12/05/25]])*'Plan 39'!BM47</f>
        <v>1</v>
      </c>
      <c r="DG82" s="127">
        <f>Planbase100[[#This Row],[19/05/25]]+(1-Planbase100[[#This Row],[19/05/25]])*'Plan 39'!BN47</f>
        <v>1</v>
      </c>
      <c r="DH82" s="127">
        <f>Planbase100[[#This Row],[26/05/25]]+(1-Planbase100[[#This Row],[26/05/25]])*'Plan 39'!BO47</f>
        <v>1</v>
      </c>
      <c r="DI82" s="127">
        <f>Planbase100[[#This Row],[02/06/25]]+(1-Planbase100[[#This Row],[02/06/25]])*'Plan 39'!BP47</f>
        <v>1</v>
      </c>
      <c r="DJ82" s="127">
        <f>Planbase100[[#This Row],[09/06/25]]+(1-Planbase100[[#This Row],[09/06/25]])*'Plan 39'!BQ47</f>
        <v>1</v>
      </c>
      <c r="DK82" s="127">
        <f>Planbase100[[#This Row],[16/06/25]]+(1-Planbase100[[#This Row],[16/06/25]])*'Plan 39'!BR47</f>
        <v>1</v>
      </c>
      <c r="DL82" s="127">
        <f>Planbase100[[#This Row],[23/06/25]]+(1-Planbase100[[#This Row],[23/06/25]])*'Plan 39'!BS47</f>
        <v>1</v>
      </c>
      <c r="DM82" s="127">
        <f>Planbase100[[#This Row],[30/06/25]]+(1-Planbase100[[#This Row],[30/06/25]])*'Plan 39'!BT47</f>
        <v>1</v>
      </c>
      <c r="DN82" s="127">
        <f>Planbase100[[#This Row],[07/07/25]]+(1-Planbase100[[#This Row],[07/07/25]])*'Plan 39'!BU47</f>
        <v>1</v>
      </c>
      <c r="DO82" s="127">
        <f>Planbase100[[#This Row],[14/07/25]]+(1-Planbase100[[#This Row],[14/07/25]])*'Plan 39'!BV47</f>
        <v>1</v>
      </c>
      <c r="DP82" s="127">
        <f>Planbase100[[#This Row],[21/07/25]]+(1-Planbase100[[#This Row],[21/07/25]])*'Plan 39'!BW47</f>
        <v>1</v>
      </c>
      <c r="DQ82" s="127">
        <f>Planbase100[[#This Row],[28/07/25]]+(1-Planbase100[[#This Row],[28/07/25]])*'Plan 39'!BX47</f>
        <v>1</v>
      </c>
      <c r="DR82" s="127">
        <f>Planbase100[[#This Row],[04/08/25]]+(1-Planbase100[[#This Row],[04/08/25]])*'Plan 39'!BY47</f>
        <v>1</v>
      </c>
      <c r="DS82" s="127">
        <f>Planbase100[[#This Row],[11/08/25]]+(1-Planbase100[[#This Row],[11/08/25]])*'Plan 39'!BZ47</f>
        <v>1</v>
      </c>
      <c r="DT82" s="127">
        <f>Planbase100[[#This Row],[18/08/25]]+(1-Planbase100[[#This Row],[18/08/25]])*'Plan 39'!CA47</f>
        <v>1</v>
      </c>
      <c r="DU82" s="127">
        <f>Planbase100[[#This Row],[25/08/25]]+(1-Planbase100[[#This Row],[25/08/25]])*'Plan 39'!CB47</f>
        <v>1</v>
      </c>
      <c r="DV82" s="127">
        <f>Planbase100[[#This Row],[01/09/25]]+(1-Planbase100[[#This Row],[01/09/25]])*'Plan 39'!CC47</f>
        <v>1</v>
      </c>
      <c r="DW82" s="127">
        <f>Planbase100[[#This Row],[08/09/25]]+(1-Planbase100[[#This Row],[08/09/25]])*'Plan 39'!CD47</f>
        <v>1</v>
      </c>
      <c r="DX82" s="127">
        <f>Planbase100[[#This Row],[15/09/25]]+(1-Planbase100[[#This Row],[15/09/25]])*'Plan 39'!CE47</f>
        <v>1</v>
      </c>
      <c r="DY82" s="127">
        <f>Planbase100[[#This Row],[22/09/25]]+(1-Planbase100[[#This Row],[22/09/25]])*'Plan 39'!CF47</f>
        <v>1</v>
      </c>
      <c r="DZ82" s="127">
        <f>Planbase100[[#This Row],[29/09/25]]+(1-Planbase100[[#This Row],[29/09/25]])*'Plan 39'!CG47</f>
        <v>1</v>
      </c>
      <c r="EA82" s="127">
        <f>Planbase100[[#This Row],[06/10/25]]+(1-Planbase100[[#This Row],[06/10/25]])*'Plan 39'!CH47</f>
        <v>1</v>
      </c>
      <c r="EB82" s="127">
        <f>Planbase100[[#This Row],[13/10/25]]+(1-Planbase100[[#This Row],[13/10/25]])*'Plan 39'!CI47</f>
        <v>1</v>
      </c>
      <c r="EC82" s="127">
        <f>Planbase100[[#This Row],[20/10/25]]+(1-Planbase100[[#This Row],[20/10/25]])*'Plan 39'!CJ47</f>
        <v>1</v>
      </c>
      <c r="ED82" s="127">
        <f>Planbase100[[#This Row],[27/10/25]]+(1-Planbase100[[#This Row],[27/10/25]])*'Plan 39'!CK47</f>
        <v>1</v>
      </c>
      <c r="EE82" s="127">
        <f>Planbase100[[#This Row],[03/11/25]]+(1-Planbase100[[#This Row],[03/11/25]])*'Plan 39'!CL47</f>
        <v>1</v>
      </c>
      <c r="EF82" s="127">
        <f>Planbase100[[#This Row],[10/11/25]]+(1-Planbase100[[#This Row],[10/11/25]])*'Plan 39'!CM47</f>
        <v>1</v>
      </c>
      <c r="EG82" s="127">
        <f>Planbase100[[#This Row],[17/11/25]]+(1-Planbase100[[#This Row],[17/11/25]])*'Plan 39'!CN47</f>
        <v>1</v>
      </c>
      <c r="EH82" s="127">
        <f>Planbase100[[#This Row],[24/11/25]]+(1-Planbase100[[#This Row],[24/11/25]])*'Plan 39'!CO47</f>
        <v>1</v>
      </c>
      <c r="EI82" s="127">
        <f>Planbase100[[#This Row],[01/12/25]]+(1-Planbase100[[#This Row],[01/12/25]])*'Plan 39'!CP47</f>
        <v>1</v>
      </c>
    </row>
    <row r="83" spans="2:139" hidden="1" outlineLevel="3" x14ac:dyDescent="0.3">
      <c r="B83" s="29"/>
      <c r="C83" s="30"/>
      <c r="D83" s="30"/>
      <c r="E83" s="52" t="s">
        <v>87</v>
      </c>
      <c r="F83" s="33">
        <v>20</v>
      </c>
      <c r="G83" s="35">
        <v>0.25974025974025972</v>
      </c>
      <c r="H83" s="53"/>
      <c r="I83" s="126">
        <v>0</v>
      </c>
      <c r="J83" s="127">
        <v>0</v>
      </c>
      <c r="K83" s="127">
        <v>0</v>
      </c>
      <c r="L83" s="127">
        <v>0</v>
      </c>
      <c r="M83" s="128">
        <v>0</v>
      </c>
      <c r="N83" s="128">
        <v>0</v>
      </c>
      <c r="O83" s="128">
        <v>0</v>
      </c>
      <c r="P83" s="127">
        <v>0</v>
      </c>
      <c r="Q83" s="127">
        <v>0</v>
      </c>
      <c r="R83" s="127">
        <v>0</v>
      </c>
      <c r="S83" s="127">
        <v>5.680000000000001E-2</v>
      </c>
      <c r="T83" s="127">
        <v>8.6749999999999994E-2</v>
      </c>
      <c r="U83" s="127">
        <v>0.23100000000000004</v>
      </c>
      <c r="V83" s="127">
        <v>0.23749999999999999</v>
      </c>
      <c r="W83" s="127">
        <v>1</v>
      </c>
      <c r="X83" s="127">
        <v>1</v>
      </c>
      <c r="Y83" s="127">
        <v>1</v>
      </c>
      <c r="Z83" s="127">
        <v>1</v>
      </c>
      <c r="AA83" s="127">
        <v>1</v>
      </c>
      <c r="AB83" s="127">
        <v>1</v>
      </c>
      <c r="AC83" s="127">
        <v>1</v>
      </c>
      <c r="AD83" s="127">
        <v>1</v>
      </c>
      <c r="AE83" s="127">
        <v>1</v>
      </c>
      <c r="AF83" s="127">
        <v>1</v>
      </c>
      <c r="AG83" s="127">
        <v>1</v>
      </c>
      <c r="AH83" s="127">
        <v>1</v>
      </c>
      <c r="AI83" s="127">
        <v>1</v>
      </c>
      <c r="AJ83" s="127">
        <v>1</v>
      </c>
      <c r="AK83" s="127">
        <v>1</v>
      </c>
      <c r="AL83" s="127">
        <v>1</v>
      </c>
      <c r="AM83" s="127">
        <v>1</v>
      </c>
      <c r="AN83" s="127">
        <v>1</v>
      </c>
      <c r="AO83" s="127">
        <v>1</v>
      </c>
      <c r="AP83" s="127">
        <v>1</v>
      </c>
      <c r="AQ83" s="127">
        <v>1</v>
      </c>
      <c r="AR83" s="127">
        <v>1</v>
      </c>
      <c r="AS83" s="127">
        <v>1</v>
      </c>
      <c r="AT83" s="127">
        <v>1</v>
      </c>
      <c r="AU83" s="127">
        <v>1</v>
      </c>
      <c r="AV83" s="127">
        <v>1</v>
      </c>
      <c r="AW83" s="127">
        <v>1</v>
      </c>
      <c r="AX83" s="127">
        <v>1</v>
      </c>
      <c r="AY83" s="127">
        <v>1</v>
      </c>
      <c r="AZ83" s="127">
        <v>1</v>
      </c>
      <c r="BA83" s="127">
        <v>1</v>
      </c>
      <c r="BB83" s="127">
        <v>1</v>
      </c>
      <c r="BC83" s="127">
        <v>1</v>
      </c>
      <c r="BD83" s="127">
        <v>1</v>
      </c>
      <c r="BE83" s="127">
        <v>1</v>
      </c>
      <c r="BF83" s="127">
        <v>1</v>
      </c>
      <c r="BG83" s="127">
        <v>1</v>
      </c>
      <c r="BH83" s="127">
        <v>1</v>
      </c>
      <c r="BI83" s="127">
        <v>1</v>
      </c>
      <c r="BJ83" s="127">
        <v>1</v>
      </c>
      <c r="BK83" s="127">
        <v>1</v>
      </c>
      <c r="BL83" s="127">
        <v>1</v>
      </c>
      <c r="BM83" s="127">
        <v>1</v>
      </c>
      <c r="BN83" s="127">
        <v>1</v>
      </c>
      <c r="BO83" s="127">
        <v>1</v>
      </c>
      <c r="BP83" s="127">
        <v>1</v>
      </c>
      <c r="BQ83" s="127">
        <v>1</v>
      </c>
      <c r="BR83" s="127">
        <v>1</v>
      </c>
      <c r="BS83" s="127">
        <v>1</v>
      </c>
      <c r="BT83" s="127">
        <v>1</v>
      </c>
      <c r="BU83" s="127">
        <v>1</v>
      </c>
      <c r="BV83" s="127">
        <v>1</v>
      </c>
      <c r="BW83" s="127">
        <v>1</v>
      </c>
      <c r="BX83" s="127">
        <v>1</v>
      </c>
      <c r="BY83" s="127">
        <v>1</v>
      </c>
      <c r="BZ83" s="127">
        <v>1</v>
      </c>
      <c r="CA83" s="127">
        <v>1</v>
      </c>
      <c r="CB83" s="127">
        <v>1</v>
      </c>
      <c r="CC83" s="127">
        <v>1</v>
      </c>
      <c r="CD83" s="127">
        <v>1</v>
      </c>
      <c r="CE83" s="127">
        <v>1</v>
      </c>
      <c r="CF83" s="127">
        <v>1</v>
      </c>
      <c r="CG83" s="127">
        <v>1</v>
      </c>
      <c r="CH83" s="127">
        <v>1</v>
      </c>
      <c r="CI83" s="127">
        <v>1</v>
      </c>
      <c r="CJ83" s="127">
        <v>1</v>
      </c>
      <c r="CK83" s="127">
        <v>1</v>
      </c>
      <c r="CL83" s="127">
        <v>1</v>
      </c>
      <c r="CM83" s="127">
        <v>1</v>
      </c>
      <c r="CN83" s="127">
        <v>1</v>
      </c>
      <c r="CO83" s="127">
        <v>1</v>
      </c>
      <c r="CP83" s="127">
        <v>1</v>
      </c>
      <c r="CQ83" s="127">
        <v>1</v>
      </c>
      <c r="CR83" s="127">
        <v>1</v>
      </c>
      <c r="CS83" s="127">
        <v>1</v>
      </c>
      <c r="CT83" s="127">
        <v>1</v>
      </c>
      <c r="CU83" s="127">
        <v>1</v>
      </c>
      <c r="CV83" s="127">
        <v>1</v>
      </c>
      <c r="CW83" s="127">
        <v>1</v>
      </c>
      <c r="CX83" s="127">
        <v>1</v>
      </c>
      <c r="CY83" s="127">
        <v>1</v>
      </c>
      <c r="CZ83" s="127">
        <v>1</v>
      </c>
      <c r="DA83" s="127">
        <v>1</v>
      </c>
      <c r="DB83" s="127">
        <v>1</v>
      </c>
      <c r="DC83" s="127">
        <v>1</v>
      </c>
      <c r="DD83" s="127">
        <v>1</v>
      </c>
      <c r="DE83" s="127">
        <v>1</v>
      </c>
      <c r="DF83" s="127">
        <v>1</v>
      </c>
      <c r="DG83" s="127">
        <v>1</v>
      </c>
      <c r="DH83" s="127">
        <v>1</v>
      </c>
      <c r="DI83" s="127">
        <v>1</v>
      </c>
      <c r="DJ83" s="127">
        <v>1</v>
      </c>
      <c r="DK83" s="127">
        <v>1</v>
      </c>
      <c r="DL83" s="127">
        <v>1</v>
      </c>
      <c r="DM83" s="127">
        <v>1</v>
      </c>
      <c r="DN83" s="127">
        <v>1</v>
      </c>
      <c r="DO83" s="127">
        <v>1</v>
      </c>
      <c r="DP83" s="127">
        <v>1</v>
      </c>
      <c r="DQ83" s="127">
        <v>1</v>
      </c>
      <c r="DR83" s="127">
        <v>1</v>
      </c>
      <c r="DS83" s="127">
        <v>1</v>
      </c>
      <c r="DT83" s="127">
        <v>1</v>
      </c>
      <c r="DU83" s="127">
        <v>1</v>
      </c>
      <c r="DV83" s="127">
        <v>1</v>
      </c>
      <c r="DW83" s="127">
        <v>1</v>
      </c>
      <c r="DX83" s="127">
        <v>1</v>
      </c>
      <c r="DY83" s="127">
        <v>1</v>
      </c>
      <c r="DZ83" s="127">
        <v>1</v>
      </c>
      <c r="EA83" s="127">
        <v>1</v>
      </c>
      <c r="EB83" s="127">
        <v>1</v>
      </c>
      <c r="EC83" s="127">
        <v>1</v>
      </c>
      <c r="ED83" s="127">
        <v>1</v>
      </c>
      <c r="EE83" s="127">
        <v>1</v>
      </c>
      <c r="EF83" s="127">
        <v>1</v>
      </c>
      <c r="EG83" s="127">
        <v>1</v>
      </c>
      <c r="EH83" s="127">
        <v>1</v>
      </c>
      <c r="EI83" s="127">
        <v>1</v>
      </c>
    </row>
    <row r="84" spans="2:139" hidden="1" outlineLevel="3" x14ac:dyDescent="0.3">
      <c r="B84" s="29"/>
      <c r="C84" s="30"/>
      <c r="D84" s="30"/>
      <c r="E84" s="52" t="s">
        <v>88</v>
      </c>
      <c r="F84" s="33">
        <v>20</v>
      </c>
      <c r="G84" s="35">
        <v>0.25974025974025972</v>
      </c>
      <c r="H84" s="53"/>
      <c r="I84" s="126">
        <v>0</v>
      </c>
      <c r="J84" s="127">
        <v>0</v>
      </c>
      <c r="K84" s="127">
        <v>0</v>
      </c>
      <c r="L84" s="127">
        <v>0</v>
      </c>
      <c r="M84" s="128">
        <v>0</v>
      </c>
      <c r="N84" s="128">
        <v>0</v>
      </c>
      <c r="O84" s="128">
        <v>0</v>
      </c>
      <c r="P84" s="127">
        <v>0</v>
      </c>
      <c r="Q84" s="127">
        <v>0</v>
      </c>
      <c r="R84" s="127">
        <v>0</v>
      </c>
      <c r="S84" s="127">
        <v>0</v>
      </c>
      <c r="T84" s="127">
        <v>0</v>
      </c>
      <c r="U84" s="127">
        <v>0</v>
      </c>
      <c r="V84" s="127">
        <v>0</v>
      </c>
      <c r="W84" s="127">
        <v>0</v>
      </c>
      <c r="X84" s="127">
        <v>0</v>
      </c>
      <c r="Y84" s="127">
        <v>0</v>
      </c>
      <c r="Z84" s="127">
        <v>0</v>
      </c>
      <c r="AA84" s="127">
        <v>1</v>
      </c>
      <c r="AB84" s="127">
        <v>1</v>
      </c>
      <c r="AC84" s="127">
        <v>1</v>
      </c>
      <c r="AD84" s="127">
        <v>1</v>
      </c>
      <c r="AE84" s="127">
        <v>1</v>
      </c>
      <c r="AF84" s="127">
        <v>1</v>
      </c>
      <c r="AG84" s="127">
        <v>1</v>
      </c>
      <c r="AH84" s="127">
        <v>1</v>
      </c>
      <c r="AI84" s="127">
        <v>1</v>
      </c>
      <c r="AJ84" s="127">
        <v>1</v>
      </c>
      <c r="AK84" s="127">
        <v>1</v>
      </c>
      <c r="AL84" s="127">
        <v>1</v>
      </c>
      <c r="AM84" s="127">
        <v>1</v>
      </c>
      <c r="AN84" s="127">
        <v>1</v>
      </c>
      <c r="AO84" s="127">
        <v>1</v>
      </c>
      <c r="AP84" s="127">
        <v>1</v>
      </c>
      <c r="AQ84" s="127">
        <v>1</v>
      </c>
      <c r="AR84" s="127">
        <v>1</v>
      </c>
      <c r="AS84" s="127">
        <v>1</v>
      </c>
      <c r="AT84" s="127">
        <v>1</v>
      </c>
      <c r="AU84" s="127">
        <v>1</v>
      </c>
      <c r="AV84" s="127">
        <v>1</v>
      </c>
      <c r="AW84" s="127">
        <v>1</v>
      </c>
      <c r="AX84" s="127">
        <v>1</v>
      </c>
      <c r="AY84" s="127">
        <v>1</v>
      </c>
      <c r="AZ84" s="127">
        <v>1</v>
      </c>
      <c r="BA84" s="127">
        <v>1</v>
      </c>
      <c r="BB84" s="127">
        <v>1</v>
      </c>
      <c r="BC84" s="127">
        <v>1</v>
      </c>
      <c r="BD84" s="127">
        <v>1</v>
      </c>
      <c r="BE84" s="127">
        <v>1</v>
      </c>
      <c r="BF84" s="127">
        <v>1</v>
      </c>
      <c r="BG84" s="127">
        <v>1</v>
      </c>
      <c r="BH84" s="127">
        <v>1</v>
      </c>
      <c r="BI84" s="127">
        <v>1</v>
      </c>
      <c r="BJ84" s="127">
        <v>1</v>
      </c>
      <c r="BK84" s="127">
        <v>1</v>
      </c>
      <c r="BL84" s="127">
        <v>1</v>
      </c>
      <c r="BM84" s="127">
        <v>1</v>
      </c>
      <c r="BN84" s="127">
        <v>1</v>
      </c>
      <c r="BO84" s="127">
        <v>1</v>
      </c>
      <c r="BP84" s="127">
        <v>1</v>
      </c>
      <c r="BQ84" s="127">
        <v>1</v>
      </c>
      <c r="BR84" s="127">
        <v>1</v>
      </c>
      <c r="BS84" s="127">
        <v>1</v>
      </c>
      <c r="BT84" s="127">
        <v>1</v>
      </c>
      <c r="BU84" s="127">
        <v>1</v>
      </c>
      <c r="BV84" s="127">
        <v>1</v>
      </c>
      <c r="BW84" s="127">
        <v>1</v>
      </c>
      <c r="BX84" s="127">
        <v>1</v>
      </c>
      <c r="BY84" s="127">
        <v>1</v>
      </c>
      <c r="BZ84" s="127">
        <v>1</v>
      </c>
      <c r="CA84" s="127">
        <v>1</v>
      </c>
      <c r="CB84" s="127">
        <v>1</v>
      </c>
      <c r="CC84" s="127">
        <v>1</v>
      </c>
      <c r="CD84" s="127">
        <v>1</v>
      </c>
      <c r="CE84" s="127">
        <v>1</v>
      </c>
      <c r="CF84" s="127">
        <v>1</v>
      </c>
      <c r="CG84" s="127">
        <v>1</v>
      </c>
      <c r="CH84" s="127">
        <v>1</v>
      </c>
      <c r="CI84" s="127">
        <v>1</v>
      </c>
      <c r="CJ84" s="127">
        <v>1</v>
      </c>
      <c r="CK84" s="127">
        <v>1</v>
      </c>
      <c r="CL84" s="127">
        <v>1</v>
      </c>
      <c r="CM84" s="127">
        <v>1</v>
      </c>
      <c r="CN84" s="127">
        <v>1</v>
      </c>
      <c r="CO84" s="127">
        <v>1</v>
      </c>
      <c r="CP84" s="127">
        <v>1</v>
      </c>
      <c r="CQ84" s="127">
        <v>1</v>
      </c>
      <c r="CR84" s="127">
        <v>1</v>
      </c>
      <c r="CS84" s="127">
        <v>1</v>
      </c>
      <c r="CT84" s="127">
        <v>1</v>
      </c>
      <c r="CU84" s="127">
        <v>1</v>
      </c>
      <c r="CV84" s="127">
        <v>1</v>
      </c>
      <c r="CW84" s="127">
        <v>1</v>
      </c>
      <c r="CX84" s="127">
        <v>1</v>
      </c>
      <c r="CY84" s="127">
        <v>1</v>
      </c>
      <c r="CZ84" s="127">
        <v>1</v>
      </c>
      <c r="DA84" s="127">
        <v>1</v>
      </c>
      <c r="DB84" s="127">
        <v>1</v>
      </c>
      <c r="DC84" s="127">
        <v>1</v>
      </c>
      <c r="DD84" s="127">
        <v>1</v>
      </c>
      <c r="DE84" s="127">
        <v>1</v>
      </c>
      <c r="DF84" s="127">
        <v>1</v>
      </c>
      <c r="DG84" s="127">
        <v>1</v>
      </c>
      <c r="DH84" s="127">
        <v>1</v>
      </c>
      <c r="DI84" s="127">
        <v>1</v>
      </c>
      <c r="DJ84" s="127">
        <v>1</v>
      </c>
      <c r="DK84" s="127">
        <v>1</v>
      </c>
      <c r="DL84" s="127">
        <v>1</v>
      </c>
      <c r="DM84" s="127">
        <v>1</v>
      </c>
      <c r="DN84" s="127">
        <v>1</v>
      </c>
      <c r="DO84" s="127">
        <v>1</v>
      </c>
      <c r="DP84" s="127">
        <v>1</v>
      </c>
      <c r="DQ84" s="127">
        <v>1</v>
      </c>
      <c r="DR84" s="127">
        <v>1</v>
      </c>
      <c r="DS84" s="127">
        <v>1</v>
      </c>
      <c r="DT84" s="127">
        <v>1</v>
      </c>
      <c r="DU84" s="127">
        <v>1</v>
      </c>
      <c r="DV84" s="127">
        <v>1</v>
      </c>
      <c r="DW84" s="127">
        <v>1</v>
      </c>
      <c r="DX84" s="127">
        <v>1</v>
      </c>
      <c r="DY84" s="127">
        <v>1</v>
      </c>
      <c r="DZ84" s="127">
        <v>1</v>
      </c>
      <c r="EA84" s="127">
        <v>1</v>
      </c>
      <c r="EB84" s="127">
        <v>1</v>
      </c>
      <c r="EC84" s="127">
        <v>1</v>
      </c>
      <c r="ED84" s="127">
        <v>1</v>
      </c>
      <c r="EE84" s="127">
        <v>1</v>
      </c>
      <c r="EF84" s="127">
        <v>1</v>
      </c>
      <c r="EG84" s="127">
        <v>1</v>
      </c>
      <c r="EH84" s="127">
        <v>1</v>
      </c>
      <c r="EI84" s="127">
        <v>1</v>
      </c>
    </row>
    <row r="85" spans="2:139" hidden="1" outlineLevel="3" x14ac:dyDescent="0.3">
      <c r="B85" s="29"/>
      <c r="C85" s="30"/>
      <c r="D85" s="30"/>
      <c r="E85" s="52" t="s">
        <v>89</v>
      </c>
      <c r="F85" s="33">
        <v>20</v>
      </c>
      <c r="G85" s="35">
        <v>0.25974025974025972</v>
      </c>
      <c r="H85" s="53"/>
      <c r="I85" s="126">
        <v>0</v>
      </c>
      <c r="J85" s="127">
        <v>0</v>
      </c>
      <c r="K85" s="127">
        <v>0</v>
      </c>
      <c r="L85" s="127">
        <v>0</v>
      </c>
      <c r="M85" s="128">
        <v>0</v>
      </c>
      <c r="N85" s="128">
        <v>0</v>
      </c>
      <c r="O85" s="128">
        <v>0</v>
      </c>
      <c r="P85" s="127">
        <v>0</v>
      </c>
      <c r="Q85" s="127">
        <v>0</v>
      </c>
      <c r="R85" s="127">
        <v>0</v>
      </c>
      <c r="S85" s="127">
        <v>0</v>
      </c>
      <c r="T85" s="127">
        <v>0</v>
      </c>
      <c r="U85" s="127">
        <v>0</v>
      </c>
      <c r="V85" s="127">
        <v>0.04</v>
      </c>
      <c r="W85" s="127">
        <v>1</v>
      </c>
      <c r="X85" s="127">
        <v>1</v>
      </c>
      <c r="Y85" s="127">
        <v>1</v>
      </c>
      <c r="Z85" s="127">
        <v>1</v>
      </c>
      <c r="AA85" s="127">
        <v>1</v>
      </c>
      <c r="AB85" s="127">
        <v>1</v>
      </c>
      <c r="AC85" s="127">
        <v>1</v>
      </c>
      <c r="AD85" s="127">
        <v>1</v>
      </c>
      <c r="AE85" s="127">
        <v>1</v>
      </c>
      <c r="AF85" s="127">
        <v>1</v>
      </c>
      <c r="AG85" s="127">
        <v>1</v>
      </c>
      <c r="AH85" s="127">
        <v>1</v>
      </c>
      <c r="AI85" s="127">
        <v>1</v>
      </c>
      <c r="AJ85" s="127">
        <v>1</v>
      </c>
      <c r="AK85" s="127">
        <v>1</v>
      </c>
      <c r="AL85" s="127">
        <v>1</v>
      </c>
      <c r="AM85" s="127">
        <v>1</v>
      </c>
      <c r="AN85" s="127">
        <v>1</v>
      </c>
      <c r="AO85" s="127">
        <v>1</v>
      </c>
      <c r="AP85" s="127">
        <v>1</v>
      </c>
      <c r="AQ85" s="127">
        <v>1</v>
      </c>
      <c r="AR85" s="127">
        <v>1</v>
      </c>
      <c r="AS85" s="127">
        <v>1</v>
      </c>
      <c r="AT85" s="127">
        <v>1</v>
      </c>
      <c r="AU85" s="127">
        <v>1</v>
      </c>
      <c r="AV85" s="127">
        <v>1</v>
      </c>
      <c r="AW85" s="127">
        <v>1</v>
      </c>
      <c r="AX85" s="127">
        <v>1</v>
      </c>
      <c r="AY85" s="127">
        <v>1</v>
      </c>
      <c r="AZ85" s="127">
        <v>1</v>
      </c>
      <c r="BA85" s="127">
        <v>1</v>
      </c>
      <c r="BB85" s="127">
        <v>1</v>
      </c>
      <c r="BC85" s="127">
        <v>1</v>
      </c>
      <c r="BD85" s="127">
        <v>1</v>
      </c>
      <c r="BE85" s="127">
        <v>1</v>
      </c>
      <c r="BF85" s="127">
        <v>1</v>
      </c>
      <c r="BG85" s="127">
        <v>1</v>
      </c>
      <c r="BH85" s="127">
        <v>1</v>
      </c>
      <c r="BI85" s="127">
        <v>1</v>
      </c>
      <c r="BJ85" s="127">
        <v>1</v>
      </c>
      <c r="BK85" s="127">
        <v>1</v>
      </c>
      <c r="BL85" s="127">
        <v>1</v>
      </c>
      <c r="BM85" s="127">
        <v>1</v>
      </c>
      <c r="BN85" s="127">
        <v>1</v>
      </c>
      <c r="BO85" s="127">
        <v>1</v>
      </c>
      <c r="BP85" s="127">
        <v>1</v>
      </c>
      <c r="BQ85" s="127">
        <v>1</v>
      </c>
      <c r="BR85" s="127">
        <v>1</v>
      </c>
      <c r="BS85" s="127">
        <v>1</v>
      </c>
      <c r="BT85" s="127">
        <v>1</v>
      </c>
      <c r="BU85" s="127">
        <v>1</v>
      </c>
      <c r="BV85" s="127">
        <v>1</v>
      </c>
      <c r="BW85" s="127">
        <v>1</v>
      </c>
      <c r="BX85" s="127">
        <v>1</v>
      </c>
      <c r="BY85" s="127">
        <v>1</v>
      </c>
      <c r="BZ85" s="127">
        <v>1</v>
      </c>
      <c r="CA85" s="127">
        <v>1</v>
      </c>
      <c r="CB85" s="127">
        <v>1</v>
      </c>
      <c r="CC85" s="127">
        <v>1</v>
      </c>
      <c r="CD85" s="127">
        <v>1</v>
      </c>
      <c r="CE85" s="127">
        <v>1</v>
      </c>
      <c r="CF85" s="127">
        <v>1</v>
      </c>
      <c r="CG85" s="127">
        <v>1</v>
      </c>
      <c r="CH85" s="127">
        <v>1</v>
      </c>
      <c r="CI85" s="127">
        <v>1</v>
      </c>
      <c r="CJ85" s="127">
        <v>1</v>
      </c>
      <c r="CK85" s="127">
        <v>1</v>
      </c>
      <c r="CL85" s="127">
        <v>1</v>
      </c>
      <c r="CM85" s="127">
        <v>1</v>
      </c>
      <c r="CN85" s="127">
        <v>1</v>
      </c>
      <c r="CO85" s="127">
        <v>1</v>
      </c>
      <c r="CP85" s="127">
        <v>1</v>
      </c>
      <c r="CQ85" s="127">
        <v>1</v>
      </c>
      <c r="CR85" s="127">
        <v>1</v>
      </c>
      <c r="CS85" s="127">
        <v>1</v>
      </c>
      <c r="CT85" s="127">
        <v>1</v>
      </c>
      <c r="CU85" s="127">
        <v>1</v>
      </c>
      <c r="CV85" s="127">
        <v>1</v>
      </c>
      <c r="CW85" s="127">
        <v>1</v>
      </c>
      <c r="CX85" s="127">
        <v>1</v>
      </c>
      <c r="CY85" s="127">
        <v>1</v>
      </c>
      <c r="CZ85" s="127">
        <v>1</v>
      </c>
      <c r="DA85" s="127">
        <v>1</v>
      </c>
      <c r="DB85" s="127">
        <v>1</v>
      </c>
      <c r="DC85" s="127">
        <v>1</v>
      </c>
      <c r="DD85" s="127">
        <v>1</v>
      </c>
      <c r="DE85" s="127">
        <v>1</v>
      </c>
      <c r="DF85" s="127">
        <v>1</v>
      </c>
      <c r="DG85" s="127">
        <v>1</v>
      </c>
      <c r="DH85" s="127">
        <v>1</v>
      </c>
      <c r="DI85" s="127">
        <v>1</v>
      </c>
      <c r="DJ85" s="127">
        <v>1</v>
      </c>
      <c r="DK85" s="127">
        <v>1</v>
      </c>
      <c r="DL85" s="127">
        <v>1</v>
      </c>
      <c r="DM85" s="127">
        <v>1</v>
      </c>
      <c r="DN85" s="127">
        <v>1</v>
      </c>
      <c r="DO85" s="127">
        <v>1</v>
      </c>
      <c r="DP85" s="127">
        <v>1</v>
      </c>
      <c r="DQ85" s="127">
        <v>1</v>
      </c>
      <c r="DR85" s="127">
        <v>1</v>
      </c>
      <c r="DS85" s="127">
        <v>1</v>
      </c>
      <c r="DT85" s="127">
        <v>1</v>
      </c>
      <c r="DU85" s="127">
        <v>1</v>
      </c>
      <c r="DV85" s="127">
        <v>1</v>
      </c>
      <c r="DW85" s="127">
        <v>1</v>
      </c>
      <c r="DX85" s="127">
        <v>1</v>
      </c>
      <c r="DY85" s="127">
        <v>1</v>
      </c>
      <c r="DZ85" s="127">
        <v>1</v>
      </c>
      <c r="EA85" s="127">
        <v>1</v>
      </c>
      <c r="EB85" s="127">
        <v>1</v>
      </c>
      <c r="EC85" s="127">
        <v>1</v>
      </c>
      <c r="ED85" s="127">
        <v>1</v>
      </c>
      <c r="EE85" s="127">
        <v>1</v>
      </c>
      <c r="EF85" s="127">
        <v>1</v>
      </c>
      <c r="EG85" s="127">
        <v>1</v>
      </c>
      <c r="EH85" s="127">
        <v>1</v>
      </c>
      <c r="EI85" s="127">
        <v>1</v>
      </c>
    </row>
    <row r="86" spans="2:139" ht="15" hidden="1" outlineLevel="2" collapsed="1" x14ac:dyDescent="0.3">
      <c r="B86" s="22"/>
      <c r="C86" s="23"/>
      <c r="D86" s="23" t="s">
        <v>90</v>
      </c>
      <c r="E86" s="50"/>
      <c r="F86" s="26">
        <f>+F87</f>
        <v>40</v>
      </c>
      <c r="G86" s="28">
        <v>0.12778934594263763</v>
      </c>
      <c r="H86" s="51"/>
      <c r="I86" s="125">
        <f>+I87*$G$87</f>
        <v>0</v>
      </c>
      <c r="J86" s="28">
        <f>+J87*$G$87</f>
        <v>0</v>
      </c>
      <c r="K86" s="28">
        <f t="shared" ref="K86:BV86" si="266">+K87*$G$87</f>
        <v>0</v>
      </c>
      <c r="L86" s="28">
        <f t="shared" si="266"/>
        <v>0</v>
      </c>
      <c r="M86" s="64">
        <f t="shared" si="266"/>
        <v>0</v>
      </c>
      <c r="N86" s="64">
        <f t="shared" si="266"/>
        <v>0</v>
      </c>
      <c r="O86" s="28">
        <f t="shared" si="266"/>
        <v>0</v>
      </c>
      <c r="P86" s="28">
        <f t="shared" si="266"/>
        <v>0</v>
      </c>
      <c r="Q86" s="28">
        <f t="shared" si="266"/>
        <v>0</v>
      </c>
      <c r="R86" s="28">
        <f t="shared" si="266"/>
        <v>0</v>
      </c>
      <c r="S86" s="28">
        <f t="shared" si="266"/>
        <v>0</v>
      </c>
      <c r="T86" s="28">
        <f t="shared" si="266"/>
        <v>0</v>
      </c>
      <c r="U86" s="28">
        <f t="shared" si="266"/>
        <v>0</v>
      </c>
      <c r="V86" s="28">
        <f t="shared" si="266"/>
        <v>0</v>
      </c>
      <c r="W86" s="28">
        <f t="shared" si="266"/>
        <v>0</v>
      </c>
      <c r="X86" s="28">
        <f t="shared" si="266"/>
        <v>0</v>
      </c>
      <c r="Y86" s="28">
        <f t="shared" si="266"/>
        <v>0</v>
      </c>
      <c r="Z86" s="28">
        <f t="shared" si="266"/>
        <v>0</v>
      </c>
      <c r="AA86" s="28">
        <f t="shared" si="266"/>
        <v>0</v>
      </c>
      <c r="AB86" s="28">
        <f t="shared" si="266"/>
        <v>0</v>
      </c>
      <c r="AC86" s="28">
        <f t="shared" si="266"/>
        <v>0</v>
      </c>
      <c r="AD86" s="28">
        <f t="shared" si="266"/>
        <v>0</v>
      </c>
      <c r="AE86" s="28">
        <f t="shared" si="266"/>
        <v>0</v>
      </c>
      <c r="AF86" s="28">
        <f t="shared" si="266"/>
        <v>0</v>
      </c>
      <c r="AG86" s="28">
        <f t="shared" si="266"/>
        <v>0</v>
      </c>
      <c r="AH86" s="28">
        <f t="shared" si="266"/>
        <v>0</v>
      </c>
      <c r="AI86" s="28">
        <f t="shared" si="266"/>
        <v>0</v>
      </c>
      <c r="AJ86" s="28">
        <f t="shared" si="266"/>
        <v>0</v>
      </c>
      <c r="AK86" s="28">
        <f t="shared" si="266"/>
        <v>0</v>
      </c>
      <c r="AL86" s="28">
        <f t="shared" si="266"/>
        <v>0</v>
      </c>
      <c r="AM86" s="28">
        <f t="shared" si="266"/>
        <v>0</v>
      </c>
      <c r="AN86" s="28">
        <f t="shared" si="266"/>
        <v>0</v>
      </c>
      <c r="AO86" s="28">
        <f t="shared" si="266"/>
        <v>0</v>
      </c>
      <c r="AP86" s="28">
        <f t="shared" si="266"/>
        <v>0.15</v>
      </c>
      <c r="AQ86" s="28">
        <f t="shared" si="266"/>
        <v>0.15</v>
      </c>
      <c r="AR86" s="28">
        <f t="shared" si="266"/>
        <v>0.15</v>
      </c>
      <c r="AS86" s="28">
        <f t="shared" si="266"/>
        <v>0.15</v>
      </c>
      <c r="AT86" s="28">
        <f t="shared" si="266"/>
        <v>1</v>
      </c>
      <c r="AU86" s="28">
        <f t="shared" si="266"/>
        <v>1</v>
      </c>
      <c r="AV86" s="28">
        <f t="shared" si="266"/>
        <v>1</v>
      </c>
      <c r="AW86" s="28">
        <f t="shared" si="266"/>
        <v>1</v>
      </c>
      <c r="AX86" s="28">
        <f t="shared" si="266"/>
        <v>1</v>
      </c>
      <c r="AY86" s="28">
        <f t="shared" si="266"/>
        <v>1</v>
      </c>
      <c r="AZ86" s="28">
        <f t="shared" si="266"/>
        <v>1</v>
      </c>
      <c r="BA86" s="28">
        <f t="shared" si="266"/>
        <v>1</v>
      </c>
      <c r="BB86" s="28">
        <f t="shared" si="266"/>
        <v>1</v>
      </c>
      <c r="BC86" s="28">
        <f t="shared" si="266"/>
        <v>1</v>
      </c>
      <c r="BD86" s="28">
        <f t="shared" si="266"/>
        <v>1</v>
      </c>
      <c r="BE86" s="28">
        <f t="shared" si="266"/>
        <v>1</v>
      </c>
      <c r="BF86" s="28">
        <f t="shared" si="266"/>
        <v>1</v>
      </c>
      <c r="BG86" s="28">
        <f t="shared" si="266"/>
        <v>1</v>
      </c>
      <c r="BH86" s="28">
        <f t="shared" si="266"/>
        <v>1</v>
      </c>
      <c r="BI86" s="28">
        <f t="shared" si="266"/>
        <v>1</v>
      </c>
      <c r="BJ86" s="28">
        <f t="shared" si="266"/>
        <v>1</v>
      </c>
      <c r="BK86" s="28">
        <f t="shared" si="266"/>
        <v>1</v>
      </c>
      <c r="BL86" s="28">
        <f t="shared" si="266"/>
        <v>1</v>
      </c>
      <c r="BM86" s="28">
        <f t="shared" si="266"/>
        <v>1</v>
      </c>
      <c r="BN86" s="28">
        <f t="shared" si="266"/>
        <v>1</v>
      </c>
      <c r="BO86" s="28">
        <f t="shared" si="266"/>
        <v>1</v>
      </c>
      <c r="BP86" s="28">
        <f t="shared" si="266"/>
        <v>1</v>
      </c>
      <c r="BQ86" s="28">
        <f t="shared" si="266"/>
        <v>1</v>
      </c>
      <c r="BR86" s="28">
        <f t="shared" si="266"/>
        <v>1</v>
      </c>
      <c r="BS86" s="28">
        <f t="shared" si="266"/>
        <v>1</v>
      </c>
      <c r="BT86" s="28">
        <f t="shared" si="266"/>
        <v>1</v>
      </c>
      <c r="BU86" s="28">
        <f t="shared" si="266"/>
        <v>1</v>
      </c>
      <c r="BV86" s="28">
        <f t="shared" si="266"/>
        <v>1</v>
      </c>
      <c r="BW86" s="28">
        <f t="shared" ref="BW86:EH86" si="267">+BW87*$G$87</f>
        <v>1</v>
      </c>
      <c r="BX86" s="28">
        <f t="shared" si="267"/>
        <v>1</v>
      </c>
      <c r="BY86" s="28">
        <f t="shared" si="267"/>
        <v>1</v>
      </c>
      <c r="BZ86" s="28">
        <f t="shared" si="267"/>
        <v>1</v>
      </c>
      <c r="CA86" s="28">
        <f t="shared" si="267"/>
        <v>1</v>
      </c>
      <c r="CB86" s="28">
        <f t="shared" si="267"/>
        <v>1</v>
      </c>
      <c r="CC86" s="28">
        <f t="shared" si="267"/>
        <v>1</v>
      </c>
      <c r="CD86" s="28">
        <f t="shared" si="267"/>
        <v>1</v>
      </c>
      <c r="CE86" s="28">
        <f t="shared" si="267"/>
        <v>1</v>
      </c>
      <c r="CF86" s="28">
        <f t="shared" si="267"/>
        <v>1</v>
      </c>
      <c r="CG86" s="28">
        <f t="shared" si="267"/>
        <v>1</v>
      </c>
      <c r="CH86" s="28">
        <f t="shared" si="267"/>
        <v>1</v>
      </c>
      <c r="CI86" s="28">
        <f t="shared" si="267"/>
        <v>1</v>
      </c>
      <c r="CJ86" s="28">
        <f t="shared" si="267"/>
        <v>1</v>
      </c>
      <c r="CK86" s="28">
        <f t="shared" si="267"/>
        <v>1</v>
      </c>
      <c r="CL86" s="28">
        <f t="shared" si="267"/>
        <v>1</v>
      </c>
      <c r="CM86" s="28">
        <f t="shared" si="267"/>
        <v>1</v>
      </c>
      <c r="CN86" s="28">
        <f t="shared" si="267"/>
        <v>1</v>
      </c>
      <c r="CO86" s="28">
        <f t="shared" si="267"/>
        <v>1</v>
      </c>
      <c r="CP86" s="28">
        <f t="shared" si="267"/>
        <v>1</v>
      </c>
      <c r="CQ86" s="28">
        <f t="shared" si="267"/>
        <v>1</v>
      </c>
      <c r="CR86" s="28">
        <f t="shared" si="267"/>
        <v>1</v>
      </c>
      <c r="CS86" s="28">
        <f t="shared" si="267"/>
        <v>1</v>
      </c>
      <c r="CT86" s="28">
        <f t="shared" si="267"/>
        <v>1</v>
      </c>
      <c r="CU86" s="28">
        <f t="shared" si="267"/>
        <v>1</v>
      </c>
      <c r="CV86" s="28">
        <f t="shared" si="267"/>
        <v>1</v>
      </c>
      <c r="CW86" s="28">
        <f t="shared" si="267"/>
        <v>1</v>
      </c>
      <c r="CX86" s="28">
        <f t="shared" si="267"/>
        <v>1</v>
      </c>
      <c r="CY86" s="28">
        <f t="shared" si="267"/>
        <v>1</v>
      </c>
      <c r="CZ86" s="28">
        <f t="shared" si="267"/>
        <v>1</v>
      </c>
      <c r="DA86" s="28">
        <f t="shared" si="267"/>
        <v>1</v>
      </c>
      <c r="DB86" s="28">
        <f t="shared" si="267"/>
        <v>1</v>
      </c>
      <c r="DC86" s="28">
        <f t="shared" si="267"/>
        <v>1</v>
      </c>
      <c r="DD86" s="28">
        <f t="shared" si="267"/>
        <v>1</v>
      </c>
      <c r="DE86" s="28">
        <f t="shared" si="267"/>
        <v>1</v>
      </c>
      <c r="DF86" s="28">
        <f t="shared" si="267"/>
        <v>1</v>
      </c>
      <c r="DG86" s="28">
        <f t="shared" si="267"/>
        <v>1</v>
      </c>
      <c r="DH86" s="28">
        <f t="shared" si="267"/>
        <v>1</v>
      </c>
      <c r="DI86" s="28">
        <f t="shared" si="267"/>
        <v>1</v>
      </c>
      <c r="DJ86" s="28">
        <f t="shared" si="267"/>
        <v>1</v>
      </c>
      <c r="DK86" s="28">
        <f t="shared" si="267"/>
        <v>1</v>
      </c>
      <c r="DL86" s="28">
        <f t="shared" si="267"/>
        <v>1</v>
      </c>
      <c r="DM86" s="28">
        <f t="shared" si="267"/>
        <v>1</v>
      </c>
      <c r="DN86" s="28">
        <f t="shared" si="267"/>
        <v>1</v>
      </c>
      <c r="DO86" s="28">
        <f t="shared" si="267"/>
        <v>1</v>
      </c>
      <c r="DP86" s="28">
        <f t="shared" si="267"/>
        <v>1</v>
      </c>
      <c r="DQ86" s="28">
        <f t="shared" si="267"/>
        <v>1</v>
      </c>
      <c r="DR86" s="28">
        <f t="shared" si="267"/>
        <v>1</v>
      </c>
      <c r="DS86" s="28">
        <f t="shared" si="267"/>
        <v>1</v>
      </c>
      <c r="DT86" s="28">
        <f t="shared" si="267"/>
        <v>1</v>
      </c>
      <c r="DU86" s="28">
        <f t="shared" si="267"/>
        <v>1</v>
      </c>
      <c r="DV86" s="28">
        <f t="shared" si="267"/>
        <v>1</v>
      </c>
      <c r="DW86" s="28">
        <f t="shared" si="267"/>
        <v>1</v>
      </c>
      <c r="DX86" s="28">
        <f t="shared" si="267"/>
        <v>1</v>
      </c>
      <c r="DY86" s="28">
        <f t="shared" si="267"/>
        <v>1</v>
      </c>
      <c r="DZ86" s="28">
        <f t="shared" si="267"/>
        <v>1</v>
      </c>
      <c r="EA86" s="28">
        <f t="shared" si="267"/>
        <v>1</v>
      </c>
      <c r="EB86" s="28">
        <f t="shared" si="267"/>
        <v>1</v>
      </c>
      <c r="EC86" s="28">
        <f t="shared" si="267"/>
        <v>1</v>
      </c>
      <c r="ED86" s="28">
        <f t="shared" si="267"/>
        <v>1</v>
      </c>
      <c r="EE86" s="28">
        <f t="shared" si="267"/>
        <v>1</v>
      </c>
      <c r="EF86" s="28">
        <f t="shared" si="267"/>
        <v>1</v>
      </c>
      <c r="EG86" s="28">
        <f t="shared" si="267"/>
        <v>1</v>
      </c>
      <c r="EH86" s="28">
        <f t="shared" si="267"/>
        <v>1</v>
      </c>
      <c r="EI86" s="28">
        <f t="shared" ref="EI86" si="268">+EI87*$G$87</f>
        <v>1</v>
      </c>
    </row>
    <row r="87" spans="2:139" hidden="1" outlineLevel="3" x14ac:dyDescent="0.3">
      <c r="B87" s="29"/>
      <c r="C87" s="30"/>
      <c r="D87" s="30"/>
      <c r="E87" s="52" t="s">
        <v>91</v>
      </c>
      <c r="F87" s="33">
        <v>40</v>
      </c>
      <c r="G87" s="35">
        <v>1</v>
      </c>
      <c r="H87" s="53"/>
      <c r="I87" s="126">
        <v>0</v>
      </c>
      <c r="J87" s="127">
        <v>0</v>
      </c>
      <c r="K87" s="127">
        <v>0</v>
      </c>
      <c r="L87" s="127">
        <v>0</v>
      </c>
      <c r="M87" s="128">
        <v>0</v>
      </c>
      <c r="N87" s="128">
        <v>0</v>
      </c>
      <c r="O87" s="127">
        <v>0</v>
      </c>
      <c r="P87" s="127">
        <v>0</v>
      </c>
      <c r="Q87" s="127">
        <v>0</v>
      </c>
      <c r="R87" s="127">
        <v>0</v>
      </c>
      <c r="S87" s="127">
        <v>0</v>
      </c>
      <c r="T87" s="127">
        <v>0</v>
      </c>
      <c r="U87" s="127">
        <v>0</v>
      </c>
      <c r="V87" s="127">
        <v>0</v>
      </c>
      <c r="W87" s="127">
        <v>0</v>
      </c>
      <c r="X87" s="127">
        <v>0</v>
      </c>
      <c r="Y87" s="127">
        <v>0</v>
      </c>
      <c r="Z87" s="127">
        <v>0</v>
      </c>
      <c r="AA87" s="127">
        <v>0</v>
      </c>
      <c r="AB87" s="127">
        <v>0</v>
      </c>
      <c r="AC87" s="127">
        <v>0</v>
      </c>
      <c r="AD87" s="127">
        <v>0</v>
      </c>
      <c r="AE87" s="127">
        <v>0</v>
      </c>
      <c r="AF87" s="127">
        <v>0</v>
      </c>
      <c r="AG87" s="127">
        <v>0</v>
      </c>
      <c r="AH87" s="127">
        <v>0</v>
      </c>
      <c r="AI87" s="127">
        <v>0</v>
      </c>
      <c r="AJ87" s="127">
        <v>0</v>
      </c>
      <c r="AK87" s="127">
        <v>0</v>
      </c>
      <c r="AL87" s="127">
        <v>0</v>
      </c>
      <c r="AM87" s="127">
        <v>0</v>
      </c>
      <c r="AN87" s="127">
        <v>0</v>
      </c>
      <c r="AO87" s="127">
        <v>0</v>
      </c>
      <c r="AP87" s="127">
        <v>0.15</v>
      </c>
      <c r="AQ87" s="127">
        <v>0.15</v>
      </c>
      <c r="AR87" s="127">
        <v>0.15</v>
      </c>
      <c r="AS87" s="127">
        <v>0.15</v>
      </c>
      <c r="AT87" s="127">
        <v>1</v>
      </c>
      <c r="AU87" s="127">
        <v>1</v>
      </c>
      <c r="AV87" s="127">
        <v>1</v>
      </c>
      <c r="AW87" s="127">
        <v>1</v>
      </c>
      <c r="AX87" s="127">
        <v>1</v>
      </c>
      <c r="AY87" s="127">
        <v>1</v>
      </c>
      <c r="AZ87" s="127">
        <v>1</v>
      </c>
      <c r="BA87" s="127">
        <v>1</v>
      </c>
      <c r="BB87" s="127">
        <v>1</v>
      </c>
      <c r="BC87" s="127">
        <v>1</v>
      </c>
      <c r="BD87" s="127">
        <v>1</v>
      </c>
      <c r="BE87" s="127">
        <v>1</v>
      </c>
      <c r="BF87" s="127">
        <v>1</v>
      </c>
      <c r="BG87" s="127">
        <v>1</v>
      </c>
      <c r="BH87" s="127">
        <v>1</v>
      </c>
      <c r="BI87" s="127">
        <v>1</v>
      </c>
      <c r="BJ87" s="127">
        <v>1</v>
      </c>
      <c r="BK87" s="127">
        <v>1</v>
      </c>
      <c r="BL87" s="127">
        <v>1</v>
      </c>
      <c r="BM87" s="127">
        <v>1</v>
      </c>
      <c r="BN87" s="127">
        <v>1</v>
      </c>
      <c r="BO87" s="127">
        <v>1</v>
      </c>
      <c r="BP87" s="127">
        <v>1</v>
      </c>
      <c r="BQ87" s="127">
        <v>1</v>
      </c>
      <c r="BR87" s="127">
        <v>1</v>
      </c>
      <c r="BS87" s="127">
        <v>1</v>
      </c>
      <c r="BT87" s="127">
        <v>1</v>
      </c>
      <c r="BU87" s="127">
        <v>1</v>
      </c>
      <c r="BV87" s="127">
        <v>1</v>
      </c>
      <c r="BW87" s="127">
        <v>1</v>
      </c>
      <c r="BX87" s="127">
        <v>1</v>
      </c>
      <c r="BY87" s="127">
        <v>1</v>
      </c>
      <c r="BZ87" s="127">
        <v>1</v>
      </c>
      <c r="CA87" s="127">
        <v>1</v>
      </c>
      <c r="CB87" s="127">
        <v>1</v>
      </c>
      <c r="CC87" s="127">
        <v>1</v>
      </c>
      <c r="CD87" s="127">
        <v>1</v>
      </c>
      <c r="CE87" s="127">
        <v>1</v>
      </c>
      <c r="CF87" s="127">
        <v>1</v>
      </c>
      <c r="CG87" s="127">
        <v>1</v>
      </c>
      <c r="CH87" s="127">
        <v>1</v>
      </c>
      <c r="CI87" s="127">
        <v>1</v>
      </c>
      <c r="CJ87" s="127">
        <v>1</v>
      </c>
      <c r="CK87" s="127">
        <v>1</v>
      </c>
      <c r="CL87" s="127">
        <v>1</v>
      </c>
      <c r="CM87" s="127">
        <v>1</v>
      </c>
      <c r="CN87" s="127">
        <v>1</v>
      </c>
      <c r="CO87" s="127">
        <v>1</v>
      </c>
      <c r="CP87" s="127">
        <v>1</v>
      </c>
      <c r="CQ87" s="127">
        <v>1</v>
      </c>
      <c r="CR87" s="127">
        <v>1</v>
      </c>
      <c r="CS87" s="127">
        <v>1</v>
      </c>
      <c r="CT87" s="127">
        <v>1</v>
      </c>
      <c r="CU87" s="127">
        <v>1</v>
      </c>
      <c r="CV87" s="127">
        <v>1</v>
      </c>
      <c r="CW87" s="127">
        <v>1</v>
      </c>
      <c r="CX87" s="127">
        <v>1</v>
      </c>
      <c r="CY87" s="127">
        <v>1</v>
      </c>
      <c r="CZ87" s="127">
        <v>1</v>
      </c>
      <c r="DA87" s="127">
        <v>1</v>
      </c>
      <c r="DB87" s="127">
        <v>1</v>
      </c>
      <c r="DC87" s="127">
        <v>1</v>
      </c>
      <c r="DD87" s="127">
        <v>1</v>
      </c>
      <c r="DE87" s="127">
        <v>1</v>
      </c>
      <c r="DF87" s="127">
        <v>1</v>
      </c>
      <c r="DG87" s="127">
        <v>1</v>
      </c>
      <c r="DH87" s="127">
        <v>1</v>
      </c>
      <c r="DI87" s="127">
        <v>1</v>
      </c>
      <c r="DJ87" s="127">
        <v>1</v>
      </c>
      <c r="DK87" s="127">
        <v>1</v>
      </c>
      <c r="DL87" s="127">
        <v>1</v>
      </c>
      <c r="DM87" s="127">
        <v>1</v>
      </c>
      <c r="DN87" s="127">
        <v>1</v>
      </c>
      <c r="DO87" s="127">
        <v>1</v>
      </c>
      <c r="DP87" s="127">
        <v>1</v>
      </c>
      <c r="DQ87" s="127">
        <v>1</v>
      </c>
      <c r="DR87" s="127">
        <v>1</v>
      </c>
      <c r="DS87" s="127">
        <v>1</v>
      </c>
      <c r="DT87" s="127">
        <v>1</v>
      </c>
      <c r="DU87" s="127">
        <v>1</v>
      </c>
      <c r="DV87" s="127">
        <v>1</v>
      </c>
      <c r="DW87" s="127">
        <v>1</v>
      </c>
      <c r="DX87" s="127">
        <v>1</v>
      </c>
      <c r="DY87" s="127">
        <v>1</v>
      </c>
      <c r="DZ87" s="127">
        <v>1</v>
      </c>
      <c r="EA87" s="127">
        <v>1</v>
      </c>
      <c r="EB87" s="127">
        <v>1</v>
      </c>
      <c r="EC87" s="127">
        <v>1</v>
      </c>
      <c r="ED87" s="127">
        <v>1</v>
      </c>
      <c r="EE87" s="127">
        <v>1</v>
      </c>
      <c r="EF87" s="127">
        <v>1</v>
      </c>
      <c r="EG87" s="127">
        <v>1</v>
      </c>
      <c r="EH87" s="127">
        <v>1</v>
      </c>
      <c r="EI87" s="127">
        <v>1</v>
      </c>
    </row>
    <row r="88" spans="2:139" ht="15" hidden="1" outlineLevel="2" collapsed="1" x14ac:dyDescent="0.3">
      <c r="B88" s="22"/>
      <c r="C88" s="23"/>
      <c r="D88" s="23" t="s">
        <v>92</v>
      </c>
      <c r="E88" s="50"/>
      <c r="F88" s="26">
        <f>+SUM(F89:F97)</f>
        <v>160</v>
      </c>
      <c r="G88" s="28">
        <v>0.155778577090152</v>
      </c>
      <c r="H88" s="51"/>
      <c r="I88" s="125">
        <f>+SUMPRODUCT($G$89:$G$97,I89:I97)</f>
        <v>0</v>
      </c>
      <c r="J88" s="28">
        <f>+SUMPRODUCT($G$89:$G$97,J89:J97)</f>
        <v>0</v>
      </c>
      <c r="K88" s="28">
        <f t="shared" ref="K88:BB88" si="269">+SUMPRODUCT($G$89:$G$97,K89:K97)</f>
        <v>0</v>
      </c>
      <c r="L88" s="28">
        <f t="shared" si="269"/>
        <v>0</v>
      </c>
      <c r="M88" s="64">
        <f t="shared" si="269"/>
        <v>0</v>
      </c>
      <c r="N88" s="64">
        <f t="shared" si="269"/>
        <v>0</v>
      </c>
      <c r="O88" s="28">
        <f t="shared" si="269"/>
        <v>0</v>
      </c>
      <c r="P88" s="28">
        <f t="shared" si="269"/>
        <v>0</v>
      </c>
      <c r="Q88" s="28">
        <f t="shared" si="269"/>
        <v>0</v>
      </c>
      <c r="R88" s="28">
        <f t="shared" si="269"/>
        <v>0</v>
      </c>
      <c r="S88" s="28">
        <f t="shared" si="269"/>
        <v>0</v>
      </c>
      <c r="T88" s="28">
        <f t="shared" si="269"/>
        <v>0</v>
      </c>
      <c r="U88" s="28">
        <f t="shared" si="269"/>
        <v>0</v>
      </c>
      <c r="V88" s="28">
        <f t="shared" si="269"/>
        <v>0</v>
      </c>
      <c r="W88" s="28">
        <f t="shared" si="269"/>
        <v>1E-119</v>
      </c>
      <c r="X88" s="28">
        <f t="shared" si="269"/>
        <v>0.125</v>
      </c>
      <c r="Y88" s="28">
        <f t="shared" si="269"/>
        <v>0.1615625</v>
      </c>
      <c r="Z88" s="28">
        <f t="shared" si="269"/>
        <v>0.21875</v>
      </c>
      <c r="AA88" s="28">
        <f t="shared" si="269"/>
        <v>0.27200000000000002</v>
      </c>
      <c r="AB88" s="28">
        <f t="shared" si="269"/>
        <v>0.27200000000000002</v>
      </c>
      <c r="AC88" s="28">
        <f t="shared" si="269"/>
        <v>0.37078125000000001</v>
      </c>
      <c r="AD88" s="28">
        <f t="shared" si="269"/>
        <v>0.37421875000000004</v>
      </c>
      <c r="AE88" s="28">
        <f t="shared" si="269"/>
        <v>0.39484375000000005</v>
      </c>
      <c r="AF88" s="28">
        <f t="shared" si="269"/>
        <v>0.40687499999999999</v>
      </c>
      <c r="AG88" s="28">
        <f t="shared" si="269"/>
        <v>0.42303125000000003</v>
      </c>
      <c r="AH88" s="28">
        <f t="shared" si="269"/>
        <v>0.45831250000000001</v>
      </c>
      <c r="AI88" s="28">
        <f>+SUMPRODUCT($G$89:$G$97,AI89:AI97)</f>
        <v>0.45831250000000001</v>
      </c>
      <c r="AJ88" s="28">
        <f>+SUMPRODUCT($G$89:$G$97,AJ89:AJ97)</f>
        <v>0.45831250000000001</v>
      </c>
      <c r="AK88" s="28">
        <f t="shared" si="269"/>
        <v>0.47034375000000006</v>
      </c>
      <c r="AL88" s="28">
        <f t="shared" si="269"/>
        <v>0.482375</v>
      </c>
      <c r="AM88" s="28">
        <f t="shared" si="269"/>
        <v>0.49165625000000002</v>
      </c>
      <c r="AN88" s="28">
        <f t="shared" si="269"/>
        <v>0.50796875000000008</v>
      </c>
      <c r="AO88" s="28">
        <f t="shared" si="269"/>
        <v>0.52693750000000006</v>
      </c>
      <c r="AP88" s="28">
        <f t="shared" si="269"/>
        <v>0.54034375000000001</v>
      </c>
      <c r="AQ88" s="28">
        <f t="shared" si="269"/>
        <v>0.54618750000000005</v>
      </c>
      <c r="AR88" s="28">
        <f t="shared" si="269"/>
        <v>0.54618750000000005</v>
      </c>
      <c r="AS88" s="28">
        <f t="shared" si="269"/>
        <v>0.58400000000000007</v>
      </c>
      <c r="AT88" s="28">
        <f t="shared" si="269"/>
        <v>0.58400000000000007</v>
      </c>
      <c r="AU88" s="28">
        <f t="shared" si="269"/>
        <v>0.58400000000000007</v>
      </c>
      <c r="AV88" s="28">
        <f t="shared" si="269"/>
        <v>0.58400000000000007</v>
      </c>
      <c r="AW88" s="28">
        <f t="shared" si="269"/>
        <v>0.5847500000000001</v>
      </c>
      <c r="AX88" s="28">
        <f t="shared" si="269"/>
        <v>0.69499999999999995</v>
      </c>
      <c r="AY88" s="28">
        <f t="shared" si="269"/>
        <v>0.69499999999999995</v>
      </c>
      <c r="AZ88" s="28">
        <f t="shared" si="269"/>
        <v>0.69499999999999995</v>
      </c>
      <c r="BA88" s="28">
        <f t="shared" si="269"/>
        <v>0.69499999999999995</v>
      </c>
      <c r="BB88" s="28">
        <f t="shared" si="269"/>
        <v>0.69560937499999997</v>
      </c>
      <c r="BC88" s="28">
        <f t="shared" ref="BC88:CE88" si="270">+SUMPRODUCT($G$89:$G$97,BC89:BC97)</f>
        <v>0.69621968749999996</v>
      </c>
      <c r="BD88" s="28">
        <f t="shared" si="270"/>
        <v>0.70575857142857135</v>
      </c>
      <c r="BE88" s="28">
        <f t="shared" si="270"/>
        <v>0.7293063839285715</v>
      </c>
      <c r="BF88" s="28">
        <f t="shared" si="270"/>
        <v>0.75279794642857145</v>
      </c>
      <c r="BG88" s="28">
        <f t="shared" si="270"/>
        <v>0.77628950892857151</v>
      </c>
      <c r="BH88" s="28">
        <f t="shared" si="270"/>
        <v>0.79978107142857158</v>
      </c>
      <c r="BI88" s="28">
        <f t="shared" si="270"/>
        <v>0.82327263392857153</v>
      </c>
      <c r="BJ88" s="28">
        <f t="shared" si="270"/>
        <v>0.84676419642857148</v>
      </c>
      <c r="BK88" s="28">
        <f t="shared" si="270"/>
        <v>0.87025575892857132</v>
      </c>
      <c r="BL88" s="28">
        <f t="shared" si="270"/>
        <v>0.89374732142857138</v>
      </c>
      <c r="BM88" s="28">
        <f t="shared" si="270"/>
        <v>0.91723888392857134</v>
      </c>
      <c r="BN88" s="28">
        <f t="shared" si="270"/>
        <v>0.94073044642857151</v>
      </c>
      <c r="BO88" s="28">
        <f t="shared" si="270"/>
        <v>0.96422200892857146</v>
      </c>
      <c r="BP88" s="28">
        <f t="shared" si="270"/>
        <v>0.98770044642857147</v>
      </c>
      <c r="BQ88" s="28">
        <f t="shared" si="270"/>
        <v>0.99796428571428564</v>
      </c>
      <c r="BR88" s="28">
        <f t="shared" si="270"/>
        <v>0.99873437499999995</v>
      </c>
      <c r="BS88" s="28">
        <f t="shared" si="270"/>
        <v>0.99915624999999997</v>
      </c>
      <c r="BT88" s="28">
        <f t="shared" si="270"/>
        <v>0.99957812499999998</v>
      </c>
      <c r="BU88" s="28">
        <f t="shared" si="270"/>
        <v>1</v>
      </c>
      <c r="BV88" s="28">
        <f t="shared" si="270"/>
        <v>1</v>
      </c>
      <c r="BW88" s="28">
        <f t="shared" si="270"/>
        <v>1</v>
      </c>
      <c r="BX88" s="28">
        <f t="shared" si="270"/>
        <v>1</v>
      </c>
      <c r="BY88" s="28">
        <f t="shared" si="270"/>
        <v>1</v>
      </c>
      <c r="BZ88" s="28">
        <f t="shared" si="270"/>
        <v>1</v>
      </c>
      <c r="CA88" s="28">
        <f t="shared" si="270"/>
        <v>1</v>
      </c>
      <c r="CB88" s="28">
        <f t="shared" si="270"/>
        <v>1</v>
      </c>
      <c r="CC88" s="28">
        <f t="shared" si="270"/>
        <v>1</v>
      </c>
      <c r="CD88" s="28">
        <f t="shared" si="270"/>
        <v>1</v>
      </c>
      <c r="CE88" s="28">
        <f t="shared" si="270"/>
        <v>1</v>
      </c>
      <c r="CF88" s="28">
        <f t="shared" ref="CF88:CI88" si="271">+SUMPRODUCT($G$89:$G$97,CF89:CF97)</f>
        <v>1</v>
      </c>
      <c r="CG88" s="28">
        <f t="shared" si="271"/>
        <v>1</v>
      </c>
      <c r="CH88" s="28">
        <f t="shared" si="271"/>
        <v>1</v>
      </c>
      <c r="CI88" s="28">
        <f t="shared" si="271"/>
        <v>1</v>
      </c>
      <c r="CJ88" s="28">
        <f t="shared" ref="CJ88:CK88" si="272">+SUMPRODUCT($G$89:$G$97,CJ89:CJ97)</f>
        <v>1</v>
      </c>
      <c r="CK88" s="28">
        <f t="shared" si="272"/>
        <v>1</v>
      </c>
      <c r="CL88" s="28">
        <f t="shared" ref="CL88" si="273">+SUMPRODUCT($G$89:$G$97,CL89:CL97)</f>
        <v>1</v>
      </c>
      <c r="CM88" s="28">
        <f t="shared" ref="CM88:CV88" si="274">+SUMPRODUCT($G$89:$G$97,CM89:CM97)</f>
        <v>1</v>
      </c>
      <c r="CN88" s="28">
        <f t="shared" si="274"/>
        <v>1</v>
      </c>
      <c r="CO88" s="28">
        <f t="shared" si="274"/>
        <v>1</v>
      </c>
      <c r="CP88" s="28">
        <f t="shared" si="274"/>
        <v>1</v>
      </c>
      <c r="CQ88" s="28">
        <f t="shared" si="274"/>
        <v>1</v>
      </c>
      <c r="CR88" s="28">
        <f t="shared" si="274"/>
        <v>1</v>
      </c>
      <c r="CS88" s="28">
        <f t="shared" si="274"/>
        <v>1</v>
      </c>
      <c r="CT88" s="28">
        <f t="shared" si="274"/>
        <v>1</v>
      </c>
      <c r="CU88" s="28">
        <f t="shared" si="274"/>
        <v>1</v>
      </c>
      <c r="CV88" s="28">
        <f t="shared" si="274"/>
        <v>1</v>
      </c>
      <c r="CW88" s="28">
        <f t="shared" ref="CW88" si="275">+SUMPRODUCT($G$89:$G$97,CW89:CW97)</f>
        <v>1</v>
      </c>
      <c r="CX88" s="28">
        <f t="shared" ref="CX88:CY88" si="276">+SUMPRODUCT($G$89:$G$97,CX89:CX97)</f>
        <v>1</v>
      </c>
      <c r="CY88" s="28">
        <f t="shared" si="276"/>
        <v>1</v>
      </c>
      <c r="CZ88" s="28">
        <f t="shared" ref="CZ88:DA88" si="277">+SUMPRODUCT($G$89:$G$97,CZ89:CZ97)</f>
        <v>1</v>
      </c>
      <c r="DA88" s="28">
        <f t="shared" si="277"/>
        <v>1</v>
      </c>
      <c r="DB88" s="28">
        <f t="shared" ref="DB88:DC88" si="278">+SUMPRODUCT($G$89:$G$97,DB89:DB97)</f>
        <v>1</v>
      </c>
      <c r="DC88" s="28">
        <f t="shared" si="278"/>
        <v>1</v>
      </c>
      <c r="DD88" s="28">
        <f t="shared" ref="DD88:DE88" si="279">+SUMPRODUCT($G$89:$G$97,DD89:DD97)</f>
        <v>1</v>
      </c>
      <c r="DE88" s="28">
        <f t="shared" si="279"/>
        <v>1</v>
      </c>
      <c r="DF88" s="28">
        <f t="shared" ref="DF88:DJ88" si="280">+SUMPRODUCT($G$89:$G$97,DF89:DF97)</f>
        <v>1</v>
      </c>
      <c r="DG88" s="28">
        <f t="shared" si="280"/>
        <v>1</v>
      </c>
      <c r="DH88" s="28">
        <f t="shared" si="280"/>
        <v>1</v>
      </c>
      <c r="DI88" s="28">
        <f t="shared" si="280"/>
        <v>1</v>
      </c>
      <c r="DJ88" s="28">
        <f t="shared" si="280"/>
        <v>1</v>
      </c>
      <c r="DK88" s="28">
        <f t="shared" ref="DK88:EI88" si="281">+SUMPRODUCT($G$89:$G$97,DK89:DK97)</f>
        <v>1</v>
      </c>
      <c r="DL88" s="28">
        <f t="shared" si="281"/>
        <v>1</v>
      </c>
      <c r="DM88" s="28">
        <f t="shared" si="281"/>
        <v>1</v>
      </c>
      <c r="DN88" s="28">
        <f t="shared" si="281"/>
        <v>1</v>
      </c>
      <c r="DO88" s="28">
        <f t="shared" si="281"/>
        <v>1</v>
      </c>
      <c r="DP88" s="28">
        <f t="shared" si="281"/>
        <v>1</v>
      </c>
      <c r="DQ88" s="28">
        <f t="shared" si="281"/>
        <v>1</v>
      </c>
      <c r="DR88" s="28">
        <f t="shared" si="281"/>
        <v>1</v>
      </c>
      <c r="DS88" s="28">
        <f t="shared" si="281"/>
        <v>1</v>
      </c>
      <c r="DT88" s="28">
        <f t="shared" si="281"/>
        <v>1</v>
      </c>
      <c r="DU88" s="28">
        <f t="shared" si="281"/>
        <v>1</v>
      </c>
      <c r="DV88" s="28">
        <f t="shared" si="281"/>
        <v>1</v>
      </c>
      <c r="DW88" s="28">
        <f t="shared" si="281"/>
        <v>1</v>
      </c>
      <c r="DX88" s="28">
        <f t="shared" si="281"/>
        <v>1</v>
      </c>
      <c r="DY88" s="28">
        <f t="shared" si="281"/>
        <v>1</v>
      </c>
      <c r="DZ88" s="28">
        <f t="shared" si="281"/>
        <v>1</v>
      </c>
      <c r="EA88" s="28">
        <f t="shared" si="281"/>
        <v>1</v>
      </c>
      <c r="EB88" s="28">
        <f t="shared" si="281"/>
        <v>1</v>
      </c>
      <c r="EC88" s="28">
        <f t="shared" si="281"/>
        <v>1</v>
      </c>
      <c r="ED88" s="28">
        <f t="shared" si="281"/>
        <v>1</v>
      </c>
      <c r="EE88" s="28">
        <f t="shared" si="281"/>
        <v>1</v>
      </c>
      <c r="EF88" s="28">
        <f t="shared" si="281"/>
        <v>1</v>
      </c>
      <c r="EG88" s="28">
        <f t="shared" si="281"/>
        <v>1</v>
      </c>
      <c r="EH88" s="28">
        <f t="shared" si="281"/>
        <v>1</v>
      </c>
      <c r="EI88" s="28">
        <f t="shared" si="281"/>
        <v>1</v>
      </c>
    </row>
    <row r="89" spans="2:139" hidden="1" outlineLevel="3" x14ac:dyDescent="0.3">
      <c r="B89" s="29"/>
      <c r="C89" s="30"/>
      <c r="D89" s="30"/>
      <c r="E89" s="52" t="s">
        <v>93</v>
      </c>
      <c r="F89" s="33">
        <v>30</v>
      </c>
      <c r="G89" s="35">
        <v>0.1875</v>
      </c>
      <c r="H89" s="53"/>
      <c r="I89" s="126">
        <v>0</v>
      </c>
      <c r="J89" s="127">
        <v>0</v>
      </c>
      <c r="K89" s="127">
        <v>0</v>
      </c>
      <c r="L89" s="127">
        <v>0</v>
      </c>
      <c r="M89" s="128">
        <v>0</v>
      </c>
      <c r="N89" s="128">
        <v>0</v>
      </c>
      <c r="O89" s="127">
        <v>0</v>
      </c>
      <c r="P89" s="127">
        <v>0</v>
      </c>
      <c r="Q89" s="127">
        <v>0</v>
      </c>
      <c r="R89" s="127">
        <v>0</v>
      </c>
      <c r="S89" s="127">
        <v>0</v>
      </c>
      <c r="T89" s="127">
        <v>0</v>
      </c>
      <c r="U89" s="127">
        <v>0</v>
      </c>
      <c r="V89" s="127">
        <v>0</v>
      </c>
      <c r="W89" s="127">
        <v>0</v>
      </c>
      <c r="X89" s="127">
        <v>0</v>
      </c>
      <c r="Y89" s="127">
        <v>0</v>
      </c>
      <c r="Z89" s="127">
        <v>0</v>
      </c>
      <c r="AA89" s="127">
        <v>0</v>
      </c>
      <c r="AB89" s="127">
        <v>0</v>
      </c>
      <c r="AC89" s="127">
        <v>0</v>
      </c>
      <c r="AD89" s="127">
        <v>0</v>
      </c>
      <c r="AE89" s="127">
        <v>0</v>
      </c>
      <c r="AF89" s="127">
        <v>0</v>
      </c>
      <c r="AG89" s="127">
        <v>0</v>
      </c>
      <c r="AH89" s="127">
        <v>0.10000000000000002</v>
      </c>
      <c r="AI89" s="127">
        <v>0.10000000000000002</v>
      </c>
      <c r="AJ89" s="127">
        <v>0.10000000000000002</v>
      </c>
      <c r="AK89" s="127">
        <v>0.10000000000000002</v>
      </c>
      <c r="AL89" s="127">
        <v>0.10000000000000002</v>
      </c>
      <c r="AM89" s="127">
        <v>0.10000000000000002</v>
      </c>
      <c r="AN89" s="127">
        <v>0.10000000000000002</v>
      </c>
      <c r="AO89" s="127">
        <v>0.10000000000000002</v>
      </c>
      <c r="AP89" s="127">
        <v>0.10000000000000002</v>
      </c>
      <c r="AQ89" s="127">
        <v>0.10000000000000002</v>
      </c>
      <c r="AR89" s="127">
        <v>0.10000000000000002</v>
      </c>
      <c r="AS89" s="127">
        <v>0.10000000000000002</v>
      </c>
      <c r="AT89" s="127">
        <v>0.10000000000000002</v>
      </c>
      <c r="AU89" s="127">
        <v>0.10000000000000002</v>
      </c>
      <c r="AV89" s="127">
        <v>0.10000000000000002</v>
      </c>
      <c r="AW89" s="127">
        <v>0.10000000000000002</v>
      </c>
      <c r="AX89" s="127">
        <v>0.10000000000000002</v>
      </c>
      <c r="AY89" s="127">
        <v>0.10000000000000002</v>
      </c>
      <c r="AZ89" s="127">
        <v>0.10000000000000002</v>
      </c>
      <c r="BA89" s="127">
        <v>0.10000000000000002</v>
      </c>
      <c r="BB89" s="127">
        <f>Planbase100[[#This Row],[05/05/25]]+(1-Planbase100[[#This Row],[05/05/25]])*'Plan 39'!I49</f>
        <v>0.10000000000000002</v>
      </c>
      <c r="BC89" s="127">
        <f>Planbase100[[#This Row],[05/05/25]]+(1-Planbase100[[#This Row],[05/05/25]])*'Plan 39'!J49</f>
        <v>0.10000000000000002</v>
      </c>
      <c r="BD89" s="127">
        <f>Planbase100[[#This Row],[05/05/25]]+(1-Planbase100[[#This Row],[05/05/25]])*'Plan 39'!K49</f>
        <v>0.10000000000000002</v>
      </c>
      <c r="BE89" s="127">
        <f>Planbase100[[#This Row],[05/05/25]]+(1-Planbase100[[#This Row],[05/05/25]])*'Plan 39'!L49</f>
        <v>0.17500000000000004</v>
      </c>
      <c r="BF89" s="127">
        <f>Planbase100[[#This Row],[05/05/25]]+(1-Planbase100[[#This Row],[05/05/25]])*'Plan 39'!M49</f>
        <v>0.24970000000000003</v>
      </c>
      <c r="BG89" s="127">
        <f>Planbase100[[#This Row],[05/05/25]]+(1-Planbase100[[#This Row],[05/05/25]])*'Plan 39'!N49</f>
        <v>0.32440000000000002</v>
      </c>
      <c r="BH89" s="127">
        <f>Planbase100[[#This Row],[05/05/25]]+(1-Planbase100[[#This Row],[05/05/25]])*'Plan 39'!O49</f>
        <v>0.39910000000000007</v>
      </c>
      <c r="BI89" s="127">
        <f>Planbase100[[#This Row],[05/05/25]]+(1-Planbase100[[#This Row],[05/05/25]])*'Plan 39'!P49</f>
        <v>0.47380000000000011</v>
      </c>
      <c r="BJ89" s="127">
        <f>Planbase100[[#This Row],[05/05/25]]+(1-Planbase100[[#This Row],[05/05/25]])*'Plan 39'!Q49</f>
        <v>0.5485000000000001</v>
      </c>
      <c r="BK89" s="127">
        <f>Planbase100[[#This Row],[05/05/25]]+(1-Planbase100[[#This Row],[05/05/25]])*'Plan 39'!R49</f>
        <v>0.62319999999999998</v>
      </c>
      <c r="BL89" s="127">
        <f>Planbase100[[#This Row],[05/05/25]]+(1-Planbase100[[#This Row],[05/05/25]])*'Plan 39'!S49</f>
        <v>0.69789999999999996</v>
      </c>
      <c r="BM89" s="127">
        <f>Planbase100[[#This Row],[05/05/25]]+(1-Planbase100[[#This Row],[05/05/25]])*'Plan 39'!T49</f>
        <v>0.77259999999999995</v>
      </c>
      <c r="BN89" s="127">
        <f>Planbase100[[#This Row],[05/05/25]]+(1-Planbase100[[#This Row],[05/05/25]])*'Plan 39'!U49</f>
        <v>0.84729999999999994</v>
      </c>
      <c r="BO89" s="127">
        <f>Planbase100[[#This Row],[05/05/25]]+(1-Planbase100[[#This Row],[05/05/25]])*'Plan 39'!V49</f>
        <v>0.92199999999999993</v>
      </c>
      <c r="BP89" s="127">
        <f>Planbase100[[#This Row],[05/05/25]]+(1-Planbase100[[#This Row],[05/05/25]])*'Plan 39'!W49</f>
        <v>0.99669999999999981</v>
      </c>
      <c r="BQ89" s="127">
        <f>Planbase100[[#This Row],[05/05/25]]+(1-Planbase100[[#This Row],[05/05/25]])*'Plan 39'!X49</f>
        <v>1</v>
      </c>
      <c r="BR89" s="127">
        <f>Planbase100[[#This Row],[05/05/25]]+(1-Planbase100[[#This Row],[05/05/25]])*'Plan 39'!Y49</f>
        <v>1</v>
      </c>
      <c r="BS89" s="127">
        <f>Planbase100[[#This Row],[05/05/25]]+(1-Planbase100[[#This Row],[05/05/25]])*'Plan 39'!Z49</f>
        <v>1</v>
      </c>
      <c r="BT89" s="127">
        <f>Planbase100[[#This Row],[05/05/25]]+(1-Planbase100[[#This Row],[05/05/25]])*'Plan 39'!AA49</f>
        <v>1</v>
      </c>
      <c r="BU89" s="127">
        <f>Planbase100[[#This Row],[05/05/25]]+(1-Planbase100[[#This Row],[05/05/25]])*'Plan 39'!AB49</f>
        <v>1</v>
      </c>
      <c r="BV89" s="127">
        <f>Planbase100[[#This Row],[05/05/25]]+(1-Planbase100[[#This Row],[05/05/25]])*'Plan 39'!AC49</f>
        <v>1</v>
      </c>
      <c r="BW89" s="127">
        <f>Planbase100[[#This Row],[05/05/25]]+(1-Planbase100[[#This Row],[05/05/25]])*'Plan 39'!AD49</f>
        <v>1</v>
      </c>
      <c r="BX89" s="127">
        <f>Planbase100[[#This Row],[05/05/25]]+(1-Planbase100[[#This Row],[05/05/25]])*'Plan 39'!AE49</f>
        <v>1</v>
      </c>
      <c r="BY89" s="127">
        <f>Planbase100[[#This Row],[05/05/25]]+(1-Planbase100[[#This Row],[05/05/25]])*'Plan 39'!AF49</f>
        <v>1</v>
      </c>
      <c r="BZ89" s="127">
        <f>Planbase100[[#This Row],[05/05/25]]+(1-Planbase100[[#This Row],[05/05/25]])*'Plan 39'!AG49</f>
        <v>1</v>
      </c>
      <c r="CA89" s="127">
        <f>Planbase100[[#This Row],[05/05/25]]+(1-Planbase100[[#This Row],[05/05/25]])*'Plan 39'!AH49</f>
        <v>1</v>
      </c>
      <c r="CB89" s="127">
        <f>Planbase100[[#This Row],[05/05/25]]+(1-Planbase100[[#This Row],[05/05/25]])*'Plan 39'!AI49</f>
        <v>1</v>
      </c>
      <c r="CC89" s="127">
        <f>Planbase100[[#This Row],[05/05/25]]+(1-Planbase100[[#This Row],[05/05/25]])*'Plan 39'!AJ49</f>
        <v>1</v>
      </c>
      <c r="CD89" s="127">
        <f>Planbase100[[#This Row],[05/05/25]]+(1-Planbase100[[#This Row],[05/05/25]])*'Plan 39'!AK49</f>
        <v>1</v>
      </c>
      <c r="CE89" s="127">
        <f>Planbase100[[#This Row],[05/05/25]]+(1-Planbase100[[#This Row],[05/05/25]])*'Plan 39'!AL49</f>
        <v>1</v>
      </c>
      <c r="CF89" s="127">
        <f>Planbase100[[#This Row],[05/05/25]]+(1-Planbase100[[#This Row],[05/05/25]])*'Plan 39'!AM49</f>
        <v>1</v>
      </c>
      <c r="CG89" s="127">
        <f>Planbase100[[#This Row],[05/05/25]]+(1-Planbase100[[#This Row],[05/05/25]])*'Plan 39'!AN49</f>
        <v>1</v>
      </c>
      <c r="CH89" s="127">
        <f>Planbase100[[#This Row],[05/05/25]]+(1-Planbase100[[#This Row],[05/05/25]])*'Plan 39'!AO49</f>
        <v>1</v>
      </c>
      <c r="CI89" s="127">
        <f>Planbase100[[#This Row],[05/05/25]]+(1-Planbase100[[#This Row],[05/05/25]])*'Plan 39'!AP49</f>
        <v>1</v>
      </c>
      <c r="CJ89" s="127">
        <f>Planbase100[[#This Row],[05/05/25]]+(1-Planbase100[[#This Row],[05/05/25]])*'Plan 39'!AQ49</f>
        <v>1</v>
      </c>
      <c r="CK89" s="127">
        <f>Planbase100[[#This Row],[05/05/25]]+(1-Planbase100[[#This Row],[05/05/25]])*'Plan 39'!AR49</f>
        <v>1</v>
      </c>
      <c r="CL89" s="127">
        <f>Planbase100[[#This Row],[05/05/25]]+(1-Planbase100[[#This Row],[05/05/25]])*'Plan 39'!AS49</f>
        <v>1</v>
      </c>
      <c r="CM89" s="127">
        <f>Planbase100[[#This Row],[05/05/25]]+(1-Planbase100[[#This Row],[05/05/25]])*'Plan 39'!AT49</f>
        <v>1</v>
      </c>
      <c r="CN89" s="127">
        <f>Planbase100[[#This Row],[05/05/25]]+(1-Planbase100[[#This Row],[05/05/25]])*'Plan 39'!AU49</f>
        <v>1</v>
      </c>
      <c r="CO89" s="127">
        <f>Planbase100[[#This Row],[05/05/25]]+(1-Planbase100[[#This Row],[05/05/25]])*'Plan 39'!AV49</f>
        <v>1</v>
      </c>
      <c r="CP89" s="127">
        <f>Planbase100[[#This Row],[05/05/25]]+(1-Planbase100[[#This Row],[05/05/25]])*'Plan 39'!AW49</f>
        <v>1</v>
      </c>
      <c r="CQ89" s="127">
        <f>Planbase100[[#This Row],[05/05/25]]+(1-Planbase100[[#This Row],[05/05/25]])*'Plan 39'!AX49</f>
        <v>1</v>
      </c>
      <c r="CR89" s="127">
        <f>Planbase100[[#This Row],[05/05/25]]+(1-Planbase100[[#This Row],[05/05/25]])*'Plan 39'!AY49</f>
        <v>1</v>
      </c>
      <c r="CS89" s="127">
        <f>Planbase100[[#This Row],[05/05/25]]+(1-Planbase100[[#This Row],[05/05/25]])*'Plan 39'!AZ49</f>
        <v>1</v>
      </c>
      <c r="CT89" s="127">
        <f>Planbase100[[#This Row],[05/05/25]]+(1-Planbase100[[#This Row],[05/05/25]])*'Plan 39'!BA49</f>
        <v>1</v>
      </c>
      <c r="CU89" s="127">
        <f>Planbase100[[#This Row],[05/05/25]]+(1-Planbase100[[#This Row],[05/05/25]])*'Plan 39'!BB49</f>
        <v>1</v>
      </c>
      <c r="CV89" s="127">
        <f>Planbase100[[#This Row],[05/05/25]]+(1-Planbase100[[#This Row],[05/05/25]])*'Plan 39'!BC49</f>
        <v>1</v>
      </c>
      <c r="CW89" s="127">
        <f>Planbase100[[#This Row],[05/05/25]]+(1-Planbase100[[#This Row],[05/05/25]])*'Plan 39'!BD49</f>
        <v>1</v>
      </c>
      <c r="CX89" s="127">
        <f>Planbase100[[#This Row],[05/05/25]]+(1-Planbase100[[#This Row],[05/05/25]])*'Plan 39'!BE49</f>
        <v>1</v>
      </c>
      <c r="CY89" s="127">
        <f>Planbase100[[#This Row],[05/05/25]]+(1-Planbase100[[#This Row],[05/05/25]])*'Plan 39'!BF49</f>
        <v>1</v>
      </c>
      <c r="CZ89" s="127">
        <f>Planbase100[[#This Row],[05/05/25]]+(1-Planbase100[[#This Row],[05/05/25]])*'Plan 39'!BG49</f>
        <v>1</v>
      </c>
      <c r="DA89" s="127">
        <f>Planbase100[[#This Row],[05/05/25]]+(1-Planbase100[[#This Row],[05/05/25]])*'Plan 39'!BH49</f>
        <v>1</v>
      </c>
      <c r="DB89" s="127">
        <f>Planbase100[[#This Row],[05/05/25]]+(1-Planbase100[[#This Row],[05/05/25]])*'Plan 39'!BI49</f>
        <v>1</v>
      </c>
      <c r="DC89" s="127">
        <f>Planbase100[[#This Row],[05/05/25]]+(1-Planbase100[[#This Row],[05/05/25]])*'Plan 39'!BJ49</f>
        <v>1</v>
      </c>
      <c r="DD89" s="127">
        <f>Planbase100[[#This Row],[05/05/25]]+(1-Planbase100[[#This Row],[05/05/25]])*'Plan 39'!BK49</f>
        <v>1</v>
      </c>
      <c r="DE89" s="127">
        <f>Planbase100[[#This Row],[05/05/25]]+(1-Planbase100[[#This Row],[05/05/25]])*'Plan 39'!BL49</f>
        <v>1</v>
      </c>
      <c r="DF89" s="127">
        <f>Planbase100[[#This Row],[12/05/25]]+(1-Planbase100[[#This Row],[12/05/25]])*'Plan 39'!BM49</f>
        <v>1</v>
      </c>
      <c r="DG89" s="127">
        <f>Planbase100[[#This Row],[12/05/25]]+(1-Planbase100[[#This Row],[12/05/25]])*'Plan 39'!BN49</f>
        <v>1</v>
      </c>
      <c r="DH89" s="127">
        <f>Planbase100[[#This Row],[12/05/25]]+(1-Planbase100[[#This Row],[12/05/25]])*'Plan 39'!BO49</f>
        <v>1</v>
      </c>
      <c r="DI89" s="127">
        <f>Planbase100[[#This Row],[12/05/25]]+(1-Planbase100[[#This Row],[12/05/25]])*'Plan 39'!BP49</f>
        <v>1</v>
      </c>
      <c r="DJ89" s="127">
        <f>Planbase100[[#This Row],[12/05/25]]+(1-Planbase100[[#This Row],[12/05/25]])*'Plan 39'!BQ49</f>
        <v>1</v>
      </c>
      <c r="DK89" s="127">
        <f>Planbase100[[#This Row],[12/05/25]]+(1-Planbase100[[#This Row],[12/05/25]])*'Plan 39'!BR49</f>
        <v>1</v>
      </c>
      <c r="DL89" s="127">
        <f>Planbase100[[#This Row],[12/05/25]]+(1-Planbase100[[#This Row],[12/05/25]])*'Plan 39'!BS49</f>
        <v>1</v>
      </c>
      <c r="DM89" s="127">
        <f>Planbase100[[#This Row],[12/05/25]]+(1-Planbase100[[#This Row],[12/05/25]])*'Plan 39'!BT49</f>
        <v>1</v>
      </c>
      <c r="DN89" s="127">
        <f>Planbase100[[#This Row],[12/05/25]]+(1-Planbase100[[#This Row],[12/05/25]])*'Plan 39'!BU49</f>
        <v>1</v>
      </c>
      <c r="DO89" s="127">
        <f>Planbase100[[#This Row],[12/05/25]]+(1-Planbase100[[#This Row],[12/05/25]])*'Plan 39'!BV49</f>
        <v>1</v>
      </c>
      <c r="DP89" s="127">
        <f>Planbase100[[#This Row],[12/05/25]]+(1-Planbase100[[#This Row],[12/05/25]])*'Plan 39'!BW49</f>
        <v>1</v>
      </c>
      <c r="DQ89" s="127">
        <f>Planbase100[[#This Row],[12/05/25]]+(1-Planbase100[[#This Row],[12/05/25]])*'Plan 39'!BX49</f>
        <v>1</v>
      </c>
      <c r="DR89" s="127">
        <f>Planbase100[[#This Row],[12/05/25]]+(1-Planbase100[[#This Row],[12/05/25]])*'Plan 39'!BY49</f>
        <v>1</v>
      </c>
      <c r="DS89" s="127">
        <f>Planbase100[[#This Row],[12/05/25]]+(1-Planbase100[[#This Row],[12/05/25]])*'Plan 39'!BZ49</f>
        <v>1</v>
      </c>
      <c r="DT89" s="127">
        <f>Planbase100[[#This Row],[12/05/25]]+(1-Planbase100[[#This Row],[12/05/25]])*'Plan 39'!CA49</f>
        <v>1</v>
      </c>
      <c r="DU89" s="127">
        <f>Planbase100[[#This Row],[12/05/25]]+(1-Planbase100[[#This Row],[12/05/25]])*'Plan 39'!CB49</f>
        <v>1</v>
      </c>
      <c r="DV89" s="127">
        <f>Planbase100[[#This Row],[12/05/25]]+(1-Planbase100[[#This Row],[12/05/25]])*'Plan 39'!CC49</f>
        <v>1</v>
      </c>
      <c r="DW89" s="127">
        <f>Planbase100[[#This Row],[12/05/25]]+(1-Planbase100[[#This Row],[12/05/25]])*'Plan 39'!CD49</f>
        <v>1</v>
      </c>
      <c r="DX89" s="127">
        <f>Planbase100[[#This Row],[12/05/25]]+(1-Planbase100[[#This Row],[12/05/25]])*'Plan 39'!CE49</f>
        <v>1</v>
      </c>
      <c r="DY89" s="127">
        <f>Planbase100[[#This Row],[12/05/25]]+(1-Planbase100[[#This Row],[12/05/25]])*'Plan 39'!CF49</f>
        <v>1</v>
      </c>
      <c r="DZ89" s="127">
        <f>Planbase100[[#This Row],[12/05/25]]+(1-Planbase100[[#This Row],[12/05/25]])*'Plan 39'!CG49</f>
        <v>1</v>
      </c>
      <c r="EA89" s="127">
        <f>Planbase100[[#This Row],[12/05/25]]+(1-Planbase100[[#This Row],[12/05/25]])*'Plan 39'!CH49</f>
        <v>1</v>
      </c>
      <c r="EB89" s="127">
        <f>Planbase100[[#This Row],[12/05/25]]+(1-Planbase100[[#This Row],[12/05/25]])*'Plan 39'!CI49</f>
        <v>1</v>
      </c>
      <c r="EC89" s="127">
        <f>Planbase100[[#This Row],[12/05/25]]+(1-Planbase100[[#This Row],[12/05/25]])*'Plan 39'!CJ49</f>
        <v>1</v>
      </c>
      <c r="ED89" s="127">
        <f>Planbase100[[#This Row],[12/05/25]]+(1-Planbase100[[#This Row],[12/05/25]])*'Plan 39'!CK49</f>
        <v>1</v>
      </c>
      <c r="EE89" s="127">
        <f>Planbase100[[#This Row],[12/05/25]]+(1-Planbase100[[#This Row],[12/05/25]])*'Plan 39'!CL49</f>
        <v>1</v>
      </c>
      <c r="EF89" s="127">
        <f>Planbase100[[#This Row],[12/05/25]]+(1-Planbase100[[#This Row],[12/05/25]])*'Plan 39'!CM49</f>
        <v>1</v>
      </c>
      <c r="EG89" s="127">
        <f>Planbase100[[#This Row],[12/05/25]]+(1-Planbase100[[#This Row],[12/05/25]])*'Plan 39'!CN49</f>
        <v>1</v>
      </c>
      <c r="EH89" s="127">
        <f>Planbase100[[#This Row],[12/05/25]]+(1-Planbase100[[#This Row],[12/05/25]])*'Plan 39'!CO49</f>
        <v>1</v>
      </c>
      <c r="EI89" s="127">
        <f>Planbase100[[#This Row],[12/05/25]]+(1-Planbase100[[#This Row],[12/05/25]])*'Plan 39'!CP49</f>
        <v>1</v>
      </c>
    </row>
    <row r="90" spans="2:139" hidden="1" outlineLevel="3" x14ac:dyDescent="0.3">
      <c r="B90" s="29"/>
      <c r="C90" s="30"/>
      <c r="D90" s="30"/>
      <c r="E90" s="52" t="s">
        <v>94</v>
      </c>
      <c r="F90" s="33">
        <v>10</v>
      </c>
      <c r="G90" s="35">
        <v>6.25E-2</v>
      </c>
      <c r="H90" s="53"/>
      <c r="I90" s="126">
        <v>0</v>
      </c>
      <c r="J90" s="127">
        <v>0</v>
      </c>
      <c r="K90" s="127">
        <v>0</v>
      </c>
      <c r="L90" s="127">
        <v>0</v>
      </c>
      <c r="M90" s="128">
        <v>0</v>
      </c>
      <c r="N90" s="128">
        <v>0</v>
      </c>
      <c r="O90" s="127">
        <v>0</v>
      </c>
      <c r="P90" s="127">
        <v>0</v>
      </c>
      <c r="Q90" s="127">
        <v>0</v>
      </c>
      <c r="R90" s="127">
        <v>0</v>
      </c>
      <c r="S90" s="127">
        <v>0</v>
      </c>
      <c r="T90" s="127">
        <v>0</v>
      </c>
      <c r="U90" s="127">
        <v>0</v>
      </c>
      <c r="V90" s="127">
        <v>0</v>
      </c>
      <c r="W90" s="127">
        <v>0</v>
      </c>
      <c r="X90" s="127">
        <v>0</v>
      </c>
      <c r="Y90" s="127">
        <v>0</v>
      </c>
      <c r="Z90" s="127">
        <v>0</v>
      </c>
      <c r="AA90" s="127">
        <v>0</v>
      </c>
      <c r="AB90" s="127">
        <v>0</v>
      </c>
      <c r="AC90" s="127">
        <v>1</v>
      </c>
      <c r="AD90" s="127">
        <v>1</v>
      </c>
      <c r="AE90" s="127">
        <v>1</v>
      </c>
      <c r="AF90" s="127">
        <v>1</v>
      </c>
      <c r="AG90" s="127">
        <v>1</v>
      </c>
      <c r="AH90" s="127">
        <v>1</v>
      </c>
      <c r="AI90" s="127">
        <v>1</v>
      </c>
      <c r="AJ90" s="127">
        <v>1</v>
      </c>
      <c r="AK90" s="127">
        <v>1</v>
      </c>
      <c r="AL90" s="127">
        <v>1</v>
      </c>
      <c r="AM90" s="127">
        <v>1</v>
      </c>
      <c r="AN90" s="127">
        <v>1</v>
      </c>
      <c r="AO90" s="127">
        <v>1</v>
      </c>
      <c r="AP90" s="127">
        <v>1</v>
      </c>
      <c r="AQ90" s="127">
        <v>1</v>
      </c>
      <c r="AR90" s="127">
        <v>1</v>
      </c>
      <c r="AS90" s="127">
        <v>1</v>
      </c>
      <c r="AT90" s="127">
        <v>1</v>
      </c>
      <c r="AU90" s="127">
        <v>1</v>
      </c>
      <c r="AV90" s="127">
        <v>1</v>
      </c>
      <c r="AW90" s="127">
        <v>1</v>
      </c>
      <c r="AX90" s="127">
        <v>1</v>
      </c>
      <c r="AY90" s="127">
        <v>1</v>
      </c>
      <c r="AZ90" s="127">
        <v>1</v>
      </c>
      <c r="BA90" s="127">
        <v>1</v>
      </c>
      <c r="BB90" s="127">
        <v>1</v>
      </c>
      <c r="BC90" s="127">
        <v>1</v>
      </c>
      <c r="BD90" s="127">
        <v>1</v>
      </c>
      <c r="BE90" s="127">
        <v>1</v>
      </c>
      <c r="BF90" s="127">
        <v>1</v>
      </c>
      <c r="BG90" s="127">
        <v>1</v>
      </c>
      <c r="BH90" s="127">
        <v>1</v>
      </c>
      <c r="BI90" s="127">
        <v>1</v>
      </c>
      <c r="BJ90" s="127">
        <v>1</v>
      </c>
      <c r="BK90" s="127">
        <v>1</v>
      </c>
      <c r="BL90" s="127">
        <v>1</v>
      </c>
      <c r="BM90" s="127">
        <v>1</v>
      </c>
      <c r="BN90" s="127">
        <v>1</v>
      </c>
      <c r="BO90" s="127">
        <v>1</v>
      </c>
      <c r="BP90" s="127">
        <v>1</v>
      </c>
      <c r="BQ90" s="127">
        <v>1</v>
      </c>
      <c r="BR90" s="127">
        <v>1</v>
      </c>
      <c r="BS90" s="127">
        <v>1</v>
      </c>
      <c r="BT90" s="127">
        <v>1</v>
      </c>
      <c r="BU90" s="127">
        <v>1</v>
      </c>
      <c r="BV90" s="127">
        <v>1</v>
      </c>
      <c r="BW90" s="127">
        <v>1</v>
      </c>
      <c r="BX90" s="127">
        <v>1</v>
      </c>
      <c r="BY90" s="127">
        <v>1</v>
      </c>
      <c r="BZ90" s="127">
        <v>1</v>
      </c>
      <c r="CA90" s="127">
        <v>1</v>
      </c>
      <c r="CB90" s="127">
        <v>1</v>
      </c>
      <c r="CC90" s="127">
        <v>1</v>
      </c>
      <c r="CD90" s="127">
        <v>1</v>
      </c>
      <c r="CE90" s="127">
        <v>1</v>
      </c>
      <c r="CF90" s="127">
        <v>1</v>
      </c>
      <c r="CG90" s="127">
        <v>1</v>
      </c>
      <c r="CH90" s="127">
        <v>1</v>
      </c>
      <c r="CI90" s="127">
        <v>1</v>
      </c>
      <c r="CJ90" s="127">
        <v>1</v>
      </c>
      <c r="CK90" s="127">
        <v>1</v>
      </c>
      <c r="CL90" s="127">
        <v>1</v>
      </c>
      <c r="CM90" s="127">
        <v>1</v>
      </c>
      <c r="CN90" s="127">
        <v>1</v>
      </c>
      <c r="CO90" s="127">
        <v>1</v>
      </c>
      <c r="CP90" s="127">
        <v>1</v>
      </c>
      <c r="CQ90" s="127">
        <v>1</v>
      </c>
      <c r="CR90" s="127">
        <v>1</v>
      </c>
      <c r="CS90" s="127">
        <v>1</v>
      </c>
      <c r="CT90" s="127">
        <v>1</v>
      </c>
      <c r="CU90" s="127">
        <v>1</v>
      </c>
      <c r="CV90" s="127">
        <v>1</v>
      </c>
      <c r="CW90" s="127">
        <v>1</v>
      </c>
      <c r="CX90" s="127">
        <v>1</v>
      </c>
      <c r="CY90" s="127">
        <v>1</v>
      </c>
      <c r="CZ90" s="127">
        <v>1</v>
      </c>
      <c r="DA90" s="127">
        <v>1</v>
      </c>
      <c r="DB90" s="127">
        <v>1</v>
      </c>
      <c r="DC90" s="127">
        <v>1</v>
      </c>
      <c r="DD90" s="127">
        <v>1</v>
      </c>
      <c r="DE90" s="127">
        <v>1</v>
      </c>
      <c r="DF90" s="127">
        <f>Planbase100[[#This Row],[12/05/25]]+(1-Planbase100[[#This Row],[12/05/25]])*'Plan 39'!BM50</f>
        <v>1</v>
      </c>
      <c r="DG90" s="127">
        <f>Planbase100[[#This Row],[12/05/25]]+(1-Planbase100[[#This Row],[12/05/25]])*'Plan 39'!BN50</f>
        <v>1</v>
      </c>
      <c r="DH90" s="127">
        <f>Planbase100[[#This Row],[12/05/25]]+(1-Planbase100[[#This Row],[12/05/25]])*'Plan 39'!BO50</f>
        <v>1</v>
      </c>
      <c r="DI90" s="127">
        <f>Planbase100[[#This Row],[12/05/25]]+(1-Planbase100[[#This Row],[12/05/25]])*'Plan 39'!BP50</f>
        <v>1</v>
      </c>
      <c r="DJ90" s="127">
        <f>Planbase100[[#This Row],[12/05/25]]+(1-Planbase100[[#This Row],[12/05/25]])*'Plan 39'!BQ50</f>
        <v>1</v>
      </c>
      <c r="DK90" s="127">
        <f>Planbase100[[#This Row],[12/05/25]]+(1-Planbase100[[#This Row],[12/05/25]])*'Plan 39'!BR50</f>
        <v>1</v>
      </c>
      <c r="DL90" s="127">
        <f>Planbase100[[#This Row],[12/05/25]]+(1-Planbase100[[#This Row],[12/05/25]])*'Plan 39'!BS50</f>
        <v>1</v>
      </c>
      <c r="DM90" s="127">
        <f>Planbase100[[#This Row],[12/05/25]]+(1-Planbase100[[#This Row],[12/05/25]])*'Plan 39'!BT50</f>
        <v>1</v>
      </c>
      <c r="DN90" s="127">
        <f>Planbase100[[#This Row],[12/05/25]]+(1-Planbase100[[#This Row],[12/05/25]])*'Plan 39'!BU50</f>
        <v>1</v>
      </c>
      <c r="DO90" s="127">
        <f>Planbase100[[#This Row],[12/05/25]]+(1-Planbase100[[#This Row],[12/05/25]])*'Plan 39'!BV50</f>
        <v>1</v>
      </c>
      <c r="DP90" s="127">
        <f>Planbase100[[#This Row],[12/05/25]]+(1-Planbase100[[#This Row],[12/05/25]])*'Plan 39'!BW50</f>
        <v>1</v>
      </c>
      <c r="DQ90" s="127">
        <f>Planbase100[[#This Row],[12/05/25]]+(1-Planbase100[[#This Row],[12/05/25]])*'Plan 39'!BX50</f>
        <v>1</v>
      </c>
      <c r="DR90" s="127">
        <f>Planbase100[[#This Row],[12/05/25]]+(1-Planbase100[[#This Row],[12/05/25]])*'Plan 39'!BY50</f>
        <v>1</v>
      </c>
      <c r="DS90" s="127">
        <f>Planbase100[[#This Row],[12/05/25]]+(1-Planbase100[[#This Row],[12/05/25]])*'Plan 39'!BZ50</f>
        <v>1</v>
      </c>
      <c r="DT90" s="127">
        <f>Planbase100[[#This Row],[12/05/25]]+(1-Planbase100[[#This Row],[12/05/25]])*'Plan 39'!CA50</f>
        <v>1</v>
      </c>
      <c r="DU90" s="127">
        <f>Planbase100[[#This Row],[12/05/25]]+(1-Planbase100[[#This Row],[12/05/25]])*'Plan 39'!CB50</f>
        <v>1</v>
      </c>
      <c r="DV90" s="127">
        <f>Planbase100[[#This Row],[12/05/25]]+(1-Planbase100[[#This Row],[12/05/25]])*'Plan 39'!CC50</f>
        <v>1</v>
      </c>
      <c r="DW90" s="127">
        <f>Planbase100[[#This Row],[12/05/25]]+(1-Planbase100[[#This Row],[12/05/25]])*'Plan 39'!CD50</f>
        <v>1</v>
      </c>
      <c r="DX90" s="127">
        <f>Planbase100[[#This Row],[12/05/25]]+(1-Planbase100[[#This Row],[12/05/25]])*'Plan 39'!CE50</f>
        <v>1</v>
      </c>
      <c r="DY90" s="127">
        <f>Planbase100[[#This Row],[12/05/25]]+(1-Planbase100[[#This Row],[12/05/25]])*'Plan 39'!CF50</f>
        <v>1</v>
      </c>
      <c r="DZ90" s="127">
        <f>Planbase100[[#This Row],[12/05/25]]+(1-Planbase100[[#This Row],[12/05/25]])*'Plan 39'!CG50</f>
        <v>1</v>
      </c>
      <c r="EA90" s="127">
        <f>Planbase100[[#This Row],[12/05/25]]+(1-Planbase100[[#This Row],[12/05/25]])*'Plan 39'!CH50</f>
        <v>1</v>
      </c>
      <c r="EB90" s="127">
        <f>Planbase100[[#This Row],[12/05/25]]+(1-Planbase100[[#This Row],[12/05/25]])*'Plan 39'!CI50</f>
        <v>1</v>
      </c>
      <c r="EC90" s="127">
        <f>Planbase100[[#This Row],[12/05/25]]+(1-Planbase100[[#This Row],[12/05/25]])*'Plan 39'!CJ50</f>
        <v>1</v>
      </c>
      <c r="ED90" s="127">
        <f>Planbase100[[#This Row],[12/05/25]]+(1-Planbase100[[#This Row],[12/05/25]])*'Plan 39'!CK50</f>
        <v>1</v>
      </c>
      <c r="EE90" s="127">
        <f>Planbase100[[#This Row],[12/05/25]]+(1-Planbase100[[#This Row],[12/05/25]])*'Plan 39'!CL50</f>
        <v>1</v>
      </c>
      <c r="EF90" s="127">
        <f>Planbase100[[#This Row],[12/05/25]]+(1-Planbase100[[#This Row],[12/05/25]])*'Plan 39'!CM50</f>
        <v>1</v>
      </c>
      <c r="EG90" s="127">
        <f>Planbase100[[#This Row],[12/05/25]]+(1-Planbase100[[#This Row],[12/05/25]])*'Plan 39'!CN50</f>
        <v>1</v>
      </c>
      <c r="EH90" s="127">
        <f>Planbase100[[#This Row],[12/05/25]]+(1-Planbase100[[#This Row],[12/05/25]])*'Plan 39'!CO50</f>
        <v>1</v>
      </c>
      <c r="EI90" s="127">
        <f>Planbase100[[#This Row],[12/05/25]]+(1-Planbase100[[#This Row],[12/05/25]])*'Plan 39'!CP50</f>
        <v>1</v>
      </c>
    </row>
    <row r="91" spans="2:139" hidden="1" outlineLevel="3" x14ac:dyDescent="0.3">
      <c r="B91" s="29"/>
      <c r="C91" s="30"/>
      <c r="D91" s="30"/>
      <c r="E91" s="52" t="s">
        <v>95</v>
      </c>
      <c r="F91" s="33">
        <v>10</v>
      </c>
      <c r="G91" s="35">
        <v>6.25E-2</v>
      </c>
      <c r="H91" s="53"/>
      <c r="I91" s="126">
        <v>0</v>
      </c>
      <c r="J91" s="127">
        <v>0</v>
      </c>
      <c r="K91" s="127">
        <v>0</v>
      </c>
      <c r="L91" s="127">
        <v>0</v>
      </c>
      <c r="M91" s="128">
        <v>0</v>
      </c>
      <c r="N91" s="128">
        <v>0</v>
      </c>
      <c r="O91" s="127">
        <v>0</v>
      </c>
      <c r="P91" s="127">
        <v>0</v>
      </c>
      <c r="Q91" s="127">
        <v>0</v>
      </c>
      <c r="R91" s="127">
        <v>0</v>
      </c>
      <c r="S91" s="127">
        <v>0</v>
      </c>
      <c r="T91" s="127">
        <v>0</v>
      </c>
      <c r="U91" s="127">
        <v>0</v>
      </c>
      <c r="V91" s="127">
        <v>0</v>
      </c>
      <c r="W91" s="127">
        <v>0</v>
      </c>
      <c r="X91" s="127">
        <v>1</v>
      </c>
      <c r="Y91" s="127">
        <v>1</v>
      </c>
      <c r="Z91" s="127">
        <v>1</v>
      </c>
      <c r="AA91" s="127">
        <v>1</v>
      </c>
      <c r="AB91" s="127">
        <v>1</v>
      </c>
      <c r="AC91" s="127">
        <v>1</v>
      </c>
      <c r="AD91" s="127">
        <v>1</v>
      </c>
      <c r="AE91" s="127">
        <v>1</v>
      </c>
      <c r="AF91" s="127">
        <v>1</v>
      </c>
      <c r="AG91" s="127">
        <v>1</v>
      </c>
      <c r="AH91" s="127">
        <v>1</v>
      </c>
      <c r="AI91" s="127">
        <v>1</v>
      </c>
      <c r="AJ91" s="127">
        <v>1</v>
      </c>
      <c r="AK91" s="127">
        <v>1</v>
      </c>
      <c r="AL91" s="127">
        <v>1</v>
      </c>
      <c r="AM91" s="127">
        <v>1</v>
      </c>
      <c r="AN91" s="127">
        <v>1</v>
      </c>
      <c r="AO91" s="127">
        <v>1</v>
      </c>
      <c r="AP91" s="127">
        <v>1</v>
      </c>
      <c r="AQ91" s="127">
        <v>1</v>
      </c>
      <c r="AR91" s="127">
        <v>1</v>
      </c>
      <c r="AS91" s="127">
        <v>1</v>
      </c>
      <c r="AT91" s="127">
        <v>1</v>
      </c>
      <c r="AU91" s="127">
        <v>1</v>
      </c>
      <c r="AV91" s="127">
        <v>1</v>
      </c>
      <c r="AW91" s="127">
        <v>1</v>
      </c>
      <c r="AX91" s="127">
        <v>1</v>
      </c>
      <c r="AY91" s="127">
        <v>1</v>
      </c>
      <c r="AZ91" s="127">
        <v>1</v>
      </c>
      <c r="BA91" s="127">
        <v>1</v>
      </c>
      <c r="BB91" s="127">
        <v>1</v>
      </c>
      <c r="BC91" s="127">
        <v>1</v>
      </c>
      <c r="BD91" s="127">
        <v>1</v>
      </c>
      <c r="BE91" s="127">
        <v>1</v>
      </c>
      <c r="BF91" s="127">
        <v>1</v>
      </c>
      <c r="BG91" s="127">
        <v>1</v>
      </c>
      <c r="BH91" s="127">
        <v>1</v>
      </c>
      <c r="BI91" s="127">
        <v>1</v>
      </c>
      <c r="BJ91" s="127">
        <v>1</v>
      </c>
      <c r="BK91" s="127">
        <v>1</v>
      </c>
      <c r="BL91" s="127">
        <v>1</v>
      </c>
      <c r="BM91" s="127">
        <v>1</v>
      </c>
      <c r="BN91" s="127">
        <v>1</v>
      </c>
      <c r="BO91" s="127">
        <v>1</v>
      </c>
      <c r="BP91" s="127">
        <v>1</v>
      </c>
      <c r="BQ91" s="127">
        <v>1</v>
      </c>
      <c r="BR91" s="127">
        <v>1</v>
      </c>
      <c r="BS91" s="127">
        <v>1</v>
      </c>
      <c r="BT91" s="127">
        <v>1</v>
      </c>
      <c r="BU91" s="127">
        <v>1</v>
      </c>
      <c r="BV91" s="127">
        <v>1</v>
      </c>
      <c r="BW91" s="127">
        <v>1</v>
      </c>
      <c r="BX91" s="127">
        <v>1</v>
      </c>
      <c r="BY91" s="127">
        <v>1</v>
      </c>
      <c r="BZ91" s="127">
        <v>1</v>
      </c>
      <c r="CA91" s="127">
        <v>1</v>
      </c>
      <c r="CB91" s="127">
        <v>1</v>
      </c>
      <c r="CC91" s="127">
        <v>1</v>
      </c>
      <c r="CD91" s="127">
        <v>1</v>
      </c>
      <c r="CE91" s="127">
        <v>1</v>
      </c>
      <c r="CF91" s="127">
        <v>1</v>
      </c>
      <c r="CG91" s="127">
        <v>1</v>
      </c>
      <c r="CH91" s="127">
        <v>1</v>
      </c>
      <c r="CI91" s="127">
        <v>1</v>
      </c>
      <c r="CJ91" s="127">
        <v>1</v>
      </c>
      <c r="CK91" s="127">
        <v>1</v>
      </c>
      <c r="CL91" s="127">
        <v>1</v>
      </c>
      <c r="CM91" s="127">
        <v>1</v>
      </c>
      <c r="CN91" s="127">
        <v>1</v>
      </c>
      <c r="CO91" s="127">
        <v>1</v>
      </c>
      <c r="CP91" s="127">
        <v>1</v>
      </c>
      <c r="CQ91" s="127">
        <v>1</v>
      </c>
      <c r="CR91" s="127">
        <v>1</v>
      </c>
      <c r="CS91" s="127">
        <v>1</v>
      </c>
      <c r="CT91" s="127">
        <v>1</v>
      </c>
      <c r="CU91" s="127">
        <v>1</v>
      </c>
      <c r="CV91" s="127">
        <v>1</v>
      </c>
      <c r="CW91" s="127">
        <v>1</v>
      </c>
      <c r="CX91" s="127">
        <v>1</v>
      </c>
      <c r="CY91" s="127">
        <v>1</v>
      </c>
      <c r="CZ91" s="127">
        <v>1</v>
      </c>
      <c r="DA91" s="127">
        <v>1</v>
      </c>
      <c r="DB91" s="127">
        <v>1</v>
      </c>
      <c r="DC91" s="127">
        <v>1</v>
      </c>
      <c r="DD91" s="127">
        <v>1</v>
      </c>
      <c r="DE91" s="127">
        <v>1</v>
      </c>
      <c r="DF91" s="127">
        <f>Planbase100[[#This Row],[12/05/25]]+(1-Planbase100[[#This Row],[12/05/25]])*'Plan 39'!BM51</f>
        <v>1</v>
      </c>
      <c r="DG91" s="127">
        <f>Planbase100[[#This Row],[12/05/25]]+(1-Planbase100[[#This Row],[12/05/25]])*'Plan 39'!BN51</f>
        <v>1</v>
      </c>
      <c r="DH91" s="127">
        <f>Planbase100[[#This Row],[12/05/25]]+(1-Planbase100[[#This Row],[12/05/25]])*'Plan 39'!BO51</f>
        <v>1</v>
      </c>
      <c r="DI91" s="127">
        <f>Planbase100[[#This Row],[12/05/25]]+(1-Planbase100[[#This Row],[12/05/25]])*'Plan 39'!BP51</f>
        <v>1</v>
      </c>
      <c r="DJ91" s="127">
        <f>Planbase100[[#This Row],[12/05/25]]+(1-Planbase100[[#This Row],[12/05/25]])*'Plan 39'!BQ51</f>
        <v>1</v>
      </c>
      <c r="DK91" s="127">
        <f>Planbase100[[#This Row],[12/05/25]]+(1-Planbase100[[#This Row],[12/05/25]])*'Plan 39'!BR51</f>
        <v>1</v>
      </c>
      <c r="DL91" s="127">
        <f>Planbase100[[#This Row],[12/05/25]]+(1-Planbase100[[#This Row],[12/05/25]])*'Plan 39'!BS51</f>
        <v>1</v>
      </c>
      <c r="DM91" s="127">
        <f>Planbase100[[#This Row],[12/05/25]]+(1-Planbase100[[#This Row],[12/05/25]])*'Plan 39'!BT51</f>
        <v>1</v>
      </c>
      <c r="DN91" s="127">
        <f>Planbase100[[#This Row],[12/05/25]]+(1-Planbase100[[#This Row],[12/05/25]])*'Plan 39'!BU51</f>
        <v>1</v>
      </c>
      <c r="DO91" s="127">
        <f>Planbase100[[#This Row],[12/05/25]]+(1-Planbase100[[#This Row],[12/05/25]])*'Plan 39'!BV51</f>
        <v>1</v>
      </c>
      <c r="DP91" s="127">
        <f>Planbase100[[#This Row],[12/05/25]]+(1-Planbase100[[#This Row],[12/05/25]])*'Plan 39'!BW51</f>
        <v>1</v>
      </c>
      <c r="DQ91" s="127">
        <f>Planbase100[[#This Row],[12/05/25]]+(1-Planbase100[[#This Row],[12/05/25]])*'Plan 39'!BX51</f>
        <v>1</v>
      </c>
      <c r="DR91" s="127">
        <f>Planbase100[[#This Row],[12/05/25]]+(1-Planbase100[[#This Row],[12/05/25]])*'Plan 39'!BY51</f>
        <v>1</v>
      </c>
      <c r="DS91" s="127">
        <f>Planbase100[[#This Row],[12/05/25]]+(1-Planbase100[[#This Row],[12/05/25]])*'Plan 39'!BZ51</f>
        <v>1</v>
      </c>
      <c r="DT91" s="127">
        <f>Planbase100[[#This Row],[12/05/25]]+(1-Planbase100[[#This Row],[12/05/25]])*'Plan 39'!CA51</f>
        <v>1</v>
      </c>
      <c r="DU91" s="127">
        <f>Planbase100[[#This Row],[12/05/25]]+(1-Planbase100[[#This Row],[12/05/25]])*'Plan 39'!CB51</f>
        <v>1</v>
      </c>
      <c r="DV91" s="127">
        <f>Planbase100[[#This Row],[12/05/25]]+(1-Planbase100[[#This Row],[12/05/25]])*'Plan 39'!CC51</f>
        <v>1</v>
      </c>
      <c r="DW91" s="127">
        <f>Planbase100[[#This Row],[12/05/25]]+(1-Planbase100[[#This Row],[12/05/25]])*'Plan 39'!CD51</f>
        <v>1</v>
      </c>
      <c r="DX91" s="127">
        <f>Planbase100[[#This Row],[12/05/25]]+(1-Planbase100[[#This Row],[12/05/25]])*'Plan 39'!CE51</f>
        <v>1</v>
      </c>
      <c r="DY91" s="127">
        <f>Planbase100[[#This Row],[12/05/25]]+(1-Planbase100[[#This Row],[12/05/25]])*'Plan 39'!CF51</f>
        <v>1</v>
      </c>
      <c r="DZ91" s="127">
        <f>Planbase100[[#This Row],[12/05/25]]+(1-Planbase100[[#This Row],[12/05/25]])*'Plan 39'!CG51</f>
        <v>1</v>
      </c>
      <c r="EA91" s="127">
        <f>Planbase100[[#This Row],[12/05/25]]+(1-Planbase100[[#This Row],[12/05/25]])*'Plan 39'!CH51</f>
        <v>1</v>
      </c>
      <c r="EB91" s="127">
        <f>Planbase100[[#This Row],[12/05/25]]+(1-Planbase100[[#This Row],[12/05/25]])*'Plan 39'!CI51</f>
        <v>1</v>
      </c>
      <c r="EC91" s="127">
        <f>Planbase100[[#This Row],[12/05/25]]+(1-Planbase100[[#This Row],[12/05/25]])*'Plan 39'!CJ51</f>
        <v>1</v>
      </c>
      <c r="ED91" s="127">
        <f>Planbase100[[#This Row],[12/05/25]]+(1-Planbase100[[#This Row],[12/05/25]])*'Plan 39'!CK51</f>
        <v>1</v>
      </c>
      <c r="EE91" s="127">
        <f>Planbase100[[#This Row],[12/05/25]]+(1-Planbase100[[#This Row],[12/05/25]])*'Plan 39'!CL51</f>
        <v>1</v>
      </c>
      <c r="EF91" s="127">
        <f>Planbase100[[#This Row],[12/05/25]]+(1-Planbase100[[#This Row],[12/05/25]])*'Plan 39'!CM51</f>
        <v>1</v>
      </c>
      <c r="EG91" s="127">
        <f>Planbase100[[#This Row],[12/05/25]]+(1-Planbase100[[#This Row],[12/05/25]])*'Plan 39'!CN51</f>
        <v>1</v>
      </c>
      <c r="EH91" s="127">
        <f>Planbase100[[#This Row],[12/05/25]]+(1-Planbase100[[#This Row],[12/05/25]])*'Plan 39'!CO51</f>
        <v>1</v>
      </c>
      <c r="EI91" s="127">
        <f>Planbase100[[#This Row],[12/05/25]]+(1-Planbase100[[#This Row],[12/05/25]])*'Plan 39'!CP51</f>
        <v>1</v>
      </c>
    </row>
    <row r="92" spans="2:139" hidden="1" outlineLevel="3" x14ac:dyDescent="0.3">
      <c r="B92" s="29"/>
      <c r="C92" s="30"/>
      <c r="D92" s="30"/>
      <c r="E92" s="52" t="s">
        <v>96</v>
      </c>
      <c r="F92" s="33">
        <v>50</v>
      </c>
      <c r="G92" s="35">
        <v>0.3125</v>
      </c>
      <c r="H92" s="53"/>
      <c r="I92" s="126">
        <v>0</v>
      </c>
      <c r="J92" s="127">
        <v>0</v>
      </c>
      <c r="K92" s="127">
        <v>0</v>
      </c>
      <c r="L92" s="127">
        <v>0</v>
      </c>
      <c r="M92" s="128">
        <v>0</v>
      </c>
      <c r="N92" s="128">
        <v>0</v>
      </c>
      <c r="O92" s="127">
        <v>0</v>
      </c>
      <c r="P92" s="127">
        <v>0</v>
      </c>
      <c r="Q92" s="127">
        <v>0</v>
      </c>
      <c r="R92" s="127">
        <v>0</v>
      </c>
      <c r="S92" s="127">
        <v>0</v>
      </c>
      <c r="T92" s="127">
        <v>0</v>
      </c>
      <c r="U92" s="127">
        <v>0</v>
      </c>
      <c r="V92" s="127">
        <v>0</v>
      </c>
      <c r="W92" s="127">
        <v>0</v>
      </c>
      <c r="X92" s="127">
        <v>0</v>
      </c>
      <c r="Y92" s="127">
        <v>2.7000000000000003E-2</v>
      </c>
      <c r="Z92" s="127">
        <v>0.12</v>
      </c>
      <c r="AA92" s="127">
        <v>0.23039999999999999</v>
      </c>
      <c r="AB92" s="127">
        <v>0.23039999999999999</v>
      </c>
      <c r="AC92" s="127">
        <v>0.31900000000000001</v>
      </c>
      <c r="AD92" s="127">
        <v>0.33</v>
      </c>
      <c r="AE92" s="127">
        <v>0.34099999999999997</v>
      </c>
      <c r="AF92" s="127">
        <v>0.35199999999999998</v>
      </c>
      <c r="AG92" s="127">
        <v>0.37619999999999998</v>
      </c>
      <c r="AH92" s="127">
        <v>0.39560000000000001</v>
      </c>
      <c r="AI92" s="127">
        <v>0.39560000000000001</v>
      </c>
      <c r="AJ92" s="127">
        <v>0.39560000000000001</v>
      </c>
      <c r="AK92" s="127">
        <v>0.40660000000000002</v>
      </c>
      <c r="AL92" s="127">
        <v>0.41759999999999997</v>
      </c>
      <c r="AM92" s="127">
        <v>0.41980000000000001</v>
      </c>
      <c r="AN92" s="127">
        <v>0.4355</v>
      </c>
      <c r="AO92" s="127">
        <v>0.43969999999999998</v>
      </c>
      <c r="AP92" s="127">
        <v>0.48260000000000003</v>
      </c>
      <c r="AQ92" s="127">
        <v>0.50130000000000008</v>
      </c>
      <c r="AR92" s="127">
        <v>0.50130000000000008</v>
      </c>
      <c r="AS92" s="127">
        <v>0.62230000000000008</v>
      </c>
      <c r="AT92" s="127">
        <v>0.62230000000000008</v>
      </c>
      <c r="AU92" s="127">
        <v>0.62230000000000008</v>
      </c>
      <c r="AV92" s="127">
        <v>0.62230000000000008</v>
      </c>
      <c r="AW92" s="127">
        <v>0.62320000000000009</v>
      </c>
      <c r="AX92" s="127">
        <v>0.97300000000000009</v>
      </c>
      <c r="AY92" s="127">
        <v>0.97300000000000009</v>
      </c>
      <c r="AZ92" s="127">
        <v>0.97300000000000009</v>
      </c>
      <c r="BA92" s="127">
        <v>0.97300000000000009</v>
      </c>
      <c r="BB92" s="127">
        <f>Planbase100[[#This Row],[05/05/25]]+(1-Planbase100[[#This Row],[05/05/25]])*'Plan 39'!I50</f>
        <v>0.97435000000000005</v>
      </c>
      <c r="BC92" s="127">
        <f>Planbase100[[#This Row],[05/05/25]]+(1-Planbase100[[#This Row],[05/05/25]])*'Plan 39'!J50</f>
        <v>0.97570000000000012</v>
      </c>
      <c r="BD92" s="127">
        <f>Planbase100[[#This Row],[05/05/25]]+(1-Planbase100[[#This Row],[05/05/25]])*'Plan 39'!K50</f>
        <v>0.97705000000000009</v>
      </c>
      <c r="BE92" s="127">
        <f>Planbase100[[#This Row],[05/05/25]]+(1-Planbase100[[#This Row],[05/05/25]])*'Plan 39'!L50</f>
        <v>0.97840000000000005</v>
      </c>
      <c r="BF92" s="127">
        <f>Planbase100[[#This Row],[05/05/25]]+(1-Planbase100[[#This Row],[05/05/25]])*'Plan 39'!M50</f>
        <v>0.97975000000000012</v>
      </c>
      <c r="BG92" s="127">
        <f>Planbase100[[#This Row],[05/05/25]]+(1-Planbase100[[#This Row],[05/05/25]])*'Plan 39'!N50</f>
        <v>0.98110000000000008</v>
      </c>
      <c r="BH92" s="127">
        <f>Planbase100[[#This Row],[05/05/25]]+(1-Planbase100[[#This Row],[05/05/25]])*'Plan 39'!O50</f>
        <v>0.98245000000000005</v>
      </c>
      <c r="BI92" s="127">
        <f>Planbase100[[#This Row],[05/05/25]]+(1-Planbase100[[#This Row],[05/05/25]])*'Plan 39'!P50</f>
        <v>0.98380000000000001</v>
      </c>
      <c r="BJ92" s="127">
        <f>Planbase100[[#This Row],[05/05/25]]+(1-Planbase100[[#This Row],[05/05/25]])*'Plan 39'!Q50</f>
        <v>0.98515000000000008</v>
      </c>
      <c r="BK92" s="127">
        <f>Planbase100[[#This Row],[05/05/25]]+(1-Planbase100[[#This Row],[05/05/25]])*'Plan 39'!R50</f>
        <v>0.98650000000000004</v>
      </c>
      <c r="BL92" s="127">
        <f>Planbase100[[#This Row],[05/05/25]]+(1-Planbase100[[#This Row],[05/05/25]])*'Plan 39'!S50</f>
        <v>0.98785000000000001</v>
      </c>
      <c r="BM92" s="127">
        <f>Planbase100[[#This Row],[05/05/25]]+(1-Planbase100[[#This Row],[05/05/25]])*'Plan 39'!T50</f>
        <v>0.98920000000000008</v>
      </c>
      <c r="BN92" s="127">
        <f>Planbase100[[#This Row],[05/05/25]]+(1-Planbase100[[#This Row],[05/05/25]])*'Plan 39'!U50</f>
        <v>0.99055000000000004</v>
      </c>
      <c r="BO92" s="127">
        <f>Planbase100[[#This Row],[05/05/25]]+(1-Planbase100[[#This Row],[05/05/25]])*'Plan 39'!V50</f>
        <v>0.9919</v>
      </c>
      <c r="BP92" s="127">
        <f>Planbase100[[#This Row],[05/05/25]]+(1-Planbase100[[#This Row],[05/05/25]])*'Plan 39'!W50</f>
        <v>0.99325000000000008</v>
      </c>
      <c r="BQ92" s="127">
        <f>Planbase100[[#This Row],[05/05/25]]+(1-Planbase100[[#This Row],[05/05/25]])*'Plan 39'!X50</f>
        <v>0.99460000000000004</v>
      </c>
      <c r="BR92" s="127">
        <f>Planbase100[[#This Row],[05/05/25]]+(1-Planbase100[[#This Row],[05/05/25]])*'Plan 39'!Y50</f>
        <v>0.99595</v>
      </c>
      <c r="BS92" s="127">
        <f>Planbase100[[#This Row],[05/05/25]]+(1-Planbase100[[#This Row],[05/05/25]])*'Plan 39'!Z50</f>
        <v>0.99729999999999996</v>
      </c>
      <c r="BT92" s="127">
        <f>Planbase100[[#This Row],[05/05/25]]+(1-Planbase100[[#This Row],[05/05/25]])*'Plan 39'!AA50</f>
        <v>0.99865000000000004</v>
      </c>
      <c r="BU92" s="127">
        <f>Planbase100[[#This Row],[05/05/25]]+(1-Planbase100[[#This Row],[05/05/25]])*'Plan 39'!AB50</f>
        <v>1</v>
      </c>
      <c r="BV92" s="127">
        <f>Planbase100[[#This Row],[05/05/25]]+(1-Planbase100[[#This Row],[05/05/25]])*'Plan 39'!AC50</f>
        <v>1</v>
      </c>
      <c r="BW92" s="127">
        <f>Planbase100[[#This Row],[05/05/25]]+(1-Planbase100[[#This Row],[05/05/25]])*'Plan 39'!AD50</f>
        <v>1</v>
      </c>
      <c r="BX92" s="127">
        <f>Planbase100[[#This Row],[05/05/25]]+(1-Planbase100[[#This Row],[05/05/25]])*'Plan 39'!AE50</f>
        <v>1</v>
      </c>
      <c r="BY92" s="127">
        <f>Planbase100[[#This Row],[05/05/25]]+(1-Planbase100[[#This Row],[05/05/25]])*'Plan 39'!AF50</f>
        <v>1</v>
      </c>
      <c r="BZ92" s="127">
        <f>Planbase100[[#This Row],[05/05/25]]+(1-Planbase100[[#This Row],[05/05/25]])*'Plan 39'!AG50</f>
        <v>1</v>
      </c>
      <c r="CA92" s="127">
        <f>Planbase100[[#This Row],[05/05/25]]+(1-Planbase100[[#This Row],[05/05/25]])*'Plan 39'!AH50</f>
        <v>1</v>
      </c>
      <c r="CB92" s="127">
        <f>Planbase100[[#This Row],[05/05/25]]+(1-Planbase100[[#This Row],[05/05/25]])*'Plan 39'!AI50</f>
        <v>1</v>
      </c>
      <c r="CC92" s="127">
        <f>Planbase100[[#This Row],[05/05/25]]+(1-Planbase100[[#This Row],[05/05/25]])*'Plan 39'!AJ50</f>
        <v>1</v>
      </c>
      <c r="CD92" s="127">
        <f>Planbase100[[#This Row],[05/05/25]]+(1-Planbase100[[#This Row],[05/05/25]])*'Plan 39'!AK50</f>
        <v>1</v>
      </c>
      <c r="CE92" s="127">
        <f>Planbase100[[#This Row],[05/05/25]]+(1-Planbase100[[#This Row],[05/05/25]])*'Plan 39'!AL50</f>
        <v>1</v>
      </c>
      <c r="CF92" s="127">
        <f>Planbase100[[#This Row],[05/05/25]]+(1-Planbase100[[#This Row],[05/05/25]])*'Plan 39'!AM50</f>
        <v>1</v>
      </c>
      <c r="CG92" s="127">
        <f>Planbase100[[#This Row],[05/05/25]]+(1-Planbase100[[#This Row],[05/05/25]])*'Plan 39'!AN50</f>
        <v>1</v>
      </c>
      <c r="CH92" s="127">
        <f>Planbase100[[#This Row],[05/05/25]]+(1-Planbase100[[#This Row],[05/05/25]])*'Plan 39'!AO50</f>
        <v>1</v>
      </c>
      <c r="CI92" s="127">
        <f>Planbase100[[#This Row],[05/05/25]]+(1-Planbase100[[#This Row],[05/05/25]])*'Plan 39'!AP50</f>
        <v>1</v>
      </c>
      <c r="CJ92" s="127">
        <f>Planbase100[[#This Row],[05/05/25]]+(1-Planbase100[[#This Row],[05/05/25]])*'Plan 39'!AQ50</f>
        <v>1</v>
      </c>
      <c r="CK92" s="127">
        <f>Planbase100[[#This Row],[05/05/25]]+(1-Planbase100[[#This Row],[05/05/25]])*'Plan 39'!AR50</f>
        <v>1</v>
      </c>
      <c r="CL92" s="127">
        <f>Planbase100[[#This Row],[05/05/25]]+(1-Planbase100[[#This Row],[05/05/25]])*'Plan 39'!AS50</f>
        <v>1</v>
      </c>
      <c r="CM92" s="127">
        <f>Planbase100[[#This Row],[05/05/25]]+(1-Planbase100[[#This Row],[05/05/25]])*'Plan 39'!AT50</f>
        <v>1</v>
      </c>
      <c r="CN92" s="127">
        <f>Planbase100[[#This Row],[05/05/25]]+(1-Planbase100[[#This Row],[05/05/25]])*'Plan 39'!AU50</f>
        <v>1</v>
      </c>
      <c r="CO92" s="127">
        <f>Planbase100[[#This Row],[05/05/25]]+(1-Planbase100[[#This Row],[05/05/25]])*'Plan 39'!AV50</f>
        <v>1</v>
      </c>
      <c r="CP92" s="127">
        <f>Planbase100[[#This Row],[05/05/25]]+(1-Planbase100[[#This Row],[05/05/25]])*'Plan 39'!AW50</f>
        <v>1</v>
      </c>
      <c r="CQ92" s="127">
        <f>Planbase100[[#This Row],[05/05/25]]+(1-Planbase100[[#This Row],[05/05/25]])*'Plan 39'!AX50</f>
        <v>1</v>
      </c>
      <c r="CR92" s="127">
        <f>Planbase100[[#This Row],[05/05/25]]+(1-Planbase100[[#This Row],[05/05/25]])*'Plan 39'!AY50</f>
        <v>1</v>
      </c>
      <c r="CS92" s="127">
        <f>Planbase100[[#This Row],[05/05/25]]+(1-Planbase100[[#This Row],[05/05/25]])*'Plan 39'!AZ50</f>
        <v>1</v>
      </c>
      <c r="CT92" s="127">
        <f>Planbase100[[#This Row],[05/05/25]]+(1-Planbase100[[#This Row],[05/05/25]])*'Plan 39'!BA50</f>
        <v>1</v>
      </c>
      <c r="CU92" s="127">
        <f>Planbase100[[#This Row],[05/05/25]]+(1-Planbase100[[#This Row],[05/05/25]])*'Plan 39'!BB50</f>
        <v>1</v>
      </c>
      <c r="CV92" s="127">
        <f>Planbase100[[#This Row],[05/05/25]]+(1-Planbase100[[#This Row],[05/05/25]])*'Plan 39'!BC50</f>
        <v>1</v>
      </c>
      <c r="CW92" s="127">
        <f>Planbase100[[#This Row],[05/05/25]]+(1-Planbase100[[#This Row],[05/05/25]])*'Plan 39'!BD50</f>
        <v>1</v>
      </c>
      <c r="CX92" s="127">
        <f>Planbase100[[#This Row],[05/05/25]]+(1-Planbase100[[#This Row],[05/05/25]])*'Plan 39'!BE50</f>
        <v>1</v>
      </c>
      <c r="CY92" s="127">
        <f>Planbase100[[#This Row],[05/05/25]]+(1-Planbase100[[#This Row],[05/05/25]])*'Plan 39'!BF50</f>
        <v>1</v>
      </c>
      <c r="CZ92" s="127">
        <f>Planbase100[[#This Row],[05/05/25]]+(1-Planbase100[[#This Row],[05/05/25]])*'Plan 39'!BG50</f>
        <v>1</v>
      </c>
      <c r="DA92" s="127">
        <f>Planbase100[[#This Row],[05/05/25]]+(1-Planbase100[[#This Row],[05/05/25]])*'Plan 39'!BH50</f>
        <v>1</v>
      </c>
      <c r="DB92" s="127">
        <f>Planbase100[[#This Row],[05/05/25]]+(1-Planbase100[[#This Row],[05/05/25]])*'Plan 39'!BI50</f>
        <v>1</v>
      </c>
      <c r="DC92" s="127">
        <f>Planbase100[[#This Row],[05/05/25]]+(1-Planbase100[[#This Row],[05/05/25]])*'Plan 39'!BJ50</f>
        <v>1</v>
      </c>
      <c r="DD92" s="127">
        <f>Planbase100[[#This Row],[05/05/25]]+(1-Planbase100[[#This Row],[05/05/25]])*'Plan 39'!BK50</f>
        <v>1</v>
      </c>
      <c r="DE92" s="127">
        <f>Planbase100[[#This Row],[05/05/25]]+(1-Planbase100[[#This Row],[05/05/25]])*'Plan 39'!BL50</f>
        <v>1</v>
      </c>
      <c r="DF92" s="127">
        <f>Planbase100[[#This Row],[12/05/25]]+(1-Planbase100[[#This Row],[12/05/25]])*'Plan 39'!BM52</f>
        <v>1</v>
      </c>
      <c r="DG92" s="127">
        <f>Planbase100[[#This Row],[12/05/25]]+(1-Planbase100[[#This Row],[12/05/25]])*'Plan 39'!BN52</f>
        <v>1</v>
      </c>
      <c r="DH92" s="127">
        <f>Planbase100[[#This Row],[12/05/25]]+(1-Planbase100[[#This Row],[12/05/25]])*'Plan 39'!BO52</f>
        <v>1</v>
      </c>
      <c r="DI92" s="127">
        <f>Planbase100[[#This Row],[12/05/25]]+(1-Planbase100[[#This Row],[12/05/25]])*'Plan 39'!BP52</f>
        <v>1</v>
      </c>
      <c r="DJ92" s="127">
        <f>Planbase100[[#This Row],[12/05/25]]+(1-Planbase100[[#This Row],[12/05/25]])*'Plan 39'!BQ52</f>
        <v>1</v>
      </c>
      <c r="DK92" s="127">
        <f>Planbase100[[#This Row],[12/05/25]]+(1-Planbase100[[#This Row],[12/05/25]])*'Plan 39'!BR52</f>
        <v>1</v>
      </c>
      <c r="DL92" s="127">
        <f>Planbase100[[#This Row],[12/05/25]]+(1-Planbase100[[#This Row],[12/05/25]])*'Plan 39'!BS52</f>
        <v>1</v>
      </c>
      <c r="DM92" s="127">
        <f>Planbase100[[#This Row],[12/05/25]]+(1-Planbase100[[#This Row],[12/05/25]])*'Plan 39'!BT52</f>
        <v>1</v>
      </c>
      <c r="DN92" s="127">
        <f>Planbase100[[#This Row],[12/05/25]]+(1-Planbase100[[#This Row],[12/05/25]])*'Plan 39'!BU52</f>
        <v>1</v>
      </c>
      <c r="DO92" s="127">
        <f>Planbase100[[#This Row],[12/05/25]]+(1-Planbase100[[#This Row],[12/05/25]])*'Plan 39'!BV52</f>
        <v>1</v>
      </c>
      <c r="DP92" s="127">
        <f>Planbase100[[#This Row],[12/05/25]]+(1-Planbase100[[#This Row],[12/05/25]])*'Plan 39'!BW52</f>
        <v>1</v>
      </c>
      <c r="DQ92" s="127">
        <f>Planbase100[[#This Row],[12/05/25]]+(1-Planbase100[[#This Row],[12/05/25]])*'Plan 39'!BX52</f>
        <v>1</v>
      </c>
      <c r="DR92" s="127">
        <f>Planbase100[[#This Row],[12/05/25]]+(1-Planbase100[[#This Row],[12/05/25]])*'Plan 39'!BY52</f>
        <v>1</v>
      </c>
      <c r="DS92" s="127">
        <f>Planbase100[[#This Row],[12/05/25]]+(1-Planbase100[[#This Row],[12/05/25]])*'Plan 39'!BZ52</f>
        <v>1</v>
      </c>
      <c r="DT92" s="127">
        <f>Planbase100[[#This Row],[12/05/25]]+(1-Planbase100[[#This Row],[12/05/25]])*'Plan 39'!CA52</f>
        <v>1</v>
      </c>
      <c r="DU92" s="127">
        <f>Planbase100[[#This Row],[12/05/25]]+(1-Planbase100[[#This Row],[12/05/25]])*'Plan 39'!CB52</f>
        <v>1</v>
      </c>
      <c r="DV92" s="127">
        <f>Planbase100[[#This Row],[12/05/25]]+(1-Planbase100[[#This Row],[12/05/25]])*'Plan 39'!CC52</f>
        <v>1</v>
      </c>
      <c r="DW92" s="127">
        <f>Planbase100[[#This Row],[12/05/25]]+(1-Planbase100[[#This Row],[12/05/25]])*'Plan 39'!CD52</f>
        <v>1</v>
      </c>
      <c r="DX92" s="127">
        <f>Planbase100[[#This Row],[12/05/25]]+(1-Planbase100[[#This Row],[12/05/25]])*'Plan 39'!CE52</f>
        <v>1</v>
      </c>
      <c r="DY92" s="127">
        <f>Planbase100[[#This Row],[12/05/25]]+(1-Planbase100[[#This Row],[12/05/25]])*'Plan 39'!CF52</f>
        <v>1</v>
      </c>
      <c r="DZ92" s="127">
        <f>Planbase100[[#This Row],[12/05/25]]+(1-Planbase100[[#This Row],[12/05/25]])*'Plan 39'!CG52</f>
        <v>1</v>
      </c>
      <c r="EA92" s="127">
        <f>Planbase100[[#This Row],[12/05/25]]+(1-Planbase100[[#This Row],[12/05/25]])*'Plan 39'!CH52</f>
        <v>1</v>
      </c>
      <c r="EB92" s="127">
        <f>Planbase100[[#This Row],[12/05/25]]+(1-Planbase100[[#This Row],[12/05/25]])*'Plan 39'!CI52</f>
        <v>1</v>
      </c>
      <c r="EC92" s="127">
        <f>Planbase100[[#This Row],[12/05/25]]+(1-Planbase100[[#This Row],[12/05/25]])*'Plan 39'!CJ52</f>
        <v>1</v>
      </c>
      <c r="ED92" s="127">
        <f>Planbase100[[#This Row],[12/05/25]]+(1-Planbase100[[#This Row],[12/05/25]])*'Plan 39'!CK52</f>
        <v>1</v>
      </c>
      <c r="EE92" s="127">
        <f>Planbase100[[#This Row],[12/05/25]]+(1-Planbase100[[#This Row],[12/05/25]])*'Plan 39'!CL52</f>
        <v>1</v>
      </c>
      <c r="EF92" s="127">
        <f>Planbase100[[#This Row],[12/05/25]]+(1-Planbase100[[#This Row],[12/05/25]])*'Plan 39'!CM52</f>
        <v>1</v>
      </c>
      <c r="EG92" s="127">
        <f>Planbase100[[#This Row],[12/05/25]]+(1-Planbase100[[#This Row],[12/05/25]])*'Plan 39'!CN52</f>
        <v>1</v>
      </c>
      <c r="EH92" s="127">
        <f>Planbase100[[#This Row],[12/05/25]]+(1-Planbase100[[#This Row],[12/05/25]])*'Plan 39'!CO52</f>
        <v>1</v>
      </c>
      <c r="EI92" s="127">
        <f>Planbase100[[#This Row],[12/05/25]]+(1-Planbase100[[#This Row],[12/05/25]])*'Plan 39'!CP52</f>
        <v>1</v>
      </c>
    </row>
    <row r="93" spans="2:139" hidden="1" outlineLevel="3" x14ac:dyDescent="0.3">
      <c r="B93" s="29"/>
      <c r="C93" s="30"/>
      <c r="D93" s="30"/>
      <c r="E93" s="52" t="s">
        <v>97</v>
      </c>
      <c r="F93" s="33">
        <v>10</v>
      </c>
      <c r="G93" s="35">
        <v>6.25E-2</v>
      </c>
      <c r="H93" s="53"/>
      <c r="I93" s="126">
        <v>0</v>
      </c>
      <c r="J93" s="127">
        <v>0</v>
      </c>
      <c r="K93" s="127">
        <v>0</v>
      </c>
      <c r="L93" s="127">
        <v>0</v>
      </c>
      <c r="M93" s="128">
        <v>0</v>
      </c>
      <c r="N93" s="128">
        <v>0</v>
      </c>
      <c r="O93" s="127">
        <v>0</v>
      </c>
      <c r="P93" s="127">
        <v>0</v>
      </c>
      <c r="Q93" s="127">
        <v>0</v>
      </c>
      <c r="R93" s="127">
        <v>0</v>
      </c>
      <c r="S93" s="127">
        <v>0</v>
      </c>
      <c r="T93" s="127">
        <v>0</v>
      </c>
      <c r="U93" s="127">
        <v>0</v>
      </c>
      <c r="V93" s="127">
        <v>0</v>
      </c>
      <c r="W93" s="127">
        <v>0</v>
      </c>
      <c r="X93" s="127">
        <v>0</v>
      </c>
      <c r="Y93" s="127">
        <v>0</v>
      </c>
      <c r="Z93" s="127">
        <v>0</v>
      </c>
      <c r="AA93" s="127">
        <v>0</v>
      </c>
      <c r="AB93" s="127">
        <v>0</v>
      </c>
      <c r="AC93" s="127">
        <v>0</v>
      </c>
      <c r="AD93" s="127">
        <v>0</v>
      </c>
      <c r="AE93" s="127">
        <v>0</v>
      </c>
      <c r="AF93" s="127">
        <v>0</v>
      </c>
      <c r="AG93" s="127">
        <v>0</v>
      </c>
      <c r="AH93" s="127">
        <v>0</v>
      </c>
      <c r="AI93" s="127">
        <v>0</v>
      </c>
      <c r="AJ93" s="127">
        <v>0</v>
      </c>
      <c r="AK93" s="127">
        <v>0</v>
      </c>
      <c r="AL93" s="127">
        <v>0</v>
      </c>
      <c r="AM93" s="127">
        <v>0</v>
      </c>
      <c r="AN93" s="127">
        <v>0</v>
      </c>
      <c r="AO93" s="127">
        <v>0</v>
      </c>
      <c r="AP93" s="127">
        <v>0</v>
      </c>
      <c r="AQ93" s="127">
        <v>0</v>
      </c>
      <c r="AR93" s="127">
        <v>0</v>
      </c>
      <c r="AS93" s="127">
        <v>0</v>
      </c>
      <c r="AT93" s="127">
        <v>0</v>
      </c>
      <c r="AU93" s="127">
        <v>0</v>
      </c>
      <c r="AV93" s="127">
        <v>0</v>
      </c>
      <c r="AW93" s="127">
        <v>0</v>
      </c>
      <c r="AX93" s="127">
        <v>0</v>
      </c>
      <c r="AY93" s="127">
        <v>0</v>
      </c>
      <c r="AZ93" s="127">
        <v>0</v>
      </c>
      <c r="BA93" s="127">
        <v>0</v>
      </c>
      <c r="BB93" s="127">
        <f>Planbase100[[#This Row],[05/05/25]]+(1-Planbase100[[#This Row],[05/05/25]])*'Plan 39'!I51</f>
        <v>0</v>
      </c>
      <c r="BC93" s="127">
        <f>Planbase100[[#This Row],[05/05/25]]+(1-Planbase100[[#This Row],[05/05/25]])*'Plan 39'!J51</f>
        <v>0</v>
      </c>
      <c r="BD93" s="127">
        <f>Planbase100[[#This Row],[05/05/25]]+(1-Planbase100[[#This Row],[05/05/25]])*'Plan 39'!K51</f>
        <v>7.1428571428571438E-2</v>
      </c>
      <c r="BE93" s="127">
        <f>Planbase100[[#This Row],[05/05/25]]+(1-Planbase100[[#This Row],[05/05/25]])*'Plan 39'!L51</f>
        <v>0.14242857142857143</v>
      </c>
      <c r="BF93" s="127">
        <f>Planbase100[[#This Row],[05/05/25]]+(1-Planbase100[[#This Row],[05/05/25]])*'Plan 39'!M51</f>
        <v>0.21342857142857141</v>
      </c>
      <c r="BG93" s="127">
        <f>Planbase100[[#This Row],[05/05/25]]+(1-Planbase100[[#This Row],[05/05/25]])*'Plan 39'!N51</f>
        <v>0.28442857142857142</v>
      </c>
      <c r="BH93" s="127">
        <f>Planbase100[[#This Row],[05/05/25]]+(1-Planbase100[[#This Row],[05/05/25]])*'Plan 39'!O51</f>
        <v>0.35542857142857143</v>
      </c>
      <c r="BI93" s="127">
        <f>Planbase100[[#This Row],[05/05/25]]+(1-Planbase100[[#This Row],[05/05/25]])*'Plan 39'!P51</f>
        <v>0.42642857142857143</v>
      </c>
      <c r="BJ93" s="127">
        <f>Planbase100[[#This Row],[05/05/25]]+(1-Planbase100[[#This Row],[05/05/25]])*'Plan 39'!Q51</f>
        <v>0.49742857142857144</v>
      </c>
      <c r="BK93" s="127">
        <f>Planbase100[[#This Row],[05/05/25]]+(1-Planbase100[[#This Row],[05/05/25]])*'Plan 39'!R51</f>
        <v>0.56842857142857139</v>
      </c>
      <c r="BL93" s="127">
        <f>Planbase100[[#This Row],[05/05/25]]+(1-Planbase100[[#This Row],[05/05/25]])*'Plan 39'!S51</f>
        <v>0.63942857142857135</v>
      </c>
      <c r="BM93" s="127">
        <f>Planbase100[[#This Row],[05/05/25]]+(1-Planbase100[[#This Row],[05/05/25]])*'Plan 39'!T51</f>
        <v>0.7104285714285713</v>
      </c>
      <c r="BN93" s="127">
        <f>Planbase100[[#This Row],[05/05/25]]+(1-Planbase100[[#This Row],[05/05/25]])*'Plan 39'!U51</f>
        <v>0.78142857142857125</v>
      </c>
      <c r="BO93" s="127">
        <f>Planbase100[[#This Row],[05/05/25]]+(1-Planbase100[[#This Row],[05/05/25]])*'Plan 39'!V51</f>
        <v>0.8524285714285712</v>
      </c>
      <c r="BP93" s="127">
        <f>Planbase100[[#This Row],[05/05/25]]+(1-Planbase100[[#This Row],[05/05/25]])*'Plan 39'!W51</f>
        <v>0.92342857142857115</v>
      </c>
      <c r="BQ93" s="127">
        <f>Planbase100[[#This Row],[05/05/25]]+(1-Planbase100[[#This Row],[05/05/25]])*'Plan 39'!X51</f>
        <v>0.99442857142857111</v>
      </c>
      <c r="BR93" s="127">
        <f>Planbase100[[#This Row],[05/05/25]]+(1-Planbase100[[#This Row],[05/05/25]])*'Plan 39'!Y51</f>
        <v>1</v>
      </c>
      <c r="BS93" s="127">
        <f>Planbase100[[#This Row],[05/05/25]]+(1-Planbase100[[#This Row],[05/05/25]])*'Plan 39'!Z51</f>
        <v>1</v>
      </c>
      <c r="BT93" s="127">
        <f>Planbase100[[#This Row],[05/05/25]]+(1-Planbase100[[#This Row],[05/05/25]])*'Plan 39'!AA51</f>
        <v>1</v>
      </c>
      <c r="BU93" s="127">
        <f>Planbase100[[#This Row],[05/05/25]]+(1-Planbase100[[#This Row],[05/05/25]])*'Plan 39'!AB51</f>
        <v>1</v>
      </c>
      <c r="BV93" s="127">
        <f>Planbase100[[#This Row],[05/05/25]]+(1-Planbase100[[#This Row],[05/05/25]])*'Plan 39'!AC51</f>
        <v>1</v>
      </c>
      <c r="BW93" s="127">
        <f>Planbase100[[#This Row],[05/05/25]]+(1-Planbase100[[#This Row],[05/05/25]])*'Plan 39'!AD51</f>
        <v>1</v>
      </c>
      <c r="BX93" s="127">
        <f>Planbase100[[#This Row],[05/05/25]]+(1-Planbase100[[#This Row],[05/05/25]])*'Plan 39'!AE51</f>
        <v>1</v>
      </c>
      <c r="BY93" s="127">
        <f>Planbase100[[#This Row],[05/05/25]]+(1-Planbase100[[#This Row],[05/05/25]])*'Plan 39'!AF51</f>
        <v>1</v>
      </c>
      <c r="BZ93" s="127">
        <f>Planbase100[[#This Row],[05/05/25]]+(1-Planbase100[[#This Row],[05/05/25]])*'Plan 39'!AG51</f>
        <v>1</v>
      </c>
      <c r="CA93" s="127">
        <f>Planbase100[[#This Row],[05/05/25]]+(1-Planbase100[[#This Row],[05/05/25]])*'Plan 39'!AH51</f>
        <v>1</v>
      </c>
      <c r="CB93" s="127">
        <f>Planbase100[[#This Row],[05/05/25]]+(1-Planbase100[[#This Row],[05/05/25]])*'Plan 39'!AI51</f>
        <v>1</v>
      </c>
      <c r="CC93" s="127">
        <f>Planbase100[[#This Row],[05/05/25]]+(1-Planbase100[[#This Row],[05/05/25]])*'Plan 39'!AJ51</f>
        <v>1</v>
      </c>
      <c r="CD93" s="127">
        <f>Planbase100[[#This Row],[05/05/25]]+(1-Planbase100[[#This Row],[05/05/25]])*'Plan 39'!AK51</f>
        <v>1</v>
      </c>
      <c r="CE93" s="127">
        <f>Planbase100[[#This Row],[05/05/25]]+(1-Planbase100[[#This Row],[05/05/25]])*'Plan 39'!AL51</f>
        <v>1</v>
      </c>
      <c r="CF93" s="127">
        <f>Planbase100[[#This Row],[05/05/25]]+(1-Planbase100[[#This Row],[05/05/25]])*'Plan 39'!AM51</f>
        <v>1</v>
      </c>
      <c r="CG93" s="127">
        <f>Planbase100[[#This Row],[05/05/25]]+(1-Planbase100[[#This Row],[05/05/25]])*'Plan 39'!AN51</f>
        <v>1</v>
      </c>
      <c r="CH93" s="127">
        <f>Planbase100[[#This Row],[05/05/25]]+(1-Planbase100[[#This Row],[05/05/25]])*'Plan 39'!AO51</f>
        <v>1</v>
      </c>
      <c r="CI93" s="127">
        <f>Planbase100[[#This Row],[05/05/25]]+(1-Planbase100[[#This Row],[05/05/25]])*'Plan 39'!AP51</f>
        <v>1</v>
      </c>
      <c r="CJ93" s="127">
        <f>Planbase100[[#This Row],[05/05/25]]+(1-Planbase100[[#This Row],[05/05/25]])*'Plan 39'!AQ51</f>
        <v>1</v>
      </c>
      <c r="CK93" s="127">
        <f>Planbase100[[#This Row],[05/05/25]]+(1-Planbase100[[#This Row],[05/05/25]])*'Plan 39'!AR51</f>
        <v>1</v>
      </c>
      <c r="CL93" s="127">
        <f>Planbase100[[#This Row],[05/05/25]]+(1-Planbase100[[#This Row],[05/05/25]])*'Plan 39'!AS51</f>
        <v>1</v>
      </c>
      <c r="CM93" s="127">
        <f>Planbase100[[#This Row],[05/05/25]]+(1-Planbase100[[#This Row],[05/05/25]])*'Plan 39'!AT51</f>
        <v>1</v>
      </c>
      <c r="CN93" s="127">
        <f>Planbase100[[#This Row],[05/05/25]]+(1-Planbase100[[#This Row],[05/05/25]])*'Plan 39'!AU51</f>
        <v>1</v>
      </c>
      <c r="CO93" s="127">
        <f>Planbase100[[#This Row],[05/05/25]]+(1-Planbase100[[#This Row],[05/05/25]])*'Plan 39'!AV51</f>
        <v>1</v>
      </c>
      <c r="CP93" s="127">
        <f>Planbase100[[#This Row],[05/05/25]]+(1-Planbase100[[#This Row],[05/05/25]])*'Plan 39'!AW51</f>
        <v>1</v>
      </c>
      <c r="CQ93" s="127">
        <f>Planbase100[[#This Row],[05/05/25]]+(1-Planbase100[[#This Row],[05/05/25]])*'Plan 39'!AX51</f>
        <v>1</v>
      </c>
      <c r="CR93" s="127">
        <f>Planbase100[[#This Row],[05/05/25]]+(1-Planbase100[[#This Row],[05/05/25]])*'Plan 39'!AY51</f>
        <v>1</v>
      </c>
      <c r="CS93" s="127">
        <f>Planbase100[[#This Row],[05/05/25]]+(1-Planbase100[[#This Row],[05/05/25]])*'Plan 39'!AZ51</f>
        <v>1</v>
      </c>
      <c r="CT93" s="127">
        <f>Planbase100[[#This Row],[05/05/25]]+(1-Planbase100[[#This Row],[05/05/25]])*'Plan 39'!BA51</f>
        <v>1</v>
      </c>
      <c r="CU93" s="127">
        <f>Planbase100[[#This Row],[05/05/25]]+(1-Planbase100[[#This Row],[05/05/25]])*'Plan 39'!BB51</f>
        <v>1</v>
      </c>
      <c r="CV93" s="127">
        <f>Planbase100[[#This Row],[05/05/25]]+(1-Planbase100[[#This Row],[05/05/25]])*'Plan 39'!BC51</f>
        <v>1</v>
      </c>
      <c r="CW93" s="127">
        <f>Planbase100[[#This Row],[05/05/25]]+(1-Planbase100[[#This Row],[05/05/25]])*'Plan 39'!BD51</f>
        <v>1</v>
      </c>
      <c r="CX93" s="127">
        <f>Planbase100[[#This Row],[05/05/25]]+(1-Planbase100[[#This Row],[05/05/25]])*'Plan 39'!BE51</f>
        <v>1</v>
      </c>
      <c r="CY93" s="127">
        <f>Planbase100[[#This Row],[05/05/25]]+(1-Planbase100[[#This Row],[05/05/25]])*'Plan 39'!BF51</f>
        <v>1</v>
      </c>
      <c r="CZ93" s="127">
        <f>Planbase100[[#This Row],[05/05/25]]+(1-Planbase100[[#This Row],[05/05/25]])*'Plan 39'!BG51</f>
        <v>1</v>
      </c>
      <c r="DA93" s="127">
        <f>Planbase100[[#This Row],[05/05/25]]+(1-Planbase100[[#This Row],[05/05/25]])*'Plan 39'!BH51</f>
        <v>1</v>
      </c>
      <c r="DB93" s="127">
        <f>Planbase100[[#This Row],[05/05/25]]+(1-Planbase100[[#This Row],[05/05/25]])*'Plan 39'!BI51</f>
        <v>1</v>
      </c>
      <c r="DC93" s="127">
        <f>Planbase100[[#This Row],[05/05/25]]+(1-Planbase100[[#This Row],[05/05/25]])*'Plan 39'!BJ51</f>
        <v>1</v>
      </c>
      <c r="DD93" s="127">
        <f>Planbase100[[#This Row],[05/05/25]]+(1-Planbase100[[#This Row],[05/05/25]])*'Plan 39'!BK51</f>
        <v>1</v>
      </c>
      <c r="DE93" s="127">
        <f>Planbase100[[#This Row],[05/05/25]]+(1-Planbase100[[#This Row],[05/05/25]])*'Plan 39'!BL51</f>
        <v>1</v>
      </c>
      <c r="DF93" s="127">
        <f>Planbase100[[#This Row],[12/05/25]]+(1-Planbase100[[#This Row],[12/05/25]])*'Plan 39'!BM53</f>
        <v>1</v>
      </c>
      <c r="DG93" s="127">
        <f>Planbase100[[#This Row],[12/05/25]]+(1-Planbase100[[#This Row],[12/05/25]])*'Plan 39'!BN53</f>
        <v>1</v>
      </c>
      <c r="DH93" s="127">
        <f>Planbase100[[#This Row],[12/05/25]]+(1-Planbase100[[#This Row],[12/05/25]])*'Plan 39'!BO53</f>
        <v>1</v>
      </c>
      <c r="DI93" s="127">
        <f>Planbase100[[#This Row],[12/05/25]]+(1-Planbase100[[#This Row],[12/05/25]])*'Plan 39'!BP53</f>
        <v>1</v>
      </c>
      <c r="DJ93" s="127">
        <f>Planbase100[[#This Row],[12/05/25]]+(1-Planbase100[[#This Row],[12/05/25]])*'Plan 39'!BQ53</f>
        <v>1</v>
      </c>
      <c r="DK93" s="127">
        <f>Planbase100[[#This Row],[12/05/25]]+(1-Planbase100[[#This Row],[12/05/25]])*'Plan 39'!BR53</f>
        <v>1</v>
      </c>
      <c r="DL93" s="127">
        <f>Planbase100[[#This Row],[12/05/25]]+(1-Planbase100[[#This Row],[12/05/25]])*'Plan 39'!BS53</f>
        <v>1</v>
      </c>
      <c r="DM93" s="127">
        <f>Planbase100[[#This Row],[12/05/25]]+(1-Planbase100[[#This Row],[12/05/25]])*'Plan 39'!BT53</f>
        <v>1</v>
      </c>
      <c r="DN93" s="127">
        <f>Planbase100[[#This Row],[12/05/25]]+(1-Planbase100[[#This Row],[12/05/25]])*'Plan 39'!BU53</f>
        <v>1</v>
      </c>
      <c r="DO93" s="127">
        <f>Planbase100[[#This Row],[12/05/25]]+(1-Planbase100[[#This Row],[12/05/25]])*'Plan 39'!BV53</f>
        <v>1</v>
      </c>
      <c r="DP93" s="127">
        <f>Planbase100[[#This Row],[12/05/25]]+(1-Planbase100[[#This Row],[12/05/25]])*'Plan 39'!BW53</f>
        <v>1</v>
      </c>
      <c r="DQ93" s="127">
        <f>Planbase100[[#This Row],[12/05/25]]+(1-Planbase100[[#This Row],[12/05/25]])*'Plan 39'!BX53</f>
        <v>1</v>
      </c>
      <c r="DR93" s="127">
        <f>Planbase100[[#This Row],[12/05/25]]+(1-Planbase100[[#This Row],[12/05/25]])*'Plan 39'!BY53</f>
        <v>1</v>
      </c>
      <c r="DS93" s="127">
        <f>Planbase100[[#This Row],[12/05/25]]+(1-Planbase100[[#This Row],[12/05/25]])*'Plan 39'!BZ53</f>
        <v>1</v>
      </c>
      <c r="DT93" s="127">
        <f>Planbase100[[#This Row],[12/05/25]]+(1-Planbase100[[#This Row],[12/05/25]])*'Plan 39'!CA53</f>
        <v>1</v>
      </c>
      <c r="DU93" s="127">
        <f>Planbase100[[#This Row],[12/05/25]]+(1-Planbase100[[#This Row],[12/05/25]])*'Plan 39'!CB53</f>
        <v>1</v>
      </c>
      <c r="DV93" s="127">
        <f>Planbase100[[#This Row],[12/05/25]]+(1-Planbase100[[#This Row],[12/05/25]])*'Plan 39'!CC53</f>
        <v>1</v>
      </c>
      <c r="DW93" s="127">
        <f>Planbase100[[#This Row],[12/05/25]]+(1-Planbase100[[#This Row],[12/05/25]])*'Plan 39'!CD53</f>
        <v>1</v>
      </c>
      <c r="DX93" s="127">
        <f>Planbase100[[#This Row],[12/05/25]]+(1-Planbase100[[#This Row],[12/05/25]])*'Plan 39'!CE53</f>
        <v>1</v>
      </c>
      <c r="DY93" s="127">
        <f>Planbase100[[#This Row],[12/05/25]]+(1-Planbase100[[#This Row],[12/05/25]])*'Plan 39'!CF53</f>
        <v>1</v>
      </c>
      <c r="DZ93" s="127">
        <f>Planbase100[[#This Row],[12/05/25]]+(1-Planbase100[[#This Row],[12/05/25]])*'Plan 39'!CG53</f>
        <v>1</v>
      </c>
      <c r="EA93" s="127">
        <f>Planbase100[[#This Row],[12/05/25]]+(1-Planbase100[[#This Row],[12/05/25]])*'Plan 39'!CH53</f>
        <v>1</v>
      </c>
      <c r="EB93" s="127">
        <f>Planbase100[[#This Row],[12/05/25]]+(1-Planbase100[[#This Row],[12/05/25]])*'Plan 39'!CI53</f>
        <v>1</v>
      </c>
      <c r="EC93" s="127">
        <f>Planbase100[[#This Row],[12/05/25]]+(1-Planbase100[[#This Row],[12/05/25]])*'Plan 39'!CJ53</f>
        <v>1</v>
      </c>
      <c r="ED93" s="127">
        <f>Planbase100[[#This Row],[12/05/25]]+(1-Planbase100[[#This Row],[12/05/25]])*'Plan 39'!CK53</f>
        <v>1</v>
      </c>
      <c r="EE93" s="127">
        <f>Planbase100[[#This Row],[12/05/25]]+(1-Planbase100[[#This Row],[12/05/25]])*'Plan 39'!CL53</f>
        <v>1</v>
      </c>
      <c r="EF93" s="127">
        <f>Planbase100[[#This Row],[12/05/25]]+(1-Planbase100[[#This Row],[12/05/25]])*'Plan 39'!CM53</f>
        <v>1</v>
      </c>
      <c r="EG93" s="127">
        <f>Planbase100[[#This Row],[12/05/25]]+(1-Planbase100[[#This Row],[12/05/25]])*'Plan 39'!CN53</f>
        <v>1</v>
      </c>
      <c r="EH93" s="127">
        <f>Planbase100[[#This Row],[12/05/25]]+(1-Planbase100[[#This Row],[12/05/25]])*'Plan 39'!CO53</f>
        <v>1</v>
      </c>
      <c r="EI93" s="127">
        <f>Planbase100[[#This Row],[12/05/25]]+(1-Planbase100[[#This Row],[12/05/25]])*'Plan 39'!CP53</f>
        <v>1</v>
      </c>
    </row>
    <row r="94" spans="2:139" hidden="1" outlineLevel="3" x14ac:dyDescent="0.3">
      <c r="B94" s="29"/>
      <c r="C94" s="30"/>
      <c r="D94" s="30"/>
      <c r="E94" s="52" t="s">
        <v>98</v>
      </c>
      <c r="F94" s="33">
        <v>10</v>
      </c>
      <c r="G94" s="35">
        <v>6.25E-2</v>
      </c>
      <c r="H94" s="53"/>
      <c r="I94" s="126">
        <v>0</v>
      </c>
      <c r="J94" s="127">
        <v>0</v>
      </c>
      <c r="K94" s="127">
        <v>0</v>
      </c>
      <c r="L94" s="127">
        <v>0</v>
      </c>
      <c r="M94" s="128">
        <v>0</v>
      </c>
      <c r="N94" s="128">
        <v>0</v>
      </c>
      <c r="O94" s="127">
        <v>0</v>
      </c>
      <c r="P94" s="127">
        <v>0</v>
      </c>
      <c r="Q94" s="127">
        <v>0</v>
      </c>
      <c r="R94" s="127">
        <v>0</v>
      </c>
      <c r="S94" s="127">
        <v>0</v>
      </c>
      <c r="T94" s="127">
        <v>0</v>
      </c>
      <c r="U94" s="127">
        <v>0</v>
      </c>
      <c r="V94" s="127">
        <v>0</v>
      </c>
      <c r="W94" s="127">
        <v>0</v>
      </c>
      <c r="X94" s="127">
        <v>1</v>
      </c>
      <c r="Y94" s="127">
        <v>1</v>
      </c>
      <c r="Z94" s="127">
        <v>1</v>
      </c>
      <c r="AA94" s="127">
        <v>1</v>
      </c>
      <c r="AB94" s="127">
        <v>1</v>
      </c>
      <c r="AC94" s="127">
        <v>1</v>
      </c>
      <c r="AD94" s="127">
        <v>1</v>
      </c>
      <c r="AE94" s="127">
        <v>1</v>
      </c>
      <c r="AF94" s="127">
        <v>1</v>
      </c>
      <c r="AG94" s="127">
        <v>1</v>
      </c>
      <c r="AH94" s="127">
        <v>1</v>
      </c>
      <c r="AI94" s="127">
        <v>1</v>
      </c>
      <c r="AJ94" s="127">
        <v>1</v>
      </c>
      <c r="AK94" s="127">
        <v>1</v>
      </c>
      <c r="AL94" s="127">
        <v>1</v>
      </c>
      <c r="AM94" s="127">
        <v>1</v>
      </c>
      <c r="AN94" s="127">
        <v>1</v>
      </c>
      <c r="AO94" s="127">
        <v>1</v>
      </c>
      <c r="AP94" s="127">
        <v>1</v>
      </c>
      <c r="AQ94" s="127">
        <v>1</v>
      </c>
      <c r="AR94" s="127">
        <v>1</v>
      </c>
      <c r="AS94" s="127">
        <v>1</v>
      </c>
      <c r="AT94" s="127">
        <v>1</v>
      </c>
      <c r="AU94" s="127">
        <v>1</v>
      </c>
      <c r="AV94" s="127">
        <v>1</v>
      </c>
      <c r="AW94" s="127">
        <v>1</v>
      </c>
      <c r="AX94" s="127">
        <v>1</v>
      </c>
      <c r="AY94" s="127">
        <v>1</v>
      </c>
      <c r="AZ94" s="127">
        <v>1</v>
      </c>
      <c r="BA94" s="127">
        <v>1</v>
      </c>
      <c r="BB94" s="127">
        <v>1</v>
      </c>
      <c r="BC94" s="127">
        <v>1</v>
      </c>
      <c r="BD94" s="127">
        <v>1</v>
      </c>
      <c r="BE94" s="127">
        <v>1</v>
      </c>
      <c r="BF94" s="127">
        <v>1</v>
      </c>
      <c r="BG94" s="127">
        <v>1</v>
      </c>
      <c r="BH94" s="127">
        <v>1</v>
      </c>
      <c r="BI94" s="127">
        <v>1</v>
      </c>
      <c r="BJ94" s="127">
        <v>1</v>
      </c>
      <c r="BK94" s="127">
        <v>1</v>
      </c>
      <c r="BL94" s="127">
        <v>1</v>
      </c>
      <c r="BM94" s="127">
        <v>1</v>
      </c>
      <c r="BN94" s="127">
        <v>1</v>
      </c>
      <c r="BO94" s="127">
        <v>1</v>
      </c>
      <c r="BP94" s="127">
        <v>1</v>
      </c>
      <c r="BQ94" s="127">
        <v>1</v>
      </c>
      <c r="BR94" s="127">
        <v>1</v>
      </c>
      <c r="BS94" s="127">
        <v>1</v>
      </c>
      <c r="BT94" s="127">
        <v>1</v>
      </c>
      <c r="BU94" s="127">
        <v>1</v>
      </c>
      <c r="BV94" s="127">
        <v>1</v>
      </c>
      <c r="BW94" s="127">
        <v>1</v>
      </c>
      <c r="BX94" s="127">
        <v>1</v>
      </c>
      <c r="BY94" s="127">
        <v>1</v>
      </c>
      <c r="BZ94" s="127">
        <v>1</v>
      </c>
      <c r="CA94" s="127">
        <v>1</v>
      </c>
      <c r="CB94" s="127">
        <v>1</v>
      </c>
      <c r="CC94" s="127">
        <v>1</v>
      </c>
      <c r="CD94" s="127">
        <v>1</v>
      </c>
      <c r="CE94" s="127">
        <v>1</v>
      </c>
      <c r="CF94" s="127">
        <v>1</v>
      </c>
      <c r="CG94" s="127">
        <v>1</v>
      </c>
      <c r="CH94" s="127">
        <v>1</v>
      </c>
      <c r="CI94" s="127">
        <v>1</v>
      </c>
      <c r="CJ94" s="127">
        <v>1</v>
      </c>
      <c r="CK94" s="127">
        <v>1</v>
      </c>
      <c r="CL94" s="127">
        <v>1</v>
      </c>
      <c r="CM94" s="127">
        <v>1</v>
      </c>
      <c r="CN94" s="127">
        <v>1</v>
      </c>
      <c r="CO94" s="127">
        <v>1</v>
      </c>
      <c r="CP94" s="127">
        <v>1</v>
      </c>
      <c r="CQ94" s="127">
        <v>1</v>
      </c>
      <c r="CR94" s="127">
        <v>1</v>
      </c>
      <c r="CS94" s="127">
        <v>1</v>
      </c>
      <c r="CT94" s="127">
        <v>1</v>
      </c>
      <c r="CU94" s="127">
        <v>1</v>
      </c>
      <c r="CV94" s="127">
        <v>1</v>
      </c>
      <c r="CW94" s="127">
        <v>1</v>
      </c>
      <c r="CX94" s="127">
        <v>1</v>
      </c>
      <c r="CY94" s="127">
        <v>1</v>
      </c>
      <c r="CZ94" s="127">
        <v>1</v>
      </c>
      <c r="DA94" s="127">
        <v>1</v>
      </c>
      <c r="DB94" s="127">
        <v>1</v>
      </c>
      <c r="DC94" s="127">
        <v>1</v>
      </c>
      <c r="DD94" s="127">
        <v>1</v>
      </c>
      <c r="DE94" s="127">
        <v>1</v>
      </c>
      <c r="DF94" s="127">
        <f>Planbase100[[#This Row],[12/05/25]]+(1-Planbase100[[#This Row],[12/05/25]])*'Plan 39'!BM54</f>
        <v>1</v>
      </c>
      <c r="DG94" s="127">
        <f>Planbase100[[#This Row],[12/05/25]]+(1-Planbase100[[#This Row],[12/05/25]])*'Plan 39'!BN54</f>
        <v>1</v>
      </c>
      <c r="DH94" s="127">
        <f>Planbase100[[#This Row],[12/05/25]]+(1-Planbase100[[#This Row],[12/05/25]])*'Plan 39'!BO54</f>
        <v>1</v>
      </c>
      <c r="DI94" s="127">
        <f>Planbase100[[#This Row],[12/05/25]]+(1-Planbase100[[#This Row],[12/05/25]])*'Plan 39'!BP54</f>
        <v>1</v>
      </c>
      <c r="DJ94" s="127">
        <f>Planbase100[[#This Row],[12/05/25]]+(1-Planbase100[[#This Row],[12/05/25]])*'Plan 39'!BQ54</f>
        <v>1</v>
      </c>
      <c r="DK94" s="127">
        <f>Planbase100[[#This Row],[12/05/25]]+(1-Planbase100[[#This Row],[12/05/25]])*'Plan 39'!BR54</f>
        <v>1</v>
      </c>
      <c r="DL94" s="127">
        <f>Planbase100[[#This Row],[12/05/25]]+(1-Planbase100[[#This Row],[12/05/25]])*'Plan 39'!BS54</f>
        <v>1</v>
      </c>
      <c r="DM94" s="127">
        <f>Planbase100[[#This Row],[12/05/25]]+(1-Planbase100[[#This Row],[12/05/25]])*'Plan 39'!BT54</f>
        <v>1</v>
      </c>
      <c r="DN94" s="127">
        <f>Planbase100[[#This Row],[12/05/25]]+(1-Planbase100[[#This Row],[12/05/25]])*'Plan 39'!BU54</f>
        <v>1</v>
      </c>
      <c r="DO94" s="127">
        <f>Planbase100[[#This Row],[12/05/25]]+(1-Planbase100[[#This Row],[12/05/25]])*'Plan 39'!BV54</f>
        <v>1</v>
      </c>
      <c r="DP94" s="127">
        <f>Planbase100[[#This Row],[12/05/25]]+(1-Planbase100[[#This Row],[12/05/25]])*'Plan 39'!BW54</f>
        <v>1</v>
      </c>
      <c r="DQ94" s="127">
        <f>Planbase100[[#This Row],[12/05/25]]+(1-Planbase100[[#This Row],[12/05/25]])*'Plan 39'!BX54</f>
        <v>1</v>
      </c>
      <c r="DR94" s="127">
        <f>Planbase100[[#This Row],[12/05/25]]+(1-Planbase100[[#This Row],[12/05/25]])*'Plan 39'!BY54</f>
        <v>1</v>
      </c>
      <c r="DS94" s="127">
        <f>Planbase100[[#This Row],[12/05/25]]+(1-Planbase100[[#This Row],[12/05/25]])*'Plan 39'!BZ54</f>
        <v>1</v>
      </c>
      <c r="DT94" s="127">
        <f>Planbase100[[#This Row],[12/05/25]]+(1-Planbase100[[#This Row],[12/05/25]])*'Plan 39'!CA54</f>
        <v>1</v>
      </c>
      <c r="DU94" s="127">
        <f>Planbase100[[#This Row],[12/05/25]]+(1-Planbase100[[#This Row],[12/05/25]])*'Plan 39'!CB54</f>
        <v>1</v>
      </c>
      <c r="DV94" s="127">
        <f>Planbase100[[#This Row],[12/05/25]]+(1-Planbase100[[#This Row],[12/05/25]])*'Plan 39'!CC54</f>
        <v>1</v>
      </c>
      <c r="DW94" s="127">
        <f>Planbase100[[#This Row],[12/05/25]]+(1-Planbase100[[#This Row],[12/05/25]])*'Plan 39'!CD54</f>
        <v>1</v>
      </c>
      <c r="DX94" s="127">
        <f>Planbase100[[#This Row],[12/05/25]]+(1-Planbase100[[#This Row],[12/05/25]])*'Plan 39'!CE54</f>
        <v>1</v>
      </c>
      <c r="DY94" s="127">
        <f>Planbase100[[#This Row],[12/05/25]]+(1-Planbase100[[#This Row],[12/05/25]])*'Plan 39'!CF54</f>
        <v>1</v>
      </c>
      <c r="DZ94" s="127">
        <f>Planbase100[[#This Row],[12/05/25]]+(1-Planbase100[[#This Row],[12/05/25]])*'Plan 39'!CG54</f>
        <v>1</v>
      </c>
      <c r="EA94" s="127">
        <f>Planbase100[[#This Row],[12/05/25]]+(1-Planbase100[[#This Row],[12/05/25]])*'Plan 39'!CH54</f>
        <v>1</v>
      </c>
      <c r="EB94" s="127">
        <f>Planbase100[[#This Row],[12/05/25]]+(1-Planbase100[[#This Row],[12/05/25]])*'Plan 39'!CI54</f>
        <v>1</v>
      </c>
      <c r="EC94" s="127">
        <f>Planbase100[[#This Row],[12/05/25]]+(1-Planbase100[[#This Row],[12/05/25]])*'Plan 39'!CJ54</f>
        <v>1</v>
      </c>
      <c r="ED94" s="127">
        <f>Planbase100[[#This Row],[12/05/25]]+(1-Planbase100[[#This Row],[12/05/25]])*'Plan 39'!CK54</f>
        <v>1</v>
      </c>
      <c r="EE94" s="127">
        <f>Planbase100[[#This Row],[12/05/25]]+(1-Planbase100[[#This Row],[12/05/25]])*'Plan 39'!CL54</f>
        <v>1</v>
      </c>
      <c r="EF94" s="127">
        <f>Planbase100[[#This Row],[12/05/25]]+(1-Planbase100[[#This Row],[12/05/25]])*'Plan 39'!CM54</f>
        <v>1</v>
      </c>
      <c r="EG94" s="127">
        <f>Planbase100[[#This Row],[12/05/25]]+(1-Planbase100[[#This Row],[12/05/25]])*'Plan 39'!CN54</f>
        <v>1</v>
      </c>
      <c r="EH94" s="127">
        <f>Planbase100[[#This Row],[12/05/25]]+(1-Planbase100[[#This Row],[12/05/25]])*'Plan 39'!CO54</f>
        <v>1</v>
      </c>
      <c r="EI94" s="127">
        <f>Planbase100[[#This Row],[12/05/25]]+(1-Planbase100[[#This Row],[12/05/25]])*'Plan 39'!CP54</f>
        <v>1</v>
      </c>
    </row>
    <row r="95" spans="2:139" hidden="1" outlineLevel="3" x14ac:dyDescent="0.3">
      <c r="B95" s="29"/>
      <c r="C95" s="30"/>
      <c r="D95" s="30"/>
      <c r="E95" s="52" t="s">
        <v>99</v>
      </c>
      <c r="F95" s="33">
        <v>30</v>
      </c>
      <c r="G95" s="35">
        <v>0.1875</v>
      </c>
      <c r="H95" s="53"/>
      <c r="I95" s="126">
        <v>0</v>
      </c>
      <c r="J95" s="127">
        <v>0</v>
      </c>
      <c r="K95" s="127">
        <v>0</v>
      </c>
      <c r="L95" s="127">
        <v>0</v>
      </c>
      <c r="M95" s="128">
        <v>0</v>
      </c>
      <c r="N95" s="128">
        <v>0</v>
      </c>
      <c r="O95" s="127">
        <v>0</v>
      </c>
      <c r="P95" s="127">
        <v>0</v>
      </c>
      <c r="Q95" s="127">
        <v>0</v>
      </c>
      <c r="R95" s="127">
        <v>0</v>
      </c>
      <c r="S95" s="127">
        <v>0</v>
      </c>
      <c r="T95" s="127">
        <v>0</v>
      </c>
      <c r="U95" s="127">
        <v>0</v>
      </c>
      <c r="V95" s="127">
        <v>0</v>
      </c>
      <c r="W95" s="127">
        <v>0</v>
      </c>
      <c r="X95" s="127">
        <v>0</v>
      </c>
      <c r="Y95" s="127">
        <v>0.15</v>
      </c>
      <c r="Z95" s="127">
        <v>0.3</v>
      </c>
      <c r="AA95" s="127">
        <v>0.4</v>
      </c>
      <c r="AB95" s="127">
        <v>0.4</v>
      </c>
      <c r="AC95" s="127">
        <v>0.44583333333333336</v>
      </c>
      <c r="AD95" s="127">
        <v>0.44583333333333336</v>
      </c>
      <c r="AE95" s="127">
        <v>0.53750000000000009</v>
      </c>
      <c r="AF95" s="127">
        <v>0.58333333333333337</v>
      </c>
      <c r="AG95" s="127">
        <v>0.62916666666666665</v>
      </c>
      <c r="AH95" s="127">
        <v>0.68500000000000005</v>
      </c>
      <c r="AI95" s="127">
        <v>0.68500000000000005</v>
      </c>
      <c r="AJ95" s="127">
        <v>0.68500000000000005</v>
      </c>
      <c r="AK95" s="127">
        <v>0.73083333333333345</v>
      </c>
      <c r="AL95" s="127">
        <v>0.77666666666666673</v>
      </c>
      <c r="AM95" s="127">
        <v>0.82250000000000001</v>
      </c>
      <c r="AN95" s="127">
        <v>0.88333333333333341</v>
      </c>
      <c r="AO95" s="127">
        <v>0.97750000000000004</v>
      </c>
      <c r="AP95" s="127">
        <v>0.97750000000000004</v>
      </c>
      <c r="AQ95" s="127">
        <v>0.97750000000000004</v>
      </c>
      <c r="AR95" s="127">
        <v>0.97750000000000004</v>
      </c>
      <c r="AS95" s="127">
        <v>0.97750000000000004</v>
      </c>
      <c r="AT95" s="127">
        <v>0.97750000000000004</v>
      </c>
      <c r="AU95" s="127">
        <v>0.97750000000000004</v>
      </c>
      <c r="AV95" s="127">
        <v>0.97750000000000004</v>
      </c>
      <c r="AW95" s="127">
        <v>0.98000000000000009</v>
      </c>
      <c r="AX95" s="127">
        <v>0.9850000000000001</v>
      </c>
      <c r="AY95" s="127">
        <v>0.9850000000000001</v>
      </c>
      <c r="AZ95" s="127">
        <v>0.9850000000000001</v>
      </c>
      <c r="BA95" s="127">
        <v>0.9850000000000001</v>
      </c>
      <c r="BB95" s="127">
        <f>Planbase100[[#This Row],[05/05/25]]+(1-Planbase100[[#This Row],[05/05/25]])*'Plan 39'!I52</f>
        <v>0.9860000000000001</v>
      </c>
      <c r="BC95" s="127">
        <f>Planbase100[[#This Row],[05/05/25]]+(1-Planbase100[[#This Row],[05/05/25]])*'Plan 39'!J52</f>
        <v>0.98700500000000013</v>
      </c>
      <c r="BD95" s="127">
        <f>Planbase100[[#This Row],[05/05/25]]+(1-Planbase100[[#This Row],[05/05/25]])*'Plan 39'!K52</f>
        <v>0.98801000000000005</v>
      </c>
      <c r="BE95" s="127">
        <f>Planbase100[[#This Row],[05/05/25]]+(1-Planbase100[[#This Row],[05/05/25]])*'Plan 39'!L52</f>
        <v>0.98901500000000009</v>
      </c>
      <c r="BF95" s="127">
        <f>Planbase100[[#This Row],[05/05/25]]+(1-Planbase100[[#This Row],[05/05/25]])*'Plan 39'!M52</f>
        <v>0.99002000000000001</v>
      </c>
      <c r="BG95" s="127">
        <f>Planbase100[[#This Row],[05/05/25]]+(1-Planbase100[[#This Row],[05/05/25]])*'Plan 39'!N52</f>
        <v>0.99102500000000004</v>
      </c>
      <c r="BH95" s="127">
        <f>Planbase100[[#This Row],[05/05/25]]+(1-Planbase100[[#This Row],[05/05/25]])*'Plan 39'!O52</f>
        <v>0.99203000000000008</v>
      </c>
      <c r="BI95" s="127">
        <f>Planbase100[[#This Row],[05/05/25]]+(1-Planbase100[[#This Row],[05/05/25]])*'Plan 39'!P52</f>
        <v>0.993035</v>
      </c>
      <c r="BJ95" s="127">
        <f>Planbase100[[#This Row],[05/05/25]]+(1-Planbase100[[#This Row],[05/05/25]])*'Plan 39'!Q52</f>
        <v>0.99404000000000003</v>
      </c>
      <c r="BK95" s="127">
        <f>Planbase100[[#This Row],[05/05/25]]+(1-Planbase100[[#This Row],[05/05/25]])*'Plan 39'!R52</f>
        <v>0.99504500000000007</v>
      </c>
      <c r="BL95" s="127">
        <f>Planbase100[[#This Row],[05/05/25]]+(1-Planbase100[[#This Row],[05/05/25]])*'Plan 39'!S52</f>
        <v>0.99604999999999999</v>
      </c>
      <c r="BM95" s="127">
        <f>Planbase100[[#This Row],[05/05/25]]+(1-Planbase100[[#This Row],[05/05/25]])*'Plan 39'!T52</f>
        <v>0.99705500000000002</v>
      </c>
      <c r="BN95" s="127">
        <f>Planbase100[[#This Row],[05/05/25]]+(1-Planbase100[[#This Row],[05/05/25]])*'Plan 39'!U52</f>
        <v>0.99806000000000006</v>
      </c>
      <c r="BO95" s="127">
        <f>Planbase100[[#This Row],[05/05/25]]+(1-Planbase100[[#This Row],[05/05/25]])*'Plan 39'!V52</f>
        <v>0.99906499999999998</v>
      </c>
      <c r="BP95" s="127">
        <f>Planbase100[[#This Row],[05/05/25]]+(1-Planbase100[[#This Row],[05/05/25]])*'Plan 39'!W52</f>
        <v>1</v>
      </c>
      <c r="BQ95" s="127">
        <f>Planbase100[[#This Row],[05/05/25]]+(1-Planbase100[[#This Row],[05/05/25]])*'Plan 39'!X52</f>
        <v>1</v>
      </c>
      <c r="BR95" s="127">
        <f>Planbase100[[#This Row],[05/05/25]]+(1-Planbase100[[#This Row],[05/05/25]])*'Plan 39'!Y52</f>
        <v>1</v>
      </c>
      <c r="BS95" s="127">
        <f>Planbase100[[#This Row],[05/05/25]]+(1-Planbase100[[#This Row],[05/05/25]])*'Plan 39'!Z52</f>
        <v>1</v>
      </c>
      <c r="BT95" s="127">
        <f>Planbase100[[#This Row],[05/05/25]]+(1-Planbase100[[#This Row],[05/05/25]])*'Plan 39'!AA52</f>
        <v>1</v>
      </c>
      <c r="BU95" s="127">
        <f>Planbase100[[#This Row],[05/05/25]]+(1-Planbase100[[#This Row],[05/05/25]])*'Plan 39'!AB52</f>
        <v>1</v>
      </c>
      <c r="BV95" s="127">
        <f>Planbase100[[#This Row],[05/05/25]]+(1-Planbase100[[#This Row],[05/05/25]])*'Plan 39'!AC52</f>
        <v>1</v>
      </c>
      <c r="BW95" s="127">
        <f>Planbase100[[#This Row],[05/05/25]]+(1-Planbase100[[#This Row],[05/05/25]])*'Plan 39'!AD52</f>
        <v>1</v>
      </c>
      <c r="BX95" s="127">
        <f>Planbase100[[#This Row],[05/05/25]]+(1-Planbase100[[#This Row],[05/05/25]])*'Plan 39'!AE52</f>
        <v>1</v>
      </c>
      <c r="BY95" s="127">
        <f>Planbase100[[#This Row],[05/05/25]]+(1-Planbase100[[#This Row],[05/05/25]])*'Plan 39'!AF52</f>
        <v>1</v>
      </c>
      <c r="BZ95" s="127">
        <f>Planbase100[[#This Row],[05/05/25]]+(1-Planbase100[[#This Row],[05/05/25]])*'Plan 39'!AG52</f>
        <v>1</v>
      </c>
      <c r="CA95" s="127">
        <f>Planbase100[[#This Row],[05/05/25]]+(1-Planbase100[[#This Row],[05/05/25]])*'Plan 39'!AH52</f>
        <v>1</v>
      </c>
      <c r="CB95" s="127">
        <f>Planbase100[[#This Row],[05/05/25]]+(1-Planbase100[[#This Row],[05/05/25]])*'Plan 39'!AI52</f>
        <v>1</v>
      </c>
      <c r="CC95" s="127">
        <f>Planbase100[[#This Row],[05/05/25]]+(1-Planbase100[[#This Row],[05/05/25]])*'Plan 39'!AJ52</f>
        <v>1</v>
      </c>
      <c r="CD95" s="127">
        <f>Planbase100[[#This Row],[05/05/25]]+(1-Planbase100[[#This Row],[05/05/25]])*'Plan 39'!AK52</f>
        <v>1</v>
      </c>
      <c r="CE95" s="127">
        <f>Planbase100[[#This Row],[05/05/25]]+(1-Planbase100[[#This Row],[05/05/25]])*'Plan 39'!AL52</f>
        <v>1</v>
      </c>
      <c r="CF95" s="127">
        <f>Planbase100[[#This Row],[05/05/25]]+(1-Planbase100[[#This Row],[05/05/25]])*'Plan 39'!AM52</f>
        <v>1</v>
      </c>
      <c r="CG95" s="127">
        <f>Planbase100[[#This Row],[05/05/25]]+(1-Planbase100[[#This Row],[05/05/25]])*'Plan 39'!AN52</f>
        <v>1</v>
      </c>
      <c r="CH95" s="127">
        <f>Planbase100[[#This Row],[05/05/25]]+(1-Planbase100[[#This Row],[05/05/25]])*'Plan 39'!AO52</f>
        <v>1</v>
      </c>
      <c r="CI95" s="127">
        <f>Planbase100[[#This Row],[05/05/25]]+(1-Planbase100[[#This Row],[05/05/25]])*'Plan 39'!AP52</f>
        <v>1</v>
      </c>
      <c r="CJ95" s="127">
        <f>Planbase100[[#This Row],[05/05/25]]+(1-Planbase100[[#This Row],[05/05/25]])*'Plan 39'!AQ52</f>
        <v>1</v>
      </c>
      <c r="CK95" s="127">
        <f>Planbase100[[#This Row],[05/05/25]]+(1-Planbase100[[#This Row],[05/05/25]])*'Plan 39'!AR52</f>
        <v>1</v>
      </c>
      <c r="CL95" s="127">
        <f>Planbase100[[#This Row],[05/05/25]]+(1-Planbase100[[#This Row],[05/05/25]])*'Plan 39'!AS52</f>
        <v>1</v>
      </c>
      <c r="CM95" s="127">
        <f>Planbase100[[#This Row],[05/05/25]]+(1-Planbase100[[#This Row],[05/05/25]])*'Plan 39'!AT52</f>
        <v>1</v>
      </c>
      <c r="CN95" s="127">
        <f>Planbase100[[#This Row],[05/05/25]]+(1-Planbase100[[#This Row],[05/05/25]])*'Plan 39'!AU52</f>
        <v>1</v>
      </c>
      <c r="CO95" s="127">
        <f>Planbase100[[#This Row],[05/05/25]]+(1-Planbase100[[#This Row],[05/05/25]])*'Plan 39'!AV52</f>
        <v>1</v>
      </c>
      <c r="CP95" s="127">
        <f>Planbase100[[#This Row],[05/05/25]]+(1-Planbase100[[#This Row],[05/05/25]])*'Plan 39'!AW52</f>
        <v>1</v>
      </c>
      <c r="CQ95" s="127">
        <f>Planbase100[[#This Row],[05/05/25]]+(1-Planbase100[[#This Row],[05/05/25]])*'Plan 39'!AX52</f>
        <v>1</v>
      </c>
      <c r="CR95" s="127">
        <f>Planbase100[[#This Row],[05/05/25]]+(1-Planbase100[[#This Row],[05/05/25]])*'Plan 39'!AY52</f>
        <v>1</v>
      </c>
      <c r="CS95" s="127">
        <f>Planbase100[[#This Row],[05/05/25]]+(1-Planbase100[[#This Row],[05/05/25]])*'Plan 39'!AZ52</f>
        <v>1</v>
      </c>
      <c r="CT95" s="127">
        <f>Planbase100[[#This Row],[05/05/25]]+(1-Planbase100[[#This Row],[05/05/25]])*'Plan 39'!BA52</f>
        <v>1</v>
      </c>
      <c r="CU95" s="127">
        <f>Planbase100[[#This Row],[05/05/25]]+(1-Planbase100[[#This Row],[05/05/25]])*'Plan 39'!BB52</f>
        <v>1</v>
      </c>
      <c r="CV95" s="127">
        <f>Planbase100[[#This Row],[05/05/25]]+(1-Planbase100[[#This Row],[05/05/25]])*'Plan 39'!BC52</f>
        <v>1</v>
      </c>
      <c r="CW95" s="127">
        <f>Planbase100[[#This Row],[05/05/25]]+(1-Planbase100[[#This Row],[05/05/25]])*'Plan 39'!BD52</f>
        <v>1</v>
      </c>
      <c r="CX95" s="127">
        <f>Planbase100[[#This Row],[05/05/25]]+(1-Planbase100[[#This Row],[05/05/25]])*'Plan 39'!BE52</f>
        <v>1</v>
      </c>
      <c r="CY95" s="127">
        <f>Planbase100[[#This Row],[05/05/25]]+(1-Planbase100[[#This Row],[05/05/25]])*'Plan 39'!BF52</f>
        <v>1</v>
      </c>
      <c r="CZ95" s="127">
        <f>Planbase100[[#This Row],[05/05/25]]+(1-Planbase100[[#This Row],[05/05/25]])*'Plan 39'!BG52</f>
        <v>1</v>
      </c>
      <c r="DA95" s="127">
        <f>Planbase100[[#This Row],[05/05/25]]+(1-Planbase100[[#This Row],[05/05/25]])*'Plan 39'!BH52</f>
        <v>1</v>
      </c>
      <c r="DB95" s="127">
        <f>Planbase100[[#This Row],[05/05/25]]+(1-Planbase100[[#This Row],[05/05/25]])*'Plan 39'!BI52</f>
        <v>1</v>
      </c>
      <c r="DC95" s="127">
        <f>Planbase100[[#This Row],[05/05/25]]+(1-Planbase100[[#This Row],[05/05/25]])*'Plan 39'!BJ52</f>
        <v>1</v>
      </c>
      <c r="DD95" s="127">
        <f>Planbase100[[#This Row],[05/05/25]]+(1-Planbase100[[#This Row],[05/05/25]])*'Plan 39'!BK52</f>
        <v>1</v>
      </c>
      <c r="DE95" s="127">
        <f>Planbase100[[#This Row],[05/05/25]]+(1-Planbase100[[#This Row],[05/05/25]])*'Plan 39'!BL52</f>
        <v>1</v>
      </c>
      <c r="DF95" s="127">
        <f>Planbase100[[#This Row],[12/05/25]]+(1-Planbase100[[#This Row],[12/05/25]])*'Plan 39'!BM55</f>
        <v>1</v>
      </c>
      <c r="DG95" s="127">
        <f>Planbase100[[#This Row],[12/05/25]]+(1-Planbase100[[#This Row],[12/05/25]])*'Plan 39'!BN55</f>
        <v>1</v>
      </c>
      <c r="DH95" s="127">
        <f>Planbase100[[#This Row],[12/05/25]]+(1-Planbase100[[#This Row],[12/05/25]])*'Plan 39'!BO55</f>
        <v>1</v>
      </c>
      <c r="DI95" s="127">
        <f>Planbase100[[#This Row],[12/05/25]]+(1-Planbase100[[#This Row],[12/05/25]])*'Plan 39'!BP55</f>
        <v>1</v>
      </c>
      <c r="DJ95" s="127">
        <f>Planbase100[[#This Row],[12/05/25]]+(1-Planbase100[[#This Row],[12/05/25]])*'Plan 39'!BQ55</f>
        <v>1</v>
      </c>
      <c r="DK95" s="127">
        <f>Planbase100[[#This Row],[12/05/25]]+(1-Planbase100[[#This Row],[12/05/25]])*'Plan 39'!BR55</f>
        <v>1</v>
      </c>
      <c r="DL95" s="127">
        <f>Planbase100[[#This Row],[12/05/25]]+(1-Planbase100[[#This Row],[12/05/25]])*'Plan 39'!BS55</f>
        <v>1</v>
      </c>
      <c r="DM95" s="127">
        <f>Planbase100[[#This Row],[12/05/25]]+(1-Planbase100[[#This Row],[12/05/25]])*'Plan 39'!BT55</f>
        <v>1</v>
      </c>
      <c r="DN95" s="127">
        <f>Planbase100[[#This Row],[12/05/25]]+(1-Planbase100[[#This Row],[12/05/25]])*'Plan 39'!BU55</f>
        <v>1</v>
      </c>
      <c r="DO95" s="127">
        <f>Planbase100[[#This Row],[12/05/25]]+(1-Planbase100[[#This Row],[12/05/25]])*'Plan 39'!BV55</f>
        <v>1</v>
      </c>
      <c r="DP95" s="127">
        <f>Planbase100[[#This Row],[12/05/25]]+(1-Planbase100[[#This Row],[12/05/25]])*'Plan 39'!BW55</f>
        <v>1</v>
      </c>
      <c r="DQ95" s="127">
        <f>Planbase100[[#This Row],[12/05/25]]+(1-Planbase100[[#This Row],[12/05/25]])*'Plan 39'!BX55</f>
        <v>1</v>
      </c>
      <c r="DR95" s="127">
        <f>Planbase100[[#This Row],[12/05/25]]+(1-Planbase100[[#This Row],[12/05/25]])*'Plan 39'!BY55</f>
        <v>1</v>
      </c>
      <c r="DS95" s="127">
        <f>Planbase100[[#This Row],[12/05/25]]+(1-Planbase100[[#This Row],[12/05/25]])*'Plan 39'!BZ55</f>
        <v>1</v>
      </c>
      <c r="DT95" s="127">
        <f>Planbase100[[#This Row],[12/05/25]]+(1-Planbase100[[#This Row],[12/05/25]])*'Plan 39'!CA55</f>
        <v>1</v>
      </c>
      <c r="DU95" s="127">
        <f>Planbase100[[#This Row],[12/05/25]]+(1-Planbase100[[#This Row],[12/05/25]])*'Plan 39'!CB55</f>
        <v>1</v>
      </c>
      <c r="DV95" s="127">
        <f>Planbase100[[#This Row],[12/05/25]]+(1-Planbase100[[#This Row],[12/05/25]])*'Plan 39'!CC55</f>
        <v>1</v>
      </c>
      <c r="DW95" s="127">
        <f>Planbase100[[#This Row],[12/05/25]]+(1-Planbase100[[#This Row],[12/05/25]])*'Plan 39'!CD55</f>
        <v>1</v>
      </c>
      <c r="DX95" s="127">
        <f>Planbase100[[#This Row],[12/05/25]]+(1-Planbase100[[#This Row],[12/05/25]])*'Plan 39'!CE55</f>
        <v>1</v>
      </c>
      <c r="DY95" s="127">
        <f>Planbase100[[#This Row],[12/05/25]]+(1-Planbase100[[#This Row],[12/05/25]])*'Plan 39'!CF55</f>
        <v>1</v>
      </c>
      <c r="DZ95" s="127">
        <f>Planbase100[[#This Row],[12/05/25]]+(1-Planbase100[[#This Row],[12/05/25]])*'Plan 39'!CG55</f>
        <v>1</v>
      </c>
      <c r="EA95" s="127">
        <f>Planbase100[[#This Row],[12/05/25]]+(1-Planbase100[[#This Row],[12/05/25]])*'Plan 39'!CH55</f>
        <v>1</v>
      </c>
      <c r="EB95" s="127">
        <f>Planbase100[[#This Row],[12/05/25]]+(1-Planbase100[[#This Row],[12/05/25]])*'Plan 39'!CI55</f>
        <v>1</v>
      </c>
      <c r="EC95" s="127">
        <f>Planbase100[[#This Row],[12/05/25]]+(1-Planbase100[[#This Row],[12/05/25]])*'Plan 39'!CJ55</f>
        <v>1</v>
      </c>
      <c r="ED95" s="127">
        <f>Planbase100[[#This Row],[12/05/25]]+(1-Planbase100[[#This Row],[12/05/25]])*'Plan 39'!CK55</f>
        <v>1</v>
      </c>
      <c r="EE95" s="127">
        <f>Planbase100[[#This Row],[12/05/25]]+(1-Planbase100[[#This Row],[12/05/25]])*'Plan 39'!CL55</f>
        <v>1</v>
      </c>
      <c r="EF95" s="127">
        <f>Planbase100[[#This Row],[12/05/25]]+(1-Planbase100[[#This Row],[12/05/25]])*'Plan 39'!CM55</f>
        <v>1</v>
      </c>
      <c r="EG95" s="127">
        <f>Planbase100[[#This Row],[12/05/25]]+(1-Planbase100[[#This Row],[12/05/25]])*'Plan 39'!CN55</f>
        <v>1</v>
      </c>
      <c r="EH95" s="127">
        <f>Planbase100[[#This Row],[12/05/25]]+(1-Planbase100[[#This Row],[12/05/25]])*'Plan 39'!CO55</f>
        <v>1</v>
      </c>
      <c r="EI95" s="127">
        <f>Planbase100[[#This Row],[12/05/25]]+(1-Planbase100[[#This Row],[12/05/25]])*'Plan 39'!CP55</f>
        <v>1</v>
      </c>
    </row>
    <row r="96" spans="2:139" hidden="1" outlineLevel="3" x14ac:dyDescent="0.3">
      <c r="B96" s="29"/>
      <c r="C96" s="30"/>
      <c r="D96" s="30"/>
      <c r="E96" s="52" t="s">
        <v>100</v>
      </c>
      <c r="F96" s="33">
        <v>10</v>
      </c>
      <c r="G96" s="35">
        <v>6.25E-2</v>
      </c>
      <c r="H96" s="53"/>
      <c r="I96" s="126">
        <v>0</v>
      </c>
      <c r="J96" s="127">
        <v>0</v>
      </c>
      <c r="K96" s="127">
        <v>0</v>
      </c>
      <c r="L96" s="127">
        <v>0</v>
      </c>
      <c r="M96" s="128">
        <v>0</v>
      </c>
      <c r="N96" s="128">
        <v>0</v>
      </c>
      <c r="O96" s="127">
        <v>0</v>
      </c>
      <c r="P96" s="127">
        <v>0</v>
      </c>
      <c r="Q96" s="127">
        <v>0</v>
      </c>
      <c r="R96" s="127">
        <v>0</v>
      </c>
      <c r="S96" s="127">
        <v>0</v>
      </c>
      <c r="T96" s="127">
        <v>0</v>
      </c>
      <c r="U96" s="127">
        <v>0</v>
      </c>
      <c r="V96" s="127">
        <v>0</v>
      </c>
      <c r="W96" s="127">
        <v>0</v>
      </c>
      <c r="X96" s="127">
        <v>0</v>
      </c>
      <c r="Y96" s="127">
        <v>0</v>
      </c>
      <c r="Z96" s="127">
        <v>0</v>
      </c>
      <c r="AA96" s="127">
        <v>0</v>
      </c>
      <c r="AB96" s="127">
        <v>0</v>
      </c>
      <c r="AC96" s="127">
        <v>0</v>
      </c>
      <c r="AD96" s="127">
        <v>0</v>
      </c>
      <c r="AE96" s="127">
        <v>0</v>
      </c>
      <c r="AF96" s="127">
        <v>0</v>
      </c>
      <c r="AG96" s="127">
        <v>0</v>
      </c>
      <c r="AH96" s="127">
        <v>0</v>
      </c>
      <c r="AI96" s="127">
        <v>0</v>
      </c>
      <c r="AJ96" s="127">
        <v>0</v>
      </c>
      <c r="AK96" s="127">
        <v>0</v>
      </c>
      <c r="AL96" s="127">
        <v>0</v>
      </c>
      <c r="AM96" s="127">
        <v>0</v>
      </c>
      <c r="AN96" s="127">
        <v>0</v>
      </c>
      <c r="AO96" s="127">
        <v>0</v>
      </c>
      <c r="AP96" s="127">
        <v>0</v>
      </c>
      <c r="AQ96" s="127">
        <v>0</v>
      </c>
      <c r="AR96" s="127">
        <v>0</v>
      </c>
      <c r="AS96" s="127">
        <v>0</v>
      </c>
      <c r="AT96" s="127">
        <v>0</v>
      </c>
      <c r="AU96" s="127">
        <v>0</v>
      </c>
      <c r="AV96" s="127">
        <v>0</v>
      </c>
      <c r="AW96" s="127">
        <v>0</v>
      </c>
      <c r="AX96" s="127">
        <v>0</v>
      </c>
      <c r="AY96" s="127">
        <v>0</v>
      </c>
      <c r="AZ96" s="127">
        <v>0</v>
      </c>
      <c r="BA96" s="127">
        <v>0</v>
      </c>
      <c r="BB96" s="127">
        <f>Planbase100[[#This Row],[05/05/25]]+(1-Planbase100[[#This Row],[05/05/25]])*'Plan 39'!I53</f>
        <v>0</v>
      </c>
      <c r="BC96" s="127">
        <f>Planbase100[[#This Row],[05/05/25]]+(1-Planbase100[[#This Row],[05/05/25]])*'Plan 39'!J53</f>
        <v>0</v>
      </c>
      <c r="BD96" s="127">
        <f>Planbase100[[#This Row],[05/05/25]]+(1-Planbase100[[#This Row],[05/05/25]])*'Plan 39'!K53</f>
        <v>7.1428571428571438E-2</v>
      </c>
      <c r="BE96" s="127">
        <f>Planbase100[[#This Row],[05/05/25]]+(1-Planbase100[[#This Row],[05/05/25]])*'Plan 39'!L53</f>
        <v>0.14242857142857143</v>
      </c>
      <c r="BF96" s="127">
        <f>Planbase100[[#This Row],[05/05/25]]+(1-Planbase100[[#This Row],[05/05/25]])*'Plan 39'!M53</f>
        <v>0.21342857142857141</v>
      </c>
      <c r="BG96" s="127">
        <f>Planbase100[[#This Row],[05/05/25]]+(1-Planbase100[[#This Row],[05/05/25]])*'Plan 39'!N53</f>
        <v>0.28442857142857142</v>
      </c>
      <c r="BH96" s="127">
        <f>Planbase100[[#This Row],[05/05/25]]+(1-Planbase100[[#This Row],[05/05/25]])*'Plan 39'!O53</f>
        <v>0.35542857142857143</v>
      </c>
      <c r="BI96" s="127">
        <f>Planbase100[[#This Row],[05/05/25]]+(1-Planbase100[[#This Row],[05/05/25]])*'Plan 39'!P53</f>
        <v>0.42642857142857143</v>
      </c>
      <c r="BJ96" s="127">
        <f>Planbase100[[#This Row],[05/05/25]]+(1-Planbase100[[#This Row],[05/05/25]])*'Plan 39'!Q53</f>
        <v>0.49742857142857144</v>
      </c>
      <c r="BK96" s="127">
        <f>Planbase100[[#This Row],[05/05/25]]+(1-Planbase100[[#This Row],[05/05/25]])*'Plan 39'!R53</f>
        <v>0.56842857142857139</v>
      </c>
      <c r="BL96" s="127">
        <f>Planbase100[[#This Row],[05/05/25]]+(1-Planbase100[[#This Row],[05/05/25]])*'Plan 39'!S53</f>
        <v>0.63942857142857135</v>
      </c>
      <c r="BM96" s="127">
        <f>Planbase100[[#This Row],[05/05/25]]+(1-Planbase100[[#This Row],[05/05/25]])*'Plan 39'!T53</f>
        <v>0.7104285714285713</v>
      </c>
      <c r="BN96" s="127">
        <f>Planbase100[[#This Row],[05/05/25]]+(1-Planbase100[[#This Row],[05/05/25]])*'Plan 39'!U53</f>
        <v>0.78142857142857125</v>
      </c>
      <c r="BO96" s="127">
        <f>Planbase100[[#This Row],[05/05/25]]+(1-Planbase100[[#This Row],[05/05/25]])*'Plan 39'!V53</f>
        <v>0.8524285714285712</v>
      </c>
      <c r="BP96" s="127">
        <f>Planbase100[[#This Row],[05/05/25]]+(1-Planbase100[[#This Row],[05/05/25]])*'Plan 39'!W53</f>
        <v>0.92342857142857115</v>
      </c>
      <c r="BQ96" s="127">
        <f>Planbase100[[#This Row],[05/05/25]]+(1-Planbase100[[#This Row],[05/05/25]])*'Plan 39'!X53</f>
        <v>1</v>
      </c>
      <c r="BR96" s="127">
        <f>Planbase100[[#This Row],[05/05/25]]+(1-Planbase100[[#This Row],[05/05/25]])*'Plan 39'!Y53</f>
        <v>1</v>
      </c>
      <c r="BS96" s="127">
        <f>Planbase100[[#This Row],[05/05/25]]+(1-Planbase100[[#This Row],[05/05/25]])*'Plan 39'!Z53</f>
        <v>1</v>
      </c>
      <c r="BT96" s="127">
        <f>Planbase100[[#This Row],[05/05/25]]+(1-Planbase100[[#This Row],[05/05/25]])*'Plan 39'!AA53</f>
        <v>1</v>
      </c>
      <c r="BU96" s="127">
        <f>Planbase100[[#This Row],[05/05/25]]+(1-Planbase100[[#This Row],[05/05/25]])*'Plan 39'!AB53</f>
        <v>1</v>
      </c>
      <c r="BV96" s="127">
        <f>Planbase100[[#This Row],[05/05/25]]+(1-Planbase100[[#This Row],[05/05/25]])*'Plan 39'!AC53</f>
        <v>1</v>
      </c>
      <c r="BW96" s="127">
        <f>Planbase100[[#This Row],[05/05/25]]+(1-Planbase100[[#This Row],[05/05/25]])*'Plan 39'!AD53</f>
        <v>1</v>
      </c>
      <c r="BX96" s="127">
        <f>Planbase100[[#This Row],[05/05/25]]+(1-Planbase100[[#This Row],[05/05/25]])*'Plan 39'!AE53</f>
        <v>1</v>
      </c>
      <c r="BY96" s="127">
        <f>Planbase100[[#This Row],[05/05/25]]+(1-Planbase100[[#This Row],[05/05/25]])*'Plan 39'!AF53</f>
        <v>1</v>
      </c>
      <c r="BZ96" s="127">
        <f>Planbase100[[#This Row],[05/05/25]]+(1-Planbase100[[#This Row],[05/05/25]])*'Plan 39'!AG53</f>
        <v>1</v>
      </c>
      <c r="CA96" s="127">
        <f>Planbase100[[#This Row],[05/05/25]]+(1-Planbase100[[#This Row],[05/05/25]])*'Plan 39'!AH53</f>
        <v>1</v>
      </c>
      <c r="CB96" s="127">
        <f>Planbase100[[#This Row],[05/05/25]]+(1-Planbase100[[#This Row],[05/05/25]])*'Plan 39'!AI53</f>
        <v>1</v>
      </c>
      <c r="CC96" s="127">
        <f>Planbase100[[#This Row],[05/05/25]]+(1-Planbase100[[#This Row],[05/05/25]])*'Plan 39'!AJ53</f>
        <v>1</v>
      </c>
      <c r="CD96" s="127">
        <f>Planbase100[[#This Row],[05/05/25]]+(1-Planbase100[[#This Row],[05/05/25]])*'Plan 39'!AK53</f>
        <v>1</v>
      </c>
      <c r="CE96" s="127">
        <f>Planbase100[[#This Row],[05/05/25]]+(1-Planbase100[[#This Row],[05/05/25]])*'Plan 39'!AL53</f>
        <v>1</v>
      </c>
      <c r="CF96" s="127">
        <f>Planbase100[[#This Row],[05/05/25]]+(1-Planbase100[[#This Row],[05/05/25]])*'Plan 39'!AM53</f>
        <v>1</v>
      </c>
      <c r="CG96" s="127">
        <f>Planbase100[[#This Row],[05/05/25]]+(1-Planbase100[[#This Row],[05/05/25]])*'Plan 39'!AN53</f>
        <v>1</v>
      </c>
      <c r="CH96" s="127">
        <f>Planbase100[[#This Row],[05/05/25]]+(1-Planbase100[[#This Row],[05/05/25]])*'Plan 39'!AO53</f>
        <v>1</v>
      </c>
      <c r="CI96" s="127">
        <f>Planbase100[[#This Row],[05/05/25]]+(1-Planbase100[[#This Row],[05/05/25]])*'Plan 39'!AP53</f>
        <v>1</v>
      </c>
      <c r="CJ96" s="127">
        <f>Planbase100[[#This Row],[05/05/25]]+(1-Planbase100[[#This Row],[05/05/25]])*'Plan 39'!AQ53</f>
        <v>1</v>
      </c>
      <c r="CK96" s="127">
        <f>Planbase100[[#This Row],[05/05/25]]+(1-Planbase100[[#This Row],[05/05/25]])*'Plan 39'!AR53</f>
        <v>1</v>
      </c>
      <c r="CL96" s="127">
        <f>Planbase100[[#This Row],[05/05/25]]+(1-Planbase100[[#This Row],[05/05/25]])*'Plan 39'!AS53</f>
        <v>1</v>
      </c>
      <c r="CM96" s="127">
        <f>Planbase100[[#This Row],[05/05/25]]+(1-Planbase100[[#This Row],[05/05/25]])*'Plan 39'!AT53</f>
        <v>1</v>
      </c>
      <c r="CN96" s="127">
        <f>Planbase100[[#This Row],[05/05/25]]+(1-Planbase100[[#This Row],[05/05/25]])*'Plan 39'!AU53</f>
        <v>1</v>
      </c>
      <c r="CO96" s="127">
        <f>Planbase100[[#This Row],[05/05/25]]+(1-Planbase100[[#This Row],[05/05/25]])*'Plan 39'!AV53</f>
        <v>1</v>
      </c>
      <c r="CP96" s="127">
        <f>Planbase100[[#This Row],[05/05/25]]+(1-Planbase100[[#This Row],[05/05/25]])*'Plan 39'!AW53</f>
        <v>1</v>
      </c>
      <c r="CQ96" s="127">
        <f>Planbase100[[#This Row],[05/05/25]]+(1-Planbase100[[#This Row],[05/05/25]])*'Plan 39'!AX53</f>
        <v>1</v>
      </c>
      <c r="CR96" s="127">
        <f>Planbase100[[#This Row],[05/05/25]]+(1-Planbase100[[#This Row],[05/05/25]])*'Plan 39'!AY53</f>
        <v>1</v>
      </c>
      <c r="CS96" s="127">
        <f>Planbase100[[#This Row],[05/05/25]]+(1-Planbase100[[#This Row],[05/05/25]])*'Plan 39'!AZ53</f>
        <v>1</v>
      </c>
      <c r="CT96" s="127">
        <f>Planbase100[[#This Row],[05/05/25]]+(1-Planbase100[[#This Row],[05/05/25]])*'Plan 39'!BA53</f>
        <v>1</v>
      </c>
      <c r="CU96" s="127">
        <f>Planbase100[[#This Row],[05/05/25]]+(1-Planbase100[[#This Row],[05/05/25]])*'Plan 39'!BB53</f>
        <v>1</v>
      </c>
      <c r="CV96" s="127">
        <f>Planbase100[[#This Row],[05/05/25]]+(1-Planbase100[[#This Row],[05/05/25]])*'Plan 39'!BC53</f>
        <v>1</v>
      </c>
      <c r="CW96" s="127">
        <f>Planbase100[[#This Row],[05/05/25]]+(1-Planbase100[[#This Row],[05/05/25]])*'Plan 39'!BD53</f>
        <v>1</v>
      </c>
      <c r="CX96" s="127">
        <f>Planbase100[[#This Row],[05/05/25]]+(1-Planbase100[[#This Row],[05/05/25]])*'Plan 39'!BE53</f>
        <v>1</v>
      </c>
      <c r="CY96" s="127">
        <f>Planbase100[[#This Row],[05/05/25]]+(1-Planbase100[[#This Row],[05/05/25]])*'Plan 39'!BF53</f>
        <v>1</v>
      </c>
      <c r="CZ96" s="127">
        <f>Planbase100[[#This Row],[05/05/25]]+(1-Planbase100[[#This Row],[05/05/25]])*'Plan 39'!BG53</f>
        <v>1</v>
      </c>
      <c r="DA96" s="127">
        <f>Planbase100[[#This Row],[05/05/25]]+(1-Planbase100[[#This Row],[05/05/25]])*'Plan 39'!BH53</f>
        <v>1</v>
      </c>
      <c r="DB96" s="127">
        <f>Planbase100[[#This Row],[05/05/25]]+(1-Planbase100[[#This Row],[05/05/25]])*'Plan 39'!BI53</f>
        <v>1</v>
      </c>
      <c r="DC96" s="127">
        <f>Planbase100[[#This Row],[05/05/25]]+(1-Planbase100[[#This Row],[05/05/25]])*'Plan 39'!BJ53</f>
        <v>1</v>
      </c>
      <c r="DD96" s="127">
        <f>Planbase100[[#This Row],[05/05/25]]+(1-Planbase100[[#This Row],[05/05/25]])*'Plan 39'!BK53</f>
        <v>1</v>
      </c>
      <c r="DE96" s="127">
        <f>Planbase100[[#This Row],[05/05/25]]+(1-Planbase100[[#This Row],[05/05/25]])*'Plan 39'!BL53</f>
        <v>1</v>
      </c>
      <c r="DF96" s="127">
        <f>Planbase100[[#This Row],[12/05/25]]+(1-Planbase100[[#This Row],[12/05/25]])*'Plan 39'!BM56</f>
        <v>1</v>
      </c>
      <c r="DG96" s="127">
        <f>Planbase100[[#This Row],[12/05/25]]+(1-Planbase100[[#This Row],[12/05/25]])*'Plan 39'!BN56</f>
        <v>1</v>
      </c>
      <c r="DH96" s="127">
        <f>Planbase100[[#This Row],[12/05/25]]+(1-Planbase100[[#This Row],[12/05/25]])*'Plan 39'!BO56</f>
        <v>1</v>
      </c>
      <c r="DI96" s="127">
        <f>Planbase100[[#This Row],[12/05/25]]+(1-Planbase100[[#This Row],[12/05/25]])*'Plan 39'!BP56</f>
        <v>1</v>
      </c>
      <c r="DJ96" s="127">
        <f>Planbase100[[#This Row],[12/05/25]]+(1-Planbase100[[#This Row],[12/05/25]])*'Plan 39'!BQ56</f>
        <v>1</v>
      </c>
      <c r="DK96" s="127">
        <f>Planbase100[[#This Row],[12/05/25]]+(1-Planbase100[[#This Row],[12/05/25]])*'Plan 39'!BR56</f>
        <v>1</v>
      </c>
      <c r="DL96" s="127">
        <f>Planbase100[[#This Row],[12/05/25]]+(1-Planbase100[[#This Row],[12/05/25]])*'Plan 39'!BS56</f>
        <v>1</v>
      </c>
      <c r="DM96" s="127">
        <f>Planbase100[[#This Row],[12/05/25]]+(1-Planbase100[[#This Row],[12/05/25]])*'Plan 39'!BT56</f>
        <v>1</v>
      </c>
      <c r="DN96" s="127">
        <f>Planbase100[[#This Row],[12/05/25]]+(1-Planbase100[[#This Row],[12/05/25]])*'Plan 39'!BU56</f>
        <v>1</v>
      </c>
      <c r="DO96" s="127">
        <f>Planbase100[[#This Row],[12/05/25]]+(1-Planbase100[[#This Row],[12/05/25]])*'Plan 39'!BV56</f>
        <v>1</v>
      </c>
      <c r="DP96" s="127">
        <f>Planbase100[[#This Row],[12/05/25]]+(1-Planbase100[[#This Row],[12/05/25]])*'Plan 39'!BW56</f>
        <v>1</v>
      </c>
      <c r="DQ96" s="127">
        <f>Planbase100[[#This Row],[12/05/25]]+(1-Planbase100[[#This Row],[12/05/25]])*'Plan 39'!BX56</f>
        <v>1</v>
      </c>
      <c r="DR96" s="127">
        <f>Planbase100[[#This Row],[12/05/25]]+(1-Planbase100[[#This Row],[12/05/25]])*'Plan 39'!BY56</f>
        <v>1</v>
      </c>
      <c r="DS96" s="127">
        <f>Planbase100[[#This Row],[12/05/25]]+(1-Planbase100[[#This Row],[12/05/25]])*'Plan 39'!BZ56</f>
        <v>1</v>
      </c>
      <c r="DT96" s="127">
        <f>Planbase100[[#This Row],[12/05/25]]+(1-Planbase100[[#This Row],[12/05/25]])*'Plan 39'!CA56</f>
        <v>1</v>
      </c>
      <c r="DU96" s="127">
        <f>Planbase100[[#This Row],[12/05/25]]+(1-Planbase100[[#This Row],[12/05/25]])*'Plan 39'!CB56</f>
        <v>1</v>
      </c>
      <c r="DV96" s="127">
        <f>Planbase100[[#This Row],[12/05/25]]+(1-Planbase100[[#This Row],[12/05/25]])*'Plan 39'!CC56</f>
        <v>1</v>
      </c>
      <c r="DW96" s="127">
        <f>Planbase100[[#This Row],[12/05/25]]+(1-Planbase100[[#This Row],[12/05/25]])*'Plan 39'!CD56</f>
        <v>1</v>
      </c>
      <c r="DX96" s="127">
        <f>Planbase100[[#This Row],[12/05/25]]+(1-Planbase100[[#This Row],[12/05/25]])*'Plan 39'!CE56</f>
        <v>1</v>
      </c>
      <c r="DY96" s="127">
        <f>Planbase100[[#This Row],[12/05/25]]+(1-Planbase100[[#This Row],[12/05/25]])*'Plan 39'!CF56</f>
        <v>1</v>
      </c>
      <c r="DZ96" s="127">
        <f>Planbase100[[#This Row],[12/05/25]]+(1-Planbase100[[#This Row],[12/05/25]])*'Plan 39'!CG56</f>
        <v>1</v>
      </c>
      <c r="EA96" s="127">
        <f>Planbase100[[#This Row],[12/05/25]]+(1-Planbase100[[#This Row],[12/05/25]])*'Plan 39'!CH56</f>
        <v>1</v>
      </c>
      <c r="EB96" s="127">
        <f>Planbase100[[#This Row],[12/05/25]]+(1-Planbase100[[#This Row],[12/05/25]])*'Plan 39'!CI56</f>
        <v>1</v>
      </c>
      <c r="EC96" s="127">
        <f>Planbase100[[#This Row],[12/05/25]]+(1-Planbase100[[#This Row],[12/05/25]])*'Plan 39'!CJ56</f>
        <v>1</v>
      </c>
      <c r="ED96" s="127">
        <f>Planbase100[[#This Row],[12/05/25]]+(1-Planbase100[[#This Row],[12/05/25]])*'Plan 39'!CK56</f>
        <v>1</v>
      </c>
      <c r="EE96" s="127">
        <f>Planbase100[[#This Row],[12/05/25]]+(1-Planbase100[[#This Row],[12/05/25]])*'Plan 39'!CL56</f>
        <v>1</v>
      </c>
      <c r="EF96" s="127">
        <f>Planbase100[[#This Row],[12/05/25]]+(1-Planbase100[[#This Row],[12/05/25]])*'Plan 39'!CM56</f>
        <v>1</v>
      </c>
      <c r="EG96" s="127">
        <f>Planbase100[[#This Row],[12/05/25]]+(1-Planbase100[[#This Row],[12/05/25]])*'Plan 39'!CN56</f>
        <v>1</v>
      </c>
      <c r="EH96" s="127">
        <f>Planbase100[[#This Row],[12/05/25]]+(1-Planbase100[[#This Row],[12/05/25]])*'Plan 39'!CO56</f>
        <v>1</v>
      </c>
      <c r="EI96" s="127">
        <f>Planbase100[[#This Row],[12/05/25]]+(1-Planbase100[[#This Row],[12/05/25]])*'Plan 39'!CP56</f>
        <v>1</v>
      </c>
    </row>
    <row r="97" spans="2:139" hidden="1" outlineLevel="3" x14ac:dyDescent="0.3">
      <c r="B97" s="29"/>
      <c r="C97" s="30"/>
      <c r="D97" s="30"/>
      <c r="E97" s="52" t="s">
        <v>101</v>
      </c>
      <c r="F97" s="33">
        <v>0</v>
      </c>
      <c r="G97" s="35">
        <v>1E-119</v>
      </c>
      <c r="H97" s="53"/>
      <c r="I97" s="126">
        <v>0</v>
      </c>
      <c r="J97" s="127">
        <v>0</v>
      </c>
      <c r="K97" s="127">
        <v>0</v>
      </c>
      <c r="L97" s="127">
        <v>0</v>
      </c>
      <c r="M97" s="128">
        <v>0</v>
      </c>
      <c r="N97" s="128">
        <v>0</v>
      </c>
      <c r="O97" s="127">
        <v>0</v>
      </c>
      <c r="P97" s="127">
        <v>0</v>
      </c>
      <c r="Q97" s="127">
        <v>0</v>
      </c>
      <c r="R97" s="127">
        <v>0</v>
      </c>
      <c r="S97" s="127">
        <v>0</v>
      </c>
      <c r="T97" s="127">
        <v>0</v>
      </c>
      <c r="U97" s="127">
        <v>0</v>
      </c>
      <c r="V97" s="127">
        <v>0</v>
      </c>
      <c r="W97" s="127">
        <v>1</v>
      </c>
      <c r="X97" s="127">
        <v>1</v>
      </c>
      <c r="Y97" s="127">
        <v>1</v>
      </c>
      <c r="Z97" s="127">
        <v>1</v>
      </c>
      <c r="AA97" s="127">
        <v>1</v>
      </c>
      <c r="AB97" s="127">
        <v>1</v>
      </c>
      <c r="AC97" s="127">
        <v>1</v>
      </c>
      <c r="AD97" s="127">
        <v>1</v>
      </c>
      <c r="AE97" s="127">
        <v>1</v>
      </c>
      <c r="AF97" s="127">
        <v>1</v>
      </c>
      <c r="AG97" s="127">
        <v>1</v>
      </c>
      <c r="AH97" s="127">
        <v>1</v>
      </c>
      <c r="AI97" s="127">
        <v>1</v>
      </c>
      <c r="AJ97" s="127">
        <v>1</v>
      </c>
      <c r="AK97" s="127">
        <v>1</v>
      </c>
      <c r="AL97" s="127">
        <v>1</v>
      </c>
      <c r="AM97" s="127">
        <v>1</v>
      </c>
      <c r="AN97" s="127">
        <v>1</v>
      </c>
      <c r="AO97" s="127">
        <v>1</v>
      </c>
      <c r="AP97" s="127">
        <v>1</v>
      </c>
      <c r="AQ97" s="127">
        <v>1</v>
      </c>
      <c r="AR97" s="127">
        <v>1</v>
      </c>
      <c r="AS97" s="127">
        <v>1</v>
      </c>
      <c r="AT97" s="127">
        <v>1</v>
      </c>
      <c r="AU97" s="127">
        <v>1</v>
      </c>
      <c r="AV97" s="127">
        <v>1</v>
      </c>
      <c r="AW97" s="127">
        <v>1</v>
      </c>
      <c r="AX97" s="127">
        <v>1</v>
      </c>
      <c r="AY97" s="127">
        <v>1</v>
      </c>
      <c r="AZ97" s="127">
        <v>1</v>
      </c>
      <c r="BA97" s="127">
        <v>1</v>
      </c>
      <c r="BB97" s="127">
        <v>1</v>
      </c>
      <c r="BC97" s="127">
        <v>1</v>
      </c>
      <c r="BD97" s="127">
        <v>1</v>
      </c>
      <c r="BE97" s="127">
        <v>1</v>
      </c>
      <c r="BF97" s="127">
        <v>1</v>
      </c>
      <c r="BG97" s="127">
        <v>1</v>
      </c>
      <c r="BH97" s="127">
        <v>1</v>
      </c>
      <c r="BI97" s="127">
        <v>1</v>
      </c>
      <c r="BJ97" s="127">
        <v>1</v>
      </c>
      <c r="BK97" s="127">
        <v>1</v>
      </c>
      <c r="BL97" s="127">
        <v>1</v>
      </c>
      <c r="BM97" s="127">
        <v>1</v>
      </c>
      <c r="BN97" s="127">
        <v>1</v>
      </c>
      <c r="BO97" s="127">
        <v>1</v>
      </c>
      <c r="BP97" s="127">
        <v>1</v>
      </c>
      <c r="BQ97" s="127">
        <v>1</v>
      </c>
      <c r="BR97" s="127">
        <v>1</v>
      </c>
      <c r="BS97" s="127">
        <v>1</v>
      </c>
      <c r="BT97" s="127">
        <v>1</v>
      </c>
      <c r="BU97" s="127">
        <v>1</v>
      </c>
      <c r="BV97" s="127">
        <v>1</v>
      </c>
      <c r="BW97" s="127">
        <v>1</v>
      </c>
      <c r="BX97" s="127">
        <v>1</v>
      </c>
      <c r="BY97" s="127">
        <v>1</v>
      </c>
      <c r="BZ97" s="127">
        <v>1</v>
      </c>
      <c r="CA97" s="127">
        <v>1</v>
      </c>
      <c r="CB97" s="127">
        <v>1</v>
      </c>
      <c r="CC97" s="127">
        <v>1</v>
      </c>
      <c r="CD97" s="127">
        <v>1</v>
      </c>
      <c r="CE97" s="127">
        <v>1</v>
      </c>
      <c r="CF97" s="127">
        <v>1</v>
      </c>
      <c r="CG97" s="127">
        <v>1</v>
      </c>
      <c r="CH97" s="127">
        <v>1</v>
      </c>
      <c r="CI97" s="127">
        <v>1</v>
      </c>
      <c r="CJ97" s="127">
        <v>1</v>
      </c>
      <c r="CK97" s="127">
        <v>1</v>
      </c>
      <c r="CL97" s="127">
        <v>1</v>
      </c>
      <c r="CM97" s="127">
        <v>1</v>
      </c>
      <c r="CN97" s="127">
        <v>1</v>
      </c>
      <c r="CO97" s="127">
        <v>1</v>
      </c>
      <c r="CP97" s="127">
        <v>1</v>
      </c>
      <c r="CQ97" s="127">
        <v>1</v>
      </c>
      <c r="CR97" s="127">
        <v>1</v>
      </c>
      <c r="CS97" s="127">
        <v>1</v>
      </c>
      <c r="CT97" s="127">
        <v>1</v>
      </c>
      <c r="CU97" s="127">
        <v>1</v>
      </c>
      <c r="CV97" s="127">
        <v>1</v>
      </c>
      <c r="CW97" s="127">
        <v>1</v>
      </c>
      <c r="CX97" s="127">
        <v>1</v>
      </c>
      <c r="CY97" s="127">
        <v>1</v>
      </c>
      <c r="CZ97" s="127">
        <v>1</v>
      </c>
      <c r="DA97" s="127">
        <v>1</v>
      </c>
      <c r="DB97" s="127">
        <v>1</v>
      </c>
      <c r="DC97" s="127">
        <v>1</v>
      </c>
      <c r="DD97" s="127">
        <v>1</v>
      </c>
      <c r="DE97" s="127">
        <v>1</v>
      </c>
      <c r="DF97" s="127">
        <f>Planbase100[[#This Row],[12/05/25]]+(1-Planbase100[[#This Row],[12/05/25]])*'Plan 39'!BM57</f>
        <v>1</v>
      </c>
      <c r="DG97" s="127">
        <f>Planbase100[[#This Row],[12/05/25]]+(1-Planbase100[[#This Row],[12/05/25]])*'Plan 39'!BN57</f>
        <v>1</v>
      </c>
      <c r="DH97" s="127">
        <f>Planbase100[[#This Row],[12/05/25]]+(1-Planbase100[[#This Row],[12/05/25]])*'Plan 39'!BO57</f>
        <v>1</v>
      </c>
      <c r="DI97" s="127">
        <f>Planbase100[[#This Row],[12/05/25]]+(1-Planbase100[[#This Row],[12/05/25]])*'Plan 39'!BP57</f>
        <v>1</v>
      </c>
      <c r="DJ97" s="127">
        <f>Planbase100[[#This Row],[12/05/25]]+(1-Planbase100[[#This Row],[12/05/25]])*'Plan 39'!BQ57</f>
        <v>1</v>
      </c>
      <c r="DK97" s="127">
        <f>Planbase100[[#This Row],[12/05/25]]+(1-Planbase100[[#This Row],[12/05/25]])*'Plan 39'!BR57</f>
        <v>1</v>
      </c>
      <c r="DL97" s="127">
        <f>Planbase100[[#This Row],[12/05/25]]+(1-Planbase100[[#This Row],[12/05/25]])*'Plan 39'!BS57</f>
        <v>1</v>
      </c>
      <c r="DM97" s="127">
        <f>Planbase100[[#This Row],[12/05/25]]+(1-Planbase100[[#This Row],[12/05/25]])*'Plan 39'!BT57</f>
        <v>1</v>
      </c>
      <c r="DN97" s="127">
        <f>Planbase100[[#This Row],[12/05/25]]+(1-Planbase100[[#This Row],[12/05/25]])*'Plan 39'!BU57</f>
        <v>1</v>
      </c>
      <c r="DO97" s="127">
        <f>Planbase100[[#This Row],[12/05/25]]+(1-Planbase100[[#This Row],[12/05/25]])*'Plan 39'!BV57</f>
        <v>1</v>
      </c>
      <c r="DP97" s="127">
        <f>Planbase100[[#This Row],[12/05/25]]+(1-Planbase100[[#This Row],[12/05/25]])*'Plan 39'!BW57</f>
        <v>1</v>
      </c>
      <c r="DQ97" s="127">
        <f>Planbase100[[#This Row],[12/05/25]]+(1-Planbase100[[#This Row],[12/05/25]])*'Plan 39'!BX57</f>
        <v>1</v>
      </c>
      <c r="DR97" s="127">
        <f>Planbase100[[#This Row],[12/05/25]]+(1-Planbase100[[#This Row],[12/05/25]])*'Plan 39'!BY57</f>
        <v>1</v>
      </c>
      <c r="DS97" s="127">
        <f>Planbase100[[#This Row],[12/05/25]]+(1-Planbase100[[#This Row],[12/05/25]])*'Plan 39'!BZ57</f>
        <v>1</v>
      </c>
      <c r="DT97" s="127">
        <f>Planbase100[[#This Row],[12/05/25]]+(1-Planbase100[[#This Row],[12/05/25]])*'Plan 39'!CA57</f>
        <v>1</v>
      </c>
      <c r="DU97" s="127">
        <f>Planbase100[[#This Row],[12/05/25]]+(1-Planbase100[[#This Row],[12/05/25]])*'Plan 39'!CB57</f>
        <v>1</v>
      </c>
      <c r="DV97" s="127">
        <f>Planbase100[[#This Row],[12/05/25]]+(1-Planbase100[[#This Row],[12/05/25]])*'Plan 39'!CC57</f>
        <v>1</v>
      </c>
      <c r="DW97" s="127">
        <f>Planbase100[[#This Row],[12/05/25]]+(1-Planbase100[[#This Row],[12/05/25]])*'Plan 39'!CD57</f>
        <v>1</v>
      </c>
      <c r="DX97" s="127">
        <f>Planbase100[[#This Row],[12/05/25]]+(1-Planbase100[[#This Row],[12/05/25]])*'Plan 39'!CE57</f>
        <v>1</v>
      </c>
      <c r="DY97" s="127">
        <f>Planbase100[[#This Row],[12/05/25]]+(1-Planbase100[[#This Row],[12/05/25]])*'Plan 39'!CF57</f>
        <v>1</v>
      </c>
      <c r="DZ97" s="127">
        <f>Planbase100[[#This Row],[12/05/25]]+(1-Planbase100[[#This Row],[12/05/25]])*'Plan 39'!CG57</f>
        <v>1</v>
      </c>
      <c r="EA97" s="127">
        <f>Planbase100[[#This Row],[12/05/25]]+(1-Planbase100[[#This Row],[12/05/25]])*'Plan 39'!CH57</f>
        <v>1</v>
      </c>
      <c r="EB97" s="127">
        <f>Planbase100[[#This Row],[12/05/25]]+(1-Planbase100[[#This Row],[12/05/25]])*'Plan 39'!CI57</f>
        <v>1</v>
      </c>
      <c r="EC97" s="127">
        <f>Planbase100[[#This Row],[12/05/25]]+(1-Planbase100[[#This Row],[12/05/25]])*'Plan 39'!CJ57</f>
        <v>1</v>
      </c>
      <c r="ED97" s="127">
        <f>Planbase100[[#This Row],[12/05/25]]+(1-Planbase100[[#This Row],[12/05/25]])*'Plan 39'!CK57</f>
        <v>1</v>
      </c>
      <c r="EE97" s="127">
        <f>Planbase100[[#This Row],[12/05/25]]+(1-Planbase100[[#This Row],[12/05/25]])*'Plan 39'!CL57</f>
        <v>1</v>
      </c>
      <c r="EF97" s="127">
        <f>Planbase100[[#This Row],[12/05/25]]+(1-Planbase100[[#This Row],[12/05/25]])*'Plan 39'!CM57</f>
        <v>1</v>
      </c>
      <c r="EG97" s="127">
        <f>Planbase100[[#This Row],[12/05/25]]+(1-Planbase100[[#This Row],[12/05/25]])*'Plan 39'!CN57</f>
        <v>1</v>
      </c>
      <c r="EH97" s="127">
        <f>Planbase100[[#This Row],[12/05/25]]+(1-Planbase100[[#This Row],[12/05/25]])*'Plan 39'!CO57</f>
        <v>1</v>
      </c>
      <c r="EI97" s="127">
        <f>Planbase100[[#This Row],[12/05/25]]+(1-Planbase100[[#This Row],[12/05/25]])*'Plan 39'!CP57</f>
        <v>1</v>
      </c>
    </row>
    <row r="98" spans="2:139" ht="15" hidden="1" outlineLevel="2" collapsed="1" x14ac:dyDescent="0.3">
      <c r="B98" s="22"/>
      <c r="C98" s="23"/>
      <c r="D98" s="23" t="s">
        <v>102</v>
      </c>
      <c r="E98" s="50"/>
      <c r="F98" s="26">
        <f>+SUM(F99:F102)</f>
        <v>69</v>
      </c>
      <c r="G98" s="28">
        <v>2.9849192336063604E-2</v>
      </c>
      <c r="H98" s="51"/>
      <c r="I98" s="125">
        <f>+SUMPRODUCT($G$99:$G$102,I99:I102)</f>
        <v>0</v>
      </c>
      <c r="J98" s="28">
        <f>+SUMPRODUCT($G$99:$G$102,J99:J102)</f>
        <v>0</v>
      </c>
      <c r="K98" s="28">
        <f t="shared" ref="K98:BB98" si="282">+SUMPRODUCT($G$99:$G$102,K99:K102)</f>
        <v>0</v>
      </c>
      <c r="L98" s="28">
        <f t="shared" si="282"/>
        <v>0</v>
      </c>
      <c r="M98" s="64">
        <f t="shared" si="282"/>
        <v>0</v>
      </c>
      <c r="N98" s="64">
        <f t="shared" si="282"/>
        <v>0</v>
      </c>
      <c r="O98" s="28">
        <f t="shared" si="282"/>
        <v>0</v>
      </c>
      <c r="P98" s="28">
        <f t="shared" si="282"/>
        <v>0</v>
      </c>
      <c r="Q98" s="28">
        <f t="shared" si="282"/>
        <v>0</v>
      </c>
      <c r="R98" s="28">
        <f t="shared" si="282"/>
        <v>0</v>
      </c>
      <c r="S98" s="28">
        <f t="shared" si="282"/>
        <v>0</v>
      </c>
      <c r="T98" s="28">
        <f t="shared" si="282"/>
        <v>0</v>
      </c>
      <c r="U98" s="28">
        <f t="shared" si="282"/>
        <v>0</v>
      </c>
      <c r="V98" s="28">
        <f t="shared" si="282"/>
        <v>0</v>
      </c>
      <c r="W98" s="28">
        <f t="shared" si="282"/>
        <v>0</v>
      </c>
      <c r="X98" s="28">
        <f t="shared" si="282"/>
        <v>0</v>
      </c>
      <c r="Y98" s="28">
        <f t="shared" si="282"/>
        <v>0</v>
      </c>
      <c r="Z98" s="28">
        <f>+SUMPRODUCT($G$99:$G$102,Z99:Z102)</f>
        <v>4.3478260869565216E-2</v>
      </c>
      <c r="AA98" s="28">
        <f t="shared" si="282"/>
        <v>4.3478260869565216E-2</v>
      </c>
      <c r="AB98" s="28">
        <f t="shared" si="282"/>
        <v>4.3478260869565216E-2</v>
      </c>
      <c r="AC98" s="28">
        <f t="shared" si="282"/>
        <v>0.16901108269394716</v>
      </c>
      <c r="AD98" s="28">
        <f t="shared" si="282"/>
        <v>0.51159420289855073</v>
      </c>
      <c r="AE98" s="28">
        <f t="shared" si="282"/>
        <v>0.61594202898550732</v>
      </c>
      <c r="AF98" s="28">
        <f t="shared" si="282"/>
        <v>0.69710144927536233</v>
      </c>
      <c r="AG98" s="28">
        <f t="shared" si="282"/>
        <v>0.74347826086956526</v>
      </c>
      <c r="AH98" s="28">
        <f t="shared" si="282"/>
        <v>0.74347826086956526</v>
      </c>
      <c r="AI98" s="28">
        <f>+SUMPRODUCT($G$99:$G$102,AI99:AI102)</f>
        <v>0.74347826086956526</v>
      </c>
      <c r="AJ98" s="28">
        <f>+SUMPRODUCT($G$99:$G$102,AJ99:AJ102)</f>
        <v>0.74347826086956526</v>
      </c>
      <c r="AK98" s="28">
        <f t="shared" si="282"/>
        <v>0.74347826086956526</v>
      </c>
      <c r="AL98" s="28">
        <f t="shared" si="282"/>
        <v>0.76086956521739135</v>
      </c>
      <c r="AM98" s="28">
        <f t="shared" si="282"/>
        <v>0.76086956521739135</v>
      </c>
      <c r="AN98" s="28">
        <f t="shared" si="282"/>
        <v>0.76086956521739135</v>
      </c>
      <c r="AO98" s="28">
        <f t="shared" si="282"/>
        <v>0.76086956521739135</v>
      </c>
      <c r="AP98" s="28">
        <f t="shared" si="282"/>
        <v>0.78248721227621487</v>
      </c>
      <c r="AQ98" s="28">
        <f t="shared" si="282"/>
        <v>0.82596547314578006</v>
      </c>
      <c r="AR98" s="28">
        <f t="shared" si="282"/>
        <v>0.83474637681159425</v>
      </c>
      <c r="AS98" s="28">
        <f t="shared" si="282"/>
        <v>0.84339300937766415</v>
      </c>
      <c r="AT98" s="28">
        <f t="shared" si="282"/>
        <v>0.85217391304347834</v>
      </c>
      <c r="AU98" s="28">
        <f t="shared" si="282"/>
        <v>0.86078431372549025</v>
      </c>
      <c r="AV98" s="28">
        <f t="shared" si="282"/>
        <v>0.86952898550724644</v>
      </c>
      <c r="AW98" s="28">
        <f t="shared" si="282"/>
        <v>0.88035507246376821</v>
      </c>
      <c r="AX98" s="28">
        <f t="shared" si="282"/>
        <v>0.89133333333333342</v>
      </c>
      <c r="AY98" s="28">
        <f t="shared" si="282"/>
        <v>0.90215942028985507</v>
      </c>
      <c r="AZ98" s="28">
        <f t="shared" si="282"/>
        <v>0.91303623188405802</v>
      </c>
      <c r="BA98" s="28">
        <f t="shared" si="282"/>
        <v>0.92391304347826086</v>
      </c>
      <c r="BB98" s="28">
        <f t="shared" si="282"/>
        <v>0.93236714975845414</v>
      </c>
      <c r="BC98" s="28">
        <f t="shared" ref="BC98:CE98" si="283">+SUMPRODUCT($G$99:$G$102,BC99:BC102)</f>
        <v>0.94081280193236716</v>
      </c>
      <c r="BD98" s="28">
        <f t="shared" si="283"/>
        <v>0.94925845410628018</v>
      </c>
      <c r="BE98" s="28">
        <f t="shared" si="283"/>
        <v>0.95770410628019331</v>
      </c>
      <c r="BF98" s="28">
        <f t="shared" si="283"/>
        <v>0.96614975845410633</v>
      </c>
      <c r="BG98" s="28">
        <f t="shared" si="283"/>
        <v>0.97459541062801935</v>
      </c>
      <c r="BH98" s="28">
        <f t="shared" si="283"/>
        <v>0.98304106280193237</v>
      </c>
      <c r="BI98" s="28">
        <f t="shared" si="283"/>
        <v>0.9914867149758454</v>
      </c>
      <c r="BJ98" s="28">
        <f t="shared" si="283"/>
        <v>1</v>
      </c>
      <c r="BK98" s="28">
        <f t="shared" si="283"/>
        <v>1</v>
      </c>
      <c r="BL98" s="28">
        <f t="shared" si="283"/>
        <v>1</v>
      </c>
      <c r="BM98" s="28">
        <f t="shared" si="283"/>
        <v>1</v>
      </c>
      <c r="BN98" s="28">
        <f t="shared" si="283"/>
        <v>1</v>
      </c>
      <c r="BO98" s="28">
        <f t="shared" si="283"/>
        <v>1</v>
      </c>
      <c r="BP98" s="28">
        <f t="shared" si="283"/>
        <v>1</v>
      </c>
      <c r="BQ98" s="28">
        <f t="shared" si="283"/>
        <v>1</v>
      </c>
      <c r="BR98" s="28">
        <f t="shared" si="283"/>
        <v>1</v>
      </c>
      <c r="BS98" s="28">
        <f t="shared" si="283"/>
        <v>1</v>
      </c>
      <c r="BT98" s="28">
        <f t="shared" si="283"/>
        <v>1</v>
      </c>
      <c r="BU98" s="28">
        <f t="shared" si="283"/>
        <v>1</v>
      </c>
      <c r="BV98" s="28">
        <f t="shared" si="283"/>
        <v>1</v>
      </c>
      <c r="BW98" s="28">
        <f t="shared" si="283"/>
        <v>1</v>
      </c>
      <c r="BX98" s="28">
        <f t="shared" si="283"/>
        <v>1</v>
      </c>
      <c r="BY98" s="28">
        <f t="shared" si="283"/>
        <v>1</v>
      </c>
      <c r="BZ98" s="28">
        <f t="shared" si="283"/>
        <v>1</v>
      </c>
      <c r="CA98" s="28">
        <f t="shared" si="283"/>
        <v>1</v>
      </c>
      <c r="CB98" s="28">
        <f t="shared" si="283"/>
        <v>1</v>
      </c>
      <c r="CC98" s="28">
        <f t="shared" si="283"/>
        <v>1</v>
      </c>
      <c r="CD98" s="28">
        <f t="shared" si="283"/>
        <v>1</v>
      </c>
      <c r="CE98" s="28">
        <f t="shared" si="283"/>
        <v>1</v>
      </c>
      <c r="CF98" s="28">
        <f t="shared" ref="CF98:CI98" si="284">+SUMPRODUCT($G$99:$G$102,CF99:CF102)</f>
        <v>1</v>
      </c>
      <c r="CG98" s="28">
        <f t="shared" si="284"/>
        <v>1</v>
      </c>
      <c r="CH98" s="28">
        <f t="shared" si="284"/>
        <v>1</v>
      </c>
      <c r="CI98" s="28">
        <f t="shared" si="284"/>
        <v>1</v>
      </c>
      <c r="CJ98" s="28">
        <f t="shared" ref="CJ98:CK98" si="285">+SUMPRODUCT($G$99:$G$102,CJ99:CJ102)</f>
        <v>1</v>
      </c>
      <c r="CK98" s="28">
        <f t="shared" si="285"/>
        <v>1</v>
      </c>
      <c r="CL98" s="28">
        <f t="shared" ref="CL98" si="286">+SUMPRODUCT($G$99:$G$102,CL99:CL102)</f>
        <v>1</v>
      </c>
      <c r="CM98" s="28">
        <f t="shared" ref="CM98:CV98" si="287">+SUMPRODUCT($G$99:$G$102,CM99:CM102)</f>
        <v>1</v>
      </c>
      <c r="CN98" s="28">
        <f t="shared" si="287"/>
        <v>1</v>
      </c>
      <c r="CO98" s="28">
        <f t="shared" si="287"/>
        <v>1</v>
      </c>
      <c r="CP98" s="28">
        <f t="shared" si="287"/>
        <v>1</v>
      </c>
      <c r="CQ98" s="28">
        <f t="shared" si="287"/>
        <v>1</v>
      </c>
      <c r="CR98" s="28">
        <f t="shared" si="287"/>
        <v>1</v>
      </c>
      <c r="CS98" s="28">
        <f t="shared" si="287"/>
        <v>1</v>
      </c>
      <c r="CT98" s="28">
        <f t="shared" si="287"/>
        <v>1</v>
      </c>
      <c r="CU98" s="28">
        <f t="shared" si="287"/>
        <v>1</v>
      </c>
      <c r="CV98" s="28">
        <f t="shared" si="287"/>
        <v>1</v>
      </c>
      <c r="CW98" s="28">
        <f t="shared" ref="CW98" si="288">+SUMPRODUCT($G$99:$G$102,CW99:CW102)</f>
        <v>1</v>
      </c>
      <c r="CX98" s="28">
        <f t="shared" ref="CX98:CY98" si="289">+SUMPRODUCT($G$99:$G$102,CX99:CX102)</f>
        <v>1</v>
      </c>
      <c r="CY98" s="28">
        <f t="shared" si="289"/>
        <v>1</v>
      </c>
      <c r="CZ98" s="28">
        <f t="shared" ref="CZ98:DA98" si="290">+SUMPRODUCT($G$99:$G$102,CZ99:CZ102)</f>
        <v>1</v>
      </c>
      <c r="DA98" s="28">
        <f t="shared" si="290"/>
        <v>1</v>
      </c>
      <c r="DB98" s="28">
        <f t="shared" ref="DB98:DC98" si="291">+SUMPRODUCT($G$99:$G$102,DB99:DB102)</f>
        <v>1</v>
      </c>
      <c r="DC98" s="28">
        <f t="shared" si="291"/>
        <v>1</v>
      </c>
      <c r="DD98" s="28">
        <f t="shared" ref="DD98:DE98" si="292">+SUMPRODUCT($G$99:$G$102,DD99:DD102)</f>
        <v>1</v>
      </c>
      <c r="DE98" s="28">
        <f t="shared" si="292"/>
        <v>1</v>
      </c>
      <c r="DF98" s="28">
        <f t="shared" ref="DF98:DJ98" si="293">+SUMPRODUCT($G$99:$G$102,DF99:DF102)</f>
        <v>1</v>
      </c>
      <c r="DG98" s="28">
        <f t="shared" si="293"/>
        <v>1</v>
      </c>
      <c r="DH98" s="28">
        <f t="shared" si="293"/>
        <v>1</v>
      </c>
      <c r="DI98" s="28">
        <f t="shared" si="293"/>
        <v>1</v>
      </c>
      <c r="DJ98" s="28">
        <f t="shared" si="293"/>
        <v>1</v>
      </c>
      <c r="DK98" s="28">
        <f t="shared" ref="DK98:EI98" si="294">+SUMPRODUCT($G$99:$G$102,DK99:DK102)</f>
        <v>1</v>
      </c>
      <c r="DL98" s="28">
        <f t="shared" si="294"/>
        <v>1</v>
      </c>
      <c r="DM98" s="28">
        <f t="shared" si="294"/>
        <v>1</v>
      </c>
      <c r="DN98" s="28">
        <f t="shared" si="294"/>
        <v>1</v>
      </c>
      <c r="DO98" s="28">
        <f t="shared" si="294"/>
        <v>1</v>
      </c>
      <c r="DP98" s="28">
        <f t="shared" si="294"/>
        <v>1</v>
      </c>
      <c r="DQ98" s="28">
        <f t="shared" si="294"/>
        <v>1</v>
      </c>
      <c r="DR98" s="28">
        <f t="shared" si="294"/>
        <v>1</v>
      </c>
      <c r="DS98" s="28">
        <f t="shared" si="294"/>
        <v>1</v>
      </c>
      <c r="DT98" s="28">
        <f t="shared" si="294"/>
        <v>1</v>
      </c>
      <c r="DU98" s="28">
        <f t="shared" si="294"/>
        <v>1</v>
      </c>
      <c r="DV98" s="28">
        <f t="shared" si="294"/>
        <v>1</v>
      </c>
      <c r="DW98" s="28">
        <f t="shared" si="294"/>
        <v>1</v>
      </c>
      <c r="DX98" s="28">
        <f t="shared" si="294"/>
        <v>1</v>
      </c>
      <c r="DY98" s="28">
        <f t="shared" si="294"/>
        <v>1</v>
      </c>
      <c r="DZ98" s="28">
        <f t="shared" si="294"/>
        <v>1</v>
      </c>
      <c r="EA98" s="28">
        <f t="shared" si="294"/>
        <v>1</v>
      </c>
      <c r="EB98" s="28">
        <f t="shared" si="294"/>
        <v>1</v>
      </c>
      <c r="EC98" s="28">
        <f t="shared" si="294"/>
        <v>1</v>
      </c>
      <c r="ED98" s="28">
        <f t="shared" si="294"/>
        <v>1</v>
      </c>
      <c r="EE98" s="28">
        <f t="shared" si="294"/>
        <v>1</v>
      </c>
      <c r="EF98" s="28">
        <f t="shared" si="294"/>
        <v>1</v>
      </c>
      <c r="EG98" s="28">
        <f t="shared" si="294"/>
        <v>1</v>
      </c>
      <c r="EH98" s="28">
        <f t="shared" si="294"/>
        <v>1</v>
      </c>
      <c r="EI98" s="28">
        <f t="shared" si="294"/>
        <v>1</v>
      </c>
    </row>
    <row r="99" spans="2:139" ht="28.8" hidden="1" outlineLevel="3" x14ac:dyDescent="0.3">
      <c r="B99" s="29"/>
      <c r="C99" s="30"/>
      <c r="D99" s="30"/>
      <c r="E99" s="52" t="s">
        <v>103</v>
      </c>
      <c r="F99" s="33">
        <v>9</v>
      </c>
      <c r="G99" s="35">
        <v>0.13043478260869565</v>
      </c>
      <c r="H99" s="53"/>
      <c r="I99" s="126">
        <v>0</v>
      </c>
      <c r="J99" s="127">
        <v>0</v>
      </c>
      <c r="K99" s="127">
        <v>0</v>
      </c>
      <c r="L99" s="127">
        <v>0</v>
      </c>
      <c r="M99" s="128">
        <v>0</v>
      </c>
      <c r="N99" s="128">
        <v>0</v>
      </c>
      <c r="O99" s="127">
        <v>0</v>
      </c>
      <c r="P99" s="127">
        <v>0</v>
      </c>
      <c r="Q99" s="127">
        <v>0</v>
      </c>
      <c r="R99" s="127">
        <v>0</v>
      </c>
      <c r="S99" s="127">
        <v>0</v>
      </c>
      <c r="T99" s="127">
        <v>0</v>
      </c>
      <c r="U99" s="127">
        <v>0</v>
      </c>
      <c r="V99" s="127">
        <v>0</v>
      </c>
      <c r="W99" s="127">
        <v>0</v>
      </c>
      <c r="X99" s="127">
        <v>0</v>
      </c>
      <c r="Y99" s="127">
        <v>0</v>
      </c>
      <c r="Z99" s="127">
        <v>0</v>
      </c>
      <c r="AA99" s="127">
        <v>0</v>
      </c>
      <c r="AB99" s="127">
        <v>0</v>
      </c>
      <c r="AC99" s="127">
        <v>2.9411764705882353E-2</v>
      </c>
      <c r="AD99" s="127">
        <v>1</v>
      </c>
      <c r="AE99" s="127">
        <v>1</v>
      </c>
      <c r="AF99" s="127">
        <v>1</v>
      </c>
      <c r="AG99" s="127">
        <v>1</v>
      </c>
      <c r="AH99" s="127">
        <v>1</v>
      </c>
      <c r="AI99" s="127">
        <v>1</v>
      </c>
      <c r="AJ99" s="127">
        <v>1</v>
      </c>
      <c r="AK99" s="127">
        <v>1</v>
      </c>
      <c r="AL99" s="127">
        <v>1</v>
      </c>
      <c r="AM99" s="127">
        <v>1</v>
      </c>
      <c r="AN99" s="127">
        <v>1</v>
      </c>
      <c r="AO99" s="127">
        <v>1</v>
      </c>
      <c r="AP99" s="127">
        <v>1</v>
      </c>
      <c r="AQ99" s="127">
        <v>1</v>
      </c>
      <c r="AR99" s="127">
        <v>1</v>
      </c>
      <c r="AS99" s="127">
        <v>1</v>
      </c>
      <c r="AT99" s="127">
        <v>1</v>
      </c>
      <c r="AU99" s="127">
        <v>1</v>
      </c>
      <c r="AV99" s="127">
        <v>1</v>
      </c>
      <c r="AW99" s="127">
        <v>1</v>
      </c>
      <c r="AX99" s="127">
        <v>1</v>
      </c>
      <c r="AY99" s="127">
        <v>1</v>
      </c>
      <c r="AZ99" s="127">
        <v>1</v>
      </c>
      <c r="BA99" s="127">
        <v>1</v>
      </c>
      <c r="BB99" s="127">
        <v>1</v>
      </c>
      <c r="BC99" s="127">
        <v>1</v>
      </c>
      <c r="BD99" s="127">
        <v>1</v>
      </c>
      <c r="BE99" s="127">
        <v>1</v>
      </c>
      <c r="BF99" s="127">
        <v>1</v>
      </c>
      <c r="BG99" s="127">
        <v>1</v>
      </c>
      <c r="BH99" s="127">
        <v>1</v>
      </c>
      <c r="BI99" s="127">
        <v>1</v>
      </c>
      <c r="BJ99" s="127">
        <v>1</v>
      </c>
      <c r="BK99" s="127">
        <v>1</v>
      </c>
      <c r="BL99" s="127">
        <v>1</v>
      </c>
      <c r="BM99" s="127">
        <v>1</v>
      </c>
      <c r="BN99" s="127">
        <v>1</v>
      </c>
      <c r="BO99" s="127">
        <v>1</v>
      </c>
      <c r="BP99" s="127">
        <v>1</v>
      </c>
      <c r="BQ99" s="127">
        <v>1</v>
      </c>
      <c r="BR99" s="127">
        <v>1</v>
      </c>
      <c r="BS99" s="127">
        <v>1</v>
      </c>
      <c r="BT99" s="127">
        <v>1</v>
      </c>
      <c r="BU99" s="127">
        <v>1</v>
      </c>
      <c r="BV99" s="127">
        <v>1</v>
      </c>
      <c r="BW99" s="127">
        <v>1</v>
      </c>
      <c r="BX99" s="127">
        <v>1</v>
      </c>
      <c r="BY99" s="127">
        <v>1</v>
      </c>
      <c r="BZ99" s="127">
        <v>1</v>
      </c>
      <c r="CA99" s="127">
        <v>1</v>
      </c>
      <c r="CB99" s="127">
        <v>1</v>
      </c>
      <c r="CC99" s="127">
        <v>1</v>
      </c>
      <c r="CD99" s="127">
        <v>1</v>
      </c>
      <c r="CE99" s="127">
        <v>1</v>
      </c>
      <c r="CF99" s="127">
        <v>1</v>
      </c>
      <c r="CG99" s="127">
        <v>1</v>
      </c>
      <c r="CH99" s="127">
        <v>1</v>
      </c>
      <c r="CI99" s="127">
        <v>1</v>
      </c>
      <c r="CJ99" s="127">
        <v>1</v>
      </c>
      <c r="CK99" s="127">
        <v>1</v>
      </c>
      <c r="CL99" s="127">
        <v>1</v>
      </c>
      <c r="CM99" s="127">
        <v>1</v>
      </c>
      <c r="CN99" s="127">
        <v>1</v>
      </c>
      <c r="CO99" s="127">
        <v>1</v>
      </c>
      <c r="CP99" s="127">
        <v>1</v>
      </c>
      <c r="CQ99" s="127">
        <v>1</v>
      </c>
      <c r="CR99" s="127">
        <v>1</v>
      </c>
      <c r="CS99" s="127">
        <v>1</v>
      </c>
      <c r="CT99" s="127">
        <v>1</v>
      </c>
      <c r="CU99" s="127">
        <v>1</v>
      </c>
      <c r="CV99" s="127">
        <v>1</v>
      </c>
      <c r="CW99" s="127">
        <v>1</v>
      </c>
      <c r="CX99" s="127">
        <v>1</v>
      </c>
      <c r="CY99" s="127">
        <v>1</v>
      </c>
      <c r="CZ99" s="127">
        <v>1</v>
      </c>
      <c r="DA99" s="127">
        <v>1</v>
      </c>
      <c r="DB99" s="127">
        <v>1</v>
      </c>
      <c r="DC99" s="127">
        <v>1</v>
      </c>
      <c r="DD99" s="127">
        <v>1</v>
      </c>
      <c r="DE99" s="127">
        <v>1</v>
      </c>
      <c r="DF99" s="127">
        <v>1</v>
      </c>
      <c r="DG99" s="127">
        <v>1</v>
      </c>
      <c r="DH99" s="127">
        <v>1</v>
      </c>
      <c r="DI99" s="127">
        <v>1</v>
      </c>
      <c r="DJ99" s="127">
        <v>1</v>
      </c>
      <c r="DK99" s="127">
        <v>1</v>
      </c>
      <c r="DL99" s="127">
        <v>1</v>
      </c>
      <c r="DM99" s="127">
        <v>1</v>
      </c>
      <c r="DN99" s="127">
        <v>1</v>
      </c>
      <c r="DO99" s="127">
        <v>1</v>
      </c>
      <c r="DP99" s="127">
        <v>1</v>
      </c>
      <c r="DQ99" s="127">
        <v>1</v>
      </c>
      <c r="DR99" s="127">
        <v>1</v>
      </c>
      <c r="DS99" s="127">
        <v>1</v>
      </c>
      <c r="DT99" s="127">
        <v>1</v>
      </c>
      <c r="DU99" s="127">
        <v>1</v>
      </c>
      <c r="DV99" s="127">
        <v>1</v>
      </c>
      <c r="DW99" s="127">
        <v>1</v>
      </c>
      <c r="DX99" s="127">
        <v>1</v>
      </c>
      <c r="DY99" s="127">
        <v>1</v>
      </c>
      <c r="DZ99" s="127">
        <v>1</v>
      </c>
      <c r="EA99" s="127">
        <v>1</v>
      </c>
      <c r="EB99" s="127">
        <v>1</v>
      </c>
      <c r="EC99" s="127">
        <v>1</v>
      </c>
      <c r="ED99" s="127">
        <v>1</v>
      </c>
      <c r="EE99" s="127">
        <v>1</v>
      </c>
      <c r="EF99" s="127">
        <v>1</v>
      </c>
      <c r="EG99" s="127">
        <v>1</v>
      </c>
      <c r="EH99" s="127">
        <v>1</v>
      </c>
      <c r="EI99" s="127">
        <v>1</v>
      </c>
    </row>
    <row r="100" spans="2:139" ht="28.8" hidden="1" outlineLevel="3" x14ac:dyDescent="0.3">
      <c r="B100" s="29"/>
      <c r="C100" s="30"/>
      <c r="D100" s="30"/>
      <c r="E100" s="52" t="s">
        <v>104</v>
      </c>
      <c r="F100" s="33">
        <v>40</v>
      </c>
      <c r="G100" s="35">
        <v>0.57971014492753625</v>
      </c>
      <c r="H100" s="53"/>
      <c r="I100" s="126">
        <v>0</v>
      </c>
      <c r="J100" s="127">
        <v>0</v>
      </c>
      <c r="K100" s="127">
        <v>0</v>
      </c>
      <c r="L100" s="127">
        <v>0</v>
      </c>
      <c r="M100" s="128">
        <v>0</v>
      </c>
      <c r="N100" s="128">
        <v>0</v>
      </c>
      <c r="O100" s="127">
        <v>0</v>
      </c>
      <c r="P100" s="127">
        <v>0</v>
      </c>
      <c r="Q100" s="127">
        <v>0</v>
      </c>
      <c r="R100" s="127">
        <v>0</v>
      </c>
      <c r="S100" s="127">
        <v>0</v>
      </c>
      <c r="T100" s="127">
        <v>0</v>
      </c>
      <c r="U100" s="127">
        <v>0</v>
      </c>
      <c r="V100" s="127">
        <v>0</v>
      </c>
      <c r="W100" s="127">
        <v>0</v>
      </c>
      <c r="X100" s="127">
        <v>0</v>
      </c>
      <c r="Y100" s="127">
        <v>0</v>
      </c>
      <c r="Z100" s="127">
        <v>0</v>
      </c>
      <c r="AA100" s="127">
        <v>0</v>
      </c>
      <c r="AB100" s="127">
        <v>0</v>
      </c>
      <c r="AC100" s="127">
        <v>0.2</v>
      </c>
      <c r="AD100" s="127">
        <v>0.56999999999999995</v>
      </c>
      <c r="AE100" s="127">
        <v>0.75</v>
      </c>
      <c r="AF100" s="127">
        <v>0.89</v>
      </c>
      <c r="AG100" s="127">
        <v>0.97</v>
      </c>
      <c r="AH100" s="127">
        <v>0.97</v>
      </c>
      <c r="AI100" s="127">
        <v>0.97</v>
      </c>
      <c r="AJ100" s="127">
        <v>0.97</v>
      </c>
      <c r="AK100" s="127">
        <v>0.97</v>
      </c>
      <c r="AL100" s="127">
        <v>1</v>
      </c>
      <c r="AM100" s="127">
        <v>1</v>
      </c>
      <c r="AN100" s="127">
        <v>1</v>
      </c>
      <c r="AO100" s="127">
        <v>1</v>
      </c>
      <c r="AP100" s="127">
        <v>1</v>
      </c>
      <c r="AQ100" s="127">
        <v>1</v>
      </c>
      <c r="AR100" s="127">
        <v>1</v>
      </c>
      <c r="AS100" s="127">
        <v>1</v>
      </c>
      <c r="AT100" s="127">
        <v>1</v>
      </c>
      <c r="AU100" s="127">
        <v>1</v>
      </c>
      <c r="AV100" s="127">
        <v>1</v>
      </c>
      <c r="AW100" s="127">
        <v>1</v>
      </c>
      <c r="AX100" s="127">
        <v>1</v>
      </c>
      <c r="AY100" s="127">
        <v>1</v>
      </c>
      <c r="AZ100" s="127">
        <v>1</v>
      </c>
      <c r="BA100" s="127">
        <v>1</v>
      </c>
      <c r="BB100" s="127">
        <v>1</v>
      </c>
      <c r="BC100" s="127">
        <v>1</v>
      </c>
      <c r="BD100" s="127">
        <v>1</v>
      </c>
      <c r="BE100" s="127">
        <v>1</v>
      </c>
      <c r="BF100" s="127">
        <v>1</v>
      </c>
      <c r="BG100" s="127">
        <v>1</v>
      </c>
      <c r="BH100" s="127">
        <v>1</v>
      </c>
      <c r="BI100" s="127">
        <v>1</v>
      </c>
      <c r="BJ100" s="127">
        <v>1</v>
      </c>
      <c r="BK100" s="127">
        <v>1</v>
      </c>
      <c r="BL100" s="127">
        <v>1</v>
      </c>
      <c r="BM100" s="127">
        <v>1</v>
      </c>
      <c r="BN100" s="127">
        <v>1</v>
      </c>
      <c r="BO100" s="127">
        <v>1</v>
      </c>
      <c r="BP100" s="127">
        <v>1</v>
      </c>
      <c r="BQ100" s="127">
        <v>1</v>
      </c>
      <c r="BR100" s="127">
        <v>1</v>
      </c>
      <c r="BS100" s="127">
        <v>1</v>
      </c>
      <c r="BT100" s="127">
        <v>1</v>
      </c>
      <c r="BU100" s="127">
        <v>1</v>
      </c>
      <c r="BV100" s="127">
        <v>1</v>
      </c>
      <c r="BW100" s="127">
        <v>1</v>
      </c>
      <c r="BX100" s="127">
        <v>1</v>
      </c>
      <c r="BY100" s="127">
        <v>1</v>
      </c>
      <c r="BZ100" s="127">
        <v>1</v>
      </c>
      <c r="CA100" s="127">
        <v>1</v>
      </c>
      <c r="CB100" s="127">
        <v>1</v>
      </c>
      <c r="CC100" s="127">
        <v>1</v>
      </c>
      <c r="CD100" s="127">
        <v>1</v>
      </c>
      <c r="CE100" s="127">
        <v>1</v>
      </c>
      <c r="CF100" s="127">
        <v>1</v>
      </c>
      <c r="CG100" s="127">
        <v>1</v>
      </c>
      <c r="CH100" s="127">
        <v>1</v>
      </c>
      <c r="CI100" s="127">
        <v>1</v>
      </c>
      <c r="CJ100" s="127">
        <v>1</v>
      </c>
      <c r="CK100" s="127">
        <v>1</v>
      </c>
      <c r="CL100" s="127">
        <v>1</v>
      </c>
      <c r="CM100" s="127">
        <v>1</v>
      </c>
      <c r="CN100" s="127">
        <v>1</v>
      </c>
      <c r="CO100" s="127">
        <v>1</v>
      </c>
      <c r="CP100" s="127">
        <v>1</v>
      </c>
      <c r="CQ100" s="127">
        <v>1</v>
      </c>
      <c r="CR100" s="127">
        <v>1</v>
      </c>
      <c r="CS100" s="127">
        <v>1</v>
      </c>
      <c r="CT100" s="127">
        <v>1</v>
      </c>
      <c r="CU100" s="127">
        <v>1</v>
      </c>
      <c r="CV100" s="127">
        <v>1</v>
      </c>
      <c r="CW100" s="127">
        <v>1</v>
      </c>
      <c r="CX100" s="127">
        <v>1</v>
      </c>
      <c r="CY100" s="127">
        <v>1</v>
      </c>
      <c r="CZ100" s="127">
        <v>1</v>
      </c>
      <c r="DA100" s="127">
        <v>1</v>
      </c>
      <c r="DB100" s="127">
        <v>1</v>
      </c>
      <c r="DC100" s="127">
        <v>1</v>
      </c>
      <c r="DD100" s="127">
        <v>1</v>
      </c>
      <c r="DE100" s="127">
        <v>1</v>
      </c>
      <c r="DF100" s="127">
        <v>1</v>
      </c>
      <c r="DG100" s="127">
        <v>1</v>
      </c>
      <c r="DH100" s="127">
        <v>1</v>
      </c>
      <c r="DI100" s="127">
        <v>1</v>
      </c>
      <c r="DJ100" s="127">
        <v>1</v>
      </c>
      <c r="DK100" s="127">
        <v>1</v>
      </c>
      <c r="DL100" s="127">
        <v>1</v>
      </c>
      <c r="DM100" s="127">
        <v>1</v>
      </c>
      <c r="DN100" s="127">
        <v>1</v>
      </c>
      <c r="DO100" s="127">
        <v>1</v>
      </c>
      <c r="DP100" s="127">
        <v>1</v>
      </c>
      <c r="DQ100" s="127">
        <v>1</v>
      </c>
      <c r="DR100" s="127">
        <v>1</v>
      </c>
      <c r="DS100" s="127">
        <v>1</v>
      </c>
      <c r="DT100" s="127">
        <v>1</v>
      </c>
      <c r="DU100" s="127">
        <v>1</v>
      </c>
      <c r="DV100" s="127">
        <v>1</v>
      </c>
      <c r="DW100" s="127">
        <v>1</v>
      </c>
      <c r="DX100" s="127">
        <v>1</v>
      </c>
      <c r="DY100" s="127">
        <v>1</v>
      </c>
      <c r="DZ100" s="127">
        <v>1</v>
      </c>
      <c r="EA100" s="127">
        <v>1</v>
      </c>
      <c r="EB100" s="127">
        <v>1</v>
      </c>
      <c r="EC100" s="127">
        <v>1</v>
      </c>
      <c r="ED100" s="127">
        <v>1</v>
      </c>
      <c r="EE100" s="127">
        <v>1</v>
      </c>
      <c r="EF100" s="127">
        <v>1</v>
      </c>
      <c r="EG100" s="127">
        <v>1</v>
      </c>
      <c r="EH100" s="127">
        <v>1</v>
      </c>
      <c r="EI100" s="127">
        <v>1</v>
      </c>
    </row>
    <row r="101" spans="2:139" ht="28.8" hidden="1" outlineLevel="3" x14ac:dyDescent="0.3">
      <c r="B101" s="29"/>
      <c r="C101" s="30"/>
      <c r="D101" s="30"/>
      <c r="E101" s="52" t="s">
        <v>105</v>
      </c>
      <c r="F101" s="33">
        <v>5</v>
      </c>
      <c r="G101" s="35">
        <v>7.2463768115942032E-2</v>
      </c>
      <c r="H101" s="53"/>
      <c r="I101" s="126">
        <v>0</v>
      </c>
      <c r="J101" s="127">
        <v>0</v>
      </c>
      <c r="K101" s="127">
        <v>0</v>
      </c>
      <c r="L101" s="127">
        <v>0</v>
      </c>
      <c r="M101" s="128">
        <v>0</v>
      </c>
      <c r="N101" s="128">
        <v>0</v>
      </c>
      <c r="O101" s="127">
        <v>0</v>
      </c>
      <c r="P101" s="127">
        <v>0</v>
      </c>
      <c r="Q101" s="127">
        <v>0</v>
      </c>
      <c r="R101" s="127">
        <v>0</v>
      </c>
      <c r="S101" s="127">
        <v>0</v>
      </c>
      <c r="T101" s="127">
        <v>0</v>
      </c>
      <c r="U101" s="127">
        <v>0</v>
      </c>
      <c r="V101" s="127">
        <v>0</v>
      </c>
      <c r="W101" s="127">
        <v>0</v>
      </c>
      <c r="X101" s="127">
        <v>0</v>
      </c>
      <c r="Y101" s="127">
        <v>0</v>
      </c>
      <c r="Z101" s="127">
        <v>0.3</v>
      </c>
      <c r="AA101" s="127">
        <v>0.3</v>
      </c>
      <c r="AB101" s="127">
        <v>0.3</v>
      </c>
      <c r="AC101" s="127">
        <v>0.32058823529411762</v>
      </c>
      <c r="AD101" s="127">
        <v>0.3411764705882353</v>
      </c>
      <c r="AE101" s="127">
        <v>0.3411764705882353</v>
      </c>
      <c r="AF101" s="127">
        <v>0.3411764705882353</v>
      </c>
      <c r="AG101" s="127">
        <v>0.3411764705882353</v>
      </c>
      <c r="AH101" s="127">
        <v>0.3411764705882353</v>
      </c>
      <c r="AI101" s="127">
        <v>0.3411764705882353</v>
      </c>
      <c r="AJ101" s="127">
        <v>0.3411764705882353</v>
      </c>
      <c r="AK101" s="127">
        <v>0.3411764705882353</v>
      </c>
      <c r="AL101" s="127">
        <v>0.3411764705882353</v>
      </c>
      <c r="AM101" s="127">
        <v>0.3411764705882353</v>
      </c>
      <c r="AN101" s="127">
        <v>0.3411764705882353</v>
      </c>
      <c r="AO101" s="127">
        <v>0.3411764705882353</v>
      </c>
      <c r="AP101" s="127">
        <v>0.63949999999999996</v>
      </c>
      <c r="AQ101" s="127">
        <v>0.63949999999999996</v>
      </c>
      <c r="AR101" s="127">
        <v>0.63949999999999996</v>
      </c>
      <c r="AS101" s="127">
        <v>0.64</v>
      </c>
      <c r="AT101" s="127">
        <v>0.64</v>
      </c>
      <c r="AU101" s="127">
        <v>0.64</v>
      </c>
      <c r="AV101" s="127">
        <v>0.63949999999999996</v>
      </c>
      <c r="AW101" s="127">
        <v>0.67007647058823538</v>
      </c>
      <c r="AX101" s="127">
        <v>0.70039999999999991</v>
      </c>
      <c r="AY101" s="127">
        <v>0.7298</v>
      </c>
      <c r="AZ101" s="127">
        <v>0.75990000000000002</v>
      </c>
      <c r="BA101" s="127">
        <v>0.78999999999999992</v>
      </c>
      <c r="BB101" s="127">
        <f>Planbase100[[#This Row],[05/05/25]]+(1-Planbase100[[#This Row],[05/05/25]])*'Plan 39'!I55</f>
        <v>0.81333333333333324</v>
      </c>
      <c r="BC101" s="127">
        <f>Planbase100[[#This Row],[05/05/25]]+(1-Planbase100[[#This Row],[05/05/25]])*'Plan 39'!J55</f>
        <v>0.83664333333333329</v>
      </c>
      <c r="BD101" s="127">
        <f>Planbase100[[#This Row],[05/05/25]]+(1-Planbase100[[#This Row],[05/05/25]])*'Plan 39'!K55</f>
        <v>0.85995333333333324</v>
      </c>
      <c r="BE101" s="127">
        <f>Planbase100[[#This Row],[05/05/25]]+(1-Planbase100[[#This Row],[05/05/25]])*'Plan 39'!L55</f>
        <v>0.88326333333333329</v>
      </c>
      <c r="BF101" s="127">
        <f>Planbase100[[#This Row],[05/05/25]]+(1-Planbase100[[#This Row],[05/05/25]])*'Plan 39'!M55</f>
        <v>0.90657333333333334</v>
      </c>
      <c r="BG101" s="127">
        <f>Planbase100[[#This Row],[05/05/25]]+(1-Planbase100[[#This Row],[05/05/25]])*'Plan 39'!N55</f>
        <v>0.92988333333333328</v>
      </c>
      <c r="BH101" s="127">
        <f>Planbase100[[#This Row],[05/05/25]]+(1-Planbase100[[#This Row],[05/05/25]])*'Plan 39'!O55</f>
        <v>0.95319333333333334</v>
      </c>
      <c r="BI101" s="127">
        <f>Planbase100[[#This Row],[05/05/25]]+(1-Planbase100[[#This Row],[05/05/25]])*'Plan 39'!P55</f>
        <v>0.97650333333333328</v>
      </c>
      <c r="BJ101" s="127">
        <f>Planbase100[[#This Row],[05/05/25]]+(1-Planbase100[[#This Row],[05/05/25]])*'Plan 39'!Q55</f>
        <v>1</v>
      </c>
      <c r="BK101" s="127">
        <f>Planbase100[[#This Row],[05/05/25]]+(1-Planbase100[[#This Row],[05/05/25]])*'Plan 39'!R55</f>
        <v>1</v>
      </c>
      <c r="BL101" s="127">
        <f>Planbase100[[#This Row],[05/05/25]]+(1-Planbase100[[#This Row],[05/05/25]])*'Plan 39'!S55</f>
        <v>1</v>
      </c>
      <c r="BM101" s="127">
        <f>Planbase100[[#This Row],[05/05/25]]+(1-Planbase100[[#This Row],[05/05/25]])*'Plan 39'!T55</f>
        <v>1</v>
      </c>
      <c r="BN101" s="127">
        <f>Planbase100[[#This Row],[05/05/25]]+(1-Planbase100[[#This Row],[05/05/25]])*'Plan 39'!U55</f>
        <v>1</v>
      </c>
      <c r="BO101" s="127">
        <f>Planbase100[[#This Row],[05/05/25]]+(1-Planbase100[[#This Row],[05/05/25]])*'Plan 39'!V55</f>
        <v>1</v>
      </c>
      <c r="BP101" s="127">
        <f>Planbase100[[#This Row],[05/05/25]]+(1-Planbase100[[#This Row],[05/05/25]])*'Plan 39'!W55</f>
        <v>1</v>
      </c>
      <c r="BQ101" s="127">
        <f>Planbase100[[#This Row],[05/05/25]]+(1-Planbase100[[#This Row],[05/05/25]])*'Plan 39'!X55</f>
        <v>1</v>
      </c>
      <c r="BR101" s="127">
        <f>Planbase100[[#This Row],[05/05/25]]+(1-Planbase100[[#This Row],[05/05/25]])*'Plan 39'!Y55</f>
        <v>1</v>
      </c>
      <c r="BS101" s="127">
        <f>Planbase100[[#This Row],[05/05/25]]+(1-Planbase100[[#This Row],[05/05/25]])*'Plan 39'!Z55</f>
        <v>1</v>
      </c>
      <c r="BT101" s="127">
        <f>Planbase100[[#This Row],[05/05/25]]+(1-Planbase100[[#This Row],[05/05/25]])*'Plan 39'!AA55</f>
        <v>1</v>
      </c>
      <c r="BU101" s="127">
        <f>Planbase100[[#This Row],[05/05/25]]+(1-Planbase100[[#This Row],[05/05/25]])*'Plan 39'!AB55</f>
        <v>1</v>
      </c>
      <c r="BV101" s="127">
        <f>Planbase100[[#This Row],[05/05/25]]+(1-Planbase100[[#This Row],[05/05/25]])*'Plan 39'!AC55</f>
        <v>1</v>
      </c>
      <c r="BW101" s="127">
        <f>Planbase100[[#This Row],[05/05/25]]+(1-Planbase100[[#This Row],[05/05/25]])*'Plan 39'!AD55</f>
        <v>1</v>
      </c>
      <c r="BX101" s="127">
        <f>Planbase100[[#This Row],[05/05/25]]+(1-Planbase100[[#This Row],[05/05/25]])*'Plan 39'!AE55</f>
        <v>1</v>
      </c>
      <c r="BY101" s="127">
        <f>Planbase100[[#This Row],[05/05/25]]+(1-Planbase100[[#This Row],[05/05/25]])*'Plan 39'!AF55</f>
        <v>1</v>
      </c>
      <c r="BZ101" s="127">
        <f>Planbase100[[#This Row],[05/05/25]]+(1-Planbase100[[#This Row],[05/05/25]])*'Plan 39'!AG55</f>
        <v>1</v>
      </c>
      <c r="CA101" s="127">
        <f>Planbase100[[#This Row],[05/05/25]]+(1-Planbase100[[#This Row],[05/05/25]])*'Plan 39'!AH55</f>
        <v>1</v>
      </c>
      <c r="CB101" s="127">
        <f>Planbase100[[#This Row],[05/05/25]]+(1-Planbase100[[#This Row],[05/05/25]])*'Plan 39'!AI55</f>
        <v>1</v>
      </c>
      <c r="CC101" s="127">
        <f>Planbase100[[#This Row],[05/05/25]]+(1-Planbase100[[#This Row],[05/05/25]])*'Plan 39'!AJ55</f>
        <v>1</v>
      </c>
      <c r="CD101" s="127">
        <f>Planbase100[[#This Row],[05/05/25]]+(1-Planbase100[[#This Row],[05/05/25]])*'Plan 39'!AK55</f>
        <v>1</v>
      </c>
      <c r="CE101" s="127">
        <f>Planbase100[[#This Row],[05/05/25]]+(1-Planbase100[[#This Row],[05/05/25]])*'Plan 39'!AL55</f>
        <v>1</v>
      </c>
      <c r="CF101" s="127">
        <f>Planbase100[[#This Row],[05/05/25]]+(1-Planbase100[[#This Row],[05/05/25]])*'Plan 39'!AM55</f>
        <v>1</v>
      </c>
      <c r="CG101" s="127">
        <f>Planbase100[[#This Row],[05/05/25]]+(1-Planbase100[[#This Row],[05/05/25]])*'Plan 39'!AN55</f>
        <v>1</v>
      </c>
      <c r="CH101" s="127">
        <f>Planbase100[[#This Row],[05/05/25]]+(1-Planbase100[[#This Row],[05/05/25]])*'Plan 39'!AO55</f>
        <v>1</v>
      </c>
      <c r="CI101" s="127">
        <f>Planbase100[[#This Row],[05/05/25]]+(1-Planbase100[[#This Row],[05/05/25]])*'Plan 39'!AP55</f>
        <v>1</v>
      </c>
      <c r="CJ101" s="127">
        <f>Planbase100[[#This Row],[05/05/25]]+(1-Planbase100[[#This Row],[05/05/25]])*'Plan 39'!AQ55</f>
        <v>1</v>
      </c>
      <c r="CK101" s="127">
        <f>Planbase100[[#This Row],[05/05/25]]+(1-Planbase100[[#This Row],[05/05/25]])*'Plan 39'!AR55</f>
        <v>1</v>
      </c>
      <c r="CL101" s="127">
        <f>Planbase100[[#This Row],[05/05/25]]+(1-Planbase100[[#This Row],[05/05/25]])*'Plan 39'!AS55</f>
        <v>1</v>
      </c>
      <c r="CM101" s="127">
        <f>Planbase100[[#This Row],[05/05/25]]+(1-Planbase100[[#This Row],[05/05/25]])*'Plan 39'!AT55</f>
        <v>1</v>
      </c>
      <c r="CN101" s="127">
        <f>Planbase100[[#This Row],[05/05/25]]+(1-Planbase100[[#This Row],[05/05/25]])*'Plan 39'!AU55</f>
        <v>1</v>
      </c>
      <c r="CO101" s="127">
        <f>Planbase100[[#This Row],[05/05/25]]+(1-Planbase100[[#This Row],[05/05/25]])*'Plan 39'!AV55</f>
        <v>1</v>
      </c>
      <c r="CP101" s="127">
        <f>Planbase100[[#This Row],[05/05/25]]+(1-Planbase100[[#This Row],[05/05/25]])*'Plan 39'!AW55</f>
        <v>1</v>
      </c>
      <c r="CQ101" s="127">
        <f>Planbase100[[#This Row],[05/05/25]]+(1-Planbase100[[#This Row],[05/05/25]])*'Plan 39'!AX55</f>
        <v>1</v>
      </c>
      <c r="CR101" s="127">
        <f>Planbase100[[#This Row],[05/05/25]]+(1-Planbase100[[#This Row],[05/05/25]])*'Plan 39'!AY55</f>
        <v>1</v>
      </c>
      <c r="CS101" s="127">
        <f>Planbase100[[#This Row],[05/05/25]]+(1-Planbase100[[#This Row],[05/05/25]])*'Plan 39'!AZ55</f>
        <v>1</v>
      </c>
      <c r="CT101" s="127">
        <f>Planbase100[[#This Row],[05/05/25]]+(1-Planbase100[[#This Row],[05/05/25]])*'Plan 39'!BA55</f>
        <v>1</v>
      </c>
      <c r="CU101" s="127">
        <f>Planbase100[[#This Row],[05/05/25]]+(1-Planbase100[[#This Row],[05/05/25]])*'Plan 39'!BB55</f>
        <v>1</v>
      </c>
      <c r="CV101" s="127">
        <f>Planbase100[[#This Row],[05/05/25]]+(1-Planbase100[[#This Row],[05/05/25]])*'Plan 39'!BC55</f>
        <v>1</v>
      </c>
      <c r="CW101" s="127">
        <f>Planbase100[[#This Row],[05/05/25]]+(1-Planbase100[[#This Row],[05/05/25]])*'Plan 39'!BD55</f>
        <v>1</v>
      </c>
      <c r="CX101" s="127">
        <f>Planbase100[[#This Row],[05/05/25]]+(1-Planbase100[[#This Row],[05/05/25]])*'Plan 39'!BE55</f>
        <v>1</v>
      </c>
      <c r="CY101" s="127">
        <f>Planbase100[[#This Row],[05/05/25]]+(1-Planbase100[[#This Row],[05/05/25]])*'Plan 39'!BF55</f>
        <v>1</v>
      </c>
      <c r="CZ101" s="127">
        <f>Planbase100[[#This Row],[05/05/25]]+(1-Planbase100[[#This Row],[05/05/25]])*'Plan 39'!BG55</f>
        <v>1</v>
      </c>
      <c r="DA101" s="127">
        <f>Planbase100[[#This Row],[05/05/25]]+(1-Planbase100[[#This Row],[05/05/25]])*'Plan 39'!BH55</f>
        <v>1</v>
      </c>
      <c r="DB101" s="127">
        <f>Planbase100[[#This Row],[05/05/25]]+(1-Planbase100[[#This Row],[05/05/25]])*'Plan 39'!BI55</f>
        <v>1</v>
      </c>
      <c r="DC101" s="127">
        <f>Planbase100[[#This Row],[05/05/25]]+(1-Planbase100[[#This Row],[05/05/25]])*'Plan 39'!BJ55</f>
        <v>1</v>
      </c>
      <c r="DD101" s="127">
        <f>Planbase100[[#This Row],[05/05/25]]+(1-Planbase100[[#This Row],[05/05/25]])*'Plan 39'!BK55</f>
        <v>1</v>
      </c>
      <c r="DE101" s="127">
        <f>Planbase100[[#This Row],[05/05/25]]+(1-Planbase100[[#This Row],[05/05/25]])*'Plan 39'!BL55</f>
        <v>1</v>
      </c>
      <c r="DF101" s="127">
        <f>Planbase100[[#This Row],[12/05/25]]+(1-Planbase100[[#This Row],[12/05/25]])*'Plan 39'!BM55</f>
        <v>1</v>
      </c>
      <c r="DG101" s="127">
        <f>Planbase100[[#This Row],[19/05/25]]+(1-Planbase100[[#This Row],[19/05/25]])*'Plan 39'!BN55</f>
        <v>1</v>
      </c>
      <c r="DH101" s="127">
        <f>Planbase100[[#This Row],[26/05/25]]+(1-Planbase100[[#This Row],[26/05/25]])*'Plan 39'!BO55</f>
        <v>1</v>
      </c>
      <c r="DI101" s="127">
        <f>Planbase100[[#This Row],[02/06/25]]+(1-Planbase100[[#This Row],[02/06/25]])*'Plan 39'!BP55</f>
        <v>1</v>
      </c>
      <c r="DJ101" s="127">
        <f>Planbase100[[#This Row],[09/06/25]]+(1-Planbase100[[#This Row],[09/06/25]])*'Plan 39'!BQ55</f>
        <v>1</v>
      </c>
      <c r="DK101" s="127">
        <f>Planbase100[[#This Row],[16/06/25]]+(1-Planbase100[[#This Row],[16/06/25]])*'Plan 39'!BR55</f>
        <v>1</v>
      </c>
      <c r="DL101" s="127">
        <f>Planbase100[[#This Row],[23/06/25]]+(1-Planbase100[[#This Row],[23/06/25]])*'Plan 39'!BS55</f>
        <v>1</v>
      </c>
      <c r="DM101" s="127">
        <f>Planbase100[[#This Row],[30/06/25]]+(1-Planbase100[[#This Row],[30/06/25]])*'Plan 39'!BT55</f>
        <v>1</v>
      </c>
      <c r="DN101" s="127">
        <f>Planbase100[[#This Row],[07/07/25]]+(1-Planbase100[[#This Row],[07/07/25]])*'Plan 39'!BU55</f>
        <v>1</v>
      </c>
      <c r="DO101" s="127">
        <f>Planbase100[[#This Row],[14/07/25]]+(1-Planbase100[[#This Row],[14/07/25]])*'Plan 39'!BV55</f>
        <v>1</v>
      </c>
      <c r="DP101" s="127">
        <f>Planbase100[[#This Row],[21/07/25]]+(1-Planbase100[[#This Row],[21/07/25]])*'Plan 39'!BW55</f>
        <v>1</v>
      </c>
      <c r="DQ101" s="127">
        <f>Planbase100[[#This Row],[28/07/25]]+(1-Planbase100[[#This Row],[28/07/25]])*'Plan 39'!BX55</f>
        <v>1</v>
      </c>
      <c r="DR101" s="127">
        <f>Planbase100[[#This Row],[04/08/25]]+(1-Planbase100[[#This Row],[04/08/25]])*'Plan 39'!BY55</f>
        <v>1</v>
      </c>
      <c r="DS101" s="127">
        <f>Planbase100[[#This Row],[11/08/25]]+(1-Planbase100[[#This Row],[11/08/25]])*'Plan 39'!BZ55</f>
        <v>1</v>
      </c>
      <c r="DT101" s="127">
        <f>Planbase100[[#This Row],[18/08/25]]+(1-Planbase100[[#This Row],[18/08/25]])*'Plan 39'!CA55</f>
        <v>1</v>
      </c>
      <c r="DU101" s="127">
        <f>Planbase100[[#This Row],[25/08/25]]+(1-Planbase100[[#This Row],[25/08/25]])*'Plan 39'!CB55</f>
        <v>1</v>
      </c>
      <c r="DV101" s="127">
        <f>Planbase100[[#This Row],[01/09/25]]+(1-Planbase100[[#This Row],[01/09/25]])*'Plan 39'!CC55</f>
        <v>1</v>
      </c>
      <c r="DW101" s="127">
        <f>Planbase100[[#This Row],[08/09/25]]+(1-Planbase100[[#This Row],[08/09/25]])*'Plan 39'!CD55</f>
        <v>1</v>
      </c>
      <c r="DX101" s="127">
        <f>Planbase100[[#This Row],[15/09/25]]+(1-Planbase100[[#This Row],[15/09/25]])*'Plan 39'!CE55</f>
        <v>1</v>
      </c>
      <c r="DY101" s="127">
        <f>Planbase100[[#This Row],[22/09/25]]+(1-Planbase100[[#This Row],[22/09/25]])*'Plan 39'!CF55</f>
        <v>1</v>
      </c>
      <c r="DZ101" s="127">
        <f>Planbase100[[#This Row],[29/09/25]]+(1-Planbase100[[#This Row],[29/09/25]])*'Plan 39'!CG55</f>
        <v>1</v>
      </c>
      <c r="EA101" s="127">
        <f>Planbase100[[#This Row],[06/10/25]]+(1-Planbase100[[#This Row],[06/10/25]])*'Plan 39'!CH55</f>
        <v>1</v>
      </c>
      <c r="EB101" s="127">
        <f>Planbase100[[#This Row],[13/10/25]]+(1-Planbase100[[#This Row],[13/10/25]])*'Plan 39'!CI55</f>
        <v>1</v>
      </c>
      <c r="EC101" s="127">
        <f>Planbase100[[#This Row],[20/10/25]]+(1-Planbase100[[#This Row],[20/10/25]])*'Plan 39'!CJ55</f>
        <v>1</v>
      </c>
      <c r="ED101" s="127">
        <f>Planbase100[[#This Row],[27/10/25]]+(1-Planbase100[[#This Row],[27/10/25]])*'Plan 39'!CK55</f>
        <v>1</v>
      </c>
      <c r="EE101" s="127">
        <f>Planbase100[[#This Row],[03/11/25]]+(1-Planbase100[[#This Row],[03/11/25]])*'Plan 39'!CL55</f>
        <v>1</v>
      </c>
      <c r="EF101" s="127">
        <f>Planbase100[[#This Row],[10/11/25]]+(1-Planbase100[[#This Row],[10/11/25]])*'Plan 39'!CM55</f>
        <v>1</v>
      </c>
      <c r="EG101" s="127">
        <f>Planbase100[[#This Row],[17/11/25]]+(1-Planbase100[[#This Row],[17/11/25]])*'Plan 39'!CN55</f>
        <v>1</v>
      </c>
      <c r="EH101" s="127">
        <f>Planbase100[[#This Row],[24/11/25]]+(1-Planbase100[[#This Row],[24/11/25]])*'Plan 39'!CO55</f>
        <v>1</v>
      </c>
      <c r="EI101" s="127">
        <f>Planbase100[[#This Row],[01/12/25]]+(1-Planbase100[[#This Row],[01/12/25]])*'Plan 39'!CP55</f>
        <v>1</v>
      </c>
    </row>
    <row r="102" spans="2:139" ht="28.8" hidden="1" outlineLevel="3" x14ac:dyDescent="0.3">
      <c r="B102" s="29"/>
      <c r="C102" s="30"/>
      <c r="D102" s="30"/>
      <c r="E102" s="52" t="s">
        <v>106</v>
      </c>
      <c r="F102" s="33">
        <v>15</v>
      </c>
      <c r="G102" s="35">
        <v>0.21739130434782608</v>
      </c>
      <c r="H102" s="53"/>
      <c r="I102" s="126">
        <v>0</v>
      </c>
      <c r="J102" s="127">
        <v>0</v>
      </c>
      <c r="K102" s="127">
        <v>0</v>
      </c>
      <c r="L102" s="127">
        <v>0</v>
      </c>
      <c r="M102" s="128">
        <v>0</v>
      </c>
      <c r="N102" s="128">
        <v>0</v>
      </c>
      <c r="O102" s="127">
        <v>0</v>
      </c>
      <c r="P102" s="127">
        <v>0</v>
      </c>
      <c r="Q102" s="127">
        <v>0</v>
      </c>
      <c r="R102" s="127">
        <v>0</v>
      </c>
      <c r="S102" s="127">
        <v>0</v>
      </c>
      <c r="T102" s="127">
        <v>0</v>
      </c>
      <c r="U102" s="127">
        <v>0</v>
      </c>
      <c r="V102" s="127">
        <v>0</v>
      </c>
      <c r="W102" s="127">
        <v>0</v>
      </c>
      <c r="X102" s="127">
        <v>0</v>
      </c>
      <c r="Y102" s="127">
        <v>0</v>
      </c>
      <c r="Z102" s="127">
        <v>9.9999999999999992E-2</v>
      </c>
      <c r="AA102" s="127">
        <v>9.9999999999999992E-2</v>
      </c>
      <c r="AB102" s="127">
        <v>9.9999999999999992E-2</v>
      </c>
      <c r="AC102" s="127">
        <v>0.11960784313725489</v>
      </c>
      <c r="AD102" s="127">
        <v>0.11960784313725489</v>
      </c>
      <c r="AE102" s="127">
        <v>0.11960784313725489</v>
      </c>
      <c r="AF102" s="127">
        <v>0.11960784313725489</v>
      </c>
      <c r="AG102" s="127">
        <v>0.11960784313725489</v>
      </c>
      <c r="AH102" s="127">
        <v>0.11960784313725489</v>
      </c>
      <c r="AI102" s="127">
        <v>0.11960784313725489</v>
      </c>
      <c r="AJ102" s="127">
        <v>0.11960784313725489</v>
      </c>
      <c r="AK102" s="127">
        <v>0.11960784313725489</v>
      </c>
      <c r="AL102" s="127">
        <v>0.11960784313725489</v>
      </c>
      <c r="AM102" s="127">
        <v>0.11960784313725489</v>
      </c>
      <c r="AN102" s="127">
        <v>0.11960784313725489</v>
      </c>
      <c r="AO102" s="127">
        <v>0.11960784313725489</v>
      </c>
      <c r="AP102" s="127">
        <v>0.11960784313725489</v>
      </c>
      <c r="AQ102" s="127">
        <v>0.31960784313725488</v>
      </c>
      <c r="AR102" s="127">
        <v>0.36</v>
      </c>
      <c r="AS102" s="127">
        <v>0.39960784313725484</v>
      </c>
      <c r="AT102" s="127">
        <v>0.44</v>
      </c>
      <c r="AU102" s="127">
        <v>0.4796078431372548</v>
      </c>
      <c r="AV102" s="127">
        <v>0.52</v>
      </c>
      <c r="AW102" s="127">
        <v>0.55960784313725487</v>
      </c>
      <c r="AX102" s="127">
        <v>0.6</v>
      </c>
      <c r="AY102" s="127">
        <v>0.6399999999999999</v>
      </c>
      <c r="AZ102" s="127">
        <v>0.68</v>
      </c>
      <c r="BA102" s="127">
        <v>0.72</v>
      </c>
      <c r="BB102" s="127">
        <f>Planbase100[[#This Row],[05/05/25]]+(1-Planbase100[[#This Row],[05/05/25]])*'Plan 39'!I56</f>
        <v>0.75111111111111106</v>
      </c>
      <c r="BC102" s="127">
        <f>Planbase100[[#This Row],[05/05/25]]+(1-Planbase100[[#This Row],[05/05/25]])*'Plan 39'!J56</f>
        <v>0.78219111111111106</v>
      </c>
      <c r="BD102" s="127">
        <f>Planbase100[[#This Row],[05/05/25]]+(1-Planbase100[[#This Row],[05/05/25]])*'Plan 39'!K56</f>
        <v>0.81327111111111106</v>
      </c>
      <c r="BE102" s="127">
        <f>Planbase100[[#This Row],[05/05/25]]+(1-Planbase100[[#This Row],[05/05/25]])*'Plan 39'!L56</f>
        <v>0.84435111111111105</v>
      </c>
      <c r="BF102" s="127">
        <f>Planbase100[[#This Row],[05/05/25]]+(1-Planbase100[[#This Row],[05/05/25]])*'Plan 39'!M56</f>
        <v>0.87543111111111105</v>
      </c>
      <c r="BG102" s="127">
        <f>Planbase100[[#This Row],[05/05/25]]+(1-Planbase100[[#This Row],[05/05/25]])*'Plan 39'!N56</f>
        <v>0.90651111111111105</v>
      </c>
      <c r="BH102" s="127">
        <f>Planbase100[[#This Row],[05/05/25]]+(1-Planbase100[[#This Row],[05/05/25]])*'Plan 39'!O56</f>
        <v>0.93759111111111104</v>
      </c>
      <c r="BI102" s="127">
        <f>Planbase100[[#This Row],[05/05/25]]+(1-Planbase100[[#This Row],[05/05/25]])*'Plan 39'!P56</f>
        <v>0.96867111111111104</v>
      </c>
      <c r="BJ102" s="127">
        <f>Planbase100[[#This Row],[05/05/25]]+(1-Planbase100[[#This Row],[05/05/25]])*'Plan 39'!Q56</f>
        <v>1</v>
      </c>
      <c r="BK102" s="127">
        <f>Planbase100[[#This Row],[05/05/25]]+(1-Planbase100[[#This Row],[05/05/25]])*'Plan 39'!R56</f>
        <v>1</v>
      </c>
      <c r="BL102" s="127">
        <f>Planbase100[[#This Row],[05/05/25]]+(1-Planbase100[[#This Row],[05/05/25]])*'Plan 39'!S56</f>
        <v>1</v>
      </c>
      <c r="BM102" s="127">
        <f>Planbase100[[#This Row],[05/05/25]]+(1-Planbase100[[#This Row],[05/05/25]])*'Plan 39'!T56</f>
        <v>1</v>
      </c>
      <c r="BN102" s="127">
        <f>Planbase100[[#This Row],[05/05/25]]+(1-Planbase100[[#This Row],[05/05/25]])*'Plan 39'!U56</f>
        <v>1</v>
      </c>
      <c r="BO102" s="127">
        <f>Planbase100[[#This Row],[05/05/25]]+(1-Planbase100[[#This Row],[05/05/25]])*'Plan 39'!V56</f>
        <v>1</v>
      </c>
      <c r="BP102" s="127">
        <f>Planbase100[[#This Row],[05/05/25]]+(1-Planbase100[[#This Row],[05/05/25]])*'Plan 39'!W56</f>
        <v>1</v>
      </c>
      <c r="BQ102" s="127">
        <f>Planbase100[[#This Row],[05/05/25]]+(1-Planbase100[[#This Row],[05/05/25]])*'Plan 39'!X56</f>
        <v>1</v>
      </c>
      <c r="BR102" s="127">
        <f>Planbase100[[#This Row],[05/05/25]]+(1-Planbase100[[#This Row],[05/05/25]])*'Plan 39'!Y56</f>
        <v>1</v>
      </c>
      <c r="BS102" s="127">
        <f>Planbase100[[#This Row],[05/05/25]]+(1-Planbase100[[#This Row],[05/05/25]])*'Plan 39'!Z56</f>
        <v>1</v>
      </c>
      <c r="BT102" s="127">
        <f>Planbase100[[#This Row],[05/05/25]]+(1-Planbase100[[#This Row],[05/05/25]])*'Plan 39'!AA56</f>
        <v>1</v>
      </c>
      <c r="BU102" s="127">
        <f>Planbase100[[#This Row],[05/05/25]]+(1-Planbase100[[#This Row],[05/05/25]])*'Plan 39'!AB56</f>
        <v>1</v>
      </c>
      <c r="BV102" s="127">
        <f>Planbase100[[#This Row],[05/05/25]]+(1-Planbase100[[#This Row],[05/05/25]])*'Plan 39'!AC56</f>
        <v>1</v>
      </c>
      <c r="BW102" s="127">
        <f>Planbase100[[#This Row],[05/05/25]]+(1-Planbase100[[#This Row],[05/05/25]])*'Plan 39'!AD56</f>
        <v>1</v>
      </c>
      <c r="BX102" s="127">
        <f>Planbase100[[#This Row],[05/05/25]]+(1-Planbase100[[#This Row],[05/05/25]])*'Plan 39'!AE56</f>
        <v>1</v>
      </c>
      <c r="BY102" s="127">
        <f>Planbase100[[#This Row],[05/05/25]]+(1-Planbase100[[#This Row],[05/05/25]])*'Plan 39'!AF56</f>
        <v>1</v>
      </c>
      <c r="BZ102" s="127">
        <f>Planbase100[[#This Row],[05/05/25]]+(1-Planbase100[[#This Row],[05/05/25]])*'Plan 39'!AG56</f>
        <v>1</v>
      </c>
      <c r="CA102" s="127">
        <f>Planbase100[[#This Row],[05/05/25]]+(1-Planbase100[[#This Row],[05/05/25]])*'Plan 39'!AH56</f>
        <v>1</v>
      </c>
      <c r="CB102" s="127">
        <f>Planbase100[[#This Row],[05/05/25]]+(1-Planbase100[[#This Row],[05/05/25]])*'Plan 39'!AI56</f>
        <v>1</v>
      </c>
      <c r="CC102" s="127">
        <f>Planbase100[[#This Row],[05/05/25]]+(1-Planbase100[[#This Row],[05/05/25]])*'Plan 39'!AJ56</f>
        <v>1</v>
      </c>
      <c r="CD102" s="127">
        <f>Planbase100[[#This Row],[05/05/25]]+(1-Planbase100[[#This Row],[05/05/25]])*'Plan 39'!AK56</f>
        <v>1</v>
      </c>
      <c r="CE102" s="127">
        <f>Planbase100[[#This Row],[05/05/25]]+(1-Planbase100[[#This Row],[05/05/25]])*'Plan 39'!AL56</f>
        <v>1</v>
      </c>
      <c r="CF102" s="127">
        <f>Planbase100[[#This Row],[05/05/25]]+(1-Planbase100[[#This Row],[05/05/25]])*'Plan 39'!AM56</f>
        <v>1</v>
      </c>
      <c r="CG102" s="127">
        <f>Planbase100[[#This Row],[05/05/25]]+(1-Planbase100[[#This Row],[05/05/25]])*'Plan 39'!AN56</f>
        <v>1</v>
      </c>
      <c r="CH102" s="127">
        <f>Planbase100[[#This Row],[05/05/25]]+(1-Planbase100[[#This Row],[05/05/25]])*'Plan 39'!AO56</f>
        <v>1</v>
      </c>
      <c r="CI102" s="127">
        <f>Planbase100[[#This Row],[05/05/25]]+(1-Planbase100[[#This Row],[05/05/25]])*'Plan 39'!AP56</f>
        <v>1</v>
      </c>
      <c r="CJ102" s="127">
        <f>Planbase100[[#This Row],[05/05/25]]+(1-Planbase100[[#This Row],[05/05/25]])*'Plan 39'!AQ56</f>
        <v>1</v>
      </c>
      <c r="CK102" s="127">
        <f>Planbase100[[#This Row],[05/05/25]]+(1-Planbase100[[#This Row],[05/05/25]])*'Plan 39'!AR56</f>
        <v>1</v>
      </c>
      <c r="CL102" s="127">
        <f>Planbase100[[#This Row],[05/05/25]]+(1-Planbase100[[#This Row],[05/05/25]])*'Plan 39'!AS56</f>
        <v>1</v>
      </c>
      <c r="CM102" s="127">
        <f>Planbase100[[#This Row],[05/05/25]]+(1-Planbase100[[#This Row],[05/05/25]])*'Plan 39'!AT56</f>
        <v>1</v>
      </c>
      <c r="CN102" s="127">
        <f>Planbase100[[#This Row],[05/05/25]]+(1-Planbase100[[#This Row],[05/05/25]])*'Plan 39'!AU56</f>
        <v>1</v>
      </c>
      <c r="CO102" s="127">
        <f>Planbase100[[#This Row],[05/05/25]]+(1-Planbase100[[#This Row],[05/05/25]])*'Plan 39'!AV56</f>
        <v>1</v>
      </c>
      <c r="CP102" s="127">
        <f>Planbase100[[#This Row],[05/05/25]]+(1-Planbase100[[#This Row],[05/05/25]])*'Plan 39'!AW56</f>
        <v>1</v>
      </c>
      <c r="CQ102" s="127">
        <f>Planbase100[[#This Row],[05/05/25]]+(1-Planbase100[[#This Row],[05/05/25]])*'Plan 39'!AX56</f>
        <v>1</v>
      </c>
      <c r="CR102" s="127">
        <f>Planbase100[[#This Row],[05/05/25]]+(1-Planbase100[[#This Row],[05/05/25]])*'Plan 39'!AY56</f>
        <v>1</v>
      </c>
      <c r="CS102" s="127">
        <f>Planbase100[[#This Row],[05/05/25]]+(1-Planbase100[[#This Row],[05/05/25]])*'Plan 39'!AZ56</f>
        <v>1</v>
      </c>
      <c r="CT102" s="127">
        <f>Planbase100[[#This Row],[05/05/25]]+(1-Planbase100[[#This Row],[05/05/25]])*'Plan 39'!BA56</f>
        <v>1</v>
      </c>
      <c r="CU102" s="127">
        <f>Planbase100[[#This Row],[05/05/25]]+(1-Planbase100[[#This Row],[05/05/25]])*'Plan 39'!BB56</f>
        <v>1</v>
      </c>
      <c r="CV102" s="127">
        <f>Planbase100[[#This Row],[05/05/25]]+(1-Planbase100[[#This Row],[05/05/25]])*'Plan 39'!BC56</f>
        <v>1</v>
      </c>
      <c r="CW102" s="127">
        <f>Planbase100[[#This Row],[05/05/25]]+(1-Planbase100[[#This Row],[05/05/25]])*'Plan 39'!BD56</f>
        <v>1</v>
      </c>
      <c r="CX102" s="127">
        <f>Planbase100[[#This Row],[05/05/25]]+(1-Planbase100[[#This Row],[05/05/25]])*'Plan 39'!BE56</f>
        <v>1</v>
      </c>
      <c r="CY102" s="127">
        <f>Planbase100[[#This Row],[05/05/25]]+(1-Planbase100[[#This Row],[05/05/25]])*'Plan 39'!BF56</f>
        <v>1</v>
      </c>
      <c r="CZ102" s="127">
        <f>Planbase100[[#This Row],[05/05/25]]+(1-Planbase100[[#This Row],[05/05/25]])*'Plan 39'!BG56</f>
        <v>1</v>
      </c>
      <c r="DA102" s="127">
        <f>Planbase100[[#This Row],[05/05/25]]+(1-Planbase100[[#This Row],[05/05/25]])*'Plan 39'!BH56</f>
        <v>1</v>
      </c>
      <c r="DB102" s="127">
        <f>Planbase100[[#This Row],[05/05/25]]+(1-Planbase100[[#This Row],[05/05/25]])*'Plan 39'!BI56</f>
        <v>1</v>
      </c>
      <c r="DC102" s="127">
        <f>Planbase100[[#This Row],[05/05/25]]+(1-Planbase100[[#This Row],[05/05/25]])*'Plan 39'!BJ56</f>
        <v>1</v>
      </c>
      <c r="DD102" s="127">
        <f>Planbase100[[#This Row],[05/05/25]]+(1-Planbase100[[#This Row],[05/05/25]])*'Plan 39'!BK56</f>
        <v>1</v>
      </c>
      <c r="DE102" s="127">
        <f>Planbase100[[#This Row],[05/05/25]]+(1-Planbase100[[#This Row],[05/05/25]])*'Plan 39'!BL56</f>
        <v>1</v>
      </c>
      <c r="DF102" s="127">
        <f>Planbase100[[#This Row],[12/05/25]]+(1-Planbase100[[#This Row],[12/05/25]])*'Plan 39'!BM56</f>
        <v>1</v>
      </c>
      <c r="DG102" s="127">
        <f>Planbase100[[#This Row],[19/05/25]]+(1-Planbase100[[#This Row],[19/05/25]])*'Plan 39'!BN56</f>
        <v>1</v>
      </c>
      <c r="DH102" s="127">
        <f>Planbase100[[#This Row],[26/05/25]]+(1-Planbase100[[#This Row],[26/05/25]])*'Plan 39'!BO56</f>
        <v>1</v>
      </c>
      <c r="DI102" s="127">
        <f>Planbase100[[#This Row],[02/06/25]]+(1-Planbase100[[#This Row],[02/06/25]])*'Plan 39'!BP56</f>
        <v>1</v>
      </c>
      <c r="DJ102" s="127">
        <f>Planbase100[[#This Row],[09/06/25]]+(1-Planbase100[[#This Row],[09/06/25]])*'Plan 39'!BQ56</f>
        <v>1</v>
      </c>
      <c r="DK102" s="127">
        <f>Planbase100[[#This Row],[16/06/25]]+(1-Planbase100[[#This Row],[16/06/25]])*'Plan 39'!BR56</f>
        <v>1</v>
      </c>
      <c r="DL102" s="127">
        <f>Planbase100[[#This Row],[23/06/25]]+(1-Planbase100[[#This Row],[23/06/25]])*'Plan 39'!BS56</f>
        <v>1</v>
      </c>
      <c r="DM102" s="127">
        <f>Planbase100[[#This Row],[30/06/25]]+(1-Planbase100[[#This Row],[30/06/25]])*'Plan 39'!BT56</f>
        <v>1</v>
      </c>
      <c r="DN102" s="127">
        <f>Planbase100[[#This Row],[07/07/25]]+(1-Planbase100[[#This Row],[07/07/25]])*'Plan 39'!BU56</f>
        <v>1</v>
      </c>
      <c r="DO102" s="127">
        <f>Planbase100[[#This Row],[14/07/25]]+(1-Planbase100[[#This Row],[14/07/25]])*'Plan 39'!BV56</f>
        <v>1</v>
      </c>
      <c r="DP102" s="127">
        <f>Planbase100[[#This Row],[21/07/25]]+(1-Planbase100[[#This Row],[21/07/25]])*'Plan 39'!BW56</f>
        <v>1</v>
      </c>
      <c r="DQ102" s="127">
        <f>Planbase100[[#This Row],[28/07/25]]+(1-Planbase100[[#This Row],[28/07/25]])*'Plan 39'!BX56</f>
        <v>1</v>
      </c>
      <c r="DR102" s="127">
        <f>Planbase100[[#This Row],[04/08/25]]+(1-Planbase100[[#This Row],[04/08/25]])*'Plan 39'!BY56</f>
        <v>1</v>
      </c>
      <c r="DS102" s="127">
        <f>Planbase100[[#This Row],[11/08/25]]+(1-Planbase100[[#This Row],[11/08/25]])*'Plan 39'!BZ56</f>
        <v>1</v>
      </c>
      <c r="DT102" s="127">
        <f>Planbase100[[#This Row],[18/08/25]]+(1-Planbase100[[#This Row],[18/08/25]])*'Plan 39'!CA56</f>
        <v>1</v>
      </c>
      <c r="DU102" s="127">
        <f>Planbase100[[#This Row],[25/08/25]]+(1-Planbase100[[#This Row],[25/08/25]])*'Plan 39'!CB56</f>
        <v>1</v>
      </c>
      <c r="DV102" s="127">
        <f>Planbase100[[#This Row],[01/09/25]]+(1-Planbase100[[#This Row],[01/09/25]])*'Plan 39'!CC56</f>
        <v>1</v>
      </c>
      <c r="DW102" s="127">
        <f>Planbase100[[#This Row],[08/09/25]]+(1-Planbase100[[#This Row],[08/09/25]])*'Plan 39'!CD56</f>
        <v>1</v>
      </c>
      <c r="DX102" s="127">
        <f>Planbase100[[#This Row],[15/09/25]]+(1-Planbase100[[#This Row],[15/09/25]])*'Plan 39'!CE56</f>
        <v>1</v>
      </c>
      <c r="DY102" s="127">
        <f>Planbase100[[#This Row],[22/09/25]]+(1-Planbase100[[#This Row],[22/09/25]])*'Plan 39'!CF56</f>
        <v>1</v>
      </c>
      <c r="DZ102" s="127">
        <f>Planbase100[[#This Row],[29/09/25]]+(1-Planbase100[[#This Row],[29/09/25]])*'Plan 39'!CG56</f>
        <v>1</v>
      </c>
      <c r="EA102" s="127">
        <f>Planbase100[[#This Row],[06/10/25]]+(1-Planbase100[[#This Row],[06/10/25]])*'Plan 39'!CH56</f>
        <v>1</v>
      </c>
      <c r="EB102" s="127">
        <f>Planbase100[[#This Row],[13/10/25]]+(1-Planbase100[[#This Row],[13/10/25]])*'Plan 39'!CI56</f>
        <v>1</v>
      </c>
      <c r="EC102" s="127">
        <f>Planbase100[[#This Row],[20/10/25]]+(1-Planbase100[[#This Row],[20/10/25]])*'Plan 39'!CJ56</f>
        <v>1</v>
      </c>
      <c r="ED102" s="127">
        <f>Planbase100[[#This Row],[27/10/25]]+(1-Planbase100[[#This Row],[27/10/25]])*'Plan 39'!CK56</f>
        <v>1</v>
      </c>
      <c r="EE102" s="127">
        <f>Planbase100[[#This Row],[03/11/25]]+(1-Planbase100[[#This Row],[03/11/25]])*'Plan 39'!CL56</f>
        <v>1</v>
      </c>
      <c r="EF102" s="127">
        <f>Planbase100[[#This Row],[10/11/25]]+(1-Planbase100[[#This Row],[10/11/25]])*'Plan 39'!CM56</f>
        <v>1</v>
      </c>
      <c r="EG102" s="127">
        <f>Planbase100[[#This Row],[17/11/25]]+(1-Planbase100[[#This Row],[17/11/25]])*'Plan 39'!CN56</f>
        <v>1</v>
      </c>
      <c r="EH102" s="127">
        <f>Planbase100[[#This Row],[24/11/25]]+(1-Planbase100[[#This Row],[24/11/25]])*'Plan 39'!CO56</f>
        <v>1</v>
      </c>
      <c r="EI102" s="127">
        <f>Planbase100[[#This Row],[01/12/25]]+(1-Planbase100[[#This Row],[01/12/25]])*'Plan 39'!CP56</f>
        <v>1</v>
      </c>
    </row>
    <row r="103" spans="2:139" ht="15" hidden="1" outlineLevel="2" collapsed="1" x14ac:dyDescent="0.3">
      <c r="B103" s="22"/>
      <c r="C103" s="23"/>
      <c r="D103" s="23" t="s">
        <v>107</v>
      </c>
      <c r="E103" s="50"/>
      <c r="F103" s="26">
        <f>+F104</f>
        <v>30</v>
      </c>
      <c r="G103" s="28">
        <v>4.3115500040980761E-2</v>
      </c>
      <c r="H103" s="51"/>
      <c r="I103" s="125">
        <f>+I104*$G$104</f>
        <v>0</v>
      </c>
      <c r="J103" s="28">
        <f>+J104*$G$104</f>
        <v>0</v>
      </c>
      <c r="K103" s="28">
        <f t="shared" ref="K103:BV103" si="295">+K104*$G$104</f>
        <v>0</v>
      </c>
      <c r="L103" s="28">
        <f t="shared" si="295"/>
        <v>0</v>
      </c>
      <c r="M103" s="64">
        <f t="shared" si="295"/>
        <v>0</v>
      </c>
      <c r="N103" s="64">
        <f t="shared" si="295"/>
        <v>0</v>
      </c>
      <c r="O103" s="28">
        <f t="shared" si="295"/>
        <v>0</v>
      </c>
      <c r="P103" s="28">
        <f t="shared" si="295"/>
        <v>0</v>
      </c>
      <c r="Q103" s="28">
        <f t="shared" si="295"/>
        <v>0</v>
      </c>
      <c r="R103" s="28">
        <f t="shared" si="295"/>
        <v>0</v>
      </c>
      <c r="S103" s="28">
        <f t="shared" si="295"/>
        <v>0</v>
      </c>
      <c r="T103" s="28">
        <f t="shared" si="295"/>
        <v>0</v>
      </c>
      <c r="U103" s="28">
        <f t="shared" si="295"/>
        <v>0</v>
      </c>
      <c r="V103" s="28">
        <f t="shared" si="295"/>
        <v>0</v>
      </c>
      <c r="W103" s="28">
        <f t="shared" si="295"/>
        <v>0</v>
      </c>
      <c r="X103" s="28">
        <f t="shared" si="295"/>
        <v>0</v>
      </c>
      <c r="Y103" s="28">
        <f t="shared" si="295"/>
        <v>0</v>
      </c>
      <c r="Z103" s="28">
        <f t="shared" si="295"/>
        <v>0</v>
      </c>
      <c r="AA103" s="28">
        <f t="shared" si="295"/>
        <v>0</v>
      </c>
      <c r="AB103" s="28">
        <f t="shared" si="295"/>
        <v>0</v>
      </c>
      <c r="AC103" s="28">
        <f t="shared" si="295"/>
        <v>0</v>
      </c>
      <c r="AD103" s="28">
        <f t="shared" si="295"/>
        <v>0</v>
      </c>
      <c r="AE103" s="28">
        <f t="shared" si="295"/>
        <v>0</v>
      </c>
      <c r="AF103" s="28">
        <f t="shared" si="295"/>
        <v>0</v>
      </c>
      <c r="AG103" s="28">
        <f t="shared" si="295"/>
        <v>0</v>
      </c>
      <c r="AH103" s="28">
        <f t="shared" si="295"/>
        <v>0</v>
      </c>
      <c r="AI103" s="28">
        <f t="shared" si="295"/>
        <v>0</v>
      </c>
      <c r="AJ103" s="28">
        <f t="shared" si="295"/>
        <v>0</v>
      </c>
      <c r="AK103" s="28">
        <f t="shared" si="295"/>
        <v>0</v>
      </c>
      <c r="AL103" s="28">
        <f t="shared" si="295"/>
        <v>0</v>
      </c>
      <c r="AM103" s="28">
        <f t="shared" si="295"/>
        <v>0</v>
      </c>
      <c r="AN103" s="28">
        <f t="shared" si="295"/>
        <v>0</v>
      </c>
      <c r="AO103" s="28">
        <f t="shared" si="295"/>
        <v>0</v>
      </c>
      <c r="AP103" s="28">
        <f t="shared" si="295"/>
        <v>0</v>
      </c>
      <c r="AQ103" s="28">
        <f t="shared" si="295"/>
        <v>0</v>
      </c>
      <c r="AR103" s="28">
        <f t="shared" si="295"/>
        <v>0</v>
      </c>
      <c r="AS103" s="28">
        <f t="shared" si="295"/>
        <v>0</v>
      </c>
      <c r="AT103" s="28">
        <f t="shared" si="295"/>
        <v>0</v>
      </c>
      <c r="AU103" s="28">
        <f t="shared" si="295"/>
        <v>0</v>
      </c>
      <c r="AV103" s="28">
        <f t="shared" si="295"/>
        <v>0</v>
      </c>
      <c r="AW103" s="28">
        <f t="shared" si="295"/>
        <v>0</v>
      </c>
      <c r="AX103" s="28">
        <f t="shared" si="295"/>
        <v>0</v>
      </c>
      <c r="AY103" s="28">
        <f t="shared" si="295"/>
        <v>0</v>
      </c>
      <c r="AZ103" s="28">
        <f t="shared" si="295"/>
        <v>0</v>
      </c>
      <c r="BA103" s="28">
        <f t="shared" si="295"/>
        <v>0</v>
      </c>
      <c r="BB103" s="28">
        <f t="shared" si="295"/>
        <v>0</v>
      </c>
      <c r="BC103" s="28">
        <f t="shared" si="295"/>
        <v>0</v>
      </c>
      <c r="BD103" s="28">
        <f t="shared" si="295"/>
        <v>0</v>
      </c>
      <c r="BE103" s="28">
        <f t="shared" si="295"/>
        <v>0</v>
      </c>
      <c r="BF103" s="28">
        <f t="shared" si="295"/>
        <v>0</v>
      </c>
      <c r="BG103" s="28">
        <f t="shared" si="295"/>
        <v>0</v>
      </c>
      <c r="BH103" s="28">
        <f t="shared" si="295"/>
        <v>0</v>
      </c>
      <c r="BI103" s="28">
        <f t="shared" si="295"/>
        <v>0</v>
      </c>
      <c r="BJ103" s="28">
        <f t="shared" si="295"/>
        <v>0</v>
      </c>
      <c r="BK103" s="28">
        <f t="shared" si="295"/>
        <v>0</v>
      </c>
      <c r="BL103" s="28">
        <f t="shared" si="295"/>
        <v>0</v>
      </c>
      <c r="BM103" s="28">
        <f t="shared" si="295"/>
        <v>0</v>
      </c>
      <c r="BN103" s="28">
        <f t="shared" si="295"/>
        <v>0</v>
      </c>
      <c r="BO103" s="28">
        <f t="shared" si="295"/>
        <v>0</v>
      </c>
      <c r="BP103" s="28">
        <f t="shared" si="295"/>
        <v>0</v>
      </c>
      <c r="BQ103" s="28">
        <f t="shared" si="295"/>
        <v>0</v>
      </c>
      <c r="BR103" s="28">
        <f t="shared" si="295"/>
        <v>0</v>
      </c>
      <c r="BS103" s="28">
        <f t="shared" si="295"/>
        <v>0</v>
      </c>
      <c r="BT103" s="28">
        <f t="shared" si="295"/>
        <v>0</v>
      </c>
      <c r="BU103" s="28">
        <f t="shared" si="295"/>
        <v>0</v>
      </c>
      <c r="BV103" s="28">
        <f t="shared" si="295"/>
        <v>0</v>
      </c>
      <c r="BW103" s="28">
        <f t="shared" ref="BW103:EH103" si="296">+BW104*$G$104</f>
        <v>0</v>
      </c>
      <c r="BX103" s="28">
        <f t="shared" si="296"/>
        <v>0.16666666666666669</v>
      </c>
      <c r="BY103" s="28">
        <f t="shared" si="296"/>
        <v>0.33366666666666667</v>
      </c>
      <c r="BZ103" s="28">
        <f t="shared" si="296"/>
        <v>0.50066666666666659</v>
      </c>
      <c r="CA103" s="28">
        <f t="shared" si="296"/>
        <v>0.66766666666666663</v>
      </c>
      <c r="CB103" s="28">
        <f t="shared" si="296"/>
        <v>0.83466666666666667</v>
      </c>
      <c r="CC103" s="28">
        <f t="shared" si="296"/>
        <v>1</v>
      </c>
      <c r="CD103" s="28">
        <f t="shared" si="296"/>
        <v>1</v>
      </c>
      <c r="CE103" s="28">
        <f t="shared" si="296"/>
        <v>1</v>
      </c>
      <c r="CF103" s="28">
        <f t="shared" si="296"/>
        <v>1</v>
      </c>
      <c r="CG103" s="28">
        <f t="shared" si="296"/>
        <v>1</v>
      </c>
      <c r="CH103" s="28">
        <f t="shared" si="296"/>
        <v>1</v>
      </c>
      <c r="CI103" s="28">
        <f t="shared" si="296"/>
        <v>1</v>
      </c>
      <c r="CJ103" s="28">
        <f t="shared" si="296"/>
        <v>1</v>
      </c>
      <c r="CK103" s="28">
        <f t="shared" si="296"/>
        <v>1</v>
      </c>
      <c r="CL103" s="28">
        <f t="shared" si="296"/>
        <v>1</v>
      </c>
      <c r="CM103" s="28">
        <f t="shared" si="296"/>
        <v>1</v>
      </c>
      <c r="CN103" s="28">
        <f t="shared" si="296"/>
        <v>1</v>
      </c>
      <c r="CO103" s="28">
        <f t="shared" si="296"/>
        <v>1</v>
      </c>
      <c r="CP103" s="28">
        <f t="shared" si="296"/>
        <v>1</v>
      </c>
      <c r="CQ103" s="28">
        <f t="shared" si="296"/>
        <v>1</v>
      </c>
      <c r="CR103" s="28">
        <f t="shared" si="296"/>
        <v>1</v>
      </c>
      <c r="CS103" s="28">
        <f t="shared" si="296"/>
        <v>1</v>
      </c>
      <c r="CT103" s="28">
        <f t="shared" si="296"/>
        <v>1</v>
      </c>
      <c r="CU103" s="28">
        <f t="shared" si="296"/>
        <v>1</v>
      </c>
      <c r="CV103" s="28">
        <f t="shared" si="296"/>
        <v>1</v>
      </c>
      <c r="CW103" s="28">
        <f t="shared" si="296"/>
        <v>1</v>
      </c>
      <c r="CX103" s="28">
        <f t="shared" si="296"/>
        <v>1</v>
      </c>
      <c r="CY103" s="28">
        <f t="shared" si="296"/>
        <v>1</v>
      </c>
      <c r="CZ103" s="28">
        <f t="shared" si="296"/>
        <v>1</v>
      </c>
      <c r="DA103" s="28">
        <f t="shared" si="296"/>
        <v>1</v>
      </c>
      <c r="DB103" s="28">
        <f t="shared" si="296"/>
        <v>1</v>
      </c>
      <c r="DC103" s="28">
        <f t="shared" si="296"/>
        <v>1</v>
      </c>
      <c r="DD103" s="28">
        <f t="shared" si="296"/>
        <v>1</v>
      </c>
      <c r="DE103" s="28">
        <f t="shared" si="296"/>
        <v>1</v>
      </c>
      <c r="DF103" s="28">
        <f t="shared" si="296"/>
        <v>1</v>
      </c>
      <c r="DG103" s="28">
        <f t="shared" si="296"/>
        <v>1</v>
      </c>
      <c r="DH103" s="28">
        <f t="shared" si="296"/>
        <v>1</v>
      </c>
      <c r="DI103" s="28">
        <f t="shared" si="296"/>
        <v>1</v>
      </c>
      <c r="DJ103" s="28">
        <f t="shared" si="296"/>
        <v>1</v>
      </c>
      <c r="DK103" s="28">
        <f t="shared" si="296"/>
        <v>1</v>
      </c>
      <c r="DL103" s="28">
        <f t="shared" si="296"/>
        <v>1</v>
      </c>
      <c r="DM103" s="28">
        <f t="shared" si="296"/>
        <v>1</v>
      </c>
      <c r="DN103" s="28">
        <f t="shared" si="296"/>
        <v>1</v>
      </c>
      <c r="DO103" s="28">
        <f t="shared" si="296"/>
        <v>1</v>
      </c>
      <c r="DP103" s="28">
        <f t="shared" si="296"/>
        <v>1</v>
      </c>
      <c r="DQ103" s="28">
        <f t="shared" si="296"/>
        <v>1</v>
      </c>
      <c r="DR103" s="28">
        <f t="shared" si="296"/>
        <v>1</v>
      </c>
      <c r="DS103" s="28">
        <f t="shared" si="296"/>
        <v>1</v>
      </c>
      <c r="DT103" s="28">
        <f t="shared" si="296"/>
        <v>1</v>
      </c>
      <c r="DU103" s="28">
        <f t="shared" si="296"/>
        <v>1</v>
      </c>
      <c r="DV103" s="28">
        <f t="shared" si="296"/>
        <v>1</v>
      </c>
      <c r="DW103" s="28">
        <f t="shared" si="296"/>
        <v>1</v>
      </c>
      <c r="DX103" s="28">
        <f t="shared" si="296"/>
        <v>1</v>
      </c>
      <c r="DY103" s="28">
        <f t="shared" si="296"/>
        <v>1</v>
      </c>
      <c r="DZ103" s="28">
        <f t="shared" si="296"/>
        <v>1</v>
      </c>
      <c r="EA103" s="28">
        <f t="shared" si="296"/>
        <v>1</v>
      </c>
      <c r="EB103" s="28">
        <f t="shared" si="296"/>
        <v>1</v>
      </c>
      <c r="EC103" s="28">
        <f t="shared" si="296"/>
        <v>1</v>
      </c>
      <c r="ED103" s="28">
        <f t="shared" si="296"/>
        <v>1</v>
      </c>
      <c r="EE103" s="28">
        <f t="shared" si="296"/>
        <v>1</v>
      </c>
      <c r="EF103" s="28">
        <f t="shared" si="296"/>
        <v>1</v>
      </c>
      <c r="EG103" s="28">
        <f t="shared" si="296"/>
        <v>1</v>
      </c>
      <c r="EH103" s="28">
        <f t="shared" si="296"/>
        <v>1</v>
      </c>
      <c r="EI103" s="28">
        <f t="shared" ref="EI103" si="297">+EI104*$G$104</f>
        <v>1</v>
      </c>
    </row>
    <row r="104" spans="2:139" hidden="1" outlineLevel="3" x14ac:dyDescent="0.3">
      <c r="B104" s="29"/>
      <c r="C104" s="30"/>
      <c r="D104" s="30"/>
      <c r="E104" s="52" t="s">
        <v>108</v>
      </c>
      <c r="F104" s="33">
        <v>30</v>
      </c>
      <c r="G104" s="35">
        <v>1</v>
      </c>
      <c r="H104" s="53"/>
      <c r="I104" s="126">
        <v>0</v>
      </c>
      <c r="J104" s="127">
        <v>0</v>
      </c>
      <c r="K104" s="127">
        <v>0</v>
      </c>
      <c r="L104" s="127">
        <v>0</v>
      </c>
      <c r="M104" s="128">
        <v>0</v>
      </c>
      <c r="N104" s="128">
        <v>0</v>
      </c>
      <c r="O104" s="127">
        <v>0</v>
      </c>
      <c r="P104" s="127">
        <v>0</v>
      </c>
      <c r="Q104" s="127">
        <v>0</v>
      </c>
      <c r="R104" s="127">
        <v>0</v>
      </c>
      <c r="S104" s="127">
        <v>0</v>
      </c>
      <c r="T104" s="127">
        <v>0</v>
      </c>
      <c r="U104" s="127">
        <v>0</v>
      </c>
      <c r="V104" s="127">
        <v>0</v>
      </c>
      <c r="W104" s="127">
        <v>0</v>
      </c>
      <c r="X104" s="127">
        <v>0</v>
      </c>
      <c r="Y104" s="127">
        <v>0</v>
      </c>
      <c r="Z104" s="127">
        <v>0</v>
      </c>
      <c r="AA104" s="127">
        <v>0</v>
      </c>
      <c r="AB104" s="127">
        <v>0</v>
      </c>
      <c r="AC104" s="127">
        <v>0</v>
      </c>
      <c r="AD104" s="127">
        <v>0</v>
      </c>
      <c r="AE104" s="127">
        <v>0</v>
      </c>
      <c r="AF104" s="127">
        <v>0</v>
      </c>
      <c r="AG104" s="127">
        <v>0</v>
      </c>
      <c r="AH104" s="127">
        <v>0</v>
      </c>
      <c r="AI104" s="127">
        <v>0</v>
      </c>
      <c r="AJ104" s="127">
        <v>0</v>
      </c>
      <c r="AK104" s="127">
        <v>0</v>
      </c>
      <c r="AL104" s="127">
        <v>0</v>
      </c>
      <c r="AM104" s="127">
        <v>0</v>
      </c>
      <c r="AN104" s="127">
        <v>0</v>
      </c>
      <c r="AO104" s="127">
        <v>0</v>
      </c>
      <c r="AP104" s="127">
        <v>0</v>
      </c>
      <c r="AQ104" s="127">
        <v>0</v>
      </c>
      <c r="AR104" s="127">
        <v>0</v>
      </c>
      <c r="AS104" s="127">
        <v>0</v>
      </c>
      <c r="AT104" s="127">
        <v>0</v>
      </c>
      <c r="AU104" s="127">
        <v>0</v>
      </c>
      <c r="AV104" s="127">
        <v>0</v>
      </c>
      <c r="AW104" s="127">
        <v>0</v>
      </c>
      <c r="AX104" s="127">
        <v>0</v>
      </c>
      <c r="AY104" s="127">
        <v>0</v>
      </c>
      <c r="AZ104" s="127">
        <v>0</v>
      </c>
      <c r="BA104" s="127">
        <v>0</v>
      </c>
      <c r="BB104" s="127">
        <f>Planbase100[[#This Row],[05/05/25]]+(1-Planbase100[[#This Row],[05/05/25]])*'Plan 39'!I58</f>
        <v>0</v>
      </c>
      <c r="BC104" s="127">
        <f>Planbase100[[#This Row],[05/05/25]]+(1-Planbase100[[#This Row],[05/05/25]])*'Plan 39'!J58</f>
        <v>0</v>
      </c>
      <c r="BD104" s="127">
        <f>Planbase100[[#This Row],[05/05/25]]+(1-Planbase100[[#This Row],[05/05/25]])*'Plan 39'!K58</f>
        <v>0</v>
      </c>
      <c r="BE104" s="127">
        <f>Planbase100[[#This Row],[05/05/25]]+(1-Planbase100[[#This Row],[05/05/25]])*'Plan 39'!L58</f>
        <v>0</v>
      </c>
      <c r="BF104" s="127">
        <f>Planbase100[[#This Row],[05/05/25]]+(1-Planbase100[[#This Row],[05/05/25]])*'Plan 39'!M58</f>
        <v>0</v>
      </c>
      <c r="BG104" s="127">
        <f>Planbase100[[#This Row],[05/05/25]]+(1-Planbase100[[#This Row],[05/05/25]])*'Plan 39'!N58</f>
        <v>0</v>
      </c>
      <c r="BH104" s="127">
        <f>Planbase100[[#This Row],[05/05/25]]+(1-Planbase100[[#This Row],[05/05/25]])*'Plan 39'!O58</f>
        <v>0</v>
      </c>
      <c r="BI104" s="127">
        <f>Planbase100[[#This Row],[05/05/25]]+(1-Planbase100[[#This Row],[05/05/25]])*'Plan 39'!P58</f>
        <v>0</v>
      </c>
      <c r="BJ104" s="127">
        <f>Planbase100[[#This Row],[05/05/25]]+(1-Planbase100[[#This Row],[05/05/25]])*'Plan 39'!Q58</f>
        <v>0</v>
      </c>
      <c r="BK104" s="127">
        <f>Planbase100[[#This Row],[05/05/25]]+(1-Planbase100[[#This Row],[05/05/25]])*'Plan 39'!R58</f>
        <v>0</v>
      </c>
      <c r="BL104" s="127">
        <f>Planbase100[[#This Row],[05/05/25]]+(1-Planbase100[[#This Row],[05/05/25]])*'Plan 39'!S58</f>
        <v>0</v>
      </c>
      <c r="BM104" s="127">
        <f>Planbase100[[#This Row],[05/05/25]]+(1-Planbase100[[#This Row],[05/05/25]])*'Plan 39'!T58</f>
        <v>0</v>
      </c>
      <c r="BN104" s="127">
        <f>Planbase100[[#This Row],[05/05/25]]+(1-Planbase100[[#This Row],[05/05/25]])*'Plan 39'!U58</f>
        <v>0</v>
      </c>
      <c r="BO104" s="127">
        <f>Planbase100[[#This Row],[05/05/25]]+(1-Planbase100[[#This Row],[05/05/25]])*'Plan 39'!V58</f>
        <v>0</v>
      </c>
      <c r="BP104" s="127">
        <f>Planbase100[[#This Row],[05/05/25]]+(1-Planbase100[[#This Row],[05/05/25]])*'Plan 39'!W58</f>
        <v>0</v>
      </c>
      <c r="BQ104" s="127">
        <f>Planbase100[[#This Row],[05/05/25]]+(1-Planbase100[[#This Row],[05/05/25]])*'Plan 39'!X58</f>
        <v>0</v>
      </c>
      <c r="BR104" s="127">
        <f>Planbase100[[#This Row],[05/05/25]]+(1-Planbase100[[#This Row],[05/05/25]])*'Plan 39'!Y58</f>
        <v>0</v>
      </c>
      <c r="BS104" s="127">
        <f>Planbase100[[#This Row],[05/05/25]]+(1-Planbase100[[#This Row],[05/05/25]])*'Plan 39'!Z58</f>
        <v>0</v>
      </c>
      <c r="BT104" s="127">
        <f>Planbase100[[#This Row],[05/05/25]]+(1-Planbase100[[#This Row],[05/05/25]])*'Plan 39'!AA58</f>
        <v>0</v>
      </c>
      <c r="BU104" s="127">
        <f>Planbase100[[#This Row],[05/05/25]]+(1-Planbase100[[#This Row],[05/05/25]])*'Plan 39'!AB58</f>
        <v>0</v>
      </c>
      <c r="BV104" s="127">
        <f>Planbase100[[#This Row],[05/05/25]]+(1-Planbase100[[#This Row],[05/05/25]])*'Plan 39'!AC58</f>
        <v>0</v>
      </c>
      <c r="BW104" s="127">
        <f>Planbase100[[#This Row],[05/05/25]]+(1-Planbase100[[#This Row],[05/05/25]])*'Plan 39'!AD58</f>
        <v>0</v>
      </c>
      <c r="BX104" s="127">
        <f>Planbase100[[#This Row],[05/05/25]]+(1-Planbase100[[#This Row],[05/05/25]])*'Plan 39'!AE58</f>
        <v>0.16666666666666669</v>
      </c>
      <c r="BY104" s="127">
        <f>Planbase100[[#This Row],[05/05/25]]+(1-Planbase100[[#This Row],[05/05/25]])*'Plan 39'!AF58</f>
        <v>0.33366666666666667</v>
      </c>
      <c r="BZ104" s="127">
        <f>Planbase100[[#This Row],[05/05/25]]+(1-Planbase100[[#This Row],[05/05/25]])*'Plan 39'!AG58</f>
        <v>0.50066666666666659</v>
      </c>
      <c r="CA104" s="127">
        <f>Planbase100[[#This Row],[05/05/25]]+(1-Planbase100[[#This Row],[05/05/25]])*'Plan 39'!AH58</f>
        <v>0.66766666666666663</v>
      </c>
      <c r="CB104" s="127">
        <f>Planbase100[[#This Row],[05/05/25]]+(1-Planbase100[[#This Row],[05/05/25]])*'Plan 39'!AI58</f>
        <v>0.83466666666666667</v>
      </c>
      <c r="CC104" s="127">
        <f>Planbase100[[#This Row],[05/05/25]]+(1-Planbase100[[#This Row],[05/05/25]])*'Plan 39'!AJ58</f>
        <v>1</v>
      </c>
      <c r="CD104" s="127">
        <f>Planbase100[[#This Row],[05/05/25]]+(1-Planbase100[[#This Row],[05/05/25]])*'Plan 39'!AK58</f>
        <v>1</v>
      </c>
      <c r="CE104" s="127">
        <f>Planbase100[[#This Row],[05/05/25]]+(1-Planbase100[[#This Row],[05/05/25]])*'Plan 39'!AL58</f>
        <v>1</v>
      </c>
      <c r="CF104" s="127">
        <f>Planbase100[[#This Row],[05/05/25]]+(1-Planbase100[[#This Row],[05/05/25]])*'Plan 39'!AM58</f>
        <v>1</v>
      </c>
      <c r="CG104" s="127">
        <f>Planbase100[[#This Row],[05/05/25]]+(1-Planbase100[[#This Row],[05/05/25]])*'Plan 39'!AN58</f>
        <v>1</v>
      </c>
      <c r="CH104" s="127">
        <f>Planbase100[[#This Row],[05/05/25]]+(1-Planbase100[[#This Row],[05/05/25]])*'Plan 39'!AO58</f>
        <v>1</v>
      </c>
      <c r="CI104" s="127">
        <f>Planbase100[[#This Row],[05/05/25]]+(1-Planbase100[[#This Row],[05/05/25]])*'Plan 39'!AP58</f>
        <v>1</v>
      </c>
      <c r="CJ104" s="127">
        <f>Planbase100[[#This Row],[05/05/25]]+(1-Planbase100[[#This Row],[05/05/25]])*'Plan 39'!AQ58</f>
        <v>1</v>
      </c>
      <c r="CK104" s="127">
        <f>Planbase100[[#This Row],[05/05/25]]+(1-Planbase100[[#This Row],[05/05/25]])*'Plan 39'!AR58</f>
        <v>1</v>
      </c>
      <c r="CL104" s="127">
        <f>Planbase100[[#This Row],[05/05/25]]+(1-Planbase100[[#This Row],[05/05/25]])*'Plan 39'!AS58</f>
        <v>1</v>
      </c>
      <c r="CM104" s="127">
        <f>Planbase100[[#This Row],[05/05/25]]+(1-Planbase100[[#This Row],[05/05/25]])*'Plan 39'!AT58</f>
        <v>1</v>
      </c>
      <c r="CN104" s="127">
        <f>Planbase100[[#This Row],[05/05/25]]+(1-Planbase100[[#This Row],[05/05/25]])*'Plan 39'!AU58</f>
        <v>1</v>
      </c>
      <c r="CO104" s="127">
        <f>Planbase100[[#This Row],[05/05/25]]+(1-Planbase100[[#This Row],[05/05/25]])*'Plan 39'!AV58</f>
        <v>1</v>
      </c>
      <c r="CP104" s="127">
        <f>Planbase100[[#This Row],[05/05/25]]+(1-Planbase100[[#This Row],[05/05/25]])*'Plan 39'!AW58</f>
        <v>1</v>
      </c>
      <c r="CQ104" s="127">
        <f>Planbase100[[#This Row],[05/05/25]]+(1-Planbase100[[#This Row],[05/05/25]])*'Plan 39'!AX58</f>
        <v>1</v>
      </c>
      <c r="CR104" s="127">
        <f>Planbase100[[#This Row],[05/05/25]]+(1-Planbase100[[#This Row],[05/05/25]])*'Plan 39'!AY58</f>
        <v>1</v>
      </c>
      <c r="CS104" s="127">
        <f>Planbase100[[#This Row],[05/05/25]]+(1-Planbase100[[#This Row],[05/05/25]])*'Plan 39'!AZ58</f>
        <v>1</v>
      </c>
      <c r="CT104" s="127">
        <f>Planbase100[[#This Row],[05/05/25]]+(1-Planbase100[[#This Row],[05/05/25]])*'Plan 39'!BA58</f>
        <v>1</v>
      </c>
      <c r="CU104" s="127">
        <f>Planbase100[[#This Row],[05/05/25]]+(1-Planbase100[[#This Row],[05/05/25]])*'Plan 39'!BB58</f>
        <v>1</v>
      </c>
      <c r="CV104" s="127">
        <f>Planbase100[[#This Row],[05/05/25]]+(1-Planbase100[[#This Row],[05/05/25]])*'Plan 39'!BC58</f>
        <v>1</v>
      </c>
      <c r="CW104" s="127">
        <f>Planbase100[[#This Row],[05/05/25]]+(1-Planbase100[[#This Row],[05/05/25]])*'Plan 39'!BD58</f>
        <v>1</v>
      </c>
      <c r="CX104" s="127">
        <f>Planbase100[[#This Row],[05/05/25]]+(1-Planbase100[[#This Row],[05/05/25]])*'Plan 39'!BE58</f>
        <v>1</v>
      </c>
      <c r="CY104" s="127">
        <f>Planbase100[[#This Row],[05/05/25]]+(1-Planbase100[[#This Row],[05/05/25]])*'Plan 39'!BF58</f>
        <v>1</v>
      </c>
      <c r="CZ104" s="127">
        <f>Planbase100[[#This Row],[05/05/25]]+(1-Planbase100[[#This Row],[05/05/25]])*'Plan 39'!BG58</f>
        <v>1</v>
      </c>
      <c r="DA104" s="127">
        <f>Planbase100[[#This Row],[05/05/25]]+(1-Planbase100[[#This Row],[05/05/25]])*'Plan 39'!BH58</f>
        <v>1</v>
      </c>
      <c r="DB104" s="127">
        <f>Planbase100[[#This Row],[05/05/25]]+(1-Planbase100[[#This Row],[05/05/25]])*'Plan 39'!BI58</f>
        <v>1</v>
      </c>
      <c r="DC104" s="127">
        <f>Planbase100[[#This Row],[05/05/25]]+(1-Planbase100[[#This Row],[05/05/25]])*'Plan 39'!BJ58</f>
        <v>1</v>
      </c>
      <c r="DD104" s="127">
        <f>Planbase100[[#This Row],[05/05/25]]+(1-Planbase100[[#This Row],[05/05/25]])*'Plan 39'!BK58</f>
        <v>1</v>
      </c>
      <c r="DE104" s="127">
        <f>Planbase100[[#This Row],[05/05/25]]+(1-Planbase100[[#This Row],[05/05/25]])*'Plan 39'!BL58</f>
        <v>1</v>
      </c>
      <c r="DF104" s="127">
        <f>Planbase100[[#This Row],[12/05/25]]+(1-Planbase100[[#This Row],[12/05/25]])*'Plan 39'!BM58</f>
        <v>1</v>
      </c>
      <c r="DG104" s="127">
        <f>Planbase100[[#This Row],[19/05/25]]+(1-Planbase100[[#This Row],[19/05/25]])*'Plan 39'!BN58</f>
        <v>1</v>
      </c>
      <c r="DH104" s="127">
        <f>Planbase100[[#This Row],[26/05/25]]+(1-Planbase100[[#This Row],[26/05/25]])*'Plan 39'!BO58</f>
        <v>1</v>
      </c>
      <c r="DI104" s="127">
        <f>Planbase100[[#This Row],[02/06/25]]+(1-Planbase100[[#This Row],[02/06/25]])*'Plan 39'!BP58</f>
        <v>1</v>
      </c>
      <c r="DJ104" s="127">
        <f>Planbase100[[#This Row],[09/06/25]]+(1-Planbase100[[#This Row],[09/06/25]])*'Plan 39'!BQ58</f>
        <v>1</v>
      </c>
      <c r="DK104" s="127">
        <f>Planbase100[[#This Row],[16/06/25]]+(1-Planbase100[[#This Row],[16/06/25]])*'Plan 39'!BR58</f>
        <v>1</v>
      </c>
      <c r="DL104" s="127">
        <f>Planbase100[[#This Row],[23/06/25]]+(1-Planbase100[[#This Row],[23/06/25]])*'Plan 39'!BS58</f>
        <v>1</v>
      </c>
      <c r="DM104" s="127">
        <f>Planbase100[[#This Row],[30/06/25]]+(1-Planbase100[[#This Row],[30/06/25]])*'Plan 39'!BT58</f>
        <v>1</v>
      </c>
      <c r="DN104" s="127">
        <f>Planbase100[[#This Row],[07/07/25]]+(1-Planbase100[[#This Row],[07/07/25]])*'Plan 39'!BU58</f>
        <v>1</v>
      </c>
      <c r="DO104" s="127">
        <f>Planbase100[[#This Row],[14/07/25]]+(1-Planbase100[[#This Row],[14/07/25]])*'Plan 39'!BV58</f>
        <v>1</v>
      </c>
      <c r="DP104" s="127">
        <f>Planbase100[[#This Row],[21/07/25]]+(1-Planbase100[[#This Row],[21/07/25]])*'Plan 39'!BW58</f>
        <v>1</v>
      </c>
      <c r="DQ104" s="127">
        <f>Planbase100[[#This Row],[28/07/25]]+(1-Planbase100[[#This Row],[28/07/25]])*'Plan 39'!BX58</f>
        <v>1</v>
      </c>
      <c r="DR104" s="127">
        <f>Planbase100[[#This Row],[04/08/25]]+(1-Planbase100[[#This Row],[04/08/25]])*'Plan 39'!BY58</f>
        <v>1</v>
      </c>
      <c r="DS104" s="127">
        <f>Planbase100[[#This Row],[11/08/25]]+(1-Planbase100[[#This Row],[11/08/25]])*'Plan 39'!BZ58</f>
        <v>1</v>
      </c>
      <c r="DT104" s="127">
        <f>Planbase100[[#This Row],[18/08/25]]+(1-Planbase100[[#This Row],[18/08/25]])*'Plan 39'!CA58</f>
        <v>1</v>
      </c>
      <c r="DU104" s="127">
        <f>Planbase100[[#This Row],[25/08/25]]+(1-Planbase100[[#This Row],[25/08/25]])*'Plan 39'!CB58</f>
        <v>1</v>
      </c>
      <c r="DV104" s="127">
        <f>Planbase100[[#This Row],[01/09/25]]+(1-Planbase100[[#This Row],[01/09/25]])*'Plan 39'!CC58</f>
        <v>1</v>
      </c>
      <c r="DW104" s="127">
        <f>Planbase100[[#This Row],[08/09/25]]+(1-Planbase100[[#This Row],[08/09/25]])*'Plan 39'!CD58</f>
        <v>1</v>
      </c>
      <c r="DX104" s="127">
        <f>Planbase100[[#This Row],[15/09/25]]+(1-Planbase100[[#This Row],[15/09/25]])*'Plan 39'!CE58</f>
        <v>1</v>
      </c>
      <c r="DY104" s="127">
        <f>Planbase100[[#This Row],[22/09/25]]+(1-Planbase100[[#This Row],[22/09/25]])*'Plan 39'!CF58</f>
        <v>1</v>
      </c>
      <c r="DZ104" s="127">
        <f>Planbase100[[#This Row],[29/09/25]]+(1-Planbase100[[#This Row],[29/09/25]])*'Plan 39'!CG58</f>
        <v>1</v>
      </c>
      <c r="EA104" s="127">
        <f>Planbase100[[#This Row],[06/10/25]]+(1-Planbase100[[#This Row],[06/10/25]])*'Plan 39'!CH58</f>
        <v>1</v>
      </c>
      <c r="EB104" s="127">
        <f>Planbase100[[#This Row],[13/10/25]]+(1-Planbase100[[#This Row],[13/10/25]])*'Plan 39'!CI58</f>
        <v>1</v>
      </c>
      <c r="EC104" s="127">
        <f>Planbase100[[#This Row],[20/10/25]]+(1-Planbase100[[#This Row],[20/10/25]])*'Plan 39'!CJ58</f>
        <v>1</v>
      </c>
      <c r="ED104" s="127">
        <f>Planbase100[[#This Row],[27/10/25]]+(1-Planbase100[[#This Row],[27/10/25]])*'Plan 39'!CK58</f>
        <v>1</v>
      </c>
      <c r="EE104" s="127">
        <f>Planbase100[[#This Row],[03/11/25]]+(1-Planbase100[[#This Row],[03/11/25]])*'Plan 39'!CL58</f>
        <v>1</v>
      </c>
      <c r="EF104" s="127">
        <f>Planbase100[[#This Row],[10/11/25]]+(1-Planbase100[[#This Row],[10/11/25]])*'Plan 39'!CM58</f>
        <v>1</v>
      </c>
      <c r="EG104" s="127">
        <f>Planbase100[[#This Row],[17/11/25]]+(1-Planbase100[[#This Row],[17/11/25]])*'Plan 39'!CN58</f>
        <v>1</v>
      </c>
      <c r="EH104" s="127">
        <f>Planbase100[[#This Row],[24/11/25]]+(1-Planbase100[[#This Row],[24/11/25]])*'Plan 39'!CO58</f>
        <v>1</v>
      </c>
      <c r="EI104" s="127">
        <f>Planbase100[[#This Row],[01/12/25]]+(1-Planbase100[[#This Row],[01/12/25]])*'Plan 39'!CP58</f>
        <v>1</v>
      </c>
    </row>
    <row r="105" spans="2:139" ht="15" hidden="1" outlineLevel="2" collapsed="1" x14ac:dyDescent="0.3">
      <c r="B105" s="22"/>
      <c r="C105" s="23"/>
      <c r="D105" s="23" t="s">
        <v>109</v>
      </c>
      <c r="E105" s="50"/>
      <c r="F105" s="26">
        <f>+SUM(F106:F107)</f>
        <v>27</v>
      </c>
      <c r="G105" s="28">
        <v>3.6482346188522183E-2</v>
      </c>
      <c r="H105" s="51"/>
      <c r="I105" s="125">
        <f>+SUMPRODUCT($G$106:$G$107,I106:I107)</f>
        <v>0</v>
      </c>
      <c r="J105" s="28">
        <f>+SUMPRODUCT($G$106:$G$107,J106:J107)</f>
        <v>0</v>
      </c>
      <c r="K105" s="28">
        <f t="shared" ref="K105:BB105" si="298">+SUMPRODUCT($G$106:$G$107,K106:K107)</f>
        <v>0</v>
      </c>
      <c r="L105" s="28">
        <f t="shared" si="298"/>
        <v>0</v>
      </c>
      <c r="M105" s="64">
        <f t="shared" si="298"/>
        <v>0</v>
      </c>
      <c r="N105" s="64">
        <f t="shared" si="298"/>
        <v>0</v>
      </c>
      <c r="O105" s="28">
        <f t="shared" si="298"/>
        <v>0</v>
      </c>
      <c r="P105" s="28">
        <f t="shared" si="298"/>
        <v>0</v>
      </c>
      <c r="Q105" s="28">
        <f t="shared" si="298"/>
        <v>0</v>
      </c>
      <c r="R105" s="28">
        <f t="shared" si="298"/>
        <v>0</v>
      </c>
      <c r="S105" s="28">
        <f t="shared" si="298"/>
        <v>0</v>
      </c>
      <c r="T105" s="28">
        <f t="shared" si="298"/>
        <v>0</v>
      </c>
      <c r="U105" s="28">
        <f t="shared" si="298"/>
        <v>0</v>
      </c>
      <c r="V105" s="28">
        <f t="shared" si="298"/>
        <v>0</v>
      </c>
      <c r="W105" s="28">
        <f t="shared" si="298"/>
        <v>0</v>
      </c>
      <c r="X105" s="28">
        <f t="shared" si="298"/>
        <v>0</v>
      </c>
      <c r="Y105" s="28">
        <f t="shared" si="298"/>
        <v>0</v>
      </c>
      <c r="Z105" s="28">
        <f t="shared" si="298"/>
        <v>0</v>
      </c>
      <c r="AA105" s="28">
        <f t="shared" si="298"/>
        <v>0</v>
      </c>
      <c r="AB105" s="28">
        <f t="shared" si="298"/>
        <v>0</v>
      </c>
      <c r="AC105" s="28">
        <f t="shared" si="298"/>
        <v>0</v>
      </c>
      <c r="AD105" s="28">
        <f t="shared" si="298"/>
        <v>0</v>
      </c>
      <c r="AE105" s="28">
        <f t="shared" si="298"/>
        <v>0</v>
      </c>
      <c r="AF105" s="28">
        <f t="shared" si="298"/>
        <v>0</v>
      </c>
      <c r="AG105" s="28">
        <f t="shared" si="298"/>
        <v>0</v>
      </c>
      <c r="AH105" s="28">
        <f t="shared" si="298"/>
        <v>0</v>
      </c>
      <c r="AI105" s="28">
        <f>+SUMPRODUCT($G$106:$G$107,AI106:AI107)</f>
        <v>0</v>
      </c>
      <c r="AJ105" s="28">
        <f>+SUMPRODUCT($G$106:$G$107,AJ106:AJ107)</f>
        <v>0</v>
      </c>
      <c r="AK105" s="28">
        <f t="shared" si="298"/>
        <v>0</v>
      </c>
      <c r="AL105" s="28">
        <f t="shared" si="298"/>
        <v>0</v>
      </c>
      <c r="AM105" s="28">
        <f t="shared" si="298"/>
        <v>0</v>
      </c>
      <c r="AN105" s="28">
        <f t="shared" si="298"/>
        <v>0</v>
      </c>
      <c r="AO105" s="28">
        <f t="shared" si="298"/>
        <v>0</v>
      </c>
      <c r="AP105" s="28">
        <f t="shared" si="298"/>
        <v>0</v>
      </c>
      <c r="AQ105" s="28">
        <f t="shared" si="298"/>
        <v>0</v>
      </c>
      <c r="AR105" s="28">
        <f t="shared" si="298"/>
        <v>0</v>
      </c>
      <c r="AS105" s="28">
        <f t="shared" si="298"/>
        <v>0</v>
      </c>
      <c r="AT105" s="28">
        <f t="shared" si="298"/>
        <v>0</v>
      </c>
      <c r="AU105" s="28">
        <f t="shared" si="298"/>
        <v>0</v>
      </c>
      <c r="AV105" s="28">
        <f t="shared" si="298"/>
        <v>0</v>
      </c>
      <c r="AW105" s="28">
        <f t="shared" si="298"/>
        <v>0</v>
      </c>
      <c r="AX105" s="28">
        <f t="shared" si="298"/>
        <v>0</v>
      </c>
      <c r="AY105" s="28">
        <f t="shared" si="298"/>
        <v>0</v>
      </c>
      <c r="AZ105" s="28">
        <f t="shared" si="298"/>
        <v>0</v>
      </c>
      <c r="BA105" s="28">
        <f t="shared" si="298"/>
        <v>0</v>
      </c>
      <c r="BB105" s="28">
        <f t="shared" si="298"/>
        <v>0</v>
      </c>
      <c r="BC105" s="28">
        <f t="shared" ref="BC105:CE105" si="299">+SUMPRODUCT($G$106:$G$107,BC106:BC107)</f>
        <v>0</v>
      </c>
      <c r="BD105" s="28">
        <f t="shared" si="299"/>
        <v>0</v>
      </c>
      <c r="BE105" s="28">
        <f t="shared" si="299"/>
        <v>0</v>
      </c>
      <c r="BF105" s="28">
        <f t="shared" si="299"/>
        <v>0</v>
      </c>
      <c r="BG105" s="28">
        <f t="shared" si="299"/>
        <v>0</v>
      </c>
      <c r="BH105" s="28">
        <f t="shared" si="299"/>
        <v>0</v>
      </c>
      <c r="BI105" s="28">
        <f t="shared" si="299"/>
        <v>0</v>
      </c>
      <c r="BJ105" s="28">
        <f t="shared" si="299"/>
        <v>0</v>
      </c>
      <c r="BK105" s="28">
        <f t="shared" si="299"/>
        <v>0</v>
      </c>
      <c r="BL105" s="28">
        <f t="shared" si="299"/>
        <v>0</v>
      </c>
      <c r="BM105" s="28">
        <f t="shared" si="299"/>
        <v>0</v>
      </c>
      <c r="BN105" s="28">
        <f t="shared" si="299"/>
        <v>0</v>
      </c>
      <c r="BO105" s="28">
        <f t="shared" si="299"/>
        <v>0</v>
      </c>
      <c r="BP105" s="28">
        <f t="shared" si="299"/>
        <v>0</v>
      </c>
      <c r="BQ105" s="28">
        <f t="shared" si="299"/>
        <v>0</v>
      </c>
      <c r="BR105" s="28">
        <f t="shared" si="299"/>
        <v>0</v>
      </c>
      <c r="BS105" s="28">
        <f t="shared" si="299"/>
        <v>0</v>
      </c>
      <c r="BT105" s="28">
        <f t="shared" si="299"/>
        <v>0</v>
      </c>
      <c r="BU105" s="28">
        <f t="shared" si="299"/>
        <v>0</v>
      </c>
      <c r="BV105" s="28">
        <f t="shared" si="299"/>
        <v>0</v>
      </c>
      <c r="BW105" s="28">
        <f t="shared" si="299"/>
        <v>0</v>
      </c>
      <c r="BX105" s="28">
        <f t="shared" si="299"/>
        <v>0</v>
      </c>
      <c r="BY105" s="28">
        <f t="shared" si="299"/>
        <v>0</v>
      </c>
      <c r="BZ105" s="28">
        <f t="shared" si="299"/>
        <v>0</v>
      </c>
      <c r="CA105" s="28">
        <f t="shared" si="299"/>
        <v>0</v>
      </c>
      <c r="CB105" s="28">
        <f t="shared" si="299"/>
        <v>8.3333333333333343E-2</v>
      </c>
      <c r="CC105" s="28">
        <f t="shared" si="299"/>
        <v>0.16658333333333333</v>
      </c>
      <c r="CD105" s="28">
        <f t="shared" si="299"/>
        <v>0.25</v>
      </c>
      <c r="CE105" s="28">
        <f t="shared" si="299"/>
        <v>0.25</v>
      </c>
      <c r="CF105" s="28">
        <f t="shared" ref="CF105:CI105" si="300">+SUMPRODUCT($G$106:$G$107,CF106:CF107)</f>
        <v>0.25</v>
      </c>
      <c r="CG105" s="28">
        <f t="shared" si="300"/>
        <v>0.25</v>
      </c>
      <c r="CH105" s="28">
        <f t="shared" si="300"/>
        <v>0.4375</v>
      </c>
      <c r="CI105" s="28">
        <f t="shared" si="300"/>
        <v>1</v>
      </c>
      <c r="CJ105" s="28">
        <f t="shared" ref="CJ105:CK105" si="301">+SUMPRODUCT($G$106:$G$107,CJ106:CJ107)</f>
        <v>1</v>
      </c>
      <c r="CK105" s="28">
        <f t="shared" si="301"/>
        <v>1</v>
      </c>
      <c r="CL105" s="28">
        <f t="shared" ref="CL105" si="302">+SUMPRODUCT($G$106:$G$107,CL106:CL107)</f>
        <v>1</v>
      </c>
      <c r="CM105" s="28">
        <f t="shared" ref="CM105:CV105" si="303">+SUMPRODUCT($G$106:$G$107,CM106:CM107)</f>
        <v>1</v>
      </c>
      <c r="CN105" s="28">
        <f t="shared" si="303"/>
        <v>1</v>
      </c>
      <c r="CO105" s="28">
        <f t="shared" si="303"/>
        <v>1</v>
      </c>
      <c r="CP105" s="28">
        <f t="shared" si="303"/>
        <v>1</v>
      </c>
      <c r="CQ105" s="28">
        <f t="shared" si="303"/>
        <v>1</v>
      </c>
      <c r="CR105" s="28">
        <f t="shared" si="303"/>
        <v>1</v>
      </c>
      <c r="CS105" s="28">
        <f t="shared" si="303"/>
        <v>1</v>
      </c>
      <c r="CT105" s="28">
        <f t="shared" si="303"/>
        <v>1</v>
      </c>
      <c r="CU105" s="28">
        <f t="shared" si="303"/>
        <v>1</v>
      </c>
      <c r="CV105" s="28">
        <f t="shared" si="303"/>
        <v>1</v>
      </c>
      <c r="CW105" s="28">
        <f t="shared" ref="CW105" si="304">+SUMPRODUCT($G$106:$G$107,CW106:CW107)</f>
        <v>1</v>
      </c>
      <c r="CX105" s="28">
        <f t="shared" ref="CX105:CY105" si="305">+SUMPRODUCT($G$106:$G$107,CX106:CX107)</f>
        <v>1</v>
      </c>
      <c r="CY105" s="28">
        <f t="shared" si="305"/>
        <v>1</v>
      </c>
      <c r="CZ105" s="28">
        <f t="shared" ref="CZ105:DA105" si="306">+SUMPRODUCT($G$106:$G$107,CZ106:CZ107)</f>
        <v>1</v>
      </c>
      <c r="DA105" s="28">
        <f t="shared" si="306"/>
        <v>1</v>
      </c>
      <c r="DB105" s="28">
        <f t="shared" ref="DB105:DC105" si="307">+SUMPRODUCT($G$106:$G$107,DB106:DB107)</f>
        <v>1</v>
      </c>
      <c r="DC105" s="28">
        <f t="shared" si="307"/>
        <v>1</v>
      </c>
      <c r="DD105" s="28">
        <f t="shared" ref="DD105:DE105" si="308">+SUMPRODUCT($G$106:$G$107,DD106:DD107)</f>
        <v>1</v>
      </c>
      <c r="DE105" s="28">
        <f t="shared" si="308"/>
        <v>1</v>
      </c>
      <c r="DF105" s="28">
        <f t="shared" ref="DF105:DJ105" si="309">+SUMPRODUCT($G$106:$G$107,DF106:DF107)</f>
        <v>1</v>
      </c>
      <c r="DG105" s="28">
        <f t="shared" si="309"/>
        <v>1</v>
      </c>
      <c r="DH105" s="28">
        <f t="shared" si="309"/>
        <v>1</v>
      </c>
      <c r="DI105" s="28">
        <f t="shared" si="309"/>
        <v>1</v>
      </c>
      <c r="DJ105" s="28">
        <f t="shared" si="309"/>
        <v>1</v>
      </c>
      <c r="DK105" s="28">
        <f t="shared" ref="DK105:EI105" si="310">+SUMPRODUCT($G$106:$G$107,DK106:DK107)</f>
        <v>1</v>
      </c>
      <c r="DL105" s="28">
        <f t="shared" si="310"/>
        <v>1</v>
      </c>
      <c r="DM105" s="28">
        <f t="shared" si="310"/>
        <v>1</v>
      </c>
      <c r="DN105" s="28">
        <f t="shared" si="310"/>
        <v>1</v>
      </c>
      <c r="DO105" s="28">
        <f t="shared" si="310"/>
        <v>1</v>
      </c>
      <c r="DP105" s="28">
        <f t="shared" si="310"/>
        <v>1</v>
      </c>
      <c r="DQ105" s="28">
        <f t="shared" si="310"/>
        <v>1</v>
      </c>
      <c r="DR105" s="28">
        <f t="shared" si="310"/>
        <v>1</v>
      </c>
      <c r="DS105" s="28">
        <f t="shared" si="310"/>
        <v>1</v>
      </c>
      <c r="DT105" s="28">
        <f t="shared" si="310"/>
        <v>1</v>
      </c>
      <c r="DU105" s="28">
        <f t="shared" si="310"/>
        <v>1</v>
      </c>
      <c r="DV105" s="28">
        <f t="shared" si="310"/>
        <v>1</v>
      </c>
      <c r="DW105" s="28">
        <f t="shared" si="310"/>
        <v>1</v>
      </c>
      <c r="DX105" s="28">
        <f t="shared" si="310"/>
        <v>1</v>
      </c>
      <c r="DY105" s="28">
        <f t="shared" si="310"/>
        <v>1</v>
      </c>
      <c r="DZ105" s="28">
        <f t="shared" si="310"/>
        <v>1</v>
      </c>
      <c r="EA105" s="28">
        <f t="shared" si="310"/>
        <v>1</v>
      </c>
      <c r="EB105" s="28">
        <f t="shared" si="310"/>
        <v>1</v>
      </c>
      <c r="EC105" s="28">
        <f t="shared" si="310"/>
        <v>1</v>
      </c>
      <c r="ED105" s="28">
        <f t="shared" si="310"/>
        <v>1</v>
      </c>
      <c r="EE105" s="28">
        <f t="shared" si="310"/>
        <v>1</v>
      </c>
      <c r="EF105" s="28">
        <f t="shared" si="310"/>
        <v>1</v>
      </c>
      <c r="EG105" s="28">
        <f t="shared" si="310"/>
        <v>1</v>
      </c>
      <c r="EH105" s="28">
        <f t="shared" si="310"/>
        <v>1</v>
      </c>
      <c r="EI105" s="28">
        <f t="shared" si="310"/>
        <v>1</v>
      </c>
    </row>
    <row r="106" spans="2:139" hidden="1" outlineLevel="3" x14ac:dyDescent="0.3">
      <c r="B106" s="29"/>
      <c r="C106" s="30"/>
      <c r="D106" s="30"/>
      <c r="E106" s="52" t="s">
        <v>110</v>
      </c>
      <c r="F106" s="33">
        <v>9</v>
      </c>
      <c r="G106" s="35">
        <v>0.25</v>
      </c>
      <c r="H106" s="53"/>
      <c r="I106" s="126">
        <v>0</v>
      </c>
      <c r="J106" s="127">
        <v>0</v>
      </c>
      <c r="K106" s="127">
        <v>0</v>
      </c>
      <c r="L106" s="127">
        <v>0</v>
      </c>
      <c r="M106" s="128">
        <v>0</v>
      </c>
      <c r="N106" s="128">
        <v>0</v>
      </c>
      <c r="O106" s="127">
        <v>0</v>
      </c>
      <c r="P106" s="127">
        <v>0</v>
      </c>
      <c r="Q106" s="127">
        <v>0</v>
      </c>
      <c r="R106" s="127">
        <v>0</v>
      </c>
      <c r="S106" s="127">
        <v>0</v>
      </c>
      <c r="T106" s="127">
        <v>0</v>
      </c>
      <c r="U106" s="127">
        <v>0</v>
      </c>
      <c r="V106" s="127">
        <v>0</v>
      </c>
      <c r="W106" s="127">
        <v>0</v>
      </c>
      <c r="X106" s="127">
        <v>0</v>
      </c>
      <c r="Y106" s="127">
        <v>0</v>
      </c>
      <c r="Z106" s="127">
        <v>0</v>
      </c>
      <c r="AA106" s="127">
        <v>0</v>
      </c>
      <c r="AB106" s="127">
        <v>0</v>
      </c>
      <c r="AC106" s="127">
        <v>0</v>
      </c>
      <c r="AD106" s="127">
        <v>0</v>
      </c>
      <c r="AE106" s="127">
        <v>0</v>
      </c>
      <c r="AF106" s="127">
        <v>0</v>
      </c>
      <c r="AG106" s="127">
        <v>0</v>
      </c>
      <c r="AH106" s="127">
        <v>0</v>
      </c>
      <c r="AI106" s="127">
        <v>0</v>
      </c>
      <c r="AJ106" s="127">
        <v>0</v>
      </c>
      <c r="AK106" s="127">
        <v>0</v>
      </c>
      <c r="AL106" s="127">
        <v>0</v>
      </c>
      <c r="AM106" s="127">
        <v>0</v>
      </c>
      <c r="AN106" s="127">
        <v>0</v>
      </c>
      <c r="AO106" s="127">
        <v>0</v>
      </c>
      <c r="AP106" s="127">
        <v>0</v>
      </c>
      <c r="AQ106" s="127">
        <v>0</v>
      </c>
      <c r="AR106" s="127">
        <v>0</v>
      </c>
      <c r="AS106" s="127">
        <v>0</v>
      </c>
      <c r="AT106" s="127">
        <v>0</v>
      </c>
      <c r="AU106" s="127">
        <v>0</v>
      </c>
      <c r="AV106" s="127">
        <v>0</v>
      </c>
      <c r="AW106" s="127">
        <v>0</v>
      </c>
      <c r="AX106" s="127">
        <v>0</v>
      </c>
      <c r="AY106" s="127">
        <v>0</v>
      </c>
      <c r="AZ106" s="127">
        <v>0</v>
      </c>
      <c r="BA106" s="127">
        <v>0</v>
      </c>
      <c r="BB106" s="127">
        <f>Planbase100[[#This Row],[05/05/25]]+(1-Planbase100[[#This Row],[05/05/25]])*'Plan 39'!I60</f>
        <v>0</v>
      </c>
      <c r="BC106" s="127">
        <f>Planbase100[[#This Row],[05/05/25]]+(1-Planbase100[[#This Row],[05/05/25]])*'Plan 39'!J60</f>
        <v>0</v>
      </c>
      <c r="BD106" s="127">
        <f>Planbase100[[#This Row],[05/05/25]]+(1-Planbase100[[#This Row],[05/05/25]])*'Plan 39'!K60</f>
        <v>0</v>
      </c>
      <c r="BE106" s="127">
        <f>Planbase100[[#This Row],[05/05/25]]+(1-Planbase100[[#This Row],[05/05/25]])*'Plan 39'!L60</f>
        <v>0</v>
      </c>
      <c r="BF106" s="127">
        <f>Planbase100[[#This Row],[05/05/25]]+(1-Planbase100[[#This Row],[05/05/25]])*'Plan 39'!M60</f>
        <v>0</v>
      </c>
      <c r="BG106" s="127">
        <f>Planbase100[[#This Row],[05/05/25]]+(1-Planbase100[[#This Row],[05/05/25]])*'Plan 39'!N60</f>
        <v>0</v>
      </c>
      <c r="BH106" s="127">
        <f>Planbase100[[#This Row],[05/05/25]]+(1-Planbase100[[#This Row],[05/05/25]])*'Plan 39'!O60</f>
        <v>0</v>
      </c>
      <c r="BI106" s="127">
        <f>Planbase100[[#This Row],[05/05/25]]+(1-Planbase100[[#This Row],[05/05/25]])*'Plan 39'!P60</f>
        <v>0</v>
      </c>
      <c r="BJ106" s="127">
        <f>Planbase100[[#This Row],[05/05/25]]+(1-Planbase100[[#This Row],[05/05/25]])*'Plan 39'!Q60</f>
        <v>0</v>
      </c>
      <c r="BK106" s="127">
        <f>Planbase100[[#This Row],[05/05/25]]+(1-Planbase100[[#This Row],[05/05/25]])*'Plan 39'!R60</f>
        <v>0</v>
      </c>
      <c r="BL106" s="127">
        <f>Planbase100[[#This Row],[05/05/25]]+(1-Planbase100[[#This Row],[05/05/25]])*'Plan 39'!S60</f>
        <v>0</v>
      </c>
      <c r="BM106" s="127">
        <f>Planbase100[[#This Row],[05/05/25]]+(1-Planbase100[[#This Row],[05/05/25]])*'Plan 39'!T60</f>
        <v>0</v>
      </c>
      <c r="BN106" s="127">
        <f>Planbase100[[#This Row],[05/05/25]]+(1-Planbase100[[#This Row],[05/05/25]])*'Plan 39'!U60</f>
        <v>0</v>
      </c>
      <c r="BO106" s="127">
        <f>Planbase100[[#This Row],[05/05/25]]+(1-Planbase100[[#This Row],[05/05/25]])*'Plan 39'!V60</f>
        <v>0</v>
      </c>
      <c r="BP106" s="127">
        <f>Planbase100[[#This Row],[05/05/25]]+(1-Planbase100[[#This Row],[05/05/25]])*'Plan 39'!W60</f>
        <v>0</v>
      </c>
      <c r="BQ106" s="127">
        <f>Planbase100[[#This Row],[05/05/25]]+(1-Planbase100[[#This Row],[05/05/25]])*'Plan 39'!X60</f>
        <v>0</v>
      </c>
      <c r="BR106" s="127">
        <f>Planbase100[[#This Row],[05/05/25]]+(1-Planbase100[[#This Row],[05/05/25]])*'Plan 39'!Y60</f>
        <v>0</v>
      </c>
      <c r="BS106" s="127">
        <f>Planbase100[[#This Row],[05/05/25]]+(1-Planbase100[[#This Row],[05/05/25]])*'Plan 39'!Z60</f>
        <v>0</v>
      </c>
      <c r="BT106" s="127">
        <f>Planbase100[[#This Row],[05/05/25]]+(1-Planbase100[[#This Row],[05/05/25]])*'Plan 39'!AA60</f>
        <v>0</v>
      </c>
      <c r="BU106" s="127">
        <f>Planbase100[[#This Row],[05/05/25]]+(1-Planbase100[[#This Row],[05/05/25]])*'Plan 39'!AB60</f>
        <v>0</v>
      </c>
      <c r="BV106" s="127">
        <f>Planbase100[[#This Row],[05/05/25]]+(1-Planbase100[[#This Row],[05/05/25]])*'Plan 39'!AC60</f>
        <v>0</v>
      </c>
      <c r="BW106" s="127">
        <f>Planbase100[[#This Row],[05/05/25]]+(1-Planbase100[[#This Row],[05/05/25]])*'Plan 39'!AD60</f>
        <v>0</v>
      </c>
      <c r="BX106" s="127">
        <f>Planbase100[[#This Row],[05/05/25]]+(1-Planbase100[[#This Row],[05/05/25]])*'Plan 39'!AE60</f>
        <v>0</v>
      </c>
      <c r="BY106" s="127">
        <f>Planbase100[[#This Row],[05/05/25]]+(1-Planbase100[[#This Row],[05/05/25]])*'Plan 39'!AF60</f>
        <v>0</v>
      </c>
      <c r="BZ106" s="127">
        <f>Planbase100[[#This Row],[05/05/25]]+(1-Planbase100[[#This Row],[05/05/25]])*'Plan 39'!AG60</f>
        <v>0</v>
      </c>
      <c r="CA106" s="127">
        <f>Planbase100[[#This Row],[05/05/25]]+(1-Planbase100[[#This Row],[05/05/25]])*'Plan 39'!AH60</f>
        <v>0</v>
      </c>
      <c r="CB106" s="127">
        <f>Planbase100[[#This Row],[05/05/25]]+(1-Planbase100[[#This Row],[05/05/25]])*'Plan 39'!AI60</f>
        <v>0.33333333333333337</v>
      </c>
      <c r="CC106" s="127">
        <f>Planbase100[[#This Row],[05/05/25]]+(1-Planbase100[[#This Row],[05/05/25]])*'Plan 39'!AJ60</f>
        <v>0.66633333333333333</v>
      </c>
      <c r="CD106" s="127">
        <f>Planbase100[[#This Row],[05/05/25]]+(1-Planbase100[[#This Row],[05/05/25]])*'Plan 39'!AK60</f>
        <v>1</v>
      </c>
      <c r="CE106" s="127">
        <f>Planbase100[[#This Row],[05/05/25]]+(1-Planbase100[[#This Row],[05/05/25]])*'Plan 39'!AL60</f>
        <v>1</v>
      </c>
      <c r="CF106" s="127">
        <f>Planbase100[[#This Row],[05/05/25]]+(1-Planbase100[[#This Row],[05/05/25]])*'Plan 39'!AM60</f>
        <v>1</v>
      </c>
      <c r="CG106" s="127">
        <f>Planbase100[[#This Row],[05/05/25]]+(1-Planbase100[[#This Row],[05/05/25]])*'Plan 39'!AN60</f>
        <v>1</v>
      </c>
      <c r="CH106" s="127">
        <f>Planbase100[[#This Row],[05/05/25]]+(1-Planbase100[[#This Row],[05/05/25]])*'Plan 39'!AO60</f>
        <v>1</v>
      </c>
      <c r="CI106" s="127">
        <f>Planbase100[[#This Row],[05/05/25]]+(1-Planbase100[[#This Row],[05/05/25]])*'Plan 39'!AP60</f>
        <v>1</v>
      </c>
      <c r="CJ106" s="127">
        <f>Planbase100[[#This Row],[05/05/25]]+(1-Planbase100[[#This Row],[05/05/25]])*'Plan 39'!AQ60</f>
        <v>1</v>
      </c>
      <c r="CK106" s="127">
        <f>Planbase100[[#This Row],[05/05/25]]+(1-Planbase100[[#This Row],[05/05/25]])*'Plan 39'!AR60</f>
        <v>1</v>
      </c>
      <c r="CL106" s="127">
        <f>Planbase100[[#This Row],[05/05/25]]+(1-Planbase100[[#This Row],[05/05/25]])*'Plan 39'!AS60</f>
        <v>1</v>
      </c>
      <c r="CM106" s="127">
        <f>Planbase100[[#This Row],[05/05/25]]+(1-Planbase100[[#This Row],[05/05/25]])*'Plan 39'!AT60</f>
        <v>1</v>
      </c>
      <c r="CN106" s="127">
        <f>Planbase100[[#This Row],[05/05/25]]+(1-Planbase100[[#This Row],[05/05/25]])*'Plan 39'!AU60</f>
        <v>1</v>
      </c>
      <c r="CO106" s="127">
        <f>Planbase100[[#This Row],[05/05/25]]+(1-Planbase100[[#This Row],[05/05/25]])*'Plan 39'!AV60</f>
        <v>1</v>
      </c>
      <c r="CP106" s="127">
        <f>Planbase100[[#This Row],[05/05/25]]+(1-Planbase100[[#This Row],[05/05/25]])*'Plan 39'!AW60</f>
        <v>1</v>
      </c>
      <c r="CQ106" s="127">
        <f>Planbase100[[#This Row],[05/05/25]]+(1-Planbase100[[#This Row],[05/05/25]])*'Plan 39'!AX60</f>
        <v>1</v>
      </c>
      <c r="CR106" s="127">
        <f>Planbase100[[#This Row],[05/05/25]]+(1-Planbase100[[#This Row],[05/05/25]])*'Plan 39'!AY60</f>
        <v>1</v>
      </c>
      <c r="CS106" s="127">
        <f>Planbase100[[#This Row],[05/05/25]]+(1-Planbase100[[#This Row],[05/05/25]])*'Plan 39'!AZ60</f>
        <v>1</v>
      </c>
      <c r="CT106" s="127">
        <f>Planbase100[[#This Row],[05/05/25]]+(1-Planbase100[[#This Row],[05/05/25]])*'Plan 39'!BA60</f>
        <v>1</v>
      </c>
      <c r="CU106" s="127">
        <f>Planbase100[[#This Row],[05/05/25]]+(1-Planbase100[[#This Row],[05/05/25]])*'Plan 39'!BB60</f>
        <v>1</v>
      </c>
      <c r="CV106" s="127">
        <f>Planbase100[[#This Row],[05/05/25]]+(1-Planbase100[[#This Row],[05/05/25]])*'Plan 39'!BC60</f>
        <v>1</v>
      </c>
      <c r="CW106" s="127">
        <f>Planbase100[[#This Row],[05/05/25]]+(1-Planbase100[[#This Row],[05/05/25]])*'Plan 39'!BD60</f>
        <v>1</v>
      </c>
      <c r="CX106" s="127">
        <f>Planbase100[[#This Row],[05/05/25]]+(1-Planbase100[[#This Row],[05/05/25]])*'Plan 39'!BE60</f>
        <v>1</v>
      </c>
      <c r="CY106" s="127">
        <f>Planbase100[[#This Row],[05/05/25]]+(1-Planbase100[[#This Row],[05/05/25]])*'Plan 39'!BF60</f>
        <v>1</v>
      </c>
      <c r="CZ106" s="127">
        <f>Planbase100[[#This Row],[05/05/25]]+(1-Planbase100[[#This Row],[05/05/25]])*'Plan 39'!BG60</f>
        <v>1</v>
      </c>
      <c r="DA106" s="127">
        <f>Planbase100[[#This Row],[05/05/25]]+(1-Planbase100[[#This Row],[05/05/25]])*'Plan 39'!BH60</f>
        <v>1</v>
      </c>
      <c r="DB106" s="127">
        <f>Planbase100[[#This Row],[05/05/25]]+(1-Planbase100[[#This Row],[05/05/25]])*'Plan 39'!BI60</f>
        <v>1</v>
      </c>
      <c r="DC106" s="127">
        <f>Planbase100[[#This Row],[05/05/25]]+(1-Planbase100[[#This Row],[05/05/25]])*'Plan 39'!BJ60</f>
        <v>1</v>
      </c>
      <c r="DD106" s="127">
        <f>Planbase100[[#This Row],[05/05/25]]+(1-Planbase100[[#This Row],[05/05/25]])*'Plan 39'!BK60</f>
        <v>1</v>
      </c>
      <c r="DE106" s="127">
        <f>Planbase100[[#This Row],[05/05/25]]+(1-Planbase100[[#This Row],[05/05/25]])*'Plan 39'!BL60</f>
        <v>1</v>
      </c>
      <c r="DF106" s="127">
        <f>Planbase100[[#This Row],[12/05/25]]+(1-Planbase100[[#This Row],[12/05/25]])*'Plan 39'!BM60</f>
        <v>1</v>
      </c>
      <c r="DG106" s="127">
        <f>Planbase100[[#This Row],[19/05/25]]+(1-Planbase100[[#This Row],[19/05/25]])*'Plan 39'!BN60</f>
        <v>1</v>
      </c>
      <c r="DH106" s="127">
        <f>Planbase100[[#This Row],[26/05/25]]+(1-Planbase100[[#This Row],[26/05/25]])*'Plan 39'!BO60</f>
        <v>1</v>
      </c>
      <c r="DI106" s="127">
        <f>Planbase100[[#This Row],[02/06/25]]+(1-Planbase100[[#This Row],[02/06/25]])*'Plan 39'!BP60</f>
        <v>1</v>
      </c>
      <c r="DJ106" s="127">
        <f>Planbase100[[#This Row],[09/06/25]]+(1-Planbase100[[#This Row],[09/06/25]])*'Plan 39'!BQ60</f>
        <v>1</v>
      </c>
      <c r="DK106" s="127">
        <f>Planbase100[[#This Row],[16/06/25]]+(1-Planbase100[[#This Row],[16/06/25]])*'Plan 39'!BR60</f>
        <v>1</v>
      </c>
      <c r="DL106" s="127">
        <f>Planbase100[[#This Row],[23/06/25]]+(1-Planbase100[[#This Row],[23/06/25]])*'Plan 39'!BS60</f>
        <v>1</v>
      </c>
      <c r="DM106" s="127">
        <f>Planbase100[[#This Row],[30/06/25]]+(1-Planbase100[[#This Row],[30/06/25]])*'Plan 39'!BT60</f>
        <v>1</v>
      </c>
      <c r="DN106" s="127">
        <f>Planbase100[[#This Row],[07/07/25]]+(1-Planbase100[[#This Row],[07/07/25]])*'Plan 39'!BU60</f>
        <v>1</v>
      </c>
      <c r="DO106" s="127">
        <f>Planbase100[[#This Row],[14/07/25]]+(1-Planbase100[[#This Row],[14/07/25]])*'Plan 39'!BV60</f>
        <v>1</v>
      </c>
      <c r="DP106" s="127">
        <f>Planbase100[[#This Row],[21/07/25]]+(1-Planbase100[[#This Row],[21/07/25]])*'Plan 39'!BW60</f>
        <v>1</v>
      </c>
      <c r="DQ106" s="127">
        <f>Planbase100[[#This Row],[28/07/25]]+(1-Planbase100[[#This Row],[28/07/25]])*'Plan 39'!BX60</f>
        <v>1</v>
      </c>
      <c r="DR106" s="127">
        <f>Planbase100[[#This Row],[04/08/25]]+(1-Planbase100[[#This Row],[04/08/25]])*'Plan 39'!BY60</f>
        <v>1</v>
      </c>
      <c r="DS106" s="127">
        <f>Planbase100[[#This Row],[11/08/25]]+(1-Planbase100[[#This Row],[11/08/25]])*'Plan 39'!BZ60</f>
        <v>1</v>
      </c>
      <c r="DT106" s="127">
        <f>Planbase100[[#This Row],[18/08/25]]+(1-Planbase100[[#This Row],[18/08/25]])*'Plan 39'!CA60</f>
        <v>1</v>
      </c>
      <c r="DU106" s="127">
        <f>Planbase100[[#This Row],[25/08/25]]+(1-Planbase100[[#This Row],[25/08/25]])*'Plan 39'!CB60</f>
        <v>1</v>
      </c>
      <c r="DV106" s="127">
        <f>Planbase100[[#This Row],[01/09/25]]+(1-Planbase100[[#This Row],[01/09/25]])*'Plan 39'!CC60</f>
        <v>1</v>
      </c>
      <c r="DW106" s="127">
        <f>Planbase100[[#This Row],[08/09/25]]+(1-Planbase100[[#This Row],[08/09/25]])*'Plan 39'!CD60</f>
        <v>1</v>
      </c>
      <c r="DX106" s="127">
        <f>Planbase100[[#This Row],[15/09/25]]+(1-Planbase100[[#This Row],[15/09/25]])*'Plan 39'!CE60</f>
        <v>1</v>
      </c>
      <c r="DY106" s="127">
        <f>Planbase100[[#This Row],[22/09/25]]+(1-Planbase100[[#This Row],[22/09/25]])*'Plan 39'!CF60</f>
        <v>1</v>
      </c>
      <c r="DZ106" s="127">
        <f>Planbase100[[#This Row],[29/09/25]]+(1-Planbase100[[#This Row],[29/09/25]])*'Plan 39'!CG60</f>
        <v>1</v>
      </c>
      <c r="EA106" s="127">
        <f>Planbase100[[#This Row],[06/10/25]]+(1-Planbase100[[#This Row],[06/10/25]])*'Plan 39'!CH60</f>
        <v>1</v>
      </c>
      <c r="EB106" s="127">
        <f>Planbase100[[#This Row],[13/10/25]]+(1-Planbase100[[#This Row],[13/10/25]])*'Plan 39'!CI60</f>
        <v>1</v>
      </c>
      <c r="EC106" s="127">
        <f>Planbase100[[#This Row],[20/10/25]]+(1-Planbase100[[#This Row],[20/10/25]])*'Plan 39'!CJ60</f>
        <v>1</v>
      </c>
      <c r="ED106" s="127">
        <f>Planbase100[[#This Row],[27/10/25]]+(1-Planbase100[[#This Row],[27/10/25]])*'Plan 39'!CK60</f>
        <v>1</v>
      </c>
      <c r="EE106" s="127">
        <f>Planbase100[[#This Row],[03/11/25]]+(1-Planbase100[[#This Row],[03/11/25]])*'Plan 39'!CL60</f>
        <v>1</v>
      </c>
      <c r="EF106" s="127">
        <f>Planbase100[[#This Row],[10/11/25]]+(1-Planbase100[[#This Row],[10/11/25]])*'Plan 39'!CM60</f>
        <v>1</v>
      </c>
      <c r="EG106" s="127">
        <f>Planbase100[[#This Row],[17/11/25]]+(1-Planbase100[[#This Row],[17/11/25]])*'Plan 39'!CN60</f>
        <v>1</v>
      </c>
      <c r="EH106" s="127">
        <f>Planbase100[[#This Row],[24/11/25]]+(1-Planbase100[[#This Row],[24/11/25]])*'Plan 39'!CO60</f>
        <v>1</v>
      </c>
      <c r="EI106" s="127">
        <f>Planbase100[[#This Row],[01/12/25]]+(1-Planbase100[[#This Row],[01/12/25]])*'Plan 39'!CP60</f>
        <v>1</v>
      </c>
    </row>
    <row r="107" spans="2:139" hidden="1" outlineLevel="3" x14ac:dyDescent="0.3">
      <c r="B107" s="29"/>
      <c r="C107" s="30"/>
      <c r="D107" s="30"/>
      <c r="E107" s="52" t="s">
        <v>111</v>
      </c>
      <c r="F107" s="33">
        <v>18</v>
      </c>
      <c r="G107" s="35">
        <v>0.75</v>
      </c>
      <c r="H107" s="53"/>
      <c r="I107" s="126">
        <v>0</v>
      </c>
      <c r="J107" s="127">
        <v>0</v>
      </c>
      <c r="K107" s="127">
        <v>0</v>
      </c>
      <c r="L107" s="127">
        <v>0</v>
      </c>
      <c r="M107" s="128">
        <v>0</v>
      </c>
      <c r="N107" s="128">
        <v>0</v>
      </c>
      <c r="O107" s="127">
        <v>0</v>
      </c>
      <c r="P107" s="127">
        <v>0</v>
      </c>
      <c r="Q107" s="127">
        <v>0</v>
      </c>
      <c r="R107" s="127">
        <v>0</v>
      </c>
      <c r="S107" s="127">
        <v>0</v>
      </c>
      <c r="T107" s="127">
        <v>0</v>
      </c>
      <c r="U107" s="127">
        <v>0</v>
      </c>
      <c r="V107" s="127">
        <v>0</v>
      </c>
      <c r="W107" s="127">
        <v>0</v>
      </c>
      <c r="X107" s="127">
        <v>0</v>
      </c>
      <c r="Y107" s="127">
        <v>0</v>
      </c>
      <c r="Z107" s="127">
        <v>0</v>
      </c>
      <c r="AA107" s="127">
        <v>0</v>
      </c>
      <c r="AB107" s="127">
        <v>0</v>
      </c>
      <c r="AC107" s="127">
        <v>0</v>
      </c>
      <c r="AD107" s="127">
        <v>0</v>
      </c>
      <c r="AE107" s="127">
        <v>0</v>
      </c>
      <c r="AF107" s="127">
        <v>0</v>
      </c>
      <c r="AG107" s="127">
        <v>0</v>
      </c>
      <c r="AH107" s="127">
        <v>0</v>
      </c>
      <c r="AI107" s="127">
        <v>0</v>
      </c>
      <c r="AJ107" s="127">
        <v>0</v>
      </c>
      <c r="AK107" s="127">
        <v>0</v>
      </c>
      <c r="AL107" s="127">
        <v>0</v>
      </c>
      <c r="AM107" s="127">
        <v>0</v>
      </c>
      <c r="AN107" s="127">
        <v>0</v>
      </c>
      <c r="AO107" s="127">
        <v>0</v>
      </c>
      <c r="AP107" s="127">
        <v>0</v>
      </c>
      <c r="AQ107" s="127">
        <v>0</v>
      </c>
      <c r="AR107" s="127">
        <v>0</v>
      </c>
      <c r="AS107" s="127">
        <v>0</v>
      </c>
      <c r="AT107" s="127">
        <v>0</v>
      </c>
      <c r="AU107" s="127">
        <v>0</v>
      </c>
      <c r="AV107" s="127">
        <v>0</v>
      </c>
      <c r="AW107" s="127">
        <v>0</v>
      </c>
      <c r="AX107" s="127">
        <v>0</v>
      </c>
      <c r="AY107" s="127">
        <v>0</v>
      </c>
      <c r="AZ107" s="127">
        <v>0</v>
      </c>
      <c r="BA107" s="127">
        <v>0</v>
      </c>
      <c r="BB107" s="127">
        <f>Planbase100[[#This Row],[05/05/25]]+(1-Planbase100[[#This Row],[05/05/25]])*'Plan 39'!I61</f>
        <v>0</v>
      </c>
      <c r="BC107" s="127">
        <f>Planbase100[[#This Row],[05/05/25]]+(1-Planbase100[[#This Row],[05/05/25]])*'Plan 39'!J61</f>
        <v>0</v>
      </c>
      <c r="BD107" s="127">
        <f>Planbase100[[#This Row],[05/05/25]]+(1-Planbase100[[#This Row],[05/05/25]])*'Plan 39'!K61</f>
        <v>0</v>
      </c>
      <c r="BE107" s="127">
        <f>Planbase100[[#This Row],[05/05/25]]+(1-Planbase100[[#This Row],[05/05/25]])*'Plan 39'!L61</f>
        <v>0</v>
      </c>
      <c r="BF107" s="127">
        <f>Planbase100[[#This Row],[05/05/25]]+(1-Planbase100[[#This Row],[05/05/25]])*'Plan 39'!M61</f>
        <v>0</v>
      </c>
      <c r="BG107" s="127">
        <f>Planbase100[[#This Row],[05/05/25]]+(1-Planbase100[[#This Row],[05/05/25]])*'Plan 39'!N61</f>
        <v>0</v>
      </c>
      <c r="BH107" s="127">
        <f>Planbase100[[#This Row],[05/05/25]]+(1-Planbase100[[#This Row],[05/05/25]])*'Plan 39'!O61</f>
        <v>0</v>
      </c>
      <c r="BI107" s="127">
        <f>Planbase100[[#This Row],[05/05/25]]+(1-Planbase100[[#This Row],[05/05/25]])*'Plan 39'!P61</f>
        <v>0</v>
      </c>
      <c r="BJ107" s="127">
        <f>Planbase100[[#This Row],[05/05/25]]+(1-Planbase100[[#This Row],[05/05/25]])*'Plan 39'!Q61</f>
        <v>0</v>
      </c>
      <c r="BK107" s="127">
        <f>Planbase100[[#This Row],[05/05/25]]+(1-Planbase100[[#This Row],[05/05/25]])*'Plan 39'!R61</f>
        <v>0</v>
      </c>
      <c r="BL107" s="127">
        <f>Planbase100[[#This Row],[05/05/25]]+(1-Planbase100[[#This Row],[05/05/25]])*'Plan 39'!S61</f>
        <v>0</v>
      </c>
      <c r="BM107" s="127">
        <f>Planbase100[[#This Row],[05/05/25]]+(1-Planbase100[[#This Row],[05/05/25]])*'Plan 39'!T61</f>
        <v>0</v>
      </c>
      <c r="BN107" s="127">
        <f>Planbase100[[#This Row],[05/05/25]]+(1-Planbase100[[#This Row],[05/05/25]])*'Plan 39'!U61</f>
        <v>0</v>
      </c>
      <c r="BO107" s="127">
        <f>Planbase100[[#This Row],[05/05/25]]+(1-Planbase100[[#This Row],[05/05/25]])*'Plan 39'!V61</f>
        <v>0</v>
      </c>
      <c r="BP107" s="127">
        <f>Planbase100[[#This Row],[05/05/25]]+(1-Planbase100[[#This Row],[05/05/25]])*'Plan 39'!W61</f>
        <v>0</v>
      </c>
      <c r="BQ107" s="127">
        <f>Planbase100[[#This Row],[05/05/25]]+(1-Planbase100[[#This Row],[05/05/25]])*'Plan 39'!X61</f>
        <v>0</v>
      </c>
      <c r="BR107" s="127">
        <f>Planbase100[[#This Row],[05/05/25]]+(1-Planbase100[[#This Row],[05/05/25]])*'Plan 39'!Y61</f>
        <v>0</v>
      </c>
      <c r="BS107" s="127">
        <f>Planbase100[[#This Row],[05/05/25]]+(1-Planbase100[[#This Row],[05/05/25]])*'Plan 39'!Z61</f>
        <v>0</v>
      </c>
      <c r="BT107" s="127">
        <f>Planbase100[[#This Row],[05/05/25]]+(1-Planbase100[[#This Row],[05/05/25]])*'Plan 39'!AA61</f>
        <v>0</v>
      </c>
      <c r="BU107" s="127">
        <f>Planbase100[[#This Row],[05/05/25]]+(1-Planbase100[[#This Row],[05/05/25]])*'Plan 39'!AB61</f>
        <v>0</v>
      </c>
      <c r="BV107" s="127">
        <f>Planbase100[[#This Row],[05/05/25]]+(1-Planbase100[[#This Row],[05/05/25]])*'Plan 39'!AC61</f>
        <v>0</v>
      </c>
      <c r="BW107" s="127">
        <f>Planbase100[[#This Row],[05/05/25]]+(1-Planbase100[[#This Row],[05/05/25]])*'Plan 39'!AD61</f>
        <v>0</v>
      </c>
      <c r="BX107" s="127">
        <f>Planbase100[[#This Row],[05/05/25]]+(1-Planbase100[[#This Row],[05/05/25]])*'Plan 39'!AE61</f>
        <v>0</v>
      </c>
      <c r="BY107" s="127">
        <f>Planbase100[[#This Row],[05/05/25]]+(1-Planbase100[[#This Row],[05/05/25]])*'Plan 39'!AF61</f>
        <v>0</v>
      </c>
      <c r="BZ107" s="127">
        <f>Planbase100[[#This Row],[05/05/25]]+(1-Planbase100[[#This Row],[05/05/25]])*'Plan 39'!AG61</f>
        <v>0</v>
      </c>
      <c r="CA107" s="127">
        <f>Planbase100[[#This Row],[05/05/25]]+(1-Planbase100[[#This Row],[05/05/25]])*'Plan 39'!AH61</f>
        <v>0</v>
      </c>
      <c r="CB107" s="127">
        <f>Planbase100[[#This Row],[05/05/25]]+(1-Planbase100[[#This Row],[05/05/25]])*'Plan 39'!AI61</f>
        <v>0</v>
      </c>
      <c r="CC107" s="127">
        <f>Planbase100[[#This Row],[05/05/25]]+(1-Planbase100[[#This Row],[05/05/25]])*'Plan 39'!AJ61</f>
        <v>0</v>
      </c>
      <c r="CD107" s="127">
        <f>Planbase100[[#This Row],[05/05/25]]+(1-Planbase100[[#This Row],[05/05/25]])*'Plan 39'!AK61</f>
        <v>0</v>
      </c>
      <c r="CE107" s="127">
        <f>Planbase100[[#This Row],[05/05/25]]+(1-Planbase100[[#This Row],[05/05/25]])*'Plan 39'!AL61</f>
        <v>0</v>
      </c>
      <c r="CF107" s="127">
        <f>Planbase100[[#This Row],[05/05/25]]+(1-Planbase100[[#This Row],[05/05/25]])*'Plan 39'!AM61</f>
        <v>0</v>
      </c>
      <c r="CG107" s="127">
        <f>Planbase100[[#This Row],[05/05/25]]+(1-Planbase100[[#This Row],[05/05/25]])*'Plan 39'!AN61</f>
        <v>0</v>
      </c>
      <c r="CH107" s="127">
        <f>Planbase100[[#This Row],[05/05/25]]+(1-Planbase100[[#This Row],[05/05/25]])*'Plan 39'!AO61</f>
        <v>0.25</v>
      </c>
      <c r="CI107" s="127">
        <f>Planbase100[[#This Row],[05/05/25]]+(1-Planbase100[[#This Row],[05/05/25]])*'Plan 39'!AP61</f>
        <v>1</v>
      </c>
      <c r="CJ107" s="127">
        <f>Planbase100[[#This Row],[05/05/25]]+(1-Planbase100[[#This Row],[05/05/25]])*'Plan 39'!AQ61</f>
        <v>1</v>
      </c>
      <c r="CK107" s="127">
        <f>Planbase100[[#This Row],[05/05/25]]+(1-Planbase100[[#This Row],[05/05/25]])*'Plan 39'!AR61</f>
        <v>1</v>
      </c>
      <c r="CL107" s="127">
        <f>Planbase100[[#This Row],[05/05/25]]+(1-Planbase100[[#This Row],[05/05/25]])*'Plan 39'!AS61</f>
        <v>1</v>
      </c>
      <c r="CM107" s="127">
        <f>Planbase100[[#This Row],[05/05/25]]+(1-Planbase100[[#This Row],[05/05/25]])*'Plan 39'!AT61</f>
        <v>1</v>
      </c>
      <c r="CN107" s="127">
        <f>Planbase100[[#This Row],[05/05/25]]+(1-Planbase100[[#This Row],[05/05/25]])*'Plan 39'!AU61</f>
        <v>1</v>
      </c>
      <c r="CO107" s="127">
        <f>Planbase100[[#This Row],[05/05/25]]+(1-Planbase100[[#This Row],[05/05/25]])*'Plan 39'!AV61</f>
        <v>1</v>
      </c>
      <c r="CP107" s="127">
        <f>Planbase100[[#This Row],[05/05/25]]+(1-Planbase100[[#This Row],[05/05/25]])*'Plan 39'!AW61</f>
        <v>1</v>
      </c>
      <c r="CQ107" s="127">
        <f>Planbase100[[#This Row],[05/05/25]]+(1-Planbase100[[#This Row],[05/05/25]])*'Plan 39'!AX61</f>
        <v>1</v>
      </c>
      <c r="CR107" s="127">
        <f>Planbase100[[#This Row],[05/05/25]]+(1-Planbase100[[#This Row],[05/05/25]])*'Plan 39'!AY61</f>
        <v>1</v>
      </c>
      <c r="CS107" s="127">
        <f>Planbase100[[#This Row],[05/05/25]]+(1-Planbase100[[#This Row],[05/05/25]])*'Plan 39'!AZ61</f>
        <v>1</v>
      </c>
      <c r="CT107" s="127">
        <f>Planbase100[[#This Row],[05/05/25]]+(1-Planbase100[[#This Row],[05/05/25]])*'Plan 39'!BA61</f>
        <v>1</v>
      </c>
      <c r="CU107" s="127">
        <f>Planbase100[[#This Row],[05/05/25]]+(1-Planbase100[[#This Row],[05/05/25]])*'Plan 39'!BB61</f>
        <v>1</v>
      </c>
      <c r="CV107" s="127">
        <f>Planbase100[[#This Row],[05/05/25]]+(1-Planbase100[[#This Row],[05/05/25]])*'Plan 39'!BC61</f>
        <v>1</v>
      </c>
      <c r="CW107" s="127">
        <f>Planbase100[[#This Row],[05/05/25]]+(1-Planbase100[[#This Row],[05/05/25]])*'Plan 39'!BD61</f>
        <v>1</v>
      </c>
      <c r="CX107" s="127">
        <f>Planbase100[[#This Row],[05/05/25]]+(1-Planbase100[[#This Row],[05/05/25]])*'Plan 39'!BE61</f>
        <v>1</v>
      </c>
      <c r="CY107" s="127">
        <f>Planbase100[[#This Row],[05/05/25]]+(1-Planbase100[[#This Row],[05/05/25]])*'Plan 39'!BF61</f>
        <v>1</v>
      </c>
      <c r="CZ107" s="127">
        <f>Planbase100[[#This Row],[05/05/25]]+(1-Planbase100[[#This Row],[05/05/25]])*'Plan 39'!BG61</f>
        <v>1</v>
      </c>
      <c r="DA107" s="127">
        <f>Planbase100[[#This Row],[05/05/25]]+(1-Planbase100[[#This Row],[05/05/25]])*'Plan 39'!BH61</f>
        <v>1</v>
      </c>
      <c r="DB107" s="127">
        <f>Planbase100[[#This Row],[05/05/25]]+(1-Planbase100[[#This Row],[05/05/25]])*'Plan 39'!BI61</f>
        <v>1</v>
      </c>
      <c r="DC107" s="127">
        <f>Planbase100[[#This Row],[05/05/25]]+(1-Planbase100[[#This Row],[05/05/25]])*'Plan 39'!BJ61</f>
        <v>1</v>
      </c>
      <c r="DD107" s="127">
        <f>Planbase100[[#This Row],[05/05/25]]+(1-Planbase100[[#This Row],[05/05/25]])*'Plan 39'!BK61</f>
        <v>1</v>
      </c>
      <c r="DE107" s="127">
        <f>Planbase100[[#This Row],[05/05/25]]+(1-Planbase100[[#This Row],[05/05/25]])*'Plan 39'!BL61</f>
        <v>1</v>
      </c>
      <c r="DF107" s="127">
        <f>Planbase100[[#This Row],[12/05/25]]+(1-Planbase100[[#This Row],[12/05/25]])*'Plan 39'!BM61</f>
        <v>1</v>
      </c>
      <c r="DG107" s="127">
        <f>Planbase100[[#This Row],[19/05/25]]+(1-Planbase100[[#This Row],[19/05/25]])*'Plan 39'!BN61</f>
        <v>1</v>
      </c>
      <c r="DH107" s="127">
        <f>Planbase100[[#This Row],[26/05/25]]+(1-Planbase100[[#This Row],[26/05/25]])*'Plan 39'!BO61</f>
        <v>1</v>
      </c>
      <c r="DI107" s="127">
        <f>Planbase100[[#This Row],[02/06/25]]+(1-Planbase100[[#This Row],[02/06/25]])*'Plan 39'!BP61</f>
        <v>1</v>
      </c>
      <c r="DJ107" s="127">
        <f>Planbase100[[#This Row],[09/06/25]]+(1-Planbase100[[#This Row],[09/06/25]])*'Plan 39'!BQ61</f>
        <v>1</v>
      </c>
      <c r="DK107" s="127">
        <f>Planbase100[[#This Row],[16/06/25]]+(1-Planbase100[[#This Row],[16/06/25]])*'Plan 39'!BR61</f>
        <v>1</v>
      </c>
      <c r="DL107" s="127">
        <f>Planbase100[[#This Row],[23/06/25]]+(1-Planbase100[[#This Row],[23/06/25]])*'Plan 39'!BS61</f>
        <v>1</v>
      </c>
      <c r="DM107" s="127">
        <f>Planbase100[[#This Row],[30/06/25]]+(1-Planbase100[[#This Row],[30/06/25]])*'Plan 39'!BT61</f>
        <v>1</v>
      </c>
      <c r="DN107" s="127">
        <f>Planbase100[[#This Row],[07/07/25]]+(1-Planbase100[[#This Row],[07/07/25]])*'Plan 39'!BU61</f>
        <v>1</v>
      </c>
      <c r="DO107" s="127">
        <f>Planbase100[[#This Row],[14/07/25]]+(1-Planbase100[[#This Row],[14/07/25]])*'Plan 39'!BV61</f>
        <v>1</v>
      </c>
      <c r="DP107" s="127">
        <f>Planbase100[[#This Row],[21/07/25]]+(1-Planbase100[[#This Row],[21/07/25]])*'Plan 39'!BW61</f>
        <v>1</v>
      </c>
      <c r="DQ107" s="127">
        <f>Planbase100[[#This Row],[28/07/25]]+(1-Planbase100[[#This Row],[28/07/25]])*'Plan 39'!BX61</f>
        <v>1</v>
      </c>
      <c r="DR107" s="127">
        <f>Planbase100[[#This Row],[04/08/25]]+(1-Planbase100[[#This Row],[04/08/25]])*'Plan 39'!BY61</f>
        <v>1</v>
      </c>
      <c r="DS107" s="127">
        <f>Planbase100[[#This Row],[11/08/25]]+(1-Planbase100[[#This Row],[11/08/25]])*'Plan 39'!BZ61</f>
        <v>1</v>
      </c>
      <c r="DT107" s="127">
        <f>Planbase100[[#This Row],[18/08/25]]+(1-Planbase100[[#This Row],[18/08/25]])*'Plan 39'!CA61</f>
        <v>1</v>
      </c>
      <c r="DU107" s="127">
        <f>Planbase100[[#This Row],[25/08/25]]+(1-Planbase100[[#This Row],[25/08/25]])*'Plan 39'!CB61</f>
        <v>1</v>
      </c>
      <c r="DV107" s="127">
        <f>Planbase100[[#This Row],[01/09/25]]+(1-Planbase100[[#This Row],[01/09/25]])*'Plan 39'!CC61</f>
        <v>1</v>
      </c>
      <c r="DW107" s="127">
        <f>Planbase100[[#This Row],[08/09/25]]+(1-Planbase100[[#This Row],[08/09/25]])*'Plan 39'!CD61</f>
        <v>1</v>
      </c>
      <c r="DX107" s="127">
        <f>Planbase100[[#This Row],[15/09/25]]+(1-Planbase100[[#This Row],[15/09/25]])*'Plan 39'!CE61</f>
        <v>1</v>
      </c>
      <c r="DY107" s="127">
        <f>Planbase100[[#This Row],[22/09/25]]+(1-Planbase100[[#This Row],[22/09/25]])*'Plan 39'!CF61</f>
        <v>1</v>
      </c>
      <c r="DZ107" s="127">
        <f>Planbase100[[#This Row],[29/09/25]]+(1-Planbase100[[#This Row],[29/09/25]])*'Plan 39'!CG61</f>
        <v>1</v>
      </c>
      <c r="EA107" s="127">
        <f>Planbase100[[#This Row],[06/10/25]]+(1-Planbase100[[#This Row],[06/10/25]])*'Plan 39'!CH61</f>
        <v>1</v>
      </c>
      <c r="EB107" s="127">
        <f>Planbase100[[#This Row],[13/10/25]]+(1-Planbase100[[#This Row],[13/10/25]])*'Plan 39'!CI61</f>
        <v>1</v>
      </c>
      <c r="EC107" s="127">
        <f>Planbase100[[#This Row],[20/10/25]]+(1-Planbase100[[#This Row],[20/10/25]])*'Plan 39'!CJ61</f>
        <v>1</v>
      </c>
      <c r="ED107" s="127">
        <f>Planbase100[[#This Row],[27/10/25]]+(1-Planbase100[[#This Row],[27/10/25]])*'Plan 39'!CK61</f>
        <v>1</v>
      </c>
      <c r="EE107" s="127">
        <f>Planbase100[[#This Row],[03/11/25]]+(1-Planbase100[[#This Row],[03/11/25]])*'Plan 39'!CL61</f>
        <v>1</v>
      </c>
      <c r="EF107" s="127">
        <f>Planbase100[[#This Row],[10/11/25]]+(1-Planbase100[[#This Row],[10/11/25]])*'Plan 39'!CM61</f>
        <v>1</v>
      </c>
      <c r="EG107" s="127">
        <f>Planbase100[[#This Row],[17/11/25]]+(1-Planbase100[[#This Row],[17/11/25]])*'Plan 39'!CN61</f>
        <v>1</v>
      </c>
      <c r="EH107" s="127">
        <f>Planbase100[[#This Row],[24/11/25]]+(1-Planbase100[[#This Row],[24/11/25]])*'Plan 39'!CO61</f>
        <v>1</v>
      </c>
      <c r="EI107" s="127">
        <f>Planbase100[[#This Row],[01/12/25]]+(1-Planbase100[[#This Row],[01/12/25]])*'Plan 39'!CP61</f>
        <v>1</v>
      </c>
    </row>
    <row r="108" spans="2:139" ht="15" hidden="1" outlineLevel="2" collapsed="1" x14ac:dyDescent="0.3">
      <c r="B108" s="22"/>
      <c r="C108" s="23"/>
      <c r="D108" s="23" t="s">
        <v>112</v>
      </c>
      <c r="E108" s="50"/>
      <c r="F108" s="26">
        <f>+SUM(F109:F110)</f>
        <v>50</v>
      </c>
      <c r="G108" s="28">
        <v>6.9648115450815076E-2</v>
      </c>
      <c r="H108" s="51"/>
      <c r="I108" s="125">
        <f>+SUMPRODUCT($G$109:$G$110,I109:I110)</f>
        <v>5.5500000000000002E-3</v>
      </c>
      <c r="J108" s="28">
        <f>+SUMPRODUCT($G$109:$G$110,J109:J110)</f>
        <v>1.5857142857142875E-2</v>
      </c>
      <c r="K108" s="28">
        <f t="shared" ref="K108:BB108" si="311">+SUMPRODUCT($G$109:$G$110,K109:K110)</f>
        <v>3.1714285714285737E-2</v>
      </c>
      <c r="L108" s="28">
        <f t="shared" si="311"/>
        <v>4.7571428571428598E-2</v>
      </c>
      <c r="M108" s="64">
        <f t="shared" si="311"/>
        <v>6.3428571428571459E-2</v>
      </c>
      <c r="N108" s="64">
        <f t="shared" si="311"/>
        <v>7.928571428571432E-2</v>
      </c>
      <c r="O108" s="28">
        <f t="shared" si="311"/>
        <v>9.5142857142857182E-2</v>
      </c>
      <c r="P108" s="28">
        <f t="shared" si="311"/>
        <v>0.111</v>
      </c>
      <c r="Q108" s="28">
        <f t="shared" si="311"/>
        <v>0.111</v>
      </c>
      <c r="R108" s="28">
        <f t="shared" si="311"/>
        <v>0.111</v>
      </c>
      <c r="S108" s="28">
        <f t="shared" si="311"/>
        <v>0.111</v>
      </c>
      <c r="T108" s="28">
        <f t="shared" si="311"/>
        <v>0.111</v>
      </c>
      <c r="U108" s="28">
        <f t="shared" si="311"/>
        <v>0.111</v>
      </c>
      <c r="V108" s="28">
        <f t="shared" si="311"/>
        <v>0.111</v>
      </c>
      <c r="W108" s="28">
        <f t="shared" si="311"/>
        <v>0.111</v>
      </c>
      <c r="X108" s="28">
        <f t="shared" si="311"/>
        <v>0.111</v>
      </c>
      <c r="Y108" s="28">
        <f t="shared" si="311"/>
        <v>0.111</v>
      </c>
      <c r="Z108" s="28">
        <f t="shared" si="311"/>
        <v>0.111</v>
      </c>
      <c r="AA108" s="28">
        <f t="shared" si="311"/>
        <v>0.111</v>
      </c>
      <c r="AB108" s="28">
        <f t="shared" si="311"/>
        <v>0.111</v>
      </c>
      <c r="AC108" s="28">
        <f t="shared" si="311"/>
        <v>0.111</v>
      </c>
      <c r="AD108" s="28">
        <f t="shared" si="311"/>
        <v>0.111</v>
      </c>
      <c r="AE108" s="28">
        <f t="shared" si="311"/>
        <v>0.111</v>
      </c>
      <c r="AF108" s="28">
        <f t="shared" si="311"/>
        <v>0.12210000000000001</v>
      </c>
      <c r="AG108" s="28">
        <f t="shared" si="311"/>
        <v>0.12210000000000001</v>
      </c>
      <c r="AH108" s="28">
        <f t="shared" si="311"/>
        <v>0.12210000000000001</v>
      </c>
      <c r="AI108" s="28">
        <f>+SUMPRODUCT($G$109:$G$110,AI109:AI110)</f>
        <v>0.12210000000000001</v>
      </c>
      <c r="AJ108" s="28">
        <f>+SUMPRODUCT($G$109:$G$110,AJ109:AJ110)</f>
        <v>0.12210000000000001</v>
      </c>
      <c r="AK108" s="28">
        <f t="shared" si="311"/>
        <v>0.12210000000000001</v>
      </c>
      <c r="AL108" s="28">
        <f t="shared" si="311"/>
        <v>0.12210000000000001</v>
      </c>
      <c r="AM108" s="28">
        <f t="shared" si="311"/>
        <v>0.12210000000000001</v>
      </c>
      <c r="AN108" s="28">
        <f t="shared" si="311"/>
        <v>0.19980000000000001</v>
      </c>
      <c r="AO108" s="28">
        <f t="shared" si="311"/>
        <v>0.19980000000000001</v>
      </c>
      <c r="AP108" s="28">
        <f t="shared" si="311"/>
        <v>0.19980000000000001</v>
      </c>
      <c r="AQ108" s="28">
        <f t="shared" si="311"/>
        <v>0.19980000000000001</v>
      </c>
      <c r="AR108" s="28">
        <f t="shared" si="311"/>
        <v>0.19980000000000001</v>
      </c>
      <c r="AS108" s="28">
        <f t="shared" si="311"/>
        <v>0.19980000000000001</v>
      </c>
      <c r="AT108" s="28">
        <f t="shared" si="311"/>
        <v>0.19980000000000001</v>
      </c>
      <c r="AU108" s="28">
        <f t="shared" si="311"/>
        <v>0.19980000000000001</v>
      </c>
      <c r="AV108" s="28">
        <f t="shared" si="311"/>
        <v>0.19980000000000001</v>
      </c>
      <c r="AW108" s="28">
        <f t="shared" si="311"/>
        <v>0.19980000000000001</v>
      </c>
      <c r="AX108" s="28">
        <f t="shared" si="311"/>
        <v>0.19980000000000001</v>
      </c>
      <c r="AY108" s="28">
        <f t="shared" si="311"/>
        <v>0.19980000000000001</v>
      </c>
      <c r="AZ108" s="28">
        <f t="shared" si="311"/>
        <v>0.19980000000000001</v>
      </c>
      <c r="BA108" s="28">
        <f t="shared" si="311"/>
        <v>0.19980000000000001</v>
      </c>
      <c r="BB108" s="28">
        <f t="shared" si="311"/>
        <v>0.19980000000000001</v>
      </c>
      <c r="BC108" s="28">
        <f t="shared" ref="BC108:CE108" si="312">+SUMPRODUCT($G$109:$G$110,BC109:BC110)</f>
        <v>0.19980000000000001</v>
      </c>
      <c r="BD108" s="28">
        <f t="shared" si="312"/>
        <v>0.19980000000000001</v>
      </c>
      <c r="BE108" s="28">
        <f t="shared" si="312"/>
        <v>0.19980000000000001</v>
      </c>
      <c r="BF108" s="28">
        <f t="shared" si="312"/>
        <v>0.19980000000000001</v>
      </c>
      <c r="BG108" s="28">
        <f t="shared" si="312"/>
        <v>0.19980000000000001</v>
      </c>
      <c r="BH108" s="28">
        <f t="shared" si="312"/>
        <v>0.19980000000000001</v>
      </c>
      <c r="BI108" s="28">
        <f t="shared" si="312"/>
        <v>0.19980000000000001</v>
      </c>
      <c r="BJ108" s="28">
        <f t="shared" si="312"/>
        <v>0.19980000000000001</v>
      </c>
      <c r="BK108" s="28">
        <f t="shared" si="312"/>
        <v>0.19980000000000001</v>
      </c>
      <c r="BL108" s="28">
        <f t="shared" si="312"/>
        <v>0.19980000000000001</v>
      </c>
      <c r="BM108" s="28">
        <f t="shared" si="312"/>
        <v>0.19980000000000001</v>
      </c>
      <c r="BN108" s="28">
        <f t="shared" si="312"/>
        <v>0.19980000000000001</v>
      </c>
      <c r="BO108" s="28">
        <f t="shared" si="312"/>
        <v>0.19980000000000001</v>
      </c>
      <c r="BP108" s="28">
        <f t="shared" si="312"/>
        <v>0.20424</v>
      </c>
      <c r="BQ108" s="28">
        <f t="shared" si="312"/>
        <v>0.20868</v>
      </c>
      <c r="BR108" s="28">
        <f t="shared" si="312"/>
        <v>0.21312</v>
      </c>
      <c r="BS108" s="28">
        <f t="shared" si="312"/>
        <v>0.21756</v>
      </c>
      <c r="BT108" s="28">
        <f t="shared" si="312"/>
        <v>0.29068444444444447</v>
      </c>
      <c r="BU108" s="28">
        <f t="shared" si="312"/>
        <v>0.39480244444444446</v>
      </c>
      <c r="BV108" s="28">
        <f t="shared" si="312"/>
        <v>0.48116044444444439</v>
      </c>
      <c r="BW108" s="28">
        <f t="shared" si="312"/>
        <v>0.56751844444444444</v>
      </c>
      <c r="BX108" s="28">
        <f t="shared" si="312"/>
        <v>0.65387644444444448</v>
      </c>
      <c r="BY108" s="28">
        <f t="shared" si="312"/>
        <v>0.74023444444444442</v>
      </c>
      <c r="BZ108" s="28">
        <f t="shared" si="312"/>
        <v>0.82659244444444446</v>
      </c>
      <c r="CA108" s="28">
        <f t="shared" si="312"/>
        <v>0.9129504444444444</v>
      </c>
      <c r="CB108" s="28">
        <f t="shared" si="312"/>
        <v>0.99930844444444444</v>
      </c>
      <c r="CC108" s="28">
        <f t="shared" si="312"/>
        <v>1</v>
      </c>
      <c r="CD108" s="28">
        <f t="shared" si="312"/>
        <v>1</v>
      </c>
      <c r="CE108" s="28">
        <f t="shared" si="312"/>
        <v>1</v>
      </c>
      <c r="CF108" s="28">
        <f t="shared" ref="CF108:CI108" si="313">+SUMPRODUCT($G$109:$G$110,CF109:CF110)</f>
        <v>1</v>
      </c>
      <c r="CG108" s="28">
        <f t="shared" si="313"/>
        <v>1</v>
      </c>
      <c r="CH108" s="28">
        <f t="shared" si="313"/>
        <v>1</v>
      </c>
      <c r="CI108" s="28">
        <f t="shared" si="313"/>
        <v>1</v>
      </c>
      <c r="CJ108" s="28">
        <f t="shared" ref="CJ108:CK108" si="314">+SUMPRODUCT($G$109:$G$110,CJ109:CJ110)</f>
        <v>1</v>
      </c>
      <c r="CK108" s="28">
        <f t="shared" si="314"/>
        <v>1</v>
      </c>
      <c r="CL108" s="28">
        <f t="shared" ref="CL108" si="315">+SUMPRODUCT($G$109:$G$110,CL109:CL110)</f>
        <v>1</v>
      </c>
      <c r="CM108" s="28">
        <f t="shared" ref="CM108:CV108" si="316">+SUMPRODUCT($G$109:$G$110,CM109:CM110)</f>
        <v>1</v>
      </c>
      <c r="CN108" s="28">
        <f t="shared" si="316"/>
        <v>1</v>
      </c>
      <c r="CO108" s="28">
        <f t="shared" si="316"/>
        <v>1</v>
      </c>
      <c r="CP108" s="28">
        <f t="shared" si="316"/>
        <v>1</v>
      </c>
      <c r="CQ108" s="28">
        <f t="shared" si="316"/>
        <v>1</v>
      </c>
      <c r="CR108" s="28">
        <f t="shared" si="316"/>
        <v>1</v>
      </c>
      <c r="CS108" s="28">
        <f t="shared" si="316"/>
        <v>1</v>
      </c>
      <c r="CT108" s="28">
        <f t="shared" si="316"/>
        <v>1</v>
      </c>
      <c r="CU108" s="28">
        <f t="shared" si="316"/>
        <v>1</v>
      </c>
      <c r="CV108" s="28">
        <f t="shared" si="316"/>
        <v>1</v>
      </c>
      <c r="CW108" s="28">
        <f t="shared" ref="CW108" si="317">+SUMPRODUCT($G$109:$G$110,CW109:CW110)</f>
        <v>1</v>
      </c>
      <c r="CX108" s="28">
        <f t="shared" ref="CX108:CY108" si="318">+SUMPRODUCT($G$109:$G$110,CX109:CX110)</f>
        <v>1</v>
      </c>
      <c r="CY108" s="28">
        <f t="shared" si="318"/>
        <v>1</v>
      </c>
      <c r="CZ108" s="28">
        <f t="shared" ref="CZ108:DA108" si="319">+SUMPRODUCT($G$109:$G$110,CZ109:CZ110)</f>
        <v>1</v>
      </c>
      <c r="DA108" s="28">
        <f t="shared" si="319"/>
        <v>1</v>
      </c>
      <c r="DB108" s="28">
        <f t="shared" ref="DB108:DC108" si="320">+SUMPRODUCT($G$109:$G$110,DB109:DB110)</f>
        <v>1</v>
      </c>
      <c r="DC108" s="28">
        <f t="shared" si="320"/>
        <v>1</v>
      </c>
      <c r="DD108" s="28">
        <f t="shared" ref="DD108:DE108" si="321">+SUMPRODUCT($G$109:$G$110,DD109:DD110)</f>
        <v>1</v>
      </c>
      <c r="DE108" s="28">
        <f t="shared" si="321"/>
        <v>1</v>
      </c>
      <c r="DF108" s="28">
        <f t="shared" ref="DF108:DJ108" si="322">+SUMPRODUCT($G$109:$G$110,DF109:DF110)</f>
        <v>1</v>
      </c>
      <c r="DG108" s="28">
        <f t="shared" si="322"/>
        <v>1</v>
      </c>
      <c r="DH108" s="28">
        <f t="shared" si="322"/>
        <v>1</v>
      </c>
      <c r="DI108" s="28">
        <f t="shared" si="322"/>
        <v>1</v>
      </c>
      <c r="DJ108" s="28">
        <f t="shared" si="322"/>
        <v>1</v>
      </c>
      <c r="DK108" s="28">
        <f t="shared" ref="DK108:EI108" si="323">+SUMPRODUCT($G$109:$G$110,DK109:DK110)</f>
        <v>1</v>
      </c>
      <c r="DL108" s="28">
        <f t="shared" si="323"/>
        <v>1</v>
      </c>
      <c r="DM108" s="28">
        <f t="shared" si="323"/>
        <v>1</v>
      </c>
      <c r="DN108" s="28">
        <f t="shared" si="323"/>
        <v>1</v>
      </c>
      <c r="DO108" s="28">
        <f t="shared" si="323"/>
        <v>1</v>
      </c>
      <c r="DP108" s="28">
        <f t="shared" si="323"/>
        <v>1</v>
      </c>
      <c r="DQ108" s="28">
        <f t="shared" si="323"/>
        <v>1</v>
      </c>
      <c r="DR108" s="28">
        <f t="shared" si="323"/>
        <v>1</v>
      </c>
      <c r="DS108" s="28">
        <f t="shared" si="323"/>
        <v>1</v>
      </c>
      <c r="DT108" s="28">
        <f t="shared" si="323"/>
        <v>1</v>
      </c>
      <c r="DU108" s="28">
        <f t="shared" si="323"/>
        <v>1</v>
      </c>
      <c r="DV108" s="28">
        <f t="shared" si="323"/>
        <v>1</v>
      </c>
      <c r="DW108" s="28">
        <f t="shared" si="323"/>
        <v>1</v>
      </c>
      <c r="DX108" s="28">
        <f t="shared" si="323"/>
        <v>1</v>
      </c>
      <c r="DY108" s="28">
        <f t="shared" si="323"/>
        <v>1</v>
      </c>
      <c r="DZ108" s="28">
        <f t="shared" si="323"/>
        <v>1</v>
      </c>
      <c r="EA108" s="28">
        <f t="shared" si="323"/>
        <v>1</v>
      </c>
      <c r="EB108" s="28">
        <f t="shared" si="323"/>
        <v>1</v>
      </c>
      <c r="EC108" s="28">
        <f t="shared" si="323"/>
        <v>1</v>
      </c>
      <c r="ED108" s="28">
        <f t="shared" si="323"/>
        <v>1</v>
      </c>
      <c r="EE108" s="28">
        <f t="shared" si="323"/>
        <v>1</v>
      </c>
      <c r="EF108" s="28">
        <f t="shared" si="323"/>
        <v>1</v>
      </c>
      <c r="EG108" s="28">
        <f t="shared" si="323"/>
        <v>1</v>
      </c>
      <c r="EH108" s="28">
        <f t="shared" si="323"/>
        <v>1</v>
      </c>
      <c r="EI108" s="28">
        <f t="shared" si="323"/>
        <v>1</v>
      </c>
    </row>
    <row r="109" spans="2:139" hidden="1" outlineLevel="3" x14ac:dyDescent="0.3">
      <c r="B109" s="29"/>
      <c r="C109" s="30"/>
      <c r="D109" s="30"/>
      <c r="E109" s="52" t="s">
        <v>113</v>
      </c>
      <c r="F109" s="33">
        <v>10</v>
      </c>
      <c r="G109" s="35">
        <v>0.222</v>
      </c>
      <c r="H109" s="53"/>
      <c r="I109" s="126">
        <v>2.5000000000000001E-2</v>
      </c>
      <c r="J109" s="127">
        <v>7.1428571428571508E-2</v>
      </c>
      <c r="K109" s="127">
        <v>0.14285714285714296</v>
      </c>
      <c r="L109" s="127">
        <v>0.21428571428571441</v>
      </c>
      <c r="M109" s="127">
        <v>0.28571428571428586</v>
      </c>
      <c r="N109" s="127">
        <v>0.35714285714285732</v>
      </c>
      <c r="O109" s="127">
        <v>0.42857142857142877</v>
      </c>
      <c r="P109" s="127">
        <v>0.5</v>
      </c>
      <c r="Q109" s="127">
        <v>0.5</v>
      </c>
      <c r="R109" s="127">
        <v>0.5</v>
      </c>
      <c r="S109" s="127">
        <v>0.5</v>
      </c>
      <c r="T109" s="127">
        <v>0.5</v>
      </c>
      <c r="U109" s="127">
        <v>0.5</v>
      </c>
      <c r="V109" s="127">
        <v>0.5</v>
      </c>
      <c r="W109" s="127">
        <v>0.5</v>
      </c>
      <c r="X109" s="127">
        <v>0.5</v>
      </c>
      <c r="Y109" s="127">
        <v>0.5</v>
      </c>
      <c r="Z109" s="127">
        <v>0.5</v>
      </c>
      <c r="AA109" s="127">
        <v>0.5</v>
      </c>
      <c r="AB109" s="127">
        <v>0.5</v>
      </c>
      <c r="AC109" s="127">
        <v>0.5</v>
      </c>
      <c r="AD109" s="127">
        <v>0.5</v>
      </c>
      <c r="AE109" s="127">
        <v>0.5</v>
      </c>
      <c r="AF109" s="127">
        <v>0.55000000000000004</v>
      </c>
      <c r="AG109" s="127">
        <v>0.55000000000000004</v>
      </c>
      <c r="AH109" s="127">
        <v>0.55000000000000004</v>
      </c>
      <c r="AI109" s="127">
        <v>0.55000000000000004</v>
      </c>
      <c r="AJ109" s="127">
        <v>0.55000000000000004</v>
      </c>
      <c r="AK109" s="127">
        <v>0.55000000000000004</v>
      </c>
      <c r="AL109" s="127">
        <v>0.55000000000000004</v>
      </c>
      <c r="AM109" s="127">
        <v>0.55000000000000004</v>
      </c>
      <c r="AN109" s="127">
        <v>0.9</v>
      </c>
      <c r="AO109" s="127">
        <v>0.9</v>
      </c>
      <c r="AP109" s="127">
        <v>0.9</v>
      </c>
      <c r="AQ109" s="127">
        <v>0.9</v>
      </c>
      <c r="AR109" s="127">
        <v>0.9</v>
      </c>
      <c r="AS109" s="127">
        <v>0.9</v>
      </c>
      <c r="AT109" s="127">
        <v>0.9</v>
      </c>
      <c r="AU109" s="127">
        <v>0.9</v>
      </c>
      <c r="AV109" s="127">
        <v>0.9</v>
      </c>
      <c r="AW109" s="127">
        <v>0.9</v>
      </c>
      <c r="AX109" s="127">
        <v>0.9</v>
      </c>
      <c r="AY109" s="127">
        <v>0.9</v>
      </c>
      <c r="AZ109" s="127">
        <v>0.9</v>
      </c>
      <c r="BA109" s="127">
        <v>0.9</v>
      </c>
      <c r="BB109" s="127">
        <f>Planbase100[[#This Row],[05/05/25]]+(1-Planbase100[[#This Row],[05/05/25]])*'Plan 39'!I63</f>
        <v>0.9</v>
      </c>
      <c r="BC109" s="127">
        <f>Planbase100[[#This Row],[05/05/25]]+(1-Planbase100[[#This Row],[05/05/25]])*'Plan 39'!J63</f>
        <v>0.9</v>
      </c>
      <c r="BD109" s="127">
        <f>Planbase100[[#This Row],[05/05/25]]+(1-Planbase100[[#This Row],[05/05/25]])*'Plan 39'!K63</f>
        <v>0.9</v>
      </c>
      <c r="BE109" s="127">
        <f>Planbase100[[#This Row],[05/05/25]]+(1-Planbase100[[#This Row],[05/05/25]])*'Plan 39'!L63</f>
        <v>0.9</v>
      </c>
      <c r="BF109" s="127">
        <f>Planbase100[[#This Row],[05/05/25]]+(1-Planbase100[[#This Row],[05/05/25]])*'Plan 39'!M63</f>
        <v>0.9</v>
      </c>
      <c r="BG109" s="127">
        <f>Planbase100[[#This Row],[05/05/25]]+(1-Planbase100[[#This Row],[05/05/25]])*'Plan 39'!N63</f>
        <v>0.9</v>
      </c>
      <c r="BH109" s="127">
        <f>Planbase100[[#This Row],[05/05/25]]+(1-Planbase100[[#This Row],[05/05/25]])*'Plan 39'!O63</f>
        <v>0.9</v>
      </c>
      <c r="BI109" s="127">
        <f>Planbase100[[#This Row],[05/05/25]]+(1-Planbase100[[#This Row],[05/05/25]])*'Plan 39'!P63</f>
        <v>0.9</v>
      </c>
      <c r="BJ109" s="127">
        <f>Planbase100[[#This Row],[05/05/25]]+(1-Planbase100[[#This Row],[05/05/25]])*'Plan 39'!Q63</f>
        <v>0.9</v>
      </c>
      <c r="BK109" s="127">
        <f>Planbase100[[#This Row],[05/05/25]]+(1-Planbase100[[#This Row],[05/05/25]])*'Plan 39'!R63</f>
        <v>0.9</v>
      </c>
      <c r="BL109" s="127">
        <f>Planbase100[[#This Row],[05/05/25]]+(1-Planbase100[[#This Row],[05/05/25]])*'Plan 39'!S63</f>
        <v>0.9</v>
      </c>
      <c r="BM109" s="127">
        <f>Planbase100[[#This Row],[05/05/25]]+(1-Planbase100[[#This Row],[05/05/25]])*'Plan 39'!T63</f>
        <v>0.9</v>
      </c>
      <c r="BN109" s="127">
        <f>Planbase100[[#This Row],[05/05/25]]+(1-Planbase100[[#This Row],[05/05/25]])*'Plan 39'!U63</f>
        <v>0.9</v>
      </c>
      <c r="BO109" s="127">
        <f>Planbase100[[#This Row],[05/05/25]]+(1-Planbase100[[#This Row],[05/05/25]])*'Plan 39'!V63</f>
        <v>0.9</v>
      </c>
      <c r="BP109" s="127">
        <f>Planbase100[[#This Row],[05/05/25]]+(1-Planbase100[[#This Row],[05/05/25]])*'Plan 39'!W63</f>
        <v>0.92</v>
      </c>
      <c r="BQ109" s="127">
        <f>Planbase100[[#This Row],[05/05/25]]+(1-Planbase100[[#This Row],[05/05/25]])*'Plan 39'!X63</f>
        <v>0.94000000000000006</v>
      </c>
      <c r="BR109" s="127">
        <f>Planbase100[[#This Row],[05/05/25]]+(1-Planbase100[[#This Row],[05/05/25]])*'Plan 39'!Y63</f>
        <v>0.96</v>
      </c>
      <c r="BS109" s="127">
        <f>Planbase100[[#This Row],[05/05/25]]+(1-Planbase100[[#This Row],[05/05/25]])*'Plan 39'!Z63</f>
        <v>0.98</v>
      </c>
      <c r="BT109" s="127">
        <f>Planbase100[[#This Row],[05/05/25]]+(1-Planbase100[[#This Row],[05/05/25]])*'Plan 39'!AA63</f>
        <v>0.92</v>
      </c>
      <c r="BU109" s="127">
        <f>Planbase100[[#This Row],[05/05/25]]+(1-Planbase100[[#This Row],[05/05/25]])*'Plan 39'!AB63</f>
        <v>1</v>
      </c>
      <c r="BV109" s="127">
        <f>Planbase100[[#This Row],[05/05/25]]+(1-Planbase100[[#This Row],[05/05/25]])*'Plan 39'!AC63</f>
        <v>1</v>
      </c>
      <c r="BW109" s="127">
        <f>Planbase100[[#This Row],[05/05/25]]+(1-Planbase100[[#This Row],[05/05/25]])*'Plan 39'!AD63</f>
        <v>1</v>
      </c>
      <c r="BX109" s="127">
        <f>Planbase100[[#This Row],[05/05/25]]+(1-Planbase100[[#This Row],[05/05/25]])*'Plan 39'!AE63</f>
        <v>1</v>
      </c>
      <c r="BY109" s="127">
        <f>Planbase100[[#This Row],[05/05/25]]+(1-Planbase100[[#This Row],[05/05/25]])*'Plan 39'!AF63</f>
        <v>1</v>
      </c>
      <c r="BZ109" s="127">
        <f>Planbase100[[#This Row],[05/05/25]]+(1-Planbase100[[#This Row],[05/05/25]])*'Plan 39'!AG63</f>
        <v>1</v>
      </c>
      <c r="CA109" s="127">
        <f>Planbase100[[#This Row],[05/05/25]]+(1-Planbase100[[#This Row],[05/05/25]])*'Plan 39'!AH63</f>
        <v>1</v>
      </c>
      <c r="CB109" s="127">
        <f>Planbase100[[#This Row],[05/05/25]]+(1-Planbase100[[#This Row],[05/05/25]])*'Plan 39'!AI63</f>
        <v>1</v>
      </c>
      <c r="CC109" s="127">
        <f>Planbase100[[#This Row],[05/05/25]]+(1-Planbase100[[#This Row],[05/05/25]])*'Plan 39'!AJ63</f>
        <v>1</v>
      </c>
      <c r="CD109" s="127">
        <f>Planbase100[[#This Row],[05/05/25]]+(1-Planbase100[[#This Row],[05/05/25]])*'Plan 39'!AK63</f>
        <v>1</v>
      </c>
      <c r="CE109" s="127">
        <f>Planbase100[[#This Row],[05/05/25]]+(1-Planbase100[[#This Row],[05/05/25]])*'Plan 39'!AL63</f>
        <v>1</v>
      </c>
      <c r="CF109" s="127">
        <f>Planbase100[[#This Row],[05/05/25]]+(1-Planbase100[[#This Row],[05/05/25]])*'Plan 39'!AM63</f>
        <v>1</v>
      </c>
      <c r="CG109" s="127">
        <f>Planbase100[[#This Row],[05/05/25]]+(1-Planbase100[[#This Row],[05/05/25]])*'Plan 39'!AN63</f>
        <v>1</v>
      </c>
      <c r="CH109" s="127">
        <f>Planbase100[[#This Row],[05/05/25]]+(1-Planbase100[[#This Row],[05/05/25]])*'Plan 39'!AO63</f>
        <v>1</v>
      </c>
      <c r="CI109" s="127">
        <f>Planbase100[[#This Row],[05/05/25]]+(1-Planbase100[[#This Row],[05/05/25]])*'Plan 39'!AP63</f>
        <v>1</v>
      </c>
      <c r="CJ109" s="127">
        <f>Planbase100[[#This Row],[05/05/25]]+(1-Planbase100[[#This Row],[05/05/25]])*'Plan 39'!AQ63</f>
        <v>1</v>
      </c>
      <c r="CK109" s="127">
        <f>Planbase100[[#This Row],[05/05/25]]+(1-Planbase100[[#This Row],[05/05/25]])*'Plan 39'!AR63</f>
        <v>1</v>
      </c>
      <c r="CL109" s="127">
        <f>Planbase100[[#This Row],[05/05/25]]+(1-Planbase100[[#This Row],[05/05/25]])*'Plan 39'!AS63</f>
        <v>1</v>
      </c>
      <c r="CM109" s="127">
        <f>Planbase100[[#This Row],[05/05/25]]+(1-Planbase100[[#This Row],[05/05/25]])*'Plan 39'!AT63</f>
        <v>1</v>
      </c>
      <c r="CN109" s="127">
        <f>Planbase100[[#This Row],[05/05/25]]+(1-Planbase100[[#This Row],[05/05/25]])*'Plan 39'!AU63</f>
        <v>1</v>
      </c>
      <c r="CO109" s="127">
        <f>Planbase100[[#This Row],[05/05/25]]+(1-Planbase100[[#This Row],[05/05/25]])*'Plan 39'!AV63</f>
        <v>1</v>
      </c>
      <c r="CP109" s="127">
        <f>Planbase100[[#This Row],[05/05/25]]+(1-Planbase100[[#This Row],[05/05/25]])*'Plan 39'!AW63</f>
        <v>1</v>
      </c>
      <c r="CQ109" s="127">
        <f>Planbase100[[#This Row],[05/05/25]]+(1-Planbase100[[#This Row],[05/05/25]])*'Plan 39'!AX63</f>
        <v>1</v>
      </c>
      <c r="CR109" s="127">
        <f>Planbase100[[#This Row],[05/05/25]]+(1-Planbase100[[#This Row],[05/05/25]])*'Plan 39'!AY63</f>
        <v>1</v>
      </c>
      <c r="CS109" s="127">
        <f>Planbase100[[#This Row],[05/05/25]]+(1-Planbase100[[#This Row],[05/05/25]])*'Plan 39'!AZ63</f>
        <v>1</v>
      </c>
      <c r="CT109" s="127">
        <f>Planbase100[[#This Row],[05/05/25]]+(1-Planbase100[[#This Row],[05/05/25]])*'Plan 39'!BA63</f>
        <v>1</v>
      </c>
      <c r="CU109" s="127">
        <f>Planbase100[[#This Row],[05/05/25]]+(1-Planbase100[[#This Row],[05/05/25]])*'Plan 39'!BB63</f>
        <v>1</v>
      </c>
      <c r="CV109" s="127">
        <f>Planbase100[[#This Row],[05/05/25]]+(1-Planbase100[[#This Row],[05/05/25]])*'Plan 39'!BC63</f>
        <v>1</v>
      </c>
      <c r="CW109" s="127">
        <f>Planbase100[[#This Row],[05/05/25]]+(1-Planbase100[[#This Row],[05/05/25]])*'Plan 39'!BD63</f>
        <v>1</v>
      </c>
      <c r="CX109" s="127">
        <f>Planbase100[[#This Row],[05/05/25]]+(1-Planbase100[[#This Row],[05/05/25]])*'Plan 39'!BE63</f>
        <v>1</v>
      </c>
      <c r="CY109" s="127">
        <f>Planbase100[[#This Row],[05/05/25]]+(1-Planbase100[[#This Row],[05/05/25]])*'Plan 39'!BF63</f>
        <v>1</v>
      </c>
      <c r="CZ109" s="127">
        <f>Planbase100[[#This Row],[05/05/25]]+(1-Planbase100[[#This Row],[05/05/25]])*'Plan 39'!BG63</f>
        <v>1</v>
      </c>
      <c r="DA109" s="127">
        <f>Planbase100[[#This Row],[05/05/25]]+(1-Planbase100[[#This Row],[05/05/25]])*'Plan 39'!BH63</f>
        <v>1</v>
      </c>
      <c r="DB109" s="127">
        <f>Planbase100[[#This Row],[05/05/25]]+(1-Planbase100[[#This Row],[05/05/25]])*'Plan 39'!BI63</f>
        <v>1</v>
      </c>
      <c r="DC109" s="127">
        <f>Planbase100[[#This Row],[05/05/25]]+(1-Planbase100[[#This Row],[05/05/25]])*'Plan 39'!BJ63</f>
        <v>1</v>
      </c>
      <c r="DD109" s="127">
        <f>Planbase100[[#This Row],[05/05/25]]+(1-Planbase100[[#This Row],[05/05/25]])*'Plan 39'!BK63</f>
        <v>1</v>
      </c>
      <c r="DE109" s="127">
        <f>Planbase100[[#This Row],[05/05/25]]+(1-Planbase100[[#This Row],[05/05/25]])*'Plan 39'!BL63</f>
        <v>1</v>
      </c>
      <c r="DF109" s="127">
        <f>Planbase100[[#This Row],[12/05/25]]+(1-Planbase100[[#This Row],[12/05/25]])*'Plan 39'!BM63</f>
        <v>1</v>
      </c>
      <c r="DG109" s="127">
        <f>Planbase100[[#This Row],[19/05/25]]+(1-Planbase100[[#This Row],[19/05/25]])*'Plan 39'!BN63</f>
        <v>1</v>
      </c>
      <c r="DH109" s="127">
        <f>Planbase100[[#This Row],[26/05/25]]+(1-Planbase100[[#This Row],[26/05/25]])*'Plan 39'!BO63</f>
        <v>1</v>
      </c>
      <c r="DI109" s="127">
        <f>Planbase100[[#This Row],[02/06/25]]+(1-Planbase100[[#This Row],[02/06/25]])*'Plan 39'!BP63</f>
        <v>1</v>
      </c>
      <c r="DJ109" s="127">
        <f>Planbase100[[#This Row],[09/06/25]]+(1-Planbase100[[#This Row],[09/06/25]])*'Plan 39'!BQ63</f>
        <v>1</v>
      </c>
      <c r="DK109" s="127">
        <f>Planbase100[[#This Row],[16/06/25]]+(1-Planbase100[[#This Row],[16/06/25]])*'Plan 39'!BR63</f>
        <v>1</v>
      </c>
      <c r="DL109" s="127">
        <f>Planbase100[[#This Row],[23/06/25]]+(1-Planbase100[[#This Row],[23/06/25]])*'Plan 39'!BS63</f>
        <v>1</v>
      </c>
      <c r="DM109" s="127">
        <f>Planbase100[[#This Row],[30/06/25]]+(1-Planbase100[[#This Row],[30/06/25]])*'Plan 39'!BT63</f>
        <v>1</v>
      </c>
      <c r="DN109" s="127">
        <f>Planbase100[[#This Row],[07/07/25]]+(1-Planbase100[[#This Row],[07/07/25]])*'Plan 39'!BU63</f>
        <v>1</v>
      </c>
      <c r="DO109" s="127">
        <f>Planbase100[[#This Row],[14/07/25]]+(1-Planbase100[[#This Row],[14/07/25]])*'Plan 39'!BV63</f>
        <v>1</v>
      </c>
      <c r="DP109" s="127">
        <f>Planbase100[[#This Row],[21/07/25]]+(1-Planbase100[[#This Row],[21/07/25]])*'Plan 39'!BW63</f>
        <v>1</v>
      </c>
      <c r="DQ109" s="127">
        <f>Planbase100[[#This Row],[28/07/25]]+(1-Planbase100[[#This Row],[28/07/25]])*'Plan 39'!BX63</f>
        <v>1</v>
      </c>
      <c r="DR109" s="127">
        <f>Planbase100[[#This Row],[04/08/25]]+(1-Planbase100[[#This Row],[04/08/25]])*'Plan 39'!BY63</f>
        <v>1</v>
      </c>
      <c r="DS109" s="127">
        <f>Planbase100[[#This Row],[11/08/25]]+(1-Planbase100[[#This Row],[11/08/25]])*'Plan 39'!BZ63</f>
        <v>1</v>
      </c>
      <c r="DT109" s="127">
        <f>Planbase100[[#This Row],[18/08/25]]+(1-Planbase100[[#This Row],[18/08/25]])*'Plan 39'!CA63</f>
        <v>1</v>
      </c>
      <c r="DU109" s="127">
        <f>Planbase100[[#This Row],[25/08/25]]+(1-Planbase100[[#This Row],[25/08/25]])*'Plan 39'!CB63</f>
        <v>1</v>
      </c>
      <c r="DV109" s="127">
        <f>Planbase100[[#This Row],[01/09/25]]+(1-Planbase100[[#This Row],[01/09/25]])*'Plan 39'!CC63</f>
        <v>1</v>
      </c>
      <c r="DW109" s="127">
        <f>Planbase100[[#This Row],[08/09/25]]+(1-Planbase100[[#This Row],[08/09/25]])*'Plan 39'!CD63</f>
        <v>1</v>
      </c>
      <c r="DX109" s="127">
        <f>Planbase100[[#This Row],[15/09/25]]+(1-Planbase100[[#This Row],[15/09/25]])*'Plan 39'!CE63</f>
        <v>1</v>
      </c>
      <c r="DY109" s="127">
        <f>Planbase100[[#This Row],[22/09/25]]+(1-Planbase100[[#This Row],[22/09/25]])*'Plan 39'!CF63</f>
        <v>1</v>
      </c>
      <c r="DZ109" s="127">
        <f>Planbase100[[#This Row],[29/09/25]]+(1-Planbase100[[#This Row],[29/09/25]])*'Plan 39'!CG63</f>
        <v>1</v>
      </c>
      <c r="EA109" s="127">
        <f>Planbase100[[#This Row],[06/10/25]]+(1-Planbase100[[#This Row],[06/10/25]])*'Plan 39'!CH63</f>
        <v>1</v>
      </c>
      <c r="EB109" s="127">
        <f>Planbase100[[#This Row],[13/10/25]]+(1-Planbase100[[#This Row],[13/10/25]])*'Plan 39'!CI63</f>
        <v>1</v>
      </c>
      <c r="EC109" s="127">
        <f>Planbase100[[#This Row],[20/10/25]]+(1-Planbase100[[#This Row],[20/10/25]])*'Plan 39'!CJ63</f>
        <v>1</v>
      </c>
      <c r="ED109" s="127">
        <f>Planbase100[[#This Row],[27/10/25]]+(1-Planbase100[[#This Row],[27/10/25]])*'Plan 39'!CK63</f>
        <v>1</v>
      </c>
      <c r="EE109" s="127">
        <f>Planbase100[[#This Row],[03/11/25]]+(1-Planbase100[[#This Row],[03/11/25]])*'Plan 39'!CL63</f>
        <v>1</v>
      </c>
      <c r="EF109" s="127">
        <f>Planbase100[[#This Row],[10/11/25]]+(1-Planbase100[[#This Row],[10/11/25]])*'Plan 39'!CM63</f>
        <v>1</v>
      </c>
      <c r="EG109" s="127">
        <f>Planbase100[[#This Row],[17/11/25]]+(1-Planbase100[[#This Row],[17/11/25]])*'Plan 39'!CN63</f>
        <v>1</v>
      </c>
      <c r="EH109" s="127">
        <f>Planbase100[[#This Row],[24/11/25]]+(1-Planbase100[[#This Row],[24/11/25]])*'Plan 39'!CO63</f>
        <v>1</v>
      </c>
      <c r="EI109" s="127">
        <f>Planbase100[[#This Row],[01/12/25]]+(1-Planbase100[[#This Row],[01/12/25]])*'Plan 39'!CP63</f>
        <v>1</v>
      </c>
    </row>
    <row r="110" spans="2:139" hidden="1" outlineLevel="3" x14ac:dyDescent="0.3">
      <c r="B110" s="29"/>
      <c r="C110" s="30"/>
      <c r="D110" s="30"/>
      <c r="E110" s="52" t="s">
        <v>114</v>
      </c>
      <c r="F110" s="33">
        <v>40</v>
      </c>
      <c r="G110" s="35">
        <v>0.77800000000000002</v>
      </c>
      <c r="H110" s="53"/>
      <c r="I110" s="126">
        <v>0</v>
      </c>
      <c r="J110" s="127">
        <v>0</v>
      </c>
      <c r="K110" s="127">
        <v>0</v>
      </c>
      <c r="L110" s="127">
        <v>0</v>
      </c>
      <c r="M110" s="128">
        <v>0</v>
      </c>
      <c r="N110" s="128">
        <v>0</v>
      </c>
      <c r="O110" s="127">
        <v>0</v>
      </c>
      <c r="P110" s="127">
        <v>0</v>
      </c>
      <c r="Q110" s="127">
        <v>0</v>
      </c>
      <c r="R110" s="127">
        <v>0</v>
      </c>
      <c r="S110" s="127">
        <v>0</v>
      </c>
      <c r="T110" s="127">
        <v>0</v>
      </c>
      <c r="U110" s="127">
        <v>0</v>
      </c>
      <c r="V110" s="127">
        <v>0</v>
      </c>
      <c r="W110" s="127">
        <v>0</v>
      </c>
      <c r="X110" s="127">
        <v>0</v>
      </c>
      <c r="Y110" s="127">
        <v>0</v>
      </c>
      <c r="Z110" s="127">
        <v>0</v>
      </c>
      <c r="AA110" s="127">
        <v>0</v>
      </c>
      <c r="AB110" s="127">
        <v>0</v>
      </c>
      <c r="AC110" s="127">
        <v>0</v>
      </c>
      <c r="AD110" s="127">
        <v>0</v>
      </c>
      <c r="AE110" s="127">
        <v>0</v>
      </c>
      <c r="AF110" s="127">
        <v>0</v>
      </c>
      <c r="AG110" s="127">
        <v>0</v>
      </c>
      <c r="AH110" s="127">
        <v>0</v>
      </c>
      <c r="AI110" s="127">
        <v>0</v>
      </c>
      <c r="AJ110" s="127">
        <v>0</v>
      </c>
      <c r="AK110" s="127">
        <v>0</v>
      </c>
      <c r="AL110" s="127">
        <v>0</v>
      </c>
      <c r="AM110" s="127">
        <v>0</v>
      </c>
      <c r="AN110" s="127">
        <v>0</v>
      </c>
      <c r="AO110" s="127">
        <v>0</v>
      </c>
      <c r="AP110" s="127">
        <v>0</v>
      </c>
      <c r="AQ110" s="127">
        <v>0</v>
      </c>
      <c r="AR110" s="127">
        <v>0</v>
      </c>
      <c r="AS110" s="127">
        <v>0</v>
      </c>
      <c r="AT110" s="127">
        <v>0</v>
      </c>
      <c r="AU110" s="127">
        <v>0</v>
      </c>
      <c r="AV110" s="127">
        <v>0</v>
      </c>
      <c r="AW110" s="127">
        <v>0</v>
      </c>
      <c r="AX110" s="127">
        <v>0</v>
      </c>
      <c r="AY110" s="127">
        <v>0</v>
      </c>
      <c r="AZ110" s="127">
        <v>0</v>
      </c>
      <c r="BA110" s="127">
        <v>0</v>
      </c>
      <c r="BB110" s="127">
        <f>Planbase100[[#This Row],[05/05/25]]+(1-Planbase100[[#This Row],[05/05/25]])*'Plan 39'!I64</f>
        <v>0</v>
      </c>
      <c r="BC110" s="127">
        <f>Planbase100[[#This Row],[05/05/25]]+(1-Planbase100[[#This Row],[05/05/25]])*'Plan 39'!J64</f>
        <v>0</v>
      </c>
      <c r="BD110" s="127">
        <f>Planbase100[[#This Row],[05/05/25]]+(1-Planbase100[[#This Row],[05/05/25]])*'Plan 39'!K64</f>
        <v>0</v>
      </c>
      <c r="BE110" s="127">
        <f>Planbase100[[#This Row],[05/05/25]]+(1-Planbase100[[#This Row],[05/05/25]])*'Plan 39'!L64</f>
        <v>0</v>
      </c>
      <c r="BF110" s="127">
        <f>Planbase100[[#This Row],[05/05/25]]+(1-Planbase100[[#This Row],[05/05/25]])*'Plan 39'!M64</f>
        <v>0</v>
      </c>
      <c r="BG110" s="127">
        <f>Planbase100[[#This Row],[05/05/25]]+(1-Planbase100[[#This Row],[05/05/25]])*'Plan 39'!N64</f>
        <v>0</v>
      </c>
      <c r="BH110" s="127">
        <f>Planbase100[[#This Row],[05/05/25]]+(1-Planbase100[[#This Row],[05/05/25]])*'Plan 39'!O64</f>
        <v>0</v>
      </c>
      <c r="BI110" s="127">
        <f>Planbase100[[#This Row],[05/05/25]]+(1-Planbase100[[#This Row],[05/05/25]])*'Plan 39'!P64</f>
        <v>0</v>
      </c>
      <c r="BJ110" s="127">
        <f>Planbase100[[#This Row],[05/05/25]]+(1-Planbase100[[#This Row],[05/05/25]])*'Plan 39'!Q64</f>
        <v>0</v>
      </c>
      <c r="BK110" s="127">
        <f>Planbase100[[#This Row],[05/05/25]]+(1-Planbase100[[#This Row],[05/05/25]])*'Plan 39'!R64</f>
        <v>0</v>
      </c>
      <c r="BL110" s="127">
        <f>Planbase100[[#This Row],[05/05/25]]+(1-Planbase100[[#This Row],[05/05/25]])*'Plan 39'!S64</f>
        <v>0</v>
      </c>
      <c r="BM110" s="127">
        <f>Planbase100[[#This Row],[05/05/25]]+(1-Planbase100[[#This Row],[05/05/25]])*'Plan 39'!T64</f>
        <v>0</v>
      </c>
      <c r="BN110" s="127">
        <f>Planbase100[[#This Row],[05/05/25]]+(1-Planbase100[[#This Row],[05/05/25]])*'Plan 39'!U64</f>
        <v>0</v>
      </c>
      <c r="BO110" s="127">
        <f>Planbase100[[#This Row],[05/05/25]]+(1-Planbase100[[#This Row],[05/05/25]])*'Plan 39'!V64</f>
        <v>0</v>
      </c>
      <c r="BP110" s="127">
        <f>Planbase100[[#This Row],[05/05/25]]+(1-Planbase100[[#This Row],[05/05/25]])*'Plan 39'!W64</f>
        <v>0</v>
      </c>
      <c r="BQ110" s="127">
        <f>Planbase100[[#This Row],[05/05/25]]+(1-Planbase100[[#This Row],[05/05/25]])*'Plan 39'!X64</f>
        <v>0</v>
      </c>
      <c r="BR110" s="127">
        <f>Planbase100[[#This Row],[05/05/25]]+(1-Planbase100[[#This Row],[05/05/25]])*'Plan 39'!Y64</f>
        <v>0</v>
      </c>
      <c r="BS110" s="127">
        <f>Planbase100[[#This Row],[05/05/25]]+(1-Planbase100[[#This Row],[05/05/25]])*'Plan 39'!Z64</f>
        <v>0</v>
      </c>
      <c r="BT110" s="127">
        <f>Planbase100[[#This Row],[05/05/25]]+(1-Planbase100[[#This Row],[05/05/25]])*'Plan 39'!AA64</f>
        <v>0.1111111111111111</v>
      </c>
      <c r="BU110" s="127">
        <f>Planbase100[[#This Row],[05/05/25]]+(1-Planbase100[[#This Row],[05/05/25]])*'Plan 39'!AB64</f>
        <v>0.22211111111111109</v>
      </c>
      <c r="BV110" s="127">
        <f>Planbase100[[#This Row],[05/05/25]]+(1-Planbase100[[#This Row],[05/05/25]])*'Plan 39'!AC64</f>
        <v>0.33311111111111108</v>
      </c>
      <c r="BW110" s="127">
        <f>Planbase100[[#This Row],[05/05/25]]+(1-Planbase100[[#This Row],[05/05/25]])*'Plan 39'!AD64</f>
        <v>0.44411111111111107</v>
      </c>
      <c r="BX110" s="127">
        <f>Planbase100[[#This Row],[05/05/25]]+(1-Planbase100[[#This Row],[05/05/25]])*'Plan 39'!AE64</f>
        <v>0.55511111111111111</v>
      </c>
      <c r="BY110" s="127">
        <f>Planbase100[[#This Row],[05/05/25]]+(1-Planbase100[[#This Row],[05/05/25]])*'Plan 39'!AF64</f>
        <v>0.6661111111111111</v>
      </c>
      <c r="BZ110" s="127">
        <f>Planbase100[[#This Row],[05/05/25]]+(1-Planbase100[[#This Row],[05/05/25]])*'Plan 39'!AG64</f>
        <v>0.77711111111111109</v>
      </c>
      <c r="CA110" s="127">
        <f>Planbase100[[#This Row],[05/05/25]]+(1-Planbase100[[#This Row],[05/05/25]])*'Plan 39'!AH64</f>
        <v>0.88811111111111107</v>
      </c>
      <c r="CB110" s="127">
        <f>Planbase100[[#This Row],[05/05/25]]+(1-Planbase100[[#This Row],[05/05/25]])*'Plan 39'!AI64</f>
        <v>0.99911111111111106</v>
      </c>
      <c r="CC110" s="127">
        <f>Planbase100[[#This Row],[05/05/25]]+(1-Planbase100[[#This Row],[05/05/25]])*'Plan 39'!AJ64</f>
        <v>1</v>
      </c>
      <c r="CD110" s="127">
        <f>Planbase100[[#This Row],[05/05/25]]+(1-Planbase100[[#This Row],[05/05/25]])*'Plan 39'!AK64</f>
        <v>1</v>
      </c>
      <c r="CE110" s="127">
        <f>Planbase100[[#This Row],[05/05/25]]+(1-Planbase100[[#This Row],[05/05/25]])*'Plan 39'!AL64</f>
        <v>1</v>
      </c>
      <c r="CF110" s="127">
        <f>Planbase100[[#This Row],[05/05/25]]+(1-Planbase100[[#This Row],[05/05/25]])*'Plan 39'!AM64</f>
        <v>1</v>
      </c>
      <c r="CG110" s="127">
        <f>Planbase100[[#This Row],[05/05/25]]+(1-Planbase100[[#This Row],[05/05/25]])*'Plan 39'!AN64</f>
        <v>1</v>
      </c>
      <c r="CH110" s="127">
        <f>Planbase100[[#This Row],[05/05/25]]+(1-Planbase100[[#This Row],[05/05/25]])*'Plan 39'!AO64</f>
        <v>1</v>
      </c>
      <c r="CI110" s="127">
        <f>Planbase100[[#This Row],[05/05/25]]+(1-Planbase100[[#This Row],[05/05/25]])*'Plan 39'!AP64</f>
        <v>1</v>
      </c>
      <c r="CJ110" s="127">
        <f>Planbase100[[#This Row],[05/05/25]]+(1-Planbase100[[#This Row],[05/05/25]])*'Plan 39'!AQ64</f>
        <v>1</v>
      </c>
      <c r="CK110" s="127">
        <f>Planbase100[[#This Row],[05/05/25]]+(1-Planbase100[[#This Row],[05/05/25]])*'Plan 39'!AR64</f>
        <v>1</v>
      </c>
      <c r="CL110" s="127">
        <f>Planbase100[[#This Row],[05/05/25]]+(1-Planbase100[[#This Row],[05/05/25]])*'Plan 39'!AS64</f>
        <v>1</v>
      </c>
      <c r="CM110" s="127">
        <f>Planbase100[[#This Row],[05/05/25]]+(1-Planbase100[[#This Row],[05/05/25]])*'Plan 39'!AT64</f>
        <v>1</v>
      </c>
      <c r="CN110" s="127">
        <f>Planbase100[[#This Row],[05/05/25]]+(1-Planbase100[[#This Row],[05/05/25]])*'Plan 39'!AU64</f>
        <v>1</v>
      </c>
      <c r="CO110" s="127">
        <f>Planbase100[[#This Row],[05/05/25]]+(1-Planbase100[[#This Row],[05/05/25]])*'Plan 39'!AV64</f>
        <v>1</v>
      </c>
      <c r="CP110" s="127">
        <f>Planbase100[[#This Row],[05/05/25]]+(1-Planbase100[[#This Row],[05/05/25]])*'Plan 39'!AW64</f>
        <v>1</v>
      </c>
      <c r="CQ110" s="127">
        <f>Planbase100[[#This Row],[05/05/25]]+(1-Planbase100[[#This Row],[05/05/25]])*'Plan 39'!AX64</f>
        <v>1</v>
      </c>
      <c r="CR110" s="127">
        <f>Planbase100[[#This Row],[05/05/25]]+(1-Planbase100[[#This Row],[05/05/25]])*'Plan 39'!AY64</f>
        <v>1</v>
      </c>
      <c r="CS110" s="127">
        <f>Planbase100[[#This Row],[05/05/25]]+(1-Planbase100[[#This Row],[05/05/25]])*'Plan 39'!AZ64</f>
        <v>1</v>
      </c>
      <c r="CT110" s="127">
        <f>Planbase100[[#This Row],[05/05/25]]+(1-Planbase100[[#This Row],[05/05/25]])*'Plan 39'!BA64</f>
        <v>1</v>
      </c>
      <c r="CU110" s="127">
        <f>Planbase100[[#This Row],[05/05/25]]+(1-Planbase100[[#This Row],[05/05/25]])*'Plan 39'!BB64</f>
        <v>1</v>
      </c>
      <c r="CV110" s="127">
        <f>Planbase100[[#This Row],[05/05/25]]+(1-Planbase100[[#This Row],[05/05/25]])*'Plan 39'!BC64</f>
        <v>1</v>
      </c>
      <c r="CW110" s="127">
        <f>Planbase100[[#This Row],[05/05/25]]+(1-Planbase100[[#This Row],[05/05/25]])*'Plan 39'!BD64</f>
        <v>1</v>
      </c>
      <c r="CX110" s="127">
        <f>Planbase100[[#This Row],[05/05/25]]+(1-Planbase100[[#This Row],[05/05/25]])*'Plan 39'!BE64</f>
        <v>1</v>
      </c>
      <c r="CY110" s="127">
        <f>Planbase100[[#This Row],[05/05/25]]+(1-Planbase100[[#This Row],[05/05/25]])*'Plan 39'!BF64</f>
        <v>1</v>
      </c>
      <c r="CZ110" s="127">
        <f>Planbase100[[#This Row],[05/05/25]]+(1-Planbase100[[#This Row],[05/05/25]])*'Plan 39'!BG64</f>
        <v>1</v>
      </c>
      <c r="DA110" s="127">
        <f>Planbase100[[#This Row],[05/05/25]]+(1-Planbase100[[#This Row],[05/05/25]])*'Plan 39'!BH64</f>
        <v>1</v>
      </c>
      <c r="DB110" s="127">
        <f>Planbase100[[#This Row],[05/05/25]]+(1-Planbase100[[#This Row],[05/05/25]])*'Plan 39'!BI64</f>
        <v>1</v>
      </c>
      <c r="DC110" s="127">
        <f>Planbase100[[#This Row],[05/05/25]]+(1-Planbase100[[#This Row],[05/05/25]])*'Plan 39'!BJ64</f>
        <v>1</v>
      </c>
      <c r="DD110" s="127">
        <f>Planbase100[[#This Row],[05/05/25]]+(1-Planbase100[[#This Row],[05/05/25]])*'Plan 39'!BK64</f>
        <v>1</v>
      </c>
      <c r="DE110" s="127">
        <f>Planbase100[[#This Row],[05/05/25]]+(1-Planbase100[[#This Row],[05/05/25]])*'Plan 39'!BL64</f>
        <v>1</v>
      </c>
      <c r="DF110" s="127">
        <f>Planbase100[[#This Row],[12/05/25]]+(1-Planbase100[[#This Row],[12/05/25]])*'Plan 39'!BM64</f>
        <v>1</v>
      </c>
      <c r="DG110" s="127">
        <f>Planbase100[[#This Row],[19/05/25]]+(1-Planbase100[[#This Row],[19/05/25]])*'Plan 39'!BN64</f>
        <v>1</v>
      </c>
      <c r="DH110" s="127">
        <f>Planbase100[[#This Row],[26/05/25]]+(1-Planbase100[[#This Row],[26/05/25]])*'Plan 39'!BO64</f>
        <v>1</v>
      </c>
      <c r="DI110" s="127">
        <f>Planbase100[[#This Row],[02/06/25]]+(1-Planbase100[[#This Row],[02/06/25]])*'Plan 39'!BP64</f>
        <v>1</v>
      </c>
      <c r="DJ110" s="127">
        <f>Planbase100[[#This Row],[09/06/25]]+(1-Planbase100[[#This Row],[09/06/25]])*'Plan 39'!BQ64</f>
        <v>1</v>
      </c>
      <c r="DK110" s="127">
        <f>Planbase100[[#This Row],[16/06/25]]+(1-Planbase100[[#This Row],[16/06/25]])*'Plan 39'!BR64</f>
        <v>1</v>
      </c>
      <c r="DL110" s="127">
        <f>Planbase100[[#This Row],[23/06/25]]+(1-Planbase100[[#This Row],[23/06/25]])*'Plan 39'!BS64</f>
        <v>1</v>
      </c>
      <c r="DM110" s="127">
        <f>Planbase100[[#This Row],[30/06/25]]+(1-Planbase100[[#This Row],[30/06/25]])*'Plan 39'!BT64</f>
        <v>1</v>
      </c>
      <c r="DN110" s="127">
        <f>Planbase100[[#This Row],[07/07/25]]+(1-Planbase100[[#This Row],[07/07/25]])*'Plan 39'!BU64</f>
        <v>1</v>
      </c>
      <c r="DO110" s="127">
        <f>Planbase100[[#This Row],[14/07/25]]+(1-Planbase100[[#This Row],[14/07/25]])*'Plan 39'!BV64</f>
        <v>1</v>
      </c>
      <c r="DP110" s="127">
        <f>Planbase100[[#This Row],[21/07/25]]+(1-Planbase100[[#This Row],[21/07/25]])*'Plan 39'!BW64</f>
        <v>1</v>
      </c>
      <c r="DQ110" s="127">
        <f>Planbase100[[#This Row],[28/07/25]]+(1-Planbase100[[#This Row],[28/07/25]])*'Plan 39'!BX64</f>
        <v>1</v>
      </c>
      <c r="DR110" s="127">
        <f>Planbase100[[#This Row],[04/08/25]]+(1-Planbase100[[#This Row],[04/08/25]])*'Plan 39'!BY64</f>
        <v>1</v>
      </c>
      <c r="DS110" s="127">
        <f>Planbase100[[#This Row],[11/08/25]]+(1-Planbase100[[#This Row],[11/08/25]])*'Plan 39'!BZ64</f>
        <v>1</v>
      </c>
      <c r="DT110" s="127">
        <f>Planbase100[[#This Row],[18/08/25]]+(1-Planbase100[[#This Row],[18/08/25]])*'Plan 39'!CA64</f>
        <v>1</v>
      </c>
      <c r="DU110" s="127">
        <f>Planbase100[[#This Row],[25/08/25]]+(1-Planbase100[[#This Row],[25/08/25]])*'Plan 39'!CB64</f>
        <v>1</v>
      </c>
      <c r="DV110" s="127">
        <f>Planbase100[[#This Row],[01/09/25]]+(1-Planbase100[[#This Row],[01/09/25]])*'Plan 39'!CC64</f>
        <v>1</v>
      </c>
      <c r="DW110" s="127">
        <f>Planbase100[[#This Row],[08/09/25]]+(1-Planbase100[[#This Row],[08/09/25]])*'Plan 39'!CD64</f>
        <v>1</v>
      </c>
      <c r="DX110" s="127">
        <f>Planbase100[[#This Row],[15/09/25]]+(1-Planbase100[[#This Row],[15/09/25]])*'Plan 39'!CE64</f>
        <v>1</v>
      </c>
      <c r="DY110" s="127">
        <f>Planbase100[[#This Row],[22/09/25]]+(1-Planbase100[[#This Row],[22/09/25]])*'Plan 39'!CF64</f>
        <v>1</v>
      </c>
      <c r="DZ110" s="127">
        <f>Planbase100[[#This Row],[29/09/25]]+(1-Planbase100[[#This Row],[29/09/25]])*'Plan 39'!CG64</f>
        <v>1</v>
      </c>
      <c r="EA110" s="127">
        <f>Planbase100[[#This Row],[06/10/25]]+(1-Planbase100[[#This Row],[06/10/25]])*'Plan 39'!CH64</f>
        <v>1</v>
      </c>
      <c r="EB110" s="127">
        <f>Planbase100[[#This Row],[13/10/25]]+(1-Planbase100[[#This Row],[13/10/25]])*'Plan 39'!CI64</f>
        <v>1</v>
      </c>
      <c r="EC110" s="127">
        <f>Planbase100[[#This Row],[20/10/25]]+(1-Planbase100[[#This Row],[20/10/25]])*'Plan 39'!CJ64</f>
        <v>1</v>
      </c>
      <c r="ED110" s="127">
        <f>Planbase100[[#This Row],[27/10/25]]+(1-Planbase100[[#This Row],[27/10/25]])*'Plan 39'!CK64</f>
        <v>1</v>
      </c>
      <c r="EE110" s="127">
        <f>Planbase100[[#This Row],[03/11/25]]+(1-Planbase100[[#This Row],[03/11/25]])*'Plan 39'!CL64</f>
        <v>1</v>
      </c>
      <c r="EF110" s="127">
        <f>Planbase100[[#This Row],[10/11/25]]+(1-Planbase100[[#This Row],[10/11/25]])*'Plan 39'!CM64</f>
        <v>1</v>
      </c>
      <c r="EG110" s="127">
        <f>Planbase100[[#This Row],[17/11/25]]+(1-Planbase100[[#This Row],[17/11/25]])*'Plan 39'!CN64</f>
        <v>1</v>
      </c>
      <c r="EH110" s="127">
        <f>Planbase100[[#This Row],[24/11/25]]+(1-Planbase100[[#This Row],[24/11/25]])*'Plan 39'!CO64</f>
        <v>1</v>
      </c>
      <c r="EI110" s="127">
        <f>Planbase100[[#This Row],[01/12/25]]+(1-Planbase100[[#This Row],[01/12/25]])*'Plan 39'!CP64</f>
        <v>1</v>
      </c>
    </row>
    <row r="111" spans="2:139" ht="15" hidden="1" outlineLevel="2" collapsed="1" x14ac:dyDescent="0.3">
      <c r="B111" s="22"/>
      <c r="C111" s="23"/>
      <c r="D111" s="23" t="s">
        <v>115</v>
      </c>
      <c r="E111" s="50"/>
      <c r="F111" s="26">
        <f>+SUM(F112:F113)</f>
        <v>40</v>
      </c>
      <c r="G111" s="28">
        <v>0.20879473036887999</v>
      </c>
      <c r="H111" s="51"/>
      <c r="I111" s="125">
        <f>+SUMPRODUCT($G$112:$G$113,I112:I113)</f>
        <v>0</v>
      </c>
      <c r="J111" s="28">
        <f>+SUMPRODUCT($G$112:$G$113,J112:J113)</f>
        <v>0</v>
      </c>
      <c r="K111" s="28">
        <f t="shared" ref="K111:BB111" si="324">+SUMPRODUCT($G$112:$G$113,K112:K113)</f>
        <v>0</v>
      </c>
      <c r="L111" s="28">
        <f t="shared" si="324"/>
        <v>0</v>
      </c>
      <c r="M111" s="64">
        <f t="shared" si="324"/>
        <v>0</v>
      </c>
      <c r="N111" s="64">
        <f t="shared" si="324"/>
        <v>0</v>
      </c>
      <c r="O111" s="28">
        <f t="shared" si="324"/>
        <v>0</v>
      </c>
      <c r="P111" s="28">
        <f t="shared" si="324"/>
        <v>0</v>
      </c>
      <c r="Q111" s="28">
        <f t="shared" si="324"/>
        <v>0</v>
      </c>
      <c r="R111" s="28">
        <f t="shared" si="324"/>
        <v>0</v>
      </c>
      <c r="S111" s="28">
        <f t="shared" si="324"/>
        <v>0</v>
      </c>
      <c r="T111" s="28">
        <f t="shared" si="324"/>
        <v>0</v>
      </c>
      <c r="U111" s="28">
        <f t="shared" si="324"/>
        <v>0</v>
      </c>
      <c r="V111" s="28">
        <f t="shared" si="324"/>
        <v>0</v>
      </c>
      <c r="W111" s="28">
        <f t="shared" si="324"/>
        <v>0</v>
      </c>
      <c r="X111" s="28">
        <f t="shared" si="324"/>
        <v>0</v>
      </c>
      <c r="Y111" s="28">
        <f t="shared" si="324"/>
        <v>0</v>
      </c>
      <c r="Z111" s="28">
        <f t="shared" si="324"/>
        <v>0</v>
      </c>
      <c r="AA111" s="28">
        <f t="shared" si="324"/>
        <v>0</v>
      </c>
      <c r="AB111" s="28">
        <f t="shared" si="324"/>
        <v>0</v>
      </c>
      <c r="AC111" s="28">
        <f t="shared" si="324"/>
        <v>0</v>
      </c>
      <c r="AD111" s="28">
        <f t="shared" si="324"/>
        <v>0</v>
      </c>
      <c r="AE111" s="28">
        <f t="shared" si="324"/>
        <v>0</v>
      </c>
      <c r="AF111" s="28">
        <f t="shared" si="324"/>
        <v>0</v>
      </c>
      <c r="AG111" s="28">
        <f t="shared" si="324"/>
        <v>0</v>
      </c>
      <c r="AH111" s="28">
        <f t="shared" si="324"/>
        <v>0</v>
      </c>
      <c r="AI111" s="28">
        <f>+SUMPRODUCT($G$112:$G$113,AI112:AI113)</f>
        <v>0</v>
      </c>
      <c r="AJ111" s="28">
        <f>+SUMPRODUCT($G$112:$G$113,AJ112:AJ113)</f>
        <v>0</v>
      </c>
      <c r="AK111" s="28">
        <f t="shared" si="324"/>
        <v>0</v>
      </c>
      <c r="AL111" s="28">
        <f t="shared" si="324"/>
        <v>0</v>
      </c>
      <c r="AM111" s="28">
        <f t="shared" si="324"/>
        <v>0</v>
      </c>
      <c r="AN111" s="28">
        <f t="shared" si="324"/>
        <v>0</v>
      </c>
      <c r="AO111" s="28">
        <f t="shared" si="324"/>
        <v>0</v>
      </c>
      <c r="AP111" s="28">
        <f t="shared" si="324"/>
        <v>0</v>
      </c>
      <c r="AQ111" s="28">
        <f t="shared" si="324"/>
        <v>0</v>
      </c>
      <c r="AR111" s="28">
        <f t="shared" si="324"/>
        <v>0</v>
      </c>
      <c r="AS111" s="28">
        <f t="shared" si="324"/>
        <v>0</v>
      </c>
      <c r="AT111" s="28">
        <f t="shared" si="324"/>
        <v>0</v>
      </c>
      <c r="AU111" s="28">
        <f t="shared" si="324"/>
        <v>0</v>
      </c>
      <c r="AV111" s="28">
        <f t="shared" si="324"/>
        <v>0</v>
      </c>
      <c r="AW111" s="28">
        <f t="shared" si="324"/>
        <v>0</v>
      </c>
      <c r="AX111" s="28">
        <f t="shared" si="324"/>
        <v>0</v>
      </c>
      <c r="AY111" s="28">
        <f t="shared" si="324"/>
        <v>0</v>
      </c>
      <c r="AZ111" s="28">
        <f t="shared" si="324"/>
        <v>0</v>
      </c>
      <c r="BA111" s="28">
        <f t="shared" si="324"/>
        <v>0</v>
      </c>
      <c r="BB111" s="28">
        <f t="shared" si="324"/>
        <v>0</v>
      </c>
      <c r="BC111" s="28">
        <f t="shared" ref="BC111:CE111" si="325">+SUMPRODUCT($G$112:$G$113,BC112:BC113)</f>
        <v>0</v>
      </c>
      <c r="BD111" s="28">
        <f t="shared" si="325"/>
        <v>0</v>
      </c>
      <c r="BE111" s="28">
        <f t="shared" si="325"/>
        <v>0</v>
      </c>
      <c r="BF111" s="28">
        <f t="shared" si="325"/>
        <v>0</v>
      </c>
      <c r="BG111" s="28">
        <f t="shared" si="325"/>
        <v>0</v>
      </c>
      <c r="BH111" s="28">
        <f t="shared" si="325"/>
        <v>0</v>
      </c>
      <c r="BI111" s="28">
        <f t="shared" si="325"/>
        <v>0</v>
      </c>
      <c r="BJ111" s="28">
        <f t="shared" si="325"/>
        <v>0</v>
      </c>
      <c r="BK111" s="28">
        <f t="shared" si="325"/>
        <v>0</v>
      </c>
      <c r="BL111" s="28">
        <f t="shared" si="325"/>
        <v>0</v>
      </c>
      <c r="BM111" s="28">
        <f t="shared" si="325"/>
        <v>0</v>
      </c>
      <c r="BN111" s="28">
        <f t="shared" si="325"/>
        <v>0</v>
      </c>
      <c r="BO111" s="28">
        <f t="shared" si="325"/>
        <v>0</v>
      </c>
      <c r="BP111" s="28">
        <f t="shared" si="325"/>
        <v>0</v>
      </c>
      <c r="BQ111" s="28">
        <f t="shared" si="325"/>
        <v>0</v>
      </c>
      <c r="BR111" s="28">
        <f t="shared" si="325"/>
        <v>0</v>
      </c>
      <c r="BS111" s="28">
        <f t="shared" si="325"/>
        <v>0</v>
      </c>
      <c r="BT111" s="28">
        <f t="shared" si="325"/>
        <v>0</v>
      </c>
      <c r="BU111" s="28">
        <f t="shared" si="325"/>
        <v>0</v>
      </c>
      <c r="BV111" s="28">
        <f t="shared" si="325"/>
        <v>0.11062835881923658</v>
      </c>
      <c r="BW111" s="28">
        <f t="shared" si="325"/>
        <v>0.22147797435611161</v>
      </c>
      <c r="BX111" s="28">
        <f t="shared" si="325"/>
        <v>0.33232758989298661</v>
      </c>
      <c r="BY111" s="28">
        <f t="shared" si="325"/>
        <v>0.51042317484677779</v>
      </c>
      <c r="BZ111" s="28">
        <f t="shared" si="325"/>
        <v>0.68851875980056898</v>
      </c>
      <c r="CA111" s="28">
        <f t="shared" si="325"/>
        <v>0.86550806116616774</v>
      </c>
      <c r="CB111" s="28">
        <f t="shared" si="325"/>
        <v>0.93275403058308393</v>
      </c>
      <c r="CC111" s="28">
        <f t="shared" si="325"/>
        <v>1</v>
      </c>
      <c r="CD111" s="28">
        <f t="shared" si="325"/>
        <v>1</v>
      </c>
      <c r="CE111" s="28">
        <f t="shared" si="325"/>
        <v>1</v>
      </c>
      <c r="CF111" s="28">
        <f t="shared" ref="CF111:CI111" si="326">+SUMPRODUCT($G$112:$G$113,CF112:CF113)</f>
        <v>1</v>
      </c>
      <c r="CG111" s="28">
        <f t="shared" si="326"/>
        <v>1</v>
      </c>
      <c r="CH111" s="28">
        <f t="shared" si="326"/>
        <v>1</v>
      </c>
      <c r="CI111" s="28">
        <f t="shared" si="326"/>
        <v>1</v>
      </c>
      <c r="CJ111" s="28">
        <f t="shared" ref="CJ111:CK111" si="327">+SUMPRODUCT($G$112:$G$113,CJ112:CJ113)</f>
        <v>1</v>
      </c>
      <c r="CK111" s="28">
        <f t="shared" si="327"/>
        <v>1</v>
      </c>
      <c r="CL111" s="28">
        <f t="shared" ref="CL111" si="328">+SUMPRODUCT($G$112:$G$113,CL112:CL113)</f>
        <v>1</v>
      </c>
      <c r="CM111" s="28">
        <f t="shared" ref="CM111:CV111" si="329">+SUMPRODUCT($G$112:$G$113,CM112:CM113)</f>
        <v>1</v>
      </c>
      <c r="CN111" s="28">
        <f t="shared" si="329"/>
        <v>1</v>
      </c>
      <c r="CO111" s="28">
        <f t="shared" si="329"/>
        <v>1</v>
      </c>
      <c r="CP111" s="28">
        <f t="shared" si="329"/>
        <v>1</v>
      </c>
      <c r="CQ111" s="28">
        <f t="shared" si="329"/>
        <v>1</v>
      </c>
      <c r="CR111" s="28">
        <f t="shared" si="329"/>
        <v>1</v>
      </c>
      <c r="CS111" s="28">
        <f t="shared" si="329"/>
        <v>1</v>
      </c>
      <c r="CT111" s="28">
        <f t="shared" si="329"/>
        <v>1</v>
      </c>
      <c r="CU111" s="28">
        <f t="shared" si="329"/>
        <v>1</v>
      </c>
      <c r="CV111" s="28">
        <f t="shared" si="329"/>
        <v>1</v>
      </c>
      <c r="CW111" s="28">
        <f t="shared" ref="CW111" si="330">+SUMPRODUCT($G$112:$G$113,CW112:CW113)</f>
        <v>1</v>
      </c>
      <c r="CX111" s="28">
        <f t="shared" ref="CX111:CY111" si="331">+SUMPRODUCT($G$112:$G$113,CX112:CX113)</f>
        <v>1</v>
      </c>
      <c r="CY111" s="28">
        <f t="shared" si="331"/>
        <v>1</v>
      </c>
      <c r="CZ111" s="28">
        <f t="shared" ref="CZ111:DA111" si="332">+SUMPRODUCT($G$112:$G$113,CZ112:CZ113)</f>
        <v>1</v>
      </c>
      <c r="DA111" s="28">
        <f t="shared" si="332"/>
        <v>1</v>
      </c>
      <c r="DB111" s="28">
        <f t="shared" ref="DB111:DC111" si="333">+SUMPRODUCT($G$112:$G$113,DB112:DB113)</f>
        <v>1</v>
      </c>
      <c r="DC111" s="28">
        <f t="shared" si="333"/>
        <v>1</v>
      </c>
      <c r="DD111" s="28">
        <f t="shared" ref="DD111:DE111" si="334">+SUMPRODUCT($G$112:$G$113,DD112:DD113)</f>
        <v>1</v>
      </c>
      <c r="DE111" s="28">
        <f t="shared" si="334"/>
        <v>1</v>
      </c>
      <c r="DF111" s="28">
        <f t="shared" ref="DF111:DJ111" si="335">+SUMPRODUCT($G$112:$G$113,DF112:DF113)</f>
        <v>1</v>
      </c>
      <c r="DG111" s="28">
        <f t="shared" si="335"/>
        <v>1</v>
      </c>
      <c r="DH111" s="28">
        <f t="shared" si="335"/>
        <v>1</v>
      </c>
      <c r="DI111" s="28">
        <f t="shared" si="335"/>
        <v>1</v>
      </c>
      <c r="DJ111" s="28">
        <f t="shared" si="335"/>
        <v>1</v>
      </c>
      <c r="DK111" s="28">
        <f t="shared" ref="DK111:EI111" si="336">+SUMPRODUCT($G$112:$G$113,DK112:DK113)</f>
        <v>1</v>
      </c>
      <c r="DL111" s="28">
        <f t="shared" si="336"/>
        <v>1</v>
      </c>
      <c r="DM111" s="28">
        <f t="shared" si="336"/>
        <v>1</v>
      </c>
      <c r="DN111" s="28">
        <f t="shared" si="336"/>
        <v>1</v>
      </c>
      <c r="DO111" s="28">
        <f t="shared" si="336"/>
        <v>1</v>
      </c>
      <c r="DP111" s="28">
        <f t="shared" si="336"/>
        <v>1</v>
      </c>
      <c r="DQ111" s="28">
        <f t="shared" si="336"/>
        <v>1</v>
      </c>
      <c r="DR111" s="28">
        <f t="shared" si="336"/>
        <v>1</v>
      </c>
      <c r="DS111" s="28">
        <f t="shared" si="336"/>
        <v>1</v>
      </c>
      <c r="DT111" s="28">
        <f t="shared" si="336"/>
        <v>1</v>
      </c>
      <c r="DU111" s="28">
        <f t="shared" si="336"/>
        <v>1</v>
      </c>
      <c r="DV111" s="28">
        <f t="shared" si="336"/>
        <v>1</v>
      </c>
      <c r="DW111" s="28">
        <f t="shared" si="336"/>
        <v>1</v>
      </c>
      <c r="DX111" s="28">
        <f t="shared" si="336"/>
        <v>1</v>
      </c>
      <c r="DY111" s="28">
        <f t="shared" si="336"/>
        <v>1</v>
      </c>
      <c r="DZ111" s="28">
        <f t="shared" si="336"/>
        <v>1</v>
      </c>
      <c r="EA111" s="28">
        <f t="shared" si="336"/>
        <v>1</v>
      </c>
      <c r="EB111" s="28">
        <f t="shared" si="336"/>
        <v>1</v>
      </c>
      <c r="EC111" s="28">
        <f t="shared" si="336"/>
        <v>1</v>
      </c>
      <c r="ED111" s="28">
        <f t="shared" si="336"/>
        <v>1</v>
      </c>
      <c r="EE111" s="28">
        <f t="shared" si="336"/>
        <v>1</v>
      </c>
      <c r="EF111" s="28">
        <f t="shared" si="336"/>
        <v>1</v>
      </c>
      <c r="EG111" s="28">
        <f t="shared" si="336"/>
        <v>1</v>
      </c>
      <c r="EH111" s="28">
        <f t="shared" si="336"/>
        <v>1</v>
      </c>
      <c r="EI111" s="28">
        <f t="shared" si="336"/>
        <v>1</v>
      </c>
    </row>
    <row r="112" spans="2:139" hidden="1" outlineLevel="3" x14ac:dyDescent="0.3">
      <c r="B112" s="29"/>
      <c r="C112" s="30"/>
      <c r="D112" s="30"/>
      <c r="E112" s="52" t="s">
        <v>116</v>
      </c>
      <c r="F112" s="33">
        <v>20</v>
      </c>
      <c r="G112" s="35">
        <v>0.66377015291541941</v>
      </c>
      <c r="H112" s="53"/>
      <c r="I112" s="126">
        <v>0</v>
      </c>
      <c r="J112" s="127">
        <v>0</v>
      </c>
      <c r="K112" s="127">
        <v>0</v>
      </c>
      <c r="L112" s="127">
        <v>0</v>
      </c>
      <c r="M112" s="128">
        <v>0</v>
      </c>
      <c r="N112" s="128">
        <v>0</v>
      </c>
      <c r="O112" s="127">
        <v>0</v>
      </c>
      <c r="P112" s="127">
        <v>0</v>
      </c>
      <c r="Q112" s="127">
        <v>0</v>
      </c>
      <c r="R112" s="127">
        <v>0</v>
      </c>
      <c r="S112" s="127">
        <v>0</v>
      </c>
      <c r="T112" s="127">
        <v>0</v>
      </c>
      <c r="U112" s="127">
        <v>0</v>
      </c>
      <c r="V112" s="127">
        <v>0</v>
      </c>
      <c r="W112" s="127">
        <v>0</v>
      </c>
      <c r="X112" s="127">
        <v>0</v>
      </c>
      <c r="Y112" s="127">
        <v>0</v>
      </c>
      <c r="Z112" s="127">
        <v>0</v>
      </c>
      <c r="AA112" s="127">
        <v>0</v>
      </c>
      <c r="AB112" s="127">
        <v>0</v>
      </c>
      <c r="AC112" s="127">
        <v>0</v>
      </c>
      <c r="AD112" s="127">
        <v>0</v>
      </c>
      <c r="AE112" s="127">
        <v>0</v>
      </c>
      <c r="AF112" s="127">
        <v>0</v>
      </c>
      <c r="AG112" s="127">
        <v>0</v>
      </c>
      <c r="AH112" s="127">
        <v>0</v>
      </c>
      <c r="AI112" s="127">
        <v>0</v>
      </c>
      <c r="AJ112" s="127">
        <v>0</v>
      </c>
      <c r="AK112" s="127">
        <v>0</v>
      </c>
      <c r="AL112" s="127">
        <v>0</v>
      </c>
      <c r="AM112" s="127">
        <v>0</v>
      </c>
      <c r="AN112" s="127">
        <v>0</v>
      </c>
      <c r="AO112" s="127">
        <v>0</v>
      </c>
      <c r="AP112" s="127">
        <v>0</v>
      </c>
      <c r="AQ112" s="127">
        <v>0</v>
      </c>
      <c r="AR112" s="127">
        <v>0</v>
      </c>
      <c r="AS112" s="127">
        <v>0</v>
      </c>
      <c r="AT112" s="127">
        <v>0</v>
      </c>
      <c r="AU112" s="127">
        <v>0</v>
      </c>
      <c r="AV112" s="127">
        <v>0</v>
      </c>
      <c r="AW112" s="127">
        <v>0</v>
      </c>
      <c r="AX112" s="127">
        <v>0</v>
      </c>
      <c r="AY112" s="127">
        <v>0</v>
      </c>
      <c r="AZ112" s="127">
        <v>0</v>
      </c>
      <c r="BA112" s="127">
        <v>0</v>
      </c>
      <c r="BB112" s="127">
        <f>Planbase100[[#This Row],[05/05/25]]+(1-Planbase100[[#This Row],[05/05/25]])*'Plan 39'!I66</f>
        <v>0</v>
      </c>
      <c r="BC112" s="127">
        <f>Planbase100[[#This Row],[05/05/25]]+(1-Planbase100[[#This Row],[05/05/25]])*'Plan 39'!J66</f>
        <v>0</v>
      </c>
      <c r="BD112" s="127">
        <f>Planbase100[[#This Row],[05/05/25]]+(1-Planbase100[[#This Row],[05/05/25]])*'Plan 39'!K66</f>
        <v>0</v>
      </c>
      <c r="BE112" s="127">
        <f>Planbase100[[#This Row],[05/05/25]]+(1-Planbase100[[#This Row],[05/05/25]])*'Plan 39'!L66</f>
        <v>0</v>
      </c>
      <c r="BF112" s="127">
        <f>Planbase100[[#This Row],[05/05/25]]+(1-Planbase100[[#This Row],[05/05/25]])*'Plan 39'!M66</f>
        <v>0</v>
      </c>
      <c r="BG112" s="127">
        <f>Planbase100[[#This Row],[05/05/25]]+(1-Planbase100[[#This Row],[05/05/25]])*'Plan 39'!N66</f>
        <v>0</v>
      </c>
      <c r="BH112" s="127">
        <f>Planbase100[[#This Row],[05/05/25]]+(1-Planbase100[[#This Row],[05/05/25]])*'Plan 39'!O66</f>
        <v>0</v>
      </c>
      <c r="BI112" s="127">
        <f>Planbase100[[#This Row],[05/05/25]]+(1-Planbase100[[#This Row],[05/05/25]])*'Plan 39'!P66</f>
        <v>0</v>
      </c>
      <c r="BJ112" s="127">
        <f>Planbase100[[#This Row],[05/05/25]]+(1-Planbase100[[#This Row],[05/05/25]])*'Plan 39'!Q66</f>
        <v>0</v>
      </c>
      <c r="BK112" s="127">
        <f>Planbase100[[#This Row],[05/05/25]]+(1-Planbase100[[#This Row],[05/05/25]])*'Plan 39'!R66</f>
        <v>0</v>
      </c>
      <c r="BL112" s="127">
        <f>Planbase100[[#This Row],[05/05/25]]+(1-Planbase100[[#This Row],[05/05/25]])*'Plan 39'!S66</f>
        <v>0</v>
      </c>
      <c r="BM112" s="127">
        <f>Planbase100[[#This Row],[05/05/25]]+(1-Planbase100[[#This Row],[05/05/25]])*'Plan 39'!T66</f>
        <v>0</v>
      </c>
      <c r="BN112" s="127">
        <f>Planbase100[[#This Row],[05/05/25]]+(1-Planbase100[[#This Row],[05/05/25]])*'Plan 39'!U66</f>
        <v>0</v>
      </c>
      <c r="BO112" s="127">
        <f>Planbase100[[#This Row],[05/05/25]]+(1-Planbase100[[#This Row],[05/05/25]])*'Plan 39'!V66</f>
        <v>0</v>
      </c>
      <c r="BP112" s="127">
        <f>Planbase100[[#This Row],[05/05/25]]+(1-Planbase100[[#This Row],[05/05/25]])*'Plan 39'!W66</f>
        <v>0</v>
      </c>
      <c r="BQ112" s="127">
        <f>Planbase100[[#This Row],[05/05/25]]+(1-Planbase100[[#This Row],[05/05/25]])*'Plan 39'!X66</f>
        <v>0</v>
      </c>
      <c r="BR112" s="127">
        <f>Planbase100[[#This Row],[05/05/25]]+(1-Planbase100[[#This Row],[05/05/25]])*'Plan 39'!Y66</f>
        <v>0</v>
      </c>
      <c r="BS112" s="127">
        <f>Planbase100[[#This Row],[05/05/25]]+(1-Planbase100[[#This Row],[05/05/25]])*'Plan 39'!Z66</f>
        <v>0</v>
      </c>
      <c r="BT112" s="127">
        <f>Planbase100[[#This Row],[05/05/25]]+(1-Planbase100[[#This Row],[05/05/25]])*'Plan 39'!AA66</f>
        <v>0</v>
      </c>
      <c r="BU112" s="127">
        <f>Planbase100[[#This Row],[05/05/25]]+(1-Planbase100[[#This Row],[05/05/25]])*'Plan 39'!AB66</f>
        <v>0</v>
      </c>
      <c r="BV112" s="127">
        <f>Planbase100[[#This Row],[05/05/25]]+(1-Planbase100[[#This Row],[05/05/25]])*'Plan 39'!AC66</f>
        <v>0.16666666666666669</v>
      </c>
      <c r="BW112" s="127">
        <f>Planbase100[[#This Row],[05/05/25]]+(1-Planbase100[[#This Row],[05/05/25]])*'Plan 39'!AD66</f>
        <v>0.33366666666666667</v>
      </c>
      <c r="BX112" s="127">
        <f>Planbase100[[#This Row],[05/05/25]]+(1-Planbase100[[#This Row],[05/05/25]])*'Plan 39'!AE66</f>
        <v>0.50066666666666659</v>
      </c>
      <c r="BY112" s="127">
        <f>Planbase100[[#This Row],[05/05/25]]+(1-Planbase100[[#This Row],[05/05/25]])*'Plan 39'!AF66</f>
        <v>0.66766666666666663</v>
      </c>
      <c r="BZ112" s="127">
        <f>Planbase100[[#This Row],[05/05/25]]+(1-Planbase100[[#This Row],[05/05/25]])*'Plan 39'!AG66</f>
        <v>0.83466666666666667</v>
      </c>
      <c r="CA112" s="127">
        <f>Planbase100[[#This Row],[05/05/25]]+(1-Planbase100[[#This Row],[05/05/25]])*'Plan 39'!AH66</f>
        <v>1</v>
      </c>
      <c r="CB112" s="127">
        <f>Planbase100[[#This Row],[05/05/25]]+(1-Planbase100[[#This Row],[05/05/25]])*'Plan 39'!AI66</f>
        <v>1</v>
      </c>
      <c r="CC112" s="127">
        <f>Planbase100[[#This Row],[05/05/25]]+(1-Planbase100[[#This Row],[05/05/25]])*'Plan 39'!AJ66</f>
        <v>1</v>
      </c>
      <c r="CD112" s="127">
        <f>Planbase100[[#This Row],[05/05/25]]+(1-Planbase100[[#This Row],[05/05/25]])*'Plan 39'!AK66</f>
        <v>1</v>
      </c>
      <c r="CE112" s="127">
        <f>Planbase100[[#This Row],[05/05/25]]+(1-Planbase100[[#This Row],[05/05/25]])*'Plan 39'!AL66</f>
        <v>1</v>
      </c>
      <c r="CF112" s="127">
        <f>Planbase100[[#This Row],[05/05/25]]+(1-Planbase100[[#This Row],[05/05/25]])*'Plan 39'!AM66</f>
        <v>1</v>
      </c>
      <c r="CG112" s="127">
        <f>Planbase100[[#This Row],[05/05/25]]+(1-Planbase100[[#This Row],[05/05/25]])*'Plan 39'!AN66</f>
        <v>1</v>
      </c>
      <c r="CH112" s="127">
        <f>Planbase100[[#This Row],[05/05/25]]+(1-Planbase100[[#This Row],[05/05/25]])*'Plan 39'!AO66</f>
        <v>1</v>
      </c>
      <c r="CI112" s="127">
        <f>Planbase100[[#This Row],[05/05/25]]+(1-Planbase100[[#This Row],[05/05/25]])*'Plan 39'!AP66</f>
        <v>1</v>
      </c>
      <c r="CJ112" s="127">
        <f>Planbase100[[#This Row],[05/05/25]]+(1-Planbase100[[#This Row],[05/05/25]])*'Plan 39'!AQ66</f>
        <v>1</v>
      </c>
      <c r="CK112" s="127">
        <f>Planbase100[[#This Row],[05/05/25]]+(1-Planbase100[[#This Row],[05/05/25]])*'Plan 39'!AR66</f>
        <v>1</v>
      </c>
      <c r="CL112" s="127">
        <f>Planbase100[[#This Row],[05/05/25]]+(1-Planbase100[[#This Row],[05/05/25]])*'Plan 39'!AS66</f>
        <v>1</v>
      </c>
      <c r="CM112" s="127">
        <f>Planbase100[[#This Row],[05/05/25]]+(1-Planbase100[[#This Row],[05/05/25]])*'Plan 39'!AT66</f>
        <v>1</v>
      </c>
      <c r="CN112" s="127">
        <f>Planbase100[[#This Row],[05/05/25]]+(1-Planbase100[[#This Row],[05/05/25]])*'Plan 39'!AU66</f>
        <v>1</v>
      </c>
      <c r="CO112" s="127">
        <f>Planbase100[[#This Row],[05/05/25]]+(1-Planbase100[[#This Row],[05/05/25]])*'Plan 39'!AV66</f>
        <v>1</v>
      </c>
      <c r="CP112" s="127">
        <f>Planbase100[[#This Row],[05/05/25]]+(1-Planbase100[[#This Row],[05/05/25]])*'Plan 39'!AW66</f>
        <v>1</v>
      </c>
      <c r="CQ112" s="127">
        <f>Planbase100[[#This Row],[05/05/25]]+(1-Planbase100[[#This Row],[05/05/25]])*'Plan 39'!AX66</f>
        <v>1</v>
      </c>
      <c r="CR112" s="127">
        <f>Planbase100[[#This Row],[05/05/25]]+(1-Planbase100[[#This Row],[05/05/25]])*'Plan 39'!AY66</f>
        <v>1</v>
      </c>
      <c r="CS112" s="127">
        <f>Planbase100[[#This Row],[05/05/25]]+(1-Planbase100[[#This Row],[05/05/25]])*'Plan 39'!AZ66</f>
        <v>1</v>
      </c>
      <c r="CT112" s="127">
        <f>Planbase100[[#This Row],[05/05/25]]+(1-Planbase100[[#This Row],[05/05/25]])*'Plan 39'!BA66</f>
        <v>1</v>
      </c>
      <c r="CU112" s="127">
        <f>Planbase100[[#This Row],[05/05/25]]+(1-Planbase100[[#This Row],[05/05/25]])*'Plan 39'!BB66</f>
        <v>1</v>
      </c>
      <c r="CV112" s="127">
        <f>Planbase100[[#This Row],[05/05/25]]+(1-Planbase100[[#This Row],[05/05/25]])*'Plan 39'!BC66</f>
        <v>1</v>
      </c>
      <c r="CW112" s="127">
        <f>Planbase100[[#This Row],[05/05/25]]+(1-Planbase100[[#This Row],[05/05/25]])*'Plan 39'!BD66</f>
        <v>1</v>
      </c>
      <c r="CX112" s="127">
        <f>Planbase100[[#This Row],[05/05/25]]+(1-Planbase100[[#This Row],[05/05/25]])*'Plan 39'!BE66</f>
        <v>1</v>
      </c>
      <c r="CY112" s="127">
        <f>Planbase100[[#This Row],[05/05/25]]+(1-Planbase100[[#This Row],[05/05/25]])*'Plan 39'!BF66</f>
        <v>1</v>
      </c>
      <c r="CZ112" s="127">
        <f>Planbase100[[#This Row],[05/05/25]]+(1-Planbase100[[#This Row],[05/05/25]])*'Plan 39'!BG66</f>
        <v>1</v>
      </c>
      <c r="DA112" s="127">
        <f>Planbase100[[#This Row],[05/05/25]]+(1-Planbase100[[#This Row],[05/05/25]])*'Plan 39'!BH66</f>
        <v>1</v>
      </c>
      <c r="DB112" s="127">
        <f>Planbase100[[#This Row],[05/05/25]]+(1-Planbase100[[#This Row],[05/05/25]])*'Plan 39'!BI66</f>
        <v>1</v>
      </c>
      <c r="DC112" s="127">
        <f>Planbase100[[#This Row],[05/05/25]]+(1-Planbase100[[#This Row],[05/05/25]])*'Plan 39'!BJ66</f>
        <v>1</v>
      </c>
      <c r="DD112" s="127">
        <f>Planbase100[[#This Row],[05/05/25]]+(1-Planbase100[[#This Row],[05/05/25]])*'Plan 39'!BK66</f>
        <v>1</v>
      </c>
      <c r="DE112" s="127">
        <f>Planbase100[[#This Row],[05/05/25]]+(1-Planbase100[[#This Row],[05/05/25]])*'Plan 39'!BL66</f>
        <v>1</v>
      </c>
      <c r="DF112" s="127">
        <f>Planbase100[[#This Row],[12/05/25]]+(1-Planbase100[[#This Row],[12/05/25]])*'Plan 39'!BM66</f>
        <v>1</v>
      </c>
      <c r="DG112" s="127">
        <f>Planbase100[[#This Row],[19/05/25]]+(1-Planbase100[[#This Row],[19/05/25]])*'Plan 39'!BN66</f>
        <v>1</v>
      </c>
      <c r="DH112" s="127">
        <f>Planbase100[[#This Row],[26/05/25]]+(1-Planbase100[[#This Row],[26/05/25]])*'Plan 39'!BO66</f>
        <v>1</v>
      </c>
      <c r="DI112" s="127">
        <f>Planbase100[[#This Row],[02/06/25]]+(1-Planbase100[[#This Row],[02/06/25]])*'Plan 39'!BP66</f>
        <v>1</v>
      </c>
      <c r="DJ112" s="127">
        <f>Planbase100[[#This Row],[09/06/25]]+(1-Planbase100[[#This Row],[09/06/25]])*'Plan 39'!BQ66</f>
        <v>1</v>
      </c>
      <c r="DK112" s="127">
        <f>Planbase100[[#This Row],[16/06/25]]+(1-Planbase100[[#This Row],[16/06/25]])*'Plan 39'!BR66</f>
        <v>1</v>
      </c>
      <c r="DL112" s="127">
        <f>Planbase100[[#This Row],[23/06/25]]+(1-Planbase100[[#This Row],[23/06/25]])*'Plan 39'!BS66</f>
        <v>1</v>
      </c>
      <c r="DM112" s="127">
        <f>Planbase100[[#This Row],[30/06/25]]+(1-Planbase100[[#This Row],[30/06/25]])*'Plan 39'!BT66</f>
        <v>1</v>
      </c>
      <c r="DN112" s="127">
        <f>Planbase100[[#This Row],[07/07/25]]+(1-Planbase100[[#This Row],[07/07/25]])*'Plan 39'!BU66</f>
        <v>1</v>
      </c>
      <c r="DO112" s="127">
        <f>Planbase100[[#This Row],[14/07/25]]+(1-Planbase100[[#This Row],[14/07/25]])*'Plan 39'!BV66</f>
        <v>1</v>
      </c>
      <c r="DP112" s="127">
        <f>Planbase100[[#This Row],[21/07/25]]+(1-Planbase100[[#This Row],[21/07/25]])*'Plan 39'!BW66</f>
        <v>1</v>
      </c>
      <c r="DQ112" s="127">
        <f>Planbase100[[#This Row],[28/07/25]]+(1-Planbase100[[#This Row],[28/07/25]])*'Plan 39'!BX66</f>
        <v>1</v>
      </c>
      <c r="DR112" s="127">
        <f>Planbase100[[#This Row],[04/08/25]]+(1-Planbase100[[#This Row],[04/08/25]])*'Plan 39'!BY66</f>
        <v>1</v>
      </c>
      <c r="DS112" s="127">
        <f>Planbase100[[#This Row],[11/08/25]]+(1-Planbase100[[#This Row],[11/08/25]])*'Plan 39'!BZ66</f>
        <v>1</v>
      </c>
      <c r="DT112" s="127">
        <f>Planbase100[[#This Row],[18/08/25]]+(1-Planbase100[[#This Row],[18/08/25]])*'Plan 39'!CA66</f>
        <v>1</v>
      </c>
      <c r="DU112" s="127">
        <f>Planbase100[[#This Row],[25/08/25]]+(1-Planbase100[[#This Row],[25/08/25]])*'Plan 39'!CB66</f>
        <v>1</v>
      </c>
      <c r="DV112" s="127">
        <f>Planbase100[[#This Row],[01/09/25]]+(1-Planbase100[[#This Row],[01/09/25]])*'Plan 39'!CC66</f>
        <v>1</v>
      </c>
      <c r="DW112" s="127">
        <f>Planbase100[[#This Row],[08/09/25]]+(1-Planbase100[[#This Row],[08/09/25]])*'Plan 39'!CD66</f>
        <v>1</v>
      </c>
      <c r="DX112" s="127">
        <f>Planbase100[[#This Row],[15/09/25]]+(1-Planbase100[[#This Row],[15/09/25]])*'Plan 39'!CE66</f>
        <v>1</v>
      </c>
      <c r="DY112" s="127">
        <f>Planbase100[[#This Row],[22/09/25]]+(1-Planbase100[[#This Row],[22/09/25]])*'Plan 39'!CF66</f>
        <v>1</v>
      </c>
      <c r="DZ112" s="127">
        <f>Planbase100[[#This Row],[29/09/25]]+(1-Planbase100[[#This Row],[29/09/25]])*'Plan 39'!CG66</f>
        <v>1</v>
      </c>
      <c r="EA112" s="127">
        <f>Planbase100[[#This Row],[06/10/25]]+(1-Planbase100[[#This Row],[06/10/25]])*'Plan 39'!CH66</f>
        <v>1</v>
      </c>
      <c r="EB112" s="127">
        <f>Planbase100[[#This Row],[13/10/25]]+(1-Planbase100[[#This Row],[13/10/25]])*'Plan 39'!CI66</f>
        <v>1</v>
      </c>
      <c r="EC112" s="127">
        <f>Planbase100[[#This Row],[20/10/25]]+(1-Planbase100[[#This Row],[20/10/25]])*'Plan 39'!CJ66</f>
        <v>1</v>
      </c>
      <c r="ED112" s="127">
        <f>Planbase100[[#This Row],[27/10/25]]+(1-Planbase100[[#This Row],[27/10/25]])*'Plan 39'!CK66</f>
        <v>1</v>
      </c>
      <c r="EE112" s="127">
        <f>Planbase100[[#This Row],[03/11/25]]+(1-Planbase100[[#This Row],[03/11/25]])*'Plan 39'!CL66</f>
        <v>1</v>
      </c>
      <c r="EF112" s="127">
        <f>Planbase100[[#This Row],[10/11/25]]+(1-Planbase100[[#This Row],[10/11/25]])*'Plan 39'!CM66</f>
        <v>1</v>
      </c>
      <c r="EG112" s="127">
        <f>Planbase100[[#This Row],[17/11/25]]+(1-Planbase100[[#This Row],[17/11/25]])*'Plan 39'!CN66</f>
        <v>1</v>
      </c>
      <c r="EH112" s="127">
        <f>Planbase100[[#This Row],[24/11/25]]+(1-Planbase100[[#This Row],[24/11/25]])*'Plan 39'!CO66</f>
        <v>1</v>
      </c>
      <c r="EI112" s="127">
        <f>Planbase100[[#This Row],[01/12/25]]+(1-Planbase100[[#This Row],[01/12/25]])*'Plan 39'!CP66</f>
        <v>1</v>
      </c>
    </row>
    <row r="113" spans="2:139" hidden="1" outlineLevel="3" x14ac:dyDescent="0.3">
      <c r="B113" s="29"/>
      <c r="C113" s="30"/>
      <c r="D113" s="30"/>
      <c r="E113" s="52" t="s">
        <v>117</v>
      </c>
      <c r="F113" s="33">
        <v>20</v>
      </c>
      <c r="G113" s="35">
        <v>0.33622984708458059</v>
      </c>
      <c r="H113" s="53"/>
      <c r="I113" s="126">
        <v>0</v>
      </c>
      <c r="J113" s="127">
        <v>0</v>
      </c>
      <c r="K113" s="127">
        <v>0</v>
      </c>
      <c r="L113" s="127">
        <v>0</v>
      </c>
      <c r="M113" s="128">
        <v>0</v>
      </c>
      <c r="N113" s="128">
        <v>0</v>
      </c>
      <c r="O113" s="127">
        <v>0</v>
      </c>
      <c r="P113" s="127">
        <v>0</v>
      </c>
      <c r="Q113" s="127">
        <v>0</v>
      </c>
      <c r="R113" s="127">
        <v>0</v>
      </c>
      <c r="S113" s="127">
        <v>0</v>
      </c>
      <c r="T113" s="127">
        <v>0</v>
      </c>
      <c r="U113" s="127">
        <v>0</v>
      </c>
      <c r="V113" s="127">
        <v>0</v>
      </c>
      <c r="W113" s="127">
        <v>0</v>
      </c>
      <c r="X113" s="127">
        <v>0</v>
      </c>
      <c r="Y113" s="127">
        <v>0</v>
      </c>
      <c r="Z113" s="127">
        <v>0</v>
      </c>
      <c r="AA113" s="127">
        <v>0</v>
      </c>
      <c r="AB113" s="127">
        <v>0</v>
      </c>
      <c r="AC113" s="127">
        <v>0</v>
      </c>
      <c r="AD113" s="127">
        <v>0</v>
      </c>
      <c r="AE113" s="127">
        <v>0</v>
      </c>
      <c r="AF113" s="127">
        <v>0</v>
      </c>
      <c r="AG113" s="127">
        <v>0</v>
      </c>
      <c r="AH113" s="127">
        <v>0</v>
      </c>
      <c r="AI113" s="127">
        <v>0</v>
      </c>
      <c r="AJ113" s="127">
        <v>0</v>
      </c>
      <c r="AK113" s="127">
        <v>0</v>
      </c>
      <c r="AL113" s="127">
        <v>0</v>
      </c>
      <c r="AM113" s="127">
        <v>0</v>
      </c>
      <c r="AN113" s="127">
        <v>0</v>
      </c>
      <c r="AO113" s="127">
        <v>0</v>
      </c>
      <c r="AP113" s="127">
        <v>0</v>
      </c>
      <c r="AQ113" s="127">
        <v>0</v>
      </c>
      <c r="AR113" s="127">
        <v>0</v>
      </c>
      <c r="AS113" s="127">
        <v>0</v>
      </c>
      <c r="AT113" s="127">
        <v>0</v>
      </c>
      <c r="AU113" s="127">
        <v>0</v>
      </c>
      <c r="AV113" s="127">
        <v>0</v>
      </c>
      <c r="AW113" s="127">
        <v>0</v>
      </c>
      <c r="AX113" s="127">
        <v>0</v>
      </c>
      <c r="AY113" s="127">
        <v>0</v>
      </c>
      <c r="AZ113" s="127">
        <v>0</v>
      </c>
      <c r="BA113" s="127">
        <v>0</v>
      </c>
      <c r="BB113" s="127">
        <f>Planbase100[[#This Row],[05/05/25]]+(1-Planbase100[[#This Row],[05/05/25]])*'Plan 39'!I67</f>
        <v>0</v>
      </c>
      <c r="BC113" s="127">
        <f>Planbase100[[#This Row],[05/05/25]]+(1-Planbase100[[#This Row],[05/05/25]])*'Plan 39'!J67</f>
        <v>0</v>
      </c>
      <c r="BD113" s="127">
        <f>Planbase100[[#This Row],[05/05/25]]+(1-Planbase100[[#This Row],[05/05/25]])*'Plan 39'!K67</f>
        <v>0</v>
      </c>
      <c r="BE113" s="127">
        <f>Planbase100[[#This Row],[05/05/25]]+(1-Planbase100[[#This Row],[05/05/25]])*'Plan 39'!L67</f>
        <v>0</v>
      </c>
      <c r="BF113" s="127">
        <f>Planbase100[[#This Row],[05/05/25]]+(1-Planbase100[[#This Row],[05/05/25]])*'Plan 39'!M67</f>
        <v>0</v>
      </c>
      <c r="BG113" s="127">
        <f>Planbase100[[#This Row],[05/05/25]]+(1-Planbase100[[#This Row],[05/05/25]])*'Plan 39'!N67</f>
        <v>0</v>
      </c>
      <c r="BH113" s="127">
        <f>Planbase100[[#This Row],[05/05/25]]+(1-Planbase100[[#This Row],[05/05/25]])*'Plan 39'!O67</f>
        <v>0</v>
      </c>
      <c r="BI113" s="127">
        <f>Planbase100[[#This Row],[05/05/25]]+(1-Planbase100[[#This Row],[05/05/25]])*'Plan 39'!P67</f>
        <v>0</v>
      </c>
      <c r="BJ113" s="127">
        <f>Planbase100[[#This Row],[05/05/25]]+(1-Planbase100[[#This Row],[05/05/25]])*'Plan 39'!Q67</f>
        <v>0</v>
      </c>
      <c r="BK113" s="127">
        <f>Planbase100[[#This Row],[05/05/25]]+(1-Planbase100[[#This Row],[05/05/25]])*'Plan 39'!R67</f>
        <v>0</v>
      </c>
      <c r="BL113" s="127">
        <f>Planbase100[[#This Row],[05/05/25]]+(1-Planbase100[[#This Row],[05/05/25]])*'Plan 39'!S67</f>
        <v>0</v>
      </c>
      <c r="BM113" s="127">
        <f>Planbase100[[#This Row],[05/05/25]]+(1-Planbase100[[#This Row],[05/05/25]])*'Plan 39'!T67</f>
        <v>0</v>
      </c>
      <c r="BN113" s="127">
        <f>Planbase100[[#This Row],[05/05/25]]+(1-Planbase100[[#This Row],[05/05/25]])*'Plan 39'!U67</f>
        <v>0</v>
      </c>
      <c r="BO113" s="127">
        <f>Planbase100[[#This Row],[05/05/25]]+(1-Planbase100[[#This Row],[05/05/25]])*'Plan 39'!V67</f>
        <v>0</v>
      </c>
      <c r="BP113" s="127">
        <f>Planbase100[[#This Row],[05/05/25]]+(1-Planbase100[[#This Row],[05/05/25]])*'Plan 39'!W67</f>
        <v>0</v>
      </c>
      <c r="BQ113" s="127">
        <f>Planbase100[[#This Row],[05/05/25]]+(1-Planbase100[[#This Row],[05/05/25]])*'Plan 39'!X67</f>
        <v>0</v>
      </c>
      <c r="BR113" s="127">
        <f>Planbase100[[#This Row],[05/05/25]]+(1-Planbase100[[#This Row],[05/05/25]])*'Plan 39'!Y67</f>
        <v>0</v>
      </c>
      <c r="BS113" s="127">
        <f>Planbase100[[#This Row],[05/05/25]]+(1-Planbase100[[#This Row],[05/05/25]])*'Plan 39'!Z67</f>
        <v>0</v>
      </c>
      <c r="BT113" s="127">
        <f>Planbase100[[#This Row],[05/05/25]]+(1-Planbase100[[#This Row],[05/05/25]])*'Plan 39'!AA67</f>
        <v>0</v>
      </c>
      <c r="BU113" s="127">
        <f>Planbase100[[#This Row],[05/05/25]]+(1-Planbase100[[#This Row],[05/05/25]])*'Plan 39'!AB67</f>
        <v>0</v>
      </c>
      <c r="BV113" s="127">
        <f>Planbase100[[#This Row],[05/05/25]]+(1-Planbase100[[#This Row],[05/05/25]])*'Plan 39'!AC67</f>
        <v>0</v>
      </c>
      <c r="BW113" s="127">
        <f>Planbase100[[#This Row],[05/05/25]]+(1-Planbase100[[#This Row],[05/05/25]])*'Plan 39'!AD67</f>
        <v>0</v>
      </c>
      <c r="BX113" s="127">
        <f>Planbase100[[#This Row],[05/05/25]]+(1-Planbase100[[#This Row],[05/05/25]])*'Plan 39'!AE67</f>
        <v>0</v>
      </c>
      <c r="BY113" s="127">
        <f>Planbase100[[#This Row],[05/05/25]]+(1-Planbase100[[#This Row],[05/05/25]])*'Plan 39'!AF67</f>
        <v>0.2</v>
      </c>
      <c r="BZ113" s="127">
        <f>Planbase100[[#This Row],[05/05/25]]+(1-Planbase100[[#This Row],[05/05/25]])*'Plan 39'!AG67</f>
        <v>0.4</v>
      </c>
      <c r="CA113" s="127">
        <f>Planbase100[[#This Row],[05/05/25]]+(1-Planbase100[[#This Row],[05/05/25]])*'Plan 39'!AH67</f>
        <v>0.6</v>
      </c>
      <c r="CB113" s="127">
        <f>Planbase100[[#This Row],[05/05/25]]+(1-Planbase100[[#This Row],[05/05/25]])*'Plan 39'!AI67</f>
        <v>0.8</v>
      </c>
      <c r="CC113" s="127">
        <f>Planbase100[[#This Row],[05/05/25]]+(1-Planbase100[[#This Row],[05/05/25]])*'Plan 39'!AJ67</f>
        <v>1</v>
      </c>
      <c r="CD113" s="127">
        <f>Planbase100[[#This Row],[05/05/25]]+(1-Planbase100[[#This Row],[05/05/25]])*'Plan 39'!AK67</f>
        <v>1</v>
      </c>
      <c r="CE113" s="127">
        <f>Planbase100[[#This Row],[05/05/25]]+(1-Planbase100[[#This Row],[05/05/25]])*'Plan 39'!AL67</f>
        <v>1</v>
      </c>
      <c r="CF113" s="127">
        <f>Planbase100[[#This Row],[05/05/25]]+(1-Planbase100[[#This Row],[05/05/25]])*'Plan 39'!AM67</f>
        <v>1</v>
      </c>
      <c r="CG113" s="127">
        <f>Planbase100[[#This Row],[05/05/25]]+(1-Planbase100[[#This Row],[05/05/25]])*'Plan 39'!AN67</f>
        <v>1</v>
      </c>
      <c r="CH113" s="127">
        <f>Planbase100[[#This Row],[05/05/25]]+(1-Planbase100[[#This Row],[05/05/25]])*'Plan 39'!AO67</f>
        <v>1</v>
      </c>
      <c r="CI113" s="127">
        <f>Planbase100[[#This Row],[05/05/25]]+(1-Planbase100[[#This Row],[05/05/25]])*'Plan 39'!AP67</f>
        <v>1</v>
      </c>
      <c r="CJ113" s="127">
        <f>Planbase100[[#This Row],[05/05/25]]+(1-Planbase100[[#This Row],[05/05/25]])*'Plan 39'!AQ67</f>
        <v>1</v>
      </c>
      <c r="CK113" s="127">
        <f>Planbase100[[#This Row],[05/05/25]]+(1-Planbase100[[#This Row],[05/05/25]])*'Plan 39'!AR67</f>
        <v>1</v>
      </c>
      <c r="CL113" s="127">
        <f>Planbase100[[#This Row],[05/05/25]]+(1-Planbase100[[#This Row],[05/05/25]])*'Plan 39'!AS67</f>
        <v>1</v>
      </c>
      <c r="CM113" s="127">
        <f>Planbase100[[#This Row],[05/05/25]]+(1-Planbase100[[#This Row],[05/05/25]])*'Plan 39'!AT67</f>
        <v>1</v>
      </c>
      <c r="CN113" s="127">
        <f>Planbase100[[#This Row],[05/05/25]]+(1-Planbase100[[#This Row],[05/05/25]])*'Plan 39'!AU67</f>
        <v>1</v>
      </c>
      <c r="CO113" s="127">
        <f>Planbase100[[#This Row],[05/05/25]]+(1-Planbase100[[#This Row],[05/05/25]])*'Plan 39'!AV67</f>
        <v>1</v>
      </c>
      <c r="CP113" s="127">
        <f>Planbase100[[#This Row],[05/05/25]]+(1-Planbase100[[#This Row],[05/05/25]])*'Plan 39'!AW67</f>
        <v>1</v>
      </c>
      <c r="CQ113" s="127">
        <f>Planbase100[[#This Row],[05/05/25]]+(1-Planbase100[[#This Row],[05/05/25]])*'Plan 39'!AX67</f>
        <v>1</v>
      </c>
      <c r="CR113" s="127">
        <f>Planbase100[[#This Row],[05/05/25]]+(1-Planbase100[[#This Row],[05/05/25]])*'Plan 39'!AY67</f>
        <v>1</v>
      </c>
      <c r="CS113" s="127">
        <f>Planbase100[[#This Row],[05/05/25]]+(1-Planbase100[[#This Row],[05/05/25]])*'Plan 39'!AZ67</f>
        <v>1</v>
      </c>
      <c r="CT113" s="127">
        <f>Planbase100[[#This Row],[05/05/25]]+(1-Planbase100[[#This Row],[05/05/25]])*'Plan 39'!BA67</f>
        <v>1</v>
      </c>
      <c r="CU113" s="127">
        <f>Planbase100[[#This Row],[05/05/25]]+(1-Planbase100[[#This Row],[05/05/25]])*'Plan 39'!BB67</f>
        <v>1</v>
      </c>
      <c r="CV113" s="127">
        <f>Planbase100[[#This Row],[05/05/25]]+(1-Planbase100[[#This Row],[05/05/25]])*'Plan 39'!BC67</f>
        <v>1</v>
      </c>
      <c r="CW113" s="127">
        <f>Planbase100[[#This Row],[05/05/25]]+(1-Planbase100[[#This Row],[05/05/25]])*'Plan 39'!BD67</f>
        <v>1</v>
      </c>
      <c r="CX113" s="127">
        <f>Planbase100[[#This Row],[05/05/25]]+(1-Planbase100[[#This Row],[05/05/25]])*'Plan 39'!BE67</f>
        <v>1</v>
      </c>
      <c r="CY113" s="127">
        <f>Planbase100[[#This Row],[05/05/25]]+(1-Planbase100[[#This Row],[05/05/25]])*'Plan 39'!BF67</f>
        <v>1</v>
      </c>
      <c r="CZ113" s="127">
        <f>Planbase100[[#This Row],[05/05/25]]+(1-Planbase100[[#This Row],[05/05/25]])*'Plan 39'!BG67</f>
        <v>1</v>
      </c>
      <c r="DA113" s="127">
        <f>Planbase100[[#This Row],[05/05/25]]+(1-Planbase100[[#This Row],[05/05/25]])*'Plan 39'!BH67</f>
        <v>1</v>
      </c>
      <c r="DB113" s="127">
        <f>Planbase100[[#This Row],[05/05/25]]+(1-Planbase100[[#This Row],[05/05/25]])*'Plan 39'!BI67</f>
        <v>1</v>
      </c>
      <c r="DC113" s="127">
        <f>Planbase100[[#This Row],[05/05/25]]+(1-Planbase100[[#This Row],[05/05/25]])*'Plan 39'!BJ67</f>
        <v>1</v>
      </c>
      <c r="DD113" s="127">
        <f>Planbase100[[#This Row],[05/05/25]]+(1-Planbase100[[#This Row],[05/05/25]])*'Plan 39'!BK67</f>
        <v>1</v>
      </c>
      <c r="DE113" s="127">
        <f>Planbase100[[#This Row],[05/05/25]]+(1-Planbase100[[#This Row],[05/05/25]])*'Plan 39'!BL67</f>
        <v>1</v>
      </c>
      <c r="DF113" s="127">
        <f>Planbase100[[#This Row],[12/05/25]]+(1-Planbase100[[#This Row],[12/05/25]])*'Plan 39'!BM67</f>
        <v>1</v>
      </c>
      <c r="DG113" s="127">
        <f>Planbase100[[#This Row],[19/05/25]]+(1-Planbase100[[#This Row],[19/05/25]])*'Plan 39'!BN67</f>
        <v>1</v>
      </c>
      <c r="DH113" s="127">
        <f>Planbase100[[#This Row],[26/05/25]]+(1-Planbase100[[#This Row],[26/05/25]])*'Plan 39'!BO67</f>
        <v>1</v>
      </c>
      <c r="DI113" s="127">
        <f>Planbase100[[#This Row],[02/06/25]]+(1-Planbase100[[#This Row],[02/06/25]])*'Plan 39'!BP67</f>
        <v>1</v>
      </c>
      <c r="DJ113" s="127">
        <f>Planbase100[[#This Row],[09/06/25]]+(1-Planbase100[[#This Row],[09/06/25]])*'Plan 39'!BQ67</f>
        <v>1</v>
      </c>
      <c r="DK113" s="127">
        <f>Planbase100[[#This Row],[16/06/25]]+(1-Planbase100[[#This Row],[16/06/25]])*'Plan 39'!BR67</f>
        <v>1</v>
      </c>
      <c r="DL113" s="127">
        <f>Planbase100[[#This Row],[23/06/25]]+(1-Planbase100[[#This Row],[23/06/25]])*'Plan 39'!BS67</f>
        <v>1</v>
      </c>
      <c r="DM113" s="127">
        <f>Planbase100[[#This Row],[30/06/25]]+(1-Planbase100[[#This Row],[30/06/25]])*'Plan 39'!BT67</f>
        <v>1</v>
      </c>
      <c r="DN113" s="127">
        <f>Planbase100[[#This Row],[07/07/25]]+(1-Planbase100[[#This Row],[07/07/25]])*'Plan 39'!BU67</f>
        <v>1</v>
      </c>
      <c r="DO113" s="127">
        <f>Planbase100[[#This Row],[14/07/25]]+(1-Planbase100[[#This Row],[14/07/25]])*'Plan 39'!BV67</f>
        <v>1</v>
      </c>
      <c r="DP113" s="127">
        <f>Planbase100[[#This Row],[21/07/25]]+(1-Planbase100[[#This Row],[21/07/25]])*'Plan 39'!BW67</f>
        <v>1</v>
      </c>
      <c r="DQ113" s="127">
        <f>Planbase100[[#This Row],[28/07/25]]+(1-Planbase100[[#This Row],[28/07/25]])*'Plan 39'!BX67</f>
        <v>1</v>
      </c>
      <c r="DR113" s="127">
        <f>Planbase100[[#This Row],[04/08/25]]+(1-Planbase100[[#This Row],[04/08/25]])*'Plan 39'!BY67</f>
        <v>1</v>
      </c>
      <c r="DS113" s="127">
        <f>Planbase100[[#This Row],[11/08/25]]+(1-Planbase100[[#This Row],[11/08/25]])*'Plan 39'!BZ67</f>
        <v>1</v>
      </c>
      <c r="DT113" s="127">
        <f>Planbase100[[#This Row],[18/08/25]]+(1-Planbase100[[#This Row],[18/08/25]])*'Plan 39'!CA67</f>
        <v>1</v>
      </c>
      <c r="DU113" s="127">
        <f>Planbase100[[#This Row],[25/08/25]]+(1-Planbase100[[#This Row],[25/08/25]])*'Plan 39'!CB67</f>
        <v>1</v>
      </c>
      <c r="DV113" s="127">
        <f>Planbase100[[#This Row],[01/09/25]]+(1-Planbase100[[#This Row],[01/09/25]])*'Plan 39'!CC67</f>
        <v>1</v>
      </c>
      <c r="DW113" s="127">
        <f>Planbase100[[#This Row],[08/09/25]]+(1-Planbase100[[#This Row],[08/09/25]])*'Plan 39'!CD67</f>
        <v>1</v>
      </c>
      <c r="DX113" s="127">
        <f>Planbase100[[#This Row],[15/09/25]]+(1-Planbase100[[#This Row],[15/09/25]])*'Plan 39'!CE67</f>
        <v>1</v>
      </c>
      <c r="DY113" s="127">
        <f>Planbase100[[#This Row],[22/09/25]]+(1-Planbase100[[#This Row],[22/09/25]])*'Plan 39'!CF67</f>
        <v>1</v>
      </c>
      <c r="DZ113" s="127">
        <f>Planbase100[[#This Row],[29/09/25]]+(1-Planbase100[[#This Row],[29/09/25]])*'Plan 39'!CG67</f>
        <v>1</v>
      </c>
      <c r="EA113" s="127">
        <f>Planbase100[[#This Row],[06/10/25]]+(1-Planbase100[[#This Row],[06/10/25]])*'Plan 39'!CH67</f>
        <v>1</v>
      </c>
      <c r="EB113" s="127">
        <f>Planbase100[[#This Row],[13/10/25]]+(1-Planbase100[[#This Row],[13/10/25]])*'Plan 39'!CI67</f>
        <v>1</v>
      </c>
      <c r="EC113" s="127">
        <f>Planbase100[[#This Row],[20/10/25]]+(1-Planbase100[[#This Row],[20/10/25]])*'Plan 39'!CJ67</f>
        <v>1</v>
      </c>
      <c r="ED113" s="127">
        <f>Planbase100[[#This Row],[27/10/25]]+(1-Planbase100[[#This Row],[27/10/25]])*'Plan 39'!CK67</f>
        <v>1</v>
      </c>
      <c r="EE113" s="127">
        <f>Planbase100[[#This Row],[03/11/25]]+(1-Planbase100[[#This Row],[03/11/25]])*'Plan 39'!CL67</f>
        <v>1</v>
      </c>
      <c r="EF113" s="127">
        <f>Planbase100[[#This Row],[10/11/25]]+(1-Planbase100[[#This Row],[10/11/25]])*'Plan 39'!CM67</f>
        <v>1</v>
      </c>
      <c r="EG113" s="127">
        <f>Planbase100[[#This Row],[17/11/25]]+(1-Planbase100[[#This Row],[17/11/25]])*'Plan 39'!CN67</f>
        <v>1</v>
      </c>
      <c r="EH113" s="127">
        <f>Planbase100[[#This Row],[24/11/25]]+(1-Planbase100[[#This Row],[24/11/25]])*'Plan 39'!CO67</f>
        <v>1</v>
      </c>
      <c r="EI113" s="127">
        <f>Planbase100[[#This Row],[01/12/25]]+(1-Planbase100[[#This Row],[01/12/25]])*'Plan 39'!CP67</f>
        <v>1</v>
      </c>
    </row>
    <row r="114" spans="2:139" ht="15" hidden="1" outlineLevel="2" collapsed="1" x14ac:dyDescent="0.3">
      <c r="B114" s="22"/>
      <c r="C114" s="23"/>
      <c r="D114" s="23" t="s">
        <v>118</v>
      </c>
      <c r="E114" s="50"/>
      <c r="F114" s="26">
        <f>+SUM(F117:F117)</f>
        <v>35</v>
      </c>
      <c r="G114" s="28">
        <v>4.974865389343934E-2</v>
      </c>
      <c r="H114" s="51"/>
      <c r="I114" s="125">
        <f>SUMPRODUCT(I115:I117,$G$115:$G$117)</f>
        <v>0</v>
      </c>
      <c r="J114" s="28">
        <f t="shared" ref="J114:BB114" si="337">SUMPRODUCT(J115:J117,$G$115:$G$117)</f>
        <v>0</v>
      </c>
      <c r="K114" s="28">
        <f t="shared" si="337"/>
        <v>0</v>
      </c>
      <c r="L114" s="28">
        <f t="shared" si="337"/>
        <v>0</v>
      </c>
      <c r="M114" s="28">
        <f t="shared" si="337"/>
        <v>0</v>
      </c>
      <c r="N114" s="28">
        <f t="shared" si="337"/>
        <v>0</v>
      </c>
      <c r="O114" s="28">
        <f t="shared" si="337"/>
        <v>0</v>
      </c>
      <c r="P114" s="28">
        <f t="shared" si="337"/>
        <v>0</v>
      </c>
      <c r="Q114" s="28">
        <f t="shared" si="337"/>
        <v>0</v>
      </c>
      <c r="R114" s="28">
        <f t="shared" si="337"/>
        <v>0</v>
      </c>
      <c r="S114" s="28">
        <f t="shared" si="337"/>
        <v>0</v>
      </c>
      <c r="T114" s="28">
        <f t="shared" si="337"/>
        <v>0</v>
      </c>
      <c r="U114" s="28">
        <f t="shared" si="337"/>
        <v>0</v>
      </c>
      <c r="V114" s="28">
        <f t="shared" si="337"/>
        <v>0</v>
      </c>
      <c r="W114" s="28">
        <f t="shared" si="337"/>
        <v>0</v>
      </c>
      <c r="X114" s="28">
        <f t="shared" si="337"/>
        <v>0</v>
      </c>
      <c r="Y114" s="28">
        <f t="shared" si="337"/>
        <v>0</v>
      </c>
      <c r="Z114" s="28">
        <f t="shared" si="337"/>
        <v>0</v>
      </c>
      <c r="AA114" s="28">
        <f t="shared" si="337"/>
        <v>0</v>
      </c>
      <c r="AB114" s="28">
        <f t="shared" si="337"/>
        <v>0</v>
      </c>
      <c r="AC114" s="28">
        <f t="shared" si="337"/>
        <v>0</v>
      </c>
      <c r="AD114" s="28">
        <f t="shared" si="337"/>
        <v>0</v>
      </c>
      <c r="AE114" s="28">
        <f t="shared" si="337"/>
        <v>0</v>
      </c>
      <c r="AF114" s="28">
        <f t="shared" si="337"/>
        <v>0</v>
      </c>
      <c r="AG114" s="28">
        <f t="shared" si="337"/>
        <v>0</v>
      </c>
      <c r="AH114" s="28">
        <f t="shared" si="337"/>
        <v>0.12045263105500728</v>
      </c>
      <c r="AI114" s="28">
        <f>SUMPRODUCT(AI115:AI117,$G$115:$G$117)</f>
        <v>0.12045263105500728</v>
      </c>
      <c r="AJ114" s="28">
        <f>SUMPRODUCT(AJ115:AJ117,$G$115:$G$117)</f>
        <v>0.12045263105500728</v>
      </c>
      <c r="AK114" s="28">
        <f t="shared" si="337"/>
        <v>0.12045263105500728</v>
      </c>
      <c r="AL114" s="28">
        <f t="shared" si="337"/>
        <v>0.12045263105500728</v>
      </c>
      <c r="AM114" s="28">
        <f t="shared" si="337"/>
        <v>0.12045263105500728</v>
      </c>
      <c r="AN114" s="28">
        <f t="shared" si="337"/>
        <v>0.12045263105500728</v>
      </c>
      <c r="AO114" s="28">
        <f t="shared" si="337"/>
        <v>0.12045263105500728</v>
      </c>
      <c r="AP114" s="28">
        <f t="shared" si="337"/>
        <v>0.12045263105500728</v>
      </c>
      <c r="AQ114" s="28">
        <f t="shared" si="337"/>
        <v>0.12045263105500728</v>
      </c>
      <c r="AR114" s="28">
        <f t="shared" si="337"/>
        <v>0.12045263105500728</v>
      </c>
      <c r="AS114" s="28">
        <f t="shared" si="337"/>
        <v>0.12045263105500728</v>
      </c>
      <c r="AT114" s="28">
        <f t="shared" si="337"/>
        <v>0.12045263105500728</v>
      </c>
      <c r="AU114" s="28">
        <f t="shared" si="337"/>
        <v>0.12045263105500728</v>
      </c>
      <c r="AV114" s="28">
        <f t="shared" si="337"/>
        <v>0.12045263105500728</v>
      </c>
      <c r="AW114" s="28">
        <f t="shared" si="337"/>
        <v>0.12045263105500728</v>
      </c>
      <c r="AX114" s="28">
        <f t="shared" si="337"/>
        <v>0.12045263105500728</v>
      </c>
      <c r="AY114" s="28">
        <f t="shared" si="337"/>
        <v>0.12045263105500728</v>
      </c>
      <c r="AZ114" s="28">
        <f t="shared" si="337"/>
        <v>0.12045263105500728</v>
      </c>
      <c r="BA114" s="28">
        <f t="shared" si="337"/>
        <v>0.12045263105500728</v>
      </c>
      <c r="BB114" s="28">
        <f t="shared" si="337"/>
        <v>0.12045263105500728</v>
      </c>
      <c r="BC114" s="28">
        <f t="shared" ref="BC114:CE114" si="338">SUMPRODUCT(BC115:BC117,$G$115:$G$117)</f>
        <v>0.12045263105500728</v>
      </c>
      <c r="BD114" s="28">
        <f t="shared" si="338"/>
        <v>0.12045263105500728</v>
      </c>
      <c r="BE114" s="28">
        <f t="shared" si="338"/>
        <v>0.12045263105500728</v>
      </c>
      <c r="BF114" s="28">
        <f t="shared" si="338"/>
        <v>0.12045263105500728</v>
      </c>
      <c r="BG114" s="28">
        <f t="shared" si="338"/>
        <v>0.12045263105500728</v>
      </c>
      <c r="BH114" s="28">
        <f t="shared" si="338"/>
        <v>0.12045263105500728</v>
      </c>
      <c r="BI114" s="28">
        <f t="shared" si="338"/>
        <v>0.12045263105500728</v>
      </c>
      <c r="BJ114" s="28">
        <f t="shared" si="338"/>
        <v>0.12045263105500728</v>
      </c>
      <c r="BK114" s="28">
        <f t="shared" si="338"/>
        <v>0.12045263105500728</v>
      </c>
      <c r="BL114" s="28">
        <f t="shared" si="338"/>
        <v>0.12045263105500728</v>
      </c>
      <c r="BM114" s="28">
        <f t="shared" si="338"/>
        <v>0.12045263105500728</v>
      </c>
      <c r="BN114" s="28">
        <f t="shared" si="338"/>
        <v>0.12045263105500728</v>
      </c>
      <c r="BO114" s="28">
        <f t="shared" si="338"/>
        <v>0.12045263105500728</v>
      </c>
      <c r="BP114" s="28">
        <f t="shared" si="338"/>
        <v>0.12045263105500728</v>
      </c>
      <c r="BQ114" s="28">
        <f t="shared" si="338"/>
        <v>0.2377256135810063</v>
      </c>
      <c r="BR114" s="28">
        <f t="shared" si="338"/>
        <v>0.35499859610700535</v>
      </c>
      <c r="BS114" s="28">
        <f t="shared" si="338"/>
        <v>0.47227157863300429</v>
      </c>
      <c r="BT114" s="28">
        <f t="shared" si="338"/>
        <v>0.58954456115900344</v>
      </c>
      <c r="BU114" s="28">
        <f t="shared" si="338"/>
        <v>0.70681754368500238</v>
      </c>
      <c r="BV114" s="28">
        <f t="shared" si="338"/>
        <v>0.70681754368500238</v>
      </c>
      <c r="BW114" s="28">
        <f t="shared" si="338"/>
        <v>0.78011315776375179</v>
      </c>
      <c r="BX114" s="28">
        <f t="shared" si="338"/>
        <v>0.85340877184250119</v>
      </c>
      <c r="BY114" s="28">
        <f t="shared" si="338"/>
        <v>0.92670438592125048</v>
      </c>
      <c r="BZ114" s="28">
        <f t="shared" si="338"/>
        <v>1</v>
      </c>
      <c r="CA114" s="28">
        <f t="shared" si="338"/>
        <v>1</v>
      </c>
      <c r="CB114" s="28">
        <f t="shared" si="338"/>
        <v>1</v>
      </c>
      <c r="CC114" s="28">
        <f t="shared" si="338"/>
        <v>1</v>
      </c>
      <c r="CD114" s="28">
        <f t="shared" si="338"/>
        <v>1</v>
      </c>
      <c r="CE114" s="28">
        <f t="shared" si="338"/>
        <v>1</v>
      </c>
      <c r="CF114" s="28">
        <f t="shared" ref="CF114:CI114" si="339">SUMPRODUCT(CF115:CF117,$G$115:$G$117)</f>
        <v>1</v>
      </c>
      <c r="CG114" s="28">
        <f t="shared" si="339"/>
        <v>1</v>
      </c>
      <c r="CH114" s="28">
        <f t="shared" si="339"/>
        <v>1</v>
      </c>
      <c r="CI114" s="28">
        <f t="shared" si="339"/>
        <v>1</v>
      </c>
      <c r="CJ114" s="28">
        <f t="shared" ref="CJ114:CK114" si="340">SUMPRODUCT(CJ115:CJ117,$G$115:$G$117)</f>
        <v>1</v>
      </c>
      <c r="CK114" s="28">
        <f t="shared" si="340"/>
        <v>1</v>
      </c>
      <c r="CL114" s="28">
        <f t="shared" ref="CL114" si="341">SUMPRODUCT(CL115:CL117,$G$115:$G$117)</f>
        <v>1</v>
      </c>
      <c r="CM114" s="28">
        <f t="shared" ref="CM114:CV114" si="342">SUMPRODUCT(CM115:CM117,$G$115:$G$117)</f>
        <v>1</v>
      </c>
      <c r="CN114" s="28">
        <f t="shared" si="342"/>
        <v>1</v>
      </c>
      <c r="CO114" s="28">
        <f t="shared" si="342"/>
        <v>1</v>
      </c>
      <c r="CP114" s="28">
        <f t="shared" si="342"/>
        <v>1</v>
      </c>
      <c r="CQ114" s="28">
        <f t="shared" si="342"/>
        <v>1</v>
      </c>
      <c r="CR114" s="28">
        <f t="shared" si="342"/>
        <v>1</v>
      </c>
      <c r="CS114" s="28">
        <f t="shared" si="342"/>
        <v>1</v>
      </c>
      <c r="CT114" s="28">
        <f t="shared" si="342"/>
        <v>1</v>
      </c>
      <c r="CU114" s="28">
        <f t="shared" si="342"/>
        <v>1</v>
      </c>
      <c r="CV114" s="28">
        <f t="shared" si="342"/>
        <v>1</v>
      </c>
      <c r="CW114" s="28">
        <f t="shared" ref="CW114" si="343">SUMPRODUCT(CW115:CW117,$G$115:$G$117)</f>
        <v>1</v>
      </c>
      <c r="CX114" s="28">
        <f t="shared" ref="CX114:CY114" si="344">SUMPRODUCT(CX115:CX117,$G$115:$G$117)</f>
        <v>1</v>
      </c>
      <c r="CY114" s="28">
        <f t="shared" si="344"/>
        <v>1</v>
      </c>
      <c r="CZ114" s="28">
        <f t="shared" ref="CZ114:DA114" si="345">SUMPRODUCT(CZ115:CZ117,$G$115:$G$117)</f>
        <v>1</v>
      </c>
      <c r="DA114" s="28">
        <f t="shared" si="345"/>
        <v>1</v>
      </c>
      <c r="DB114" s="28">
        <f t="shared" ref="DB114:DC114" si="346">SUMPRODUCT(DB115:DB117,$G$115:$G$117)</f>
        <v>1</v>
      </c>
      <c r="DC114" s="28">
        <f t="shared" si="346"/>
        <v>1</v>
      </c>
      <c r="DD114" s="28">
        <f t="shared" ref="DD114:DE114" si="347">SUMPRODUCT(DD115:DD117,$G$115:$G$117)</f>
        <v>1</v>
      </c>
      <c r="DE114" s="28">
        <f t="shared" si="347"/>
        <v>1</v>
      </c>
      <c r="DF114" s="28">
        <f t="shared" ref="DF114:DJ114" si="348">SUMPRODUCT(DF115:DF117,$G$115:$G$117)</f>
        <v>1</v>
      </c>
      <c r="DG114" s="28">
        <f t="shared" si="348"/>
        <v>1</v>
      </c>
      <c r="DH114" s="28">
        <f t="shared" si="348"/>
        <v>1</v>
      </c>
      <c r="DI114" s="28">
        <f t="shared" si="348"/>
        <v>1</v>
      </c>
      <c r="DJ114" s="28">
        <f t="shared" si="348"/>
        <v>1</v>
      </c>
      <c r="DK114" s="28">
        <f t="shared" ref="DK114:EI114" si="349">SUMPRODUCT(DK115:DK117,$G$115:$G$117)</f>
        <v>1</v>
      </c>
      <c r="DL114" s="28">
        <f t="shared" si="349"/>
        <v>1</v>
      </c>
      <c r="DM114" s="28">
        <f t="shared" si="349"/>
        <v>1</v>
      </c>
      <c r="DN114" s="28">
        <f t="shared" si="349"/>
        <v>1</v>
      </c>
      <c r="DO114" s="28">
        <f t="shared" si="349"/>
        <v>1</v>
      </c>
      <c r="DP114" s="28">
        <f t="shared" si="349"/>
        <v>1</v>
      </c>
      <c r="DQ114" s="28">
        <f t="shared" si="349"/>
        <v>1</v>
      </c>
      <c r="DR114" s="28">
        <f t="shared" si="349"/>
        <v>1</v>
      </c>
      <c r="DS114" s="28">
        <f t="shared" si="349"/>
        <v>1</v>
      </c>
      <c r="DT114" s="28">
        <f t="shared" si="349"/>
        <v>1</v>
      </c>
      <c r="DU114" s="28">
        <f t="shared" si="349"/>
        <v>1</v>
      </c>
      <c r="DV114" s="28">
        <f t="shared" si="349"/>
        <v>1</v>
      </c>
      <c r="DW114" s="28">
        <f t="shared" si="349"/>
        <v>1</v>
      </c>
      <c r="DX114" s="28">
        <f t="shared" si="349"/>
        <v>1</v>
      </c>
      <c r="DY114" s="28">
        <f t="shared" si="349"/>
        <v>1</v>
      </c>
      <c r="DZ114" s="28">
        <f t="shared" si="349"/>
        <v>1</v>
      </c>
      <c r="EA114" s="28">
        <f t="shared" si="349"/>
        <v>1</v>
      </c>
      <c r="EB114" s="28">
        <f t="shared" si="349"/>
        <v>1</v>
      </c>
      <c r="EC114" s="28">
        <f t="shared" si="349"/>
        <v>1</v>
      </c>
      <c r="ED114" s="28">
        <f t="shared" si="349"/>
        <v>1</v>
      </c>
      <c r="EE114" s="28">
        <f t="shared" si="349"/>
        <v>1</v>
      </c>
      <c r="EF114" s="28">
        <f t="shared" si="349"/>
        <v>1</v>
      </c>
      <c r="EG114" s="28">
        <f t="shared" si="349"/>
        <v>1</v>
      </c>
      <c r="EH114" s="28">
        <f t="shared" si="349"/>
        <v>1</v>
      </c>
      <c r="EI114" s="28">
        <f t="shared" si="349"/>
        <v>1</v>
      </c>
    </row>
    <row r="115" spans="2:139" ht="15" hidden="1" outlineLevel="3" x14ac:dyDescent="0.3">
      <c r="B115" s="29"/>
      <c r="C115" s="30"/>
      <c r="D115" s="30"/>
      <c r="E115" s="30" t="s">
        <v>119</v>
      </c>
      <c r="F115" s="33">
        <v>35</v>
      </c>
      <c r="G115" s="35">
        <v>0.33333333333333331</v>
      </c>
      <c r="H115" s="55"/>
      <c r="I115" s="130">
        <v>0</v>
      </c>
      <c r="J115" s="131">
        <v>0</v>
      </c>
      <c r="K115" s="131">
        <v>0</v>
      </c>
      <c r="L115" s="131">
        <v>0</v>
      </c>
      <c r="M115" s="132">
        <v>0</v>
      </c>
      <c r="N115" s="132">
        <v>0</v>
      </c>
      <c r="O115" s="131">
        <v>0</v>
      </c>
      <c r="P115" s="131">
        <v>0</v>
      </c>
      <c r="Q115" s="131">
        <v>0</v>
      </c>
      <c r="R115" s="131">
        <v>0</v>
      </c>
      <c r="S115" s="131">
        <v>0</v>
      </c>
      <c r="T115" s="131">
        <v>0</v>
      </c>
      <c r="U115" s="131">
        <v>0</v>
      </c>
      <c r="V115" s="131">
        <v>0</v>
      </c>
      <c r="W115" s="131">
        <v>0</v>
      </c>
      <c r="X115" s="131">
        <v>0</v>
      </c>
      <c r="Y115" s="131">
        <v>0</v>
      </c>
      <c r="Z115" s="131">
        <v>0</v>
      </c>
      <c r="AA115" s="131">
        <v>0</v>
      </c>
      <c r="AB115" s="131">
        <v>0</v>
      </c>
      <c r="AC115" s="131">
        <v>0</v>
      </c>
      <c r="AD115" s="131">
        <v>0</v>
      </c>
      <c r="AE115" s="131">
        <v>0</v>
      </c>
      <c r="AF115" s="131">
        <v>0</v>
      </c>
      <c r="AG115" s="131">
        <v>0</v>
      </c>
      <c r="AH115" s="131">
        <v>0.12045263105500728</v>
      </c>
      <c r="AI115" s="131">
        <v>0.12045263105500728</v>
      </c>
      <c r="AJ115" s="131">
        <v>0.12045263105500728</v>
      </c>
      <c r="AK115" s="131">
        <v>0.12045263105500728</v>
      </c>
      <c r="AL115" s="131">
        <v>0.12045263105500728</v>
      </c>
      <c r="AM115" s="131">
        <v>0.12045263105500728</v>
      </c>
      <c r="AN115" s="131">
        <v>0.12045263105500728</v>
      </c>
      <c r="AO115" s="131">
        <v>0.12045263105500728</v>
      </c>
      <c r="AP115" s="131">
        <v>0.12045263105500728</v>
      </c>
      <c r="AQ115" s="131">
        <v>0.12045263105500728</v>
      </c>
      <c r="AR115" s="131">
        <v>0.12045263105500728</v>
      </c>
      <c r="AS115" s="131">
        <v>0.12045263105500728</v>
      </c>
      <c r="AT115" s="131">
        <v>0.12045263105500728</v>
      </c>
      <c r="AU115" s="131">
        <v>0.12045263105500728</v>
      </c>
      <c r="AV115" s="131">
        <v>0.12045263105500728</v>
      </c>
      <c r="AW115" s="131">
        <v>0.12045263105500728</v>
      </c>
      <c r="AX115" s="131">
        <v>0.12045263105500728</v>
      </c>
      <c r="AY115" s="131">
        <v>0.12045263105500728</v>
      </c>
      <c r="AZ115" s="131">
        <v>0.12045263105500728</v>
      </c>
      <c r="BA115" s="131">
        <v>0.12045263105500728</v>
      </c>
      <c r="BB115" s="127">
        <f>Planbase100[[#This Row],[05/05/25]]+(1-Planbase100[[#This Row],[05/05/25]])*'Plan 39'!I69</f>
        <v>0.12045263105500728</v>
      </c>
      <c r="BC115" s="127">
        <f>Planbase100[[#This Row],[05/05/25]]+(1-Planbase100[[#This Row],[05/05/25]])*'Plan 39'!J69</f>
        <v>0.12045263105500728</v>
      </c>
      <c r="BD115" s="127">
        <f>Planbase100[[#This Row],[05/05/25]]+(1-Planbase100[[#This Row],[05/05/25]])*'Plan 39'!K69</f>
        <v>0.12045263105500728</v>
      </c>
      <c r="BE115" s="127">
        <f>Planbase100[[#This Row],[05/05/25]]+(1-Planbase100[[#This Row],[05/05/25]])*'Plan 39'!L69</f>
        <v>0.12045263105500728</v>
      </c>
      <c r="BF115" s="127">
        <f>Planbase100[[#This Row],[05/05/25]]+(1-Planbase100[[#This Row],[05/05/25]])*'Plan 39'!M69</f>
        <v>0.12045263105500728</v>
      </c>
      <c r="BG115" s="127">
        <f>Planbase100[[#This Row],[05/05/25]]+(1-Planbase100[[#This Row],[05/05/25]])*'Plan 39'!N69</f>
        <v>0.12045263105500728</v>
      </c>
      <c r="BH115" s="127">
        <f>Planbase100[[#This Row],[05/05/25]]+(1-Planbase100[[#This Row],[05/05/25]])*'Plan 39'!O69</f>
        <v>0.12045263105500728</v>
      </c>
      <c r="BI115" s="127">
        <f>Planbase100[[#This Row],[05/05/25]]+(1-Planbase100[[#This Row],[05/05/25]])*'Plan 39'!P69</f>
        <v>0.12045263105500728</v>
      </c>
      <c r="BJ115" s="127">
        <f>Planbase100[[#This Row],[05/05/25]]+(1-Planbase100[[#This Row],[05/05/25]])*'Plan 39'!Q69</f>
        <v>0.12045263105500728</v>
      </c>
      <c r="BK115" s="127">
        <f>Planbase100[[#This Row],[05/05/25]]+(1-Planbase100[[#This Row],[05/05/25]])*'Plan 39'!R69</f>
        <v>0.12045263105500728</v>
      </c>
      <c r="BL115" s="127">
        <f>Planbase100[[#This Row],[05/05/25]]+(1-Planbase100[[#This Row],[05/05/25]])*'Plan 39'!S69</f>
        <v>0.12045263105500728</v>
      </c>
      <c r="BM115" s="127">
        <f>Planbase100[[#This Row],[05/05/25]]+(1-Planbase100[[#This Row],[05/05/25]])*'Plan 39'!T69</f>
        <v>0.12045263105500728</v>
      </c>
      <c r="BN115" s="127">
        <f>Planbase100[[#This Row],[05/05/25]]+(1-Planbase100[[#This Row],[05/05/25]])*'Plan 39'!U69</f>
        <v>0.12045263105500728</v>
      </c>
      <c r="BO115" s="127">
        <f>Planbase100[[#This Row],[05/05/25]]+(1-Planbase100[[#This Row],[05/05/25]])*'Plan 39'!V69</f>
        <v>0.12045263105500728</v>
      </c>
      <c r="BP115" s="127">
        <f>Planbase100[[#This Row],[05/05/25]]+(1-Planbase100[[#This Row],[05/05/25]])*'Plan 39'!W69</f>
        <v>0.12045263105500728</v>
      </c>
      <c r="BQ115" s="127">
        <f>Planbase100[[#This Row],[05/05/25]]+(1-Planbase100[[#This Row],[05/05/25]])*'Plan 39'!X69</f>
        <v>0.29636210484400582</v>
      </c>
      <c r="BR115" s="127">
        <f>Planbase100[[#This Row],[05/05/25]]+(1-Planbase100[[#This Row],[05/05/25]])*'Plan 39'!Y69</f>
        <v>0.4722715786330044</v>
      </c>
      <c r="BS115" s="127">
        <f>Planbase100[[#This Row],[05/05/25]]+(1-Planbase100[[#This Row],[05/05/25]])*'Plan 39'!Z69</f>
        <v>0.64818105242200286</v>
      </c>
      <c r="BT115" s="127">
        <f>Planbase100[[#This Row],[05/05/25]]+(1-Planbase100[[#This Row],[05/05/25]])*'Plan 39'!AA69</f>
        <v>0.82409052621100154</v>
      </c>
      <c r="BU115" s="127">
        <f>Planbase100[[#This Row],[05/05/25]]+(1-Planbase100[[#This Row],[05/05/25]])*'Plan 39'!AB69</f>
        <v>1</v>
      </c>
      <c r="BV115" s="127">
        <f>Planbase100[[#This Row],[05/05/25]]+(1-Planbase100[[#This Row],[05/05/25]])*'Plan 39'!AC69</f>
        <v>1</v>
      </c>
      <c r="BW115" s="127">
        <f>Planbase100[[#This Row],[05/05/25]]+(1-Planbase100[[#This Row],[05/05/25]])*'Plan 39'!AD69</f>
        <v>1</v>
      </c>
      <c r="BX115" s="127">
        <f>Planbase100[[#This Row],[05/05/25]]+(1-Planbase100[[#This Row],[05/05/25]])*'Plan 39'!AE69</f>
        <v>1</v>
      </c>
      <c r="BY115" s="127">
        <f>Planbase100[[#This Row],[05/05/25]]+(1-Planbase100[[#This Row],[05/05/25]])*'Plan 39'!AF69</f>
        <v>1</v>
      </c>
      <c r="BZ115" s="127">
        <f>Planbase100[[#This Row],[05/05/25]]+(1-Planbase100[[#This Row],[05/05/25]])*'Plan 39'!AG69</f>
        <v>1</v>
      </c>
      <c r="CA115" s="127">
        <f>Planbase100[[#This Row],[05/05/25]]+(1-Planbase100[[#This Row],[05/05/25]])*'Plan 39'!AH69</f>
        <v>1</v>
      </c>
      <c r="CB115" s="127">
        <f>Planbase100[[#This Row],[05/05/25]]+(1-Planbase100[[#This Row],[05/05/25]])*'Plan 39'!AI69</f>
        <v>1</v>
      </c>
      <c r="CC115" s="127">
        <f>Planbase100[[#This Row],[05/05/25]]+(1-Planbase100[[#This Row],[05/05/25]])*'Plan 39'!AJ69</f>
        <v>1</v>
      </c>
      <c r="CD115" s="127">
        <f>Planbase100[[#This Row],[05/05/25]]+(1-Planbase100[[#This Row],[05/05/25]])*'Plan 39'!AK69</f>
        <v>1</v>
      </c>
      <c r="CE115" s="127">
        <f>Planbase100[[#This Row],[05/05/25]]+(1-Planbase100[[#This Row],[05/05/25]])*'Plan 39'!AL69</f>
        <v>1</v>
      </c>
      <c r="CF115" s="127">
        <f>Planbase100[[#This Row],[05/05/25]]+(1-Planbase100[[#This Row],[05/05/25]])*'Plan 39'!AM69</f>
        <v>1</v>
      </c>
      <c r="CG115" s="127">
        <f>Planbase100[[#This Row],[05/05/25]]+(1-Planbase100[[#This Row],[05/05/25]])*'Plan 39'!AN69</f>
        <v>1</v>
      </c>
      <c r="CH115" s="127">
        <f>Planbase100[[#This Row],[05/05/25]]+(1-Planbase100[[#This Row],[05/05/25]])*'Plan 39'!AO69</f>
        <v>1</v>
      </c>
      <c r="CI115" s="127">
        <f>Planbase100[[#This Row],[05/05/25]]+(1-Planbase100[[#This Row],[05/05/25]])*'Plan 39'!AP69</f>
        <v>1</v>
      </c>
      <c r="CJ115" s="127">
        <f>Planbase100[[#This Row],[05/05/25]]+(1-Planbase100[[#This Row],[05/05/25]])*'Plan 39'!AQ69</f>
        <v>1</v>
      </c>
      <c r="CK115" s="127">
        <f>Planbase100[[#This Row],[05/05/25]]+(1-Planbase100[[#This Row],[05/05/25]])*'Plan 39'!AR69</f>
        <v>1</v>
      </c>
      <c r="CL115" s="127">
        <f>Planbase100[[#This Row],[05/05/25]]+(1-Planbase100[[#This Row],[05/05/25]])*'Plan 39'!AS69</f>
        <v>1</v>
      </c>
      <c r="CM115" s="127">
        <f>Planbase100[[#This Row],[05/05/25]]+(1-Planbase100[[#This Row],[05/05/25]])*'Plan 39'!AT69</f>
        <v>1</v>
      </c>
      <c r="CN115" s="127">
        <f>Planbase100[[#This Row],[05/05/25]]+(1-Planbase100[[#This Row],[05/05/25]])*'Plan 39'!AU69</f>
        <v>1</v>
      </c>
      <c r="CO115" s="127">
        <f>Planbase100[[#This Row],[05/05/25]]+(1-Planbase100[[#This Row],[05/05/25]])*'Plan 39'!AV69</f>
        <v>1</v>
      </c>
      <c r="CP115" s="127">
        <f>Planbase100[[#This Row],[05/05/25]]+(1-Planbase100[[#This Row],[05/05/25]])*'Plan 39'!AW69</f>
        <v>1</v>
      </c>
      <c r="CQ115" s="127">
        <f>Planbase100[[#This Row],[05/05/25]]+(1-Planbase100[[#This Row],[05/05/25]])*'Plan 39'!AX69</f>
        <v>1</v>
      </c>
      <c r="CR115" s="127">
        <f>Planbase100[[#This Row],[05/05/25]]+(1-Planbase100[[#This Row],[05/05/25]])*'Plan 39'!AY69</f>
        <v>1</v>
      </c>
      <c r="CS115" s="127">
        <f>Planbase100[[#This Row],[05/05/25]]+(1-Planbase100[[#This Row],[05/05/25]])*'Plan 39'!AZ69</f>
        <v>1</v>
      </c>
      <c r="CT115" s="127">
        <f>Planbase100[[#This Row],[05/05/25]]+(1-Planbase100[[#This Row],[05/05/25]])*'Plan 39'!BA69</f>
        <v>1</v>
      </c>
      <c r="CU115" s="127">
        <f>Planbase100[[#This Row],[05/05/25]]+(1-Planbase100[[#This Row],[05/05/25]])*'Plan 39'!BB69</f>
        <v>1</v>
      </c>
      <c r="CV115" s="127">
        <f>Planbase100[[#This Row],[05/05/25]]+(1-Planbase100[[#This Row],[05/05/25]])*'Plan 39'!BC69</f>
        <v>1</v>
      </c>
      <c r="CW115" s="127">
        <f>Planbase100[[#This Row],[05/05/25]]+(1-Planbase100[[#This Row],[05/05/25]])*'Plan 39'!BD69</f>
        <v>1</v>
      </c>
      <c r="CX115" s="127">
        <f>Planbase100[[#This Row],[05/05/25]]+(1-Planbase100[[#This Row],[05/05/25]])*'Plan 39'!BE69</f>
        <v>1</v>
      </c>
      <c r="CY115" s="127">
        <f>Planbase100[[#This Row],[05/05/25]]+(1-Planbase100[[#This Row],[05/05/25]])*'Plan 39'!BF69</f>
        <v>1</v>
      </c>
      <c r="CZ115" s="127">
        <f>Planbase100[[#This Row],[05/05/25]]+(1-Planbase100[[#This Row],[05/05/25]])*'Plan 39'!BG69</f>
        <v>1</v>
      </c>
      <c r="DA115" s="127">
        <f>Planbase100[[#This Row],[05/05/25]]+(1-Planbase100[[#This Row],[05/05/25]])*'Plan 39'!BH69</f>
        <v>1</v>
      </c>
      <c r="DB115" s="127">
        <f>Planbase100[[#This Row],[05/05/25]]+(1-Planbase100[[#This Row],[05/05/25]])*'Plan 39'!BI69</f>
        <v>1</v>
      </c>
      <c r="DC115" s="127">
        <f>Planbase100[[#This Row],[05/05/25]]+(1-Planbase100[[#This Row],[05/05/25]])*'Plan 39'!BJ69</f>
        <v>1</v>
      </c>
      <c r="DD115" s="127">
        <f>Planbase100[[#This Row],[05/05/25]]+(1-Planbase100[[#This Row],[05/05/25]])*'Plan 39'!BK69</f>
        <v>1</v>
      </c>
      <c r="DE115" s="127">
        <f>Planbase100[[#This Row],[05/05/25]]+(1-Planbase100[[#This Row],[05/05/25]])*'Plan 39'!BL69</f>
        <v>1</v>
      </c>
      <c r="DF115" s="127">
        <f>Planbase100[[#This Row],[12/05/25]]+(1-Planbase100[[#This Row],[12/05/25]])*'Plan 39'!BM69</f>
        <v>1</v>
      </c>
      <c r="DG115" s="127">
        <f>Planbase100[[#This Row],[19/05/25]]+(1-Planbase100[[#This Row],[19/05/25]])*'Plan 39'!BN69</f>
        <v>1</v>
      </c>
      <c r="DH115" s="127">
        <f>Planbase100[[#This Row],[26/05/25]]+(1-Planbase100[[#This Row],[26/05/25]])*'Plan 39'!BO69</f>
        <v>1</v>
      </c>
      <c r="DI115" s="127">
        <f>Planbase100[[#This Row],[02/06/25]]+(1-Planbase100[[#This Row],[02/06/25]])*'Plan 39'!BP69</f>
        <v>1</v>
      </c>
      <c r="DJ115" s="127">
        <f>Planbase100[[#This Row],[09/06/25]]+(1-Planbase100[[#This Row],[09/06/25]])*'Plan 39'!BQ69</f>
        <v>1</v>
      </c>
      <c r="DK115" s="127">
        <f>Planbase100[[#This Row],[16/06/25]]+(1-Planbase100[[#This Row],[16/06/25]])*'Plan 39'!BR69</f>
        <v>1</v>
      </c>
      <c r="DL115" s="127">
        <f>Planbase100[[#This Row],[23/06/25]]+(1-Planbase100[[#This Row],[23/06/25]])*'Plan 39'!BS69</f>
        <v>1</v>
      </c>
      <c r="DM115" s="127">
        <f>Planbase100[[#This Row],[30/06/25]]+(1-Planbase100[[#This Row],[30/06/25]])*'Plan 39'!BT69</f>
        <v>1</v>
      </c>
      <c r="DN115" s="127">
        <f>Planbase100[[#This Row],[07/07/25]]+(1-Planbase100[[#This Row],[07/07/25]])*'Plan 39'!BU69</f>
        <v>1</v>
      </c>
      <c r="DO115" s="127">
        <f>Planbase100[[#This Row],[14/07/25]]+(1-Planbase100[[#This Row],[14/07/25]])*'Plan 39'!BV69</f>
        <v>1</v>
      </c>
      <c r="DP115" s="127">
        <f>Planbase100[[#This Row],[21/07/25]]+(1-Planbase100[[#This Row],[21/07/25]])*'Plan 39'!BW69</f>
        <v>1</v>
      </c>
      <c r="DQ115" s="127">
        <f>Planbase100[[#This Row],[28/07/25]]+(1-Planbase100[[#This Row],[28/07/25]])*'Plan 39'!BX69</f>
        <v>1</v>
      </c>
      <c r="DR115" s="127">
        <f>Planbase100[[#This Row],[04/08/25]]+(1-Planbase100[[#This Row],[04/08/25]])*'Plan 39'!BY69</f>
        <v>1</v>
      </c>
      <c r="DS115" s="127">
        <f>Planbase100[[#This Row],[11/08/25]]+(1-Planbase100[[#This Row],[11/08/25]])*'Plan 39'!BZ69</f>
        <v>1</v>
      </c>
      <c r="DT115" s="127">
        <f>Planbase100[[#This Row],[18/08/25]]+(1-Planbase100[[#This Row],[18/08/25]])*'Plan 39'!CA69</f>
        <v>1</v>
      </c>
      <c r="DU115" s="127">
        <f>Planbase100[[#This Row],[25/08/25]]+(1-Planbase100[[#This Row],[25/08/25]])*'Plan 39'!CB69</f>
        <v>1</v>
      </c>
      <c r="DV115" s="127">
        <f>Planbase100[[#This Row],[01/09/25]]+(1-Planbase100[[#This Row],[01/09/25]])*'Plan 39'!CC69</f>
        <v>1</v>
      </c>
      <c r="DW115" s="127">
        <f>Planbase100[[#This Row],[08/09/25]]+(1-Planbase100[[#This Row],[08/09/25]])*'Plan 39'!CD69</f>
        <v>1</v>
      </c>
      <c r="DX115" s="127">
        <f>Planbase100[[#This Row],[15/09/25]]+(1-Planbase100[[#This Row],[15/09/25]])*'Plan 39'!CE69</f>
        <v>1</v>
      </c>
      <c r="DY115" s="127">
        <f>Planbase100[[#This Row],[22/09/25]]+(1-Planbase100[[#This Row],[22/09/25]])*'Plan 39'!CF69</f>
        <v>1</v>
      </c>
      <c r="DZ115" s="127">
        <f>Planbase100[[#This Row],[29/09/25]]+(1-Planbase100[[#This Row],[29/09/25]])*'Plan 39'!CG69</f>
        <v>1</v>
      </c>
      <c r="EA115" s="127">
        <f>Planbase100[[#This Row],[06/10/25]]+(1-Planbase100[[#This Row],[06/10/25]])*'Plan 39'!CH69</f>
        <v>1</v>
      </c>
      <c r="EB115" s="127">
        <f>Planbase100[[#This Row],[13/10/25]]+(1-Planbase100[[#This Row],[13/10/25]])*'Plan 39'!CI69</f>
        <v>1</v>
      </c>
      <c r="EC115" s="127">
        <f>Planbase100[[#This Row],[20/10/25]]+(1-Planbase100[[#This Row],[20/10/25]])*'Plan 39'!CJ69</f>
        <v>1</v>
      </c>
      <c r="ED115" s="127">
        <f>Planbase100[[#This Row],[27/10/25]]+(1-Planbase100[[#This Row],[27/10/25]])*'Plan 39'!CK69</f>
        <v>1</v>
      </c>
      <c r="EE115" s="127">
        <f>Planbase100[[#This Row],[03/11/25]]+(1-Planbase100[[#This Row],[03/11/25]])*'Plan 39'!CL69</f>
        <v>1</v>
      </c>
      <c r="EF115" s="127">
        <f>Planbase100[[#This Row],[10/11/25]]+(1-Planbase100[[#This Row],[10/11/25]])*'Plan 39'!CM69</f>
        <v>1</v>
      </c>
      <c r="EG115" s="127">
        <f>Planbase100[[#This Row],[17/11/25]]+(1-Planbase100[[#This Row],[17/11/25]])*'Plan 39'!CN69</f>
        <v>1</v>
      </c>
      <c r="EH115" s="127">
        <f>Planbase100[[#This Row],[24/11/25]]+(1-Planbase100[[#This Row],[24/11/25]])*'Plan 39'!CO69</f>
        <v>1</v>
      </c>
      <c r="EI115" s="127">
        <f>Planbase100[[#This Row],[01/12/25]]+(1-Planbase100[[#This Row],[01/12/25]])*'Plan 39'!CP69</f>
        <v>1</v>
      </c>
    </row>
    <row r="116" spans="2:139" ht="15" hidden="1" outlineLevel="3" x14ac:dyDescent="0.3">
      <c r="B116" s="29"/>
      <c r="C116" s="30"/>
      <c r="D116" s="30"/>
      <c r="E116" s="40" t="s">
        <v>120</v>
      </c>
      <c r="F116" s="33">
        <v>35</v>
      </c>
      <c r="G116" s="35">
        <v>0.33333333333333331</v>
      </c>
      <c r="H116" s="55"/>
      <c r="I116" s="130">
        <v>0</v>
      </c>
      <c r="J116" s="131">
        <v>0</v>
      </c>
      <c r="K116" s="131">
        <v>0</v>
      </c>
      <c r="L116" s="131">
        <v>0</v>
      </c>
      <c r="M116" s="132">
        <v>0</v>
      </c>
      <c r="N116" s="132">
        <v>0</v>
      </c>
      <c r="O116" s="131">
        <v>0</v>
      </c>
      <c r="P116" s="131">
        <v>0</v>
      </c>
      <c r="Q116" s="131">
        <v>0</v>
      </c>
      <c r="R116" s="131">
        <v>0</v>
      </c>
      <c r="S116" s="131">
        <v>0</v>
      </c>
      <c r="T116" s="131">
        <v>0</v>
      </c>
      <c r="U116" s="131">
        <v>0</v>
      </c>
      <c r="V116" s="131">
        <v>0</v>
      </c>
      <c r="W116" s="131">
        <v>0</v>
      </c>
      <c r="X116" s="131">
        <v>0</v>
      </c>
      <c r="Y116" s="131">
        <v>0</v>
      </c>
      <c r="Z116" s="131">
        <v>0</v>
      </c>
      <c r="AA116" s="131">
        <v>0</v>
      </c>
      <c r="AB116" s="131">
        <v>0</v>
      </c>
      <c r="AC116" s="131">
        <v>0</v>
      </c>
      <c r="AD116" s="131">
        <v>0</v>
      </c>
      <c r="AE116" s="131">
        <v>0</v>
      </c>
      <c r="AF116" s="131">
        <v>0</v>
      </c>
      <c r="AG116" s="131">
        <v>0</v>
      </c>
      <c r="AH116" s="131">
        <v>0.12045263105500728</v>
      </c>
      <c r="AI116" s="131">
        <v>0.12045263105500728</v>
      </c>
      <c r="AJ116" s="131">
        <v>0.12045263105500728</v>
      </c>
      <c r="AK116" s="131">
        <v>0.12045263105500728</v>
      </c>
      <c r="AL116" s="131">
        <v>0.12045263105500728</v>
      </c>
      <c r="AM116" s="131">
        <v>0.12045263105500728</v>
      </c>
      <c r="AN116" s="131">
        <v>0.12045263105500728</v>
      </c>
      <c r="AO116" s="131">
        <v>0.12045263105500728</v>
      </c>
      <c r="AP116" s="131">
        <v>0.12045263105500728</v>
      </c>
      <c r="AQ116" s="131">
        <v>0.12045263105500728</v>
      </c>
      <c r="AR116" s="131">
        <v>0.12045263105500728</v>
      </c>
      <c r="AS116" s="131">
        <v>0.12045263105500728</v>
      </c>
      <c r="AT116" s="131">
        <v>0.12045263105500728</v>
      </c>
      <c r="AU116" s="131">
        <v>0.12045263105500728</v>
      </c>
      <c r="AV116" s="131">
        <v>0.12045263105500728</v>
      </c>
      <c r="AW116" s="131">
        <v>0.12045263105500728</v>
      </c>
      <c r="AX116" s="131">
        <v>0.12045263105500728</v>
      </c>
      <c r="AY116" s="131">
        <v>0.12045263105500728</v>
      </c>
      <c r="AZ116" s="131">
        <v>0.12045263105500728</v>
      </c>
      <c r="BA116" s="131">
        <v>0.12045263105500728</v>
      </c>
      <c r="BB116" s="127">
        <f>Planbase100[[#This Row],[05/05/25]]+(1-Planbase100[[#This Row],[05/05/25]])*'Plan 39'!I70</f>
        <v>0.12045263105500728</v>
      </c>
      <c r="BC116" s="127">
        <f>Planbase100[[#This Row],[05/05/25]]+(1-Planbase100[[#This Row],[05/05/25]])*'Plan 39'!J70</f>
        <v>0.12045263105500728</v>
      </c>
      <c r="BD116" s="127">
        <f>Planbase100[[#This Row],[05/05/25]]+(1-Planbase100[[#This Row],[05/05/25]])*'Plan 39'!K70</f>
        <v>0.12045263105500728</v>
      </c>
      <c r="BE116" s="127">
        <f>Planbase100[[#This Row],[05/05/25]]+(1-Planbase100[[#This Row],[05/05/25]])*'Plan 39'!L70</f>
        <v>0.12045263105500728</v>
      </c>
      <c r="BF116" s="127">
        <f>Planbase100[[#This Row],[05/05/25]]+(1-Planbase100[[#This Row],[05/05/25]])*'Plan 39'!M70</f>
        <v>0.12045263105500728</v>
      </c>
      <c r="BG116" s="127">
        <f>Planbase100[[#This Row],[05/05/25]]+(1-Planbase100[[#This Row],[05/05/25]])*'Plan 39'!N70</f>
        <v>0.12045263105500728</v>
      </c>
      <c r="BH116" s="127">
        <f>Planbase100[[#This Row],[05/05/25]]+(1-Planbase100[[#This Row],[05/05/25]])*'Plan 39'!O70</f>
        <v>0.12045263105500728</v>
      </c>
      <c r="BI116" s="127">
        <f>Planbase100[[#This Row],[05/05/25]]+(1-Planbase100[[#This Row],[05/05/25]])*'Plan 39'!P70</f>
        <v>0.12045263105500728</v>
      </c>
      <c r="BJ116" s="127">
        <f>Planbase100[[#This Row],[05/05/25]]+(1-Planbase100[[#This Row],[05/05/25]])*'Plan 39'!Q70</f>
        <v>0.12045263105500728</v>
      </c>
      <c r="BK116" s="127">
        <f>Planbase100[[#This Row],[05/05/25]]+(1-Planbase100[[#This Row],[05/05/25]])*'Plan 39'!R70</f>
        <v>0.12045263105500728</v>
      </c>
      <c r="BL116" s="127">
        <f>Planbase100[[#This Row],[05/05/25]]+(1-Planbase100[[#This Row],[05/05/25]])*'Plan 39'!S70</f>
        <v>0.12045263105500728</v>
      </c>
      <c r="BM116" s="127">
        <f>Planbase100[[#This Row],[05/05/25]]+(1-Planbase100[[#This Row],[05/05/25]])*'Plan 39'!T70</f>
        <v>0.12045263105500728</v>
      </c>
      <c r="BN116" s="127">
        <f>Planbase100[[#This Row],[05/05/25]]+(1-Planbase100[[#This Row],[05/05/25]])*'Plan 39'!U70</f>
        <v>0.12045263105500728</v>
      </c>
      <c r="BO116" s="127">
        <f>Planbase100[[#This Row],[05/05/25]]+(1-Planbase100[[#This Row],[05/05/25]])*'Plan 39'!V70</f>
        <v>0.12045263105500728</v>
      </c>
      <c r="BP116" s="127">
        <f>Planbase100[[#This Row],[05/05/25]]+(1-Planbase100[[#This Row],[05/05/25]])*'Plan 39'!W70</f>
        <v>0.12045263105500728</v>
      </c>
      <c r="BQ116" s="127">
        <f>Planbase100[[#This Row],[05/05/25]]+(1-Planbase100[[#This Row],[05/05/25]])*'Plan 39'!X70</f>
        <v>0.12045263105500728</v>
      </c>
      <c r="BR116" s="127">
        <f>Planbase100[[#This Row],[05/05/25]]+(1-Planbase100[[#This Row],[05/05/25]])*'Plan 39'!Y70</f>
        <v>0.12045263105500728</v>
      </c>
      <c r="BS116" s="127">
        <f>Planbase100[[#This Row],[05/05/25]]+(1-Planbase100[[#This Row],[05/05/25]])*'Plan 39'!Z70</f>
        <v>0.12045263105500728</v>
      </c>
      <c r="BT116" s="127">
        <f>Planbase100[[#This Row],[05/05/25]]+(1-Planbase100[[#This Row],[05/05/25]])*'Plan 39'!AA70</f>
        <v>0.12045263105500728</v>
      </c>
      <c r="BU116" s="127">
        <f>Planbase100[[#This Row],[05/05/25]]+(1-Planbase100[[#This Row],[05/05/25]])*'Plan 39'!AB70</f>
        <v>0.12045263105500728</v>
      </c>
      <c r="BV116" s="127">
        <f>Planbase100[[#This Row],[05/05/25]]+(1-Planbase100[[#This Row],[05/05/25]])*'Plan 39'!AC70</f>
        <v>0.12045263105500728</v>
      </c>
      <c r="BW116" s="127">
        <f>Planbase100[[#This Row],[05/05/25]]+(1-Planbase100[[#This Row],[05/05/25]])*'Plan 39'!AD70</f>
        <v>0.34033947329125547</v>
      </c>
      <c r="BX116" s="127">
        <f>Planbase100[[#This Row],[05/05/25]]+(1-Planbase100[[#This Row],[05/05/25]])*'Plan 39'!AE70</f>
        <v>0.56022631552750368</v>
      </c>
      <c r="BY116" s="127">
        <f>Planbase100[[#This Row],[05/05/25]]+(1-Planbase100[[#This Row],[05/05/25]])*'Plan 39'!AF70</f>
        <v>0.78011315776375179</v>
      </c>
      <c r="BZ116" s="127">
        <f>Planbase100[[#This Row],[05/05/25]]+(1-Planbase100[[#This Row],[05/05/25]])*'Plan 39'!AG70</f>
        <v>1</v>
      </c>
      <c r="CA116" s="127">
        <f>Planbase100[[#This Row],[05/05/25]]+(1-Planbase100[[#This Row],[05/05/25]])*'Plan 39'!AH70</f>
        <v>1</v>
      </c>
      <c r="CB116" s="127">
        <f>Planbase100[[#This Row],[05/05/25]]+(1-Planbase100[[#This Row],[05/05/25]])*'Plan 39'!AI70</f>
        <v>1</v>
      </c>
      <c r="CC116" s="127">
        <f>Planbase100[[#This Row],[05/05/25]]+(1-Planbase100[[#This Row],[05/05/25]])*'Plan 39'!AJ70</f>
        <v>1</v>
      </c>
      <c r="CD116" s="127">
        <f>Planbase100[[#This Row],[05/05/25]]+(1-Planbase100[[#This Row],[05/05/25]])*'Plan 39'!AK70</f>
        <v>1</v>
      </c>
      <c r="CE116" s="127">
        <f>Planbase100[[#This Row],[05/05/25]]+(1-Planbase100[[#This Row],[05/05/25]])*'Plan 39'!AL70</f>
        <v>1</v>
      </c>
      <c r="CF116" s="127">
        <f>Planbase100[[#This Row],[05/05/25]]+(1-Planbase100[[#This Row],[05/05/25]])*'Plan 39'!AM70</f>
        <v>1</v>
      </c>
      <c r="CG116" s="127">
        <f>Planbase100[[#This Row],[05/05/25]]+(1-Planbase100[[#This Row],[05/05/25]])*'Plan 39'!AN70</f>
        <v>1</v>
      </c>
      <c r="CH116" s="127">
        <f>Planbase100[[#This Row],[05/05/25]]+(1-Planbase100[[#This Row],[05/05/25]])*'Plan 39'!AO70</f>
        <v>1</v>
      </c>
      <c r="CI116" s="127">
        <f>Planbase100[[#This Row],[05/05/25]]+(1-Planbase100[[#This Row],[05/05/25]])*'Plan 39'!AP70</f>
        <v>1</v>
      </c>
      <c r="CJ116" s="127">
        <f>Planbase100[[#This Row],[05/05/25]]+(1-Planbase100[[#This Row],[05/05/25]])*'Plan 39'!AQ70</f>
        <v>1</v>
      </c>
      <c r="CK116" s="127">
        <f>Planbase100[[#This Row],[05/05/25]]+(1-Planbase100[[#This Row],[05/05/25]])*'Plan 39'!AR70</f>
        <v>1</v>
      </c>
      <c r="CL116" s="127">
        <f>Planbase100[[#This Row],[05/05/25]]+(1-Planbase100[[#This Row],[05/05/25]])*'Plan 39'!AS70</f>
        <v>1</v>
      </c>
      <c r="CM116" s="127">
        <f>Planbase100[[#This Row],[05/05/25]]+(1-Planbase100[[#This Row],[05/05/25]])*'Plan 39'!AT70</f>
        <v>1</v>
      </c>
      <c r="CN116" s="127">
        <f>Planbase100[[#This Row],[05/05/25]]+(1-Planbase100[[#This Row],[05/05/25]])*'Plan 39'!AU70</f>
        <v>1</v>
      </c>
      <c r="CO116" s="127">
        <f>Planbase100[[#This Row],[05/05/25]]+(1-Planbase100[[#This Row],[05/05/25]])*'Plan 39'!AV70</f>
        <v>1</v>
      </c>
      <c r="CP116" s="127">
        <f>Planbase100[[#This Row],[05/05/25]]+(1-Planbase100[[#This Row],[05/05/25]])*'Plan 39'!AW70</f>
        <v>1</v>
      </c>
      <c r="CQ116" s="127">
        <f>Planbase100[[#This Row],[05/05/25]]+(1-Planbase100[[#This Row],[05/05/25]])*'Plan 39'!AX70</f>
        <v>1</v>
      </c>
      <c r="CR116" s="127">
        <f>Planbase100[[#This Row],[05/05/25]]+(1-Planbase100[[#This Row],[05/05/25]])*'Plan 39'!AY70</f>
        <v>1</v>
      </c>
      <c r="CS116" s="127">
        <f>Planbase100[[#This Row],[05/05/25]]+(1-Planbase100[[#This Row],[05/05/25]])*'Plan 39'!AZ70</f>
        <v>1</v>
      </c>
      <c r="CT116" s="127">
        <f>Planbase100[[#This Row],[05/05/25]]+(1-Planbase100[[#This Row],[05/05/25]])*'Plan 39'!BA70</f>
        <v>1</v>
      </c>
      <c r="CU116" s="127">
        <f>Planbase100[[#This Row],[05/05/25]]+(1-Planbase100[[#This Row],[05/05/25]])*'Plan 39'!BB70</f>
        <v>1</v>
      </c>
      <c r="CV116" s="127">
        <f>Planbase100[[#This Row],[05/05/25]]+(1-Planbase100[[#This Row],[05/05/25]])*'Plan 39'!BC70</f>
        <v>1</v>
      </c>
      <c r="CW116" s="127">
        <f>Planbase100[[#This Row],[05/05/25]]+(1-Planbase100[[#This Row],[05/05/25]])*'Plan 39'!BD70</f>
        <v>1</v>
      </c>
      <c r="CX116" s="127">
        <f>Planbase100[[#This Row],[05/05/25]]+(1-Planbase100[[#This Row],[05/05/25]])*'Plan 39'!BE70</f>
        <v>1</v>
      </c>
      <c r="CY116" s="127">
        <f>Planbase100[[#This Row],[05/05/25]]+(1-Planbase100[[#This Row],[05/05/25]])*'Plan 39'!BF70</f>
        <v>1</v>
      </c>
      <c r="CZ116" s="127">
        <f>Planbase100[[#This Row],[05/05/25]]+(1-Planbase100[[#This Row],[05/05/25]])*'Plan 39'!BG70</f>
        <v>1</v>
      </c>
      <c r="DA116" s="127">
        <f>Planbase100[[#This Row],[05/05/25]]+(1-Planbase100[[#This Row],[05/05/25]])*'Plan 39'!BH70</f>
        <v>1</v>
      </c>
      <c r="DB116" s="127">
        <f>Planbase100[[#This Row],[05/05/25]]+(1-Planbase100[[#This Row],[05/05/25]])*'Plan 39'!BI70</f>
        <v>1</v>
      </c>
      <c r="DC116" s="127">
        <f>Planbase100[[#This Row],[05/05/25]]+(1-Planbase100[[#This Row],[05/05/25]])*'Plan 39'!BJ70</f>
        <v>1</v>
      </c>
      <c r="DD116" s="127">
        <f>Planbase100[[#This Row],[05/05/25]]+(1-Planbase100[[#This Row],[05/05/25]])*'Plan 39'!BK70</f>
        <v>1</v>
      </c>
      <c r="DE116" s="127">
        <f>Planbase100[[#This Row],[05/05/25]]+(1-Planbase100[[#This Row],[05/05/25]])*'Plan 39'!BL70</f>
        <v>1</v>
      </c>
      <c r="DF116" s="127">
        <f>Planbase100[[#This Row],[12/05/25]]+(1-Planbase100[[#This Row],[12/05/25]])*'Plan 39'!BM70</f>
        <v>1</v>
      </c>
      <c r="DG116" s="127">
        <f>Planbase100[[#This Row],[19/05/25]]+(1-Planbase100[[#This Row],[19/05/25]])*'Plan 39'!BN70</f>
        <v>1</v>
      </c>
      <c r="DH116" s="127">
        <f>Planbase100[[#This Row],[26/05/25]]+(1-Planbase100[[#This Row],[26/05/25]])*'Plan 39'!BO70</f>
        <v>1</v>
      </c>
      <c r="DI116" s="127">
        <f>Planbase100[[#This Row],[02/06/25]]+(1-Planbase100[[#This Row],[02/06/25]])*'Plan 39'!BP70</f>
        <v>1</v>
      </c>
      <c r="DJ116" s="127">
        <f>Planbase100[[#This Row],[09/06/25]]+(1-Planbase100[[#This Row],[09/06/25]])*'Plan 39'!BQ70</f>
        <v>1</v>
      </c>
      <c r="DK116" s="127">
        <f>Planbase100[[#This Row],[16/06/25]]+(1-Planbase100[[#This Row],[16/06/25]])*'Plan 39'!BR70</f>
        <v>1</v>
      </c>
      <c r="DL116" s="127">
        <f>Planbase100[[#This Row],[23/06/25]]+(1-Planbase100[[#This Row],[23/06/25]])*'Plan 39'!BS70</f>
        <v>1</v>
      </c>
      <c r="DM116" s="127">
        <f>Planbase100[[#This Row],[30/06/25]]+(1-Planbase100[[#This Row],[30/06/25]])*'Plan 39'!BT70</f>
        <v>1</v>
      </c>
      <c r="DN116" s="127">
        <f>Planbase100[[#This Row],[07/07/25]]+(1-Planbase100[[#This Row],[07/07/25]])*'Plan 39'!BU70</f>
        <v>1</v>
      </c>
      <c r="DO116" s="127">
        <f>Planbase100[[#This Row],[14/07/25]]+(1-Planbase100[[#This Row],[14/07/25]])*'Plan 39'!BV70</f>
        <v>1</v>
      </c>
      <c r="DP116" s="127">
        <f>Planbase100[[#This Row],[21/07/25]]+(1-Planbase100[[#This Row],[21/07/25]])*'Plan 39'!BW70</f>
        <v>1</v>
      </c>
      <c r="DQ116" s="127">
        <f>Planbase100[[#This Row],[28/07/25]]+(1-Planbase100[[#This Row],[28/07/25]])*'Plan 39'!BX70</f>
        <v>1</v>
      </c>
      <c r="DR116" s="127">
        <f>Planbase100[[#This Row],[04/08/25]]+(1-Planbase100[[#This Row],[04/08/25]])*'Plan 39'!BY70</f>
        <v>1</v>
      </c>
      <c r="DS116" s="127">
        <f>Planbase100[[#This Row],[11/08/25]]+(1-Planbase100[[#This Row],[11/08/25]])*'Plan 39'!BZ70</f>
        <v>1</v>
      </c>
      <c r="DT116" s="127">
        <f>Planbase100[[#This Row],[18/08/25]]+(1-Planbase100[[#This Row],[18/08/25]])*'Plan 39'!CA70</f>
        <v>1</v>
      </c>
      <c r="DU116" s="127">
        <f>Planbase100[[#This Row],[25/08/25]]+(1-Planbase100[[#This Row],[25/08/25]])*'Plan 39'!CB70</f>
        <v>1</v>
      </c>
      <c r="DV116" s="127">
        <f>Planbase100[[#This Row],[01/09/25]]+(1-Planbase100[[#This Row],[01/09/25]])*'Plan 39'!CC70</f>
        <v>1</v>
      </c>
      <c r="DW116" s="127">
        <f>Planbase100[[#This Row],[08/09/25]]+(1-Planbase100[[#This Row],[08/09/25]])*'Plan 39'!CD70</f>
        <v>1</v>
      </c>
      <c r="DX116" s="127">
        <f>Planbase100[[#This Row],[15/09/25]]+(1-Planbase100[[#This Row],[15/09/25]])*'Plan 39'!CE70</f>
        <v>1</v>
      </c>
      <c r="DY116" s="127">
        <f>Planbase100[[#This Row],[22/09/25]]+(1-Planbase100[[#This Row],[22/09/25]])*'Plan 39'!CF70</f>
        <v>1</v>
      </c>
      <c r="DZ116" s="127">
        <f>Planbase100[[#This Row],[29/09/25]]+(1-Planbase100[[#This Row],[29/09/25]])*'Plan 39'!CG70</f>
        <v>1</v>
      </c>
      <c r="EA116" s="127">
        <f>Planbase100[[#This Row],[06/10/25]]+(1-Planbase100[[#This Row],[06/10/25]])*'Plan 39'!CH70</f>
        <v>1</v>
      </c>
      <c r="EB116" s="127">
        <f>Planbase100[[#This Row],[13/10/25]]+(1-Planbase100[[#This Row],[13/10/25]])*'Plan 39'!CI70</f>
        <v>1</v>
      </c>
      <c r="EC116" s="127">
        <f>Planbase100[[#This Row],[20/10/25]]+(1-Planbase100[[#This Row],[20/10/25]])*'Plan 39'!CJ70</f>
        <v>1</v>
      </c>
      <c r="ED116" s="127">
        <f>Planbase100[[#This Row],[27/10/25]]+(1-Planbase100[[#This Row],[27/10/25]])*'Plan 39'!CK70</f>
        <v>1</v>
      </c>
      <c r="EE116" s="127">
        <f>Planbase100[[#This Row],[03/11/25]]+(1-Planbase100[[#This Row],[03/11/25]])*'Plan 39'!CL70</f>
        <v>1</v>
      </c>
      <c r="EF116" s="127">
        <f>Planbase100[[#This Row],[10/11/25]]+(1-Planbase100[[#This Row],[10/11/25]])*'Plan 39'!CM70</f>
        <v>1</v>
      </c>
      <c r="EG116" s="127">
        <f>Planbase100[[#This Row],[17/11/25]]+(1-Planbase100[[#This Row],[17/11/25]])*'Plan 39'!CN70</f>
        <v>1</v>
      </c>
      <c r="EH116" s="127">
        <f>Planbase100[[#This Row],[24/11/25]]+(1-Planbase100[[#This Row],[24/11/25]])*'Plan 39'!CO70</f>
        <v>1</v>
      </c>
      <c r="EI116" s="127">
        <f>Planbase100[[#This Row],[01/12/25]]+(1-Planbase100[[#This Row],[01/12/25]])*'Plan 39'!CP70</f>
        <v>1</v>
      </c>
    </row>
    <row r="117" spans="2:139" hidden="1" outlineLevel="3" x14ac:dyDescent="0.3">
      <c r="B117" s="29"/>
      <c r="C117" s="30"/>
      <c r="D117" s="30"/>
      <c r="E117" s="40" t="s">
        <v>121</v>
      </c>
      <c r="F117" s="33">
        <v>35</v>
      </c>
      <c r="G117" s="35">
        <v>0.33333333333333331</v>
      </c>
      <c r="H117" s="53"/>
      <c r="I117" s="133">
        <v>0</v>
      </c>
      <c r="J117" s="134">
        <v>0</v>
      </c>
      <c r="K117" s="134">
        <v>0</v>
      </c>
      <c r="L117" s="134">
        <v>0</v>
      </c>
      <c r="M117" s="135">
        <v>0</v>
      </c>
      <c r="N117" s="135">
        <v>0</v>
      </c>
      <c r="O117" s="134">
        <v>0</v>
      </c>
      <c r="P117" s="134">
        <v>0</v>
      </c>
      <c r="Q117" s="134">
        <v>0</v>
      </c>
      <c r="R117" s="134">
        <v>0</v>
      </c>
      <c r="S117" s="134">
        <v>0</v>
      </c>
      <c r="T117" s="134">
        <v>0</v>
      </c>
      <c r="U117" s="134">
        <v>0</v>
      </c>
      <c r="V117" s="134">
        <v>0</v>
      </c>
      <c r="W117" s="134">
        <v>0</v>
      </c>
      <c r="X117" s="134">
        <v>0</v>
      </c>
      <c r="Y117" s="134">
        <v>0</v>
      </c>
      <c r="Z117" s="134">
        <v>0</v>
      </c>
      <c r="AA117" s="127">
        <v>0</v>
      </c>
      <c r="AB117" s="127">
        <v>0</v>
      </c>
      <c r="AC117" s="127">
        <v>0</v>
      </c>
      <c r="AD117" s="127">
        <v>0</v>
      </c>
      <c r="AE117" s="127">
        <v>0</v>
      </c>
      <c r="AF117" s="127">
        <v>0</v>
      </c>
      <c r="AG117" s="127">
        <v>0</v>
      </c>
      <c r="AH117" s="127">
        <v>0.12045263105500728</v>
      </c>
      <c r="AI117" s="127">
        <v>0.12045263105500728</v>
      </c>
      <c r="AJ117" s="127">
        <v>0.12045263105500728</v>
      </c>
      <c r="AK117" s="127">
        <v>0.12045263105500728</v>
      </c>
      <c r="AL117" s="127">
        <v>0.12045263105500728</v>
      </c>
      <c r="AM117" s="127">
        <v>0.12045263105500728</v>
      </c>
      <c r="AN117" s="127">
        <v>0.12045263105500728</v>
      </c>
      <c r="AO117" s="127">
        <v>0.12045263105500728</v>
      </c>
      <c r="AP117" s="127">
        <v>0.12045263105500728</v>
      </c>
      <c r="AQ117" s="127">
        <v>0.12045263105500728</v>
      </c>
      <c r="AR117" s="127">
        <v>0.12045263105500728</v>
      </c>
      <c r="AS117" s="127">
        <v>0.12045263105500728</v>
      </c>
      <c r="AT117" s="127">
        <v>0.12045263105500728</v>
      </c>
      <c r="AU117" s="127">
        <v>0.12045263105500728</v>
      </c>
      <c r="AV117" s="127">
        <v>0.12045263105500728</v>
      </c>
      <c r="AW117" s="127">
        <v>0.12045263105500728</v>
      </c>
      <c r="AX117" s="127">
        <v>0.12045263105500728</v>
      </c>
      <c r="AY117" s="127">
        <v>0.12045263105500728</v>
      </c>
      <c r="AZ117" s="127">
        <v>0.12045263105500728</v>
      </c>
      <c r="BA117" s="127">
        <v>0.12045263105500728</v>
      </c>
      <c r="BB117" s="127">
        <f>Planbase100[[#This Row],[05/05/25]]+(1-Planbase100[[#This Row],[05/05/25]])*'Plan 39'!I71</f>
        <v>0.12045263105500728</v>
      </c>
      <c r="BC117" s="127">
        <f>Planbase100[[#This Row],[05/05/25]]+(1-Planbase100[[#This Row],[05/05/25]])*'Plan 39'!J71</f>
        <v>0.12045263105500728</v>
      </c>
      <c r="BD117" s="127">
        <f>Planbase100[[#This Row],[05/05/25]]+(1-Planbase100[[#This Row],[05/05/25]])*'Plan 39'!K71</f>
        <v>0.12045263105500728</v>
      </c>
      <c r="BE117" s="127">
        <f>Planbase100[[#This Row],[05/05/25]]+(1-Planbase100[[#This Row],[05/05/25]])*'Plan 39'!L71</f>
        <v>0.12045263105500728</v>
      </c>
      <c r="BF117" s="127">
        <f>Planbase100[[#This Row],[05/05/25]]+(1-Planbase100[[#This Row],[05/05/25]])*'Plan 39'!M71</f>
        <v>0.12045263105500728</v>
      </c>
      <c r="BG117" s="127">
        <f>Planbase100[[#This Row],[05/05/25]]+(1-Planbase100[[#This Row],[05/05/25]])*'Plan 39'!N71</f>
        <v>0.12045263105500728</v>
      </c>
      <c r="BH117" s="127">
        <f>Planbase100[[#This Row],[05/05/25]]+(1-Planbase100[[#This Row],[05/05/25]])*'Plan 39'!O71</f>
        <v>0.12045263105500728</v>
      </c>
      <c r="BI117" s="127">
        <f>Planbase100[[#This Row],[05/05/25]]+(1-Planbase100[[#This Row],[05/05/25]])*'Plan 39'!P71</f>
        <v>0.12045263105500728</v>
      </c>
      <c r="BJ117" s="127">
        <f>Planbase100[[#This Row],[05/05/25]]+(1-Planbase100[[#This Row],[05/05/25]])*'Plan 39'!Q71</f>
        <v>0.12045263105500728</v>
      </c>
      <c r="BK117" s="127">
        <f>Planbase100[[#This Row],[05/05/25]]+(1-Planbase100[[#This Row],[05/05/25]])*'Plan 39'!R71</f>
        <v>0.12045263105500728</v>
      </c>
      <c r="BL117" s="127">
        <f>Planbase100[[#This Row],[05/05/25]]+(1-Planbase100[[#This Row],[05/05/25]])*'Plan 39'!S71</f>
        <v>0.12045263105500728</v>
      </c>
      <c r="BM117" s="127">
        <f>Planbase100[[#This Row],[05/05/25]]+(1-Planbase100[[#This Row],[05/05/25]])*'Plan 39'!T71</f>
        <v>0.12045263105500728</v>
      </c>
      <c r="BN117" s="127">
        <f>Planbase100[[#This Row],[05/05/25]]+(1-Planbase100[[#This Row],[05/05/25]])*'Plan 39'!U71</f>
        <v>0.12045263105500728</v>
      </c>
      <c r="BO117" s="127">
        <f>Planbase100[[#This Row],[05/05/25]]+(1-Planbase100[[#This Row],[05/05/25]])*'Plan 39'!V71</f>
        <v>0.12045263105500728</v>
      </c>
      <c r="BP117" s="127">
        <f>Planbase100[[#This Row],[05/05/25]]+(1-Planbase100[[#This Row],[05/05/25]])*'Plan 39'!W71</f>
        <v>0.12045263105500728</v>
      </c>
      <c r="BQ117" s="127">
        <f>Planbase100[[#This Row],[05/05/25]]+(1-Planbase100[[#This Row],[05/05/25]])*'Plan 39'!X71</f>
        <v>0.29636210484400582</v>
      </c>
      <c r="BR117" s="127">
        <f>Planbase100[[#This Row],[05/05/25]]+(1-Planbase100[[#This Row],[05/05/25]])*'Plan 39'!Y71</f>
        <v>0.4722715786330044</v>
      </c>
      <c r="BS117" s="127">
        <f>Planbase100[[#This Row],[05/05/25]]+(1-Planbase100[[#This Row],[05/05/25]])*'Plan 39'!Z71</f>
        <v>0.64818105242200286</v>
      </c>
      <c r="BT117" s="127">
        <f>Planbase100[[#This Row],[05/05/25]]+(1-Planbase100[[#This Row],[05/05/25]])*'Plan 39'!AA71</f>
        <v>0.82409052621100154</v>
      </c>
      <c r="BU117" s="127">
        <f>Planbase100[[#This Row],[05/05/25]]+(1-Planbase100[[#This Row],[05/05/25]])*'Plan 39'!AB71</f>
        <v>1</v>
      </c>
      <c r="BV117" s="127">
        <f>Planbase100[[#This Row],[05/05/25]]+(1-Planbase100[[#This Row],[05/05/25]])*'Plan 39'!AC71</f>
        <v>1</v>
      </c>
      <c r="BW117" s="127">
        <f>Planbase100[[#This Row],[05/05/25]]+(1-Planbase100[[#This Row],[05/05/25]])*'Plan 39'!AD71</f>
        <v>1</v>
      </c>
      <c r="BX117" s="127">
        <f>Planbase100[[#This Row],[05/05/25]]+(1-Planbase100[[#This Row],[05/05/25]])*'Plan 39'!AE71</f>
        <v>1</v>
      </c>
      <c r="BY117" s="127">
        <f>Planbase100[[#This Row],[05/05/25]]+(1-Planbase100[[#This Row],[05/05/25]])*'Plan 39'!AF71</f>
        <v>1</v>
      </c>
      <c r="BZ117" s="127">
        <f>Planbase100[[#This Row],[05/05/25]]+(1-Planbase100[[#This Row],[05/05/25]])*'Plan 39'!AG71</f>
        <v>1</v>
      </c>
      <c r="CA117" s="127">
        <f>Planbase100[[#This Row],[05/05/25]]+(1-Planbase100[[#This Row],[05/05/25]])*'Plan 39'!AH71</f>
        <v>1</v>
      </c>
      <c r="CB117" s="127">
        <f>Planbase100[[#This Row],[05/05/25]]+(1-Planbase100[[#This Row],[05/05/25]])*'Plan 39'!AI71</f>
        <v>1</v>
      </c>
      <c r="CC117" s="127">
        <f>Planbase100[[#This Row],[05/05/25]]+(1-Planbase100[[#This Row],[05/05/25]])*'Plan 39'!AJ71</f>
        <v>1</v>
      </c>
      <c r="CD117" s="127">
        <f>Planbase100[[#This Row],[05/05/25]]+(1-Planbase100[[#This Row],[05/05/25]])*'Plan 39'!AK71</f>
        <v>1</v>
      </c>
      <c r="CE117" s="127">
        <f>Planbase100[[#This Row],[05/05/25]]+(1-Planbase100[[#This Row],[05/05/25]])*'Plan 39'!AL71</f>
        <v>1</v>
      </c>
      <c r="CF117" s="127">
        <f>Planbase100[[#This Row],[05/05/25]]+(1-Planbase100[[#This Row],[05/05/25]])*'Plan 39'!AM71</f>
        <v>1</v>
      </c>
      <c r="CG117" s="127">
        <f>Planbase100[[#This Row],[05/05/25]]+(1-Planbase100[[#This Row],[05/05/25]])*'Plan 39'!AN71</f>
        <v>1</v>
      </c>
      <c r="CH117" s="127">
        <f>Planbase100[[#This Row],[05/05/25]]+(1-Planbase100[[#This Row],[05/05/25]])*'Plan 39'!AO71</f>
        <v>1</v>
      </c>
      <c r="CI117" s="127">
        <f>Planbase100[[#This Row],[05/05/25]]+(1-Planbase100[[#This Row],[05/05/25]])*'Plan 39'!AP71</f>
        <v>1</v>
      </c>
      <c r="CJ117" s="127">
        <f>Planbase100[[#This Row],[05/05/25]]+(1-Planbase100[[#This Row],[05/05/25]])*'Plan 39'!AQ71</f>
        <v>1</v>
      </c>
      <c r="CK117" s="127">
        <f>Planbase100[[#This Row],[05/05/25]]+(1-Planbase100[[#This Row],[05/05/25]])*'Plan 39'!AR71</f>
        <v>1</v>
      </c>
      <c r="CL117" s="127">
        <f>Planbase100[[#This Row],[05/05/25]]+(1-Planbase100[[#This Row],[05/05/25]])*'Plan 39'!AS71</f>
        <v>1</v>
      </c>
      <c r="CM117" s="127">
        <f>Planbase100[[#This Row],[05/05/25]]+(1-Planbase100[[#This Row],[05/05/25]])*'Plan 39'!AT71</f>
        <v>1</v>
      </c>
      <c r="CN117" s="127">
        <f>Planbase100[[#This Row],[05/05/25]]+(1-Planbase100[[#This Row],[05/05/25]])*'Plan 39'!AU71</f>
        <v>1</v>
      </c>
      <c r="CO117" s="127">
        <f>Planbase100[[#This Row],[05/05/25]]+(1-Planbase100[[#This Row],[05/05/25]])*'Plan 39'!AV71</f>
        <v>1</v>
      </c>
      <c r="CP117" s="127">
        <f>Planbase100[[#This Row],[05/05/25]]+(1-Planbase100[[#This Row],[05/05/25]])*'Plan 39'!AW71</f>
        <v>1</v>
      </c>
      <c r="CQ117" s="127">
        <f>Planbase100[[#This Row],[05/05/25]]+(1-Planbase100[[#This Row],[05/05/25]])*'Plan 39'!AX71</f>
        <v>1</v>
      </c>
      <c r="CR117" s="127">
        <f>Planbase100[[#This Row],[05/05/25]]+(1-Planbase100[[#This Row],[05/05/25]])*'Plan 39'!AY71</f>
        <v>1</v>
      </c>
      <c r="CS117" s="127">
        <f>Planbase100[[#This Row],[05/05/25]]+(1-Planbase100[[#This Row],[05/05/25]])*'Plan 39'!AZ71</f>
        <v>1</v>
      </c>
      <c r="CT117" s="127">
        <f>Planbase100[[#This Row],[05/05/25]]+(1-Planbase100[[#This Row],[05/05/25]])*'Plan 39'!BA71</f>
        <v>1</v>
      </c>
      <c r="CU117" s="127">
        <f>Planbase100[[#This Row],[05/05/25]]+(1-Planbase100[[#This Row],[05/05/25]])*'Plan 39'!BB71</f>
        <v>1</v>
      </c>
      <c r="CV117" s="127">
        <f>Planbase100[[#This Row],[05/05/25]]+(1-Planbase100[[#This Row],[05/05/25]])*'Plan 39'!BC71</f>
        <v>1</v>
      </c>
      <c r="CW117" s="127">
        <f>Planbase100[[#This Row],[05/05/25]]+(1-Planbase100[[#This Row],[05/05/25]])*'Plan 39'!BD71</f>
        <v>1</v>
      </c>
      <c r="CX117" s="127">
        <f>Planbase100[[#This Row],[05/05/25]]+(1-Planbase100[[#This Row],[05/05/25]])*'Plan 39'!BE71</f>
        <v>1</v>
      </c>
      <c r="CY117" s="127">
        <f>Planbase100[[#This Row],[05/05/25]]+(1-Planbase100[[#This Row],[05/05/25]])*'Plan 39'!BF71</f>
        <v>1</v>
      </c>
      <c r="CZ117" s="127">
        <f>Planbase100[[#This Row],[05/05/25]]+(1-Planbase100[[#This Row],[05/05/25]])*'Plan 39'!BG71</f>
        <v>1</v>
      </c>
      <c r="DA117" s="127">
        <f>Planbase100[[#This Row],[05/05/25]]+(1-Planbase100[[#This Row],[05/05/25]])*'Plan 39'!BH71</f>
        <v>1</v>
      </c>
      <c r="DB117" s="127">
        <f>Planbase100[[#This Row],[05/05/25]]+(1-Planbase100[[#This Row],[05/05/25]])*'Plan 39'!BI71</f>
        <v>1</v>
      </c>
      <c r="DC117" s="127">
        <f>Planbase100[[#This Row],[05/05/25]]+(1-Planbase100[[#This Row],[05/05/25]])*'Plan 39'!BJ71</f>
        <v>1</v>
      </c>
      <c r="DD117" s="127">
        <f>Planbase100[[#This Row],[05/05/25]]+(1-Planbase100[[#This Row],[05/05/25]])*'Plan 39'!BK71</f>
        <v>1</v>
      </c>
      <c r="DE117" s="127">
        <f>Planbase100[[#This Row],[05/05/25]]+(1-Planbase100[[#This Row],[05/05/25]])*'Plan 39'!BL71</f>
        <v>1</v>
      </c>
      <c r="DF117" s="127">
        <f>Planbase100[[#This Row],[12/05/25]]+(1-Planbase100[[#This Row],[12/05/25]])*'Plan 39'!BM71</f>
        <v>1</v>
      </c>
      <c r="DG117" s="127">
        <f>Planbase100[[#This Row],[19/05/25]]+(1-Planbase100[[#This Row],[19/05/25]])*'Plan 39'!BN71</f>
        <v>1</v>
      </c>
      <c r="DH117" s="127">
        <f>Planbase100[[#This Row],[26/05/25]]+(1-Planbase100[[#This Row],[26/05/25]])*'Plan 39'!BO71</f>
        <v>1</v>
      </c>
      <c r="DI117" s="127">
        <f>Planbase100[[#This Row],[02/06/25]]+(1-Planbase100[[#This Row],[02/06/25]])*'Plan 39'!BP71</f>
        <v>1</v>
      </c>
      <c r="DJ117" s="127">
        <f>Planbase100[[#This Row],[09/06/25]]+(1-Planbase100[[#This Row],[09/06/25]])*'Plan 39'!BQ71</f>
        <v>1</v>
      </c>
      <c r="DK117" s="127">
        <f>Planbase100[[#This Row],[16/06/25]]+(1-Planbase100[[#This Row],[16/06/25]])*'Plan 39'!BR71</f>
        <v>1</v>
      </c>
      <c r="DL117" s="127">
        <f>Planbase100[[#This Row],[23/06/25]]+(1-Planbase100[[#This Row],[23/06/25]])*'Plan 39'!BS71</f>
        <v>1</v>
      </c>
      <c r="DM117" s="127">
        <f>Planbase100[[#This Row],[30/06/25]]+(1-Planbase100[[#This Row],[30/06/25]])*'Plan 39'!BT71</f>
        <v>1</v>
      </c>
      <c r="DN117" s="127">
        <f>Planbase100[[#This Row],[07/07/25]]+(1-Planbase100[[#This Row],[07/07/25]])*'Plan 39'!BU71</f>
        <v>1</v>
      </c>
      <c r="DO117" s="127">
        <f>Planbase100[[#This Row],[14/07/25]]+(1-Planbase100[[#This Row],[14/07/25]])*'Plan 39'!BV71</f>
        <v>1</v>
      </c>
      <c r="DP117" s="127">
        <f>Planbase100[[#This Row],[21/07/25]]+(1-Planbase100[[#This Row],[21/07/25]])*'Plan 39'!BW71</f>
        <v>1</v>
      </c>
      <c r="DQ117" s="127">
        <f>Planbase100[[#This Row],[28/07/25]]+(1-Planbase100[[#This Row],[28/07/25]])*'Plan 39'!BX71</f>
        <v>1</v>
      </c>
      <c r="DR117" s="127">
        <f>Planbase100[[#This Row],[04/08/25]]+(1-Planbase100[[#This Row],[04/08/25]])*'Plan 39'!BY71</f>
        <v>1</v>
      </c>
      <c r="DS117" s="127">
        <f>Planbase100[[#This Row],[11/08/25]]+(1-Planbase100[[#This Row],[11/08/25]])*'Plan 39'!BZ71</f>
        <v>1</v>
      </c>
      <c r="DT117" s="127">
        <f>Planbase100[[#This Row],[18/08/25]]+(1-Planbase100[[#This Row],[18/08/25]])*'Plan 39'!CA71</f>
        <v>1</v>
      </c>
      <c r="DU117" s="127">
        <f>Planbase100[[#This Row],[25/08/25]]+(1-Planbase100[[#This Row],[25/08/25]])*'Plan 39'!CB71</f>
        <v>1</v>
      </c>
      <c r="DV117" s="127">
        <f>Planbase100[[#This Row],[01/09/25]]+(1-Planbase100[[#This Row],[01/09/25]])*'Plan 39'!CC71</f>
        <v>1</v>
      </c>
      <c r="DW117" s="127">
        <f>Planbase100[[#This Row],[08/09/25]]+(1-Planbase100[[#This Row],[08/09/25]])*'Plan 39'!CD71</f>
        <v>1</v>
      </c>
      <c r="DX117" s="127">
        <f>Planbase100[[#This Row],[15/09/25]]+(1-Planbase100[[#This Row],[15/09/25]])*'Plan 39'!CE71</f>
        <v>1</v>
      </c>
      <c r="DY117" s="127">
        <f>Planbase100[[#This Row],[22/09/25]]+(1-Planbase100[[#This Row],[22/09/25]])*'Plan 39'!CF71</f>
        <v>1</v>
      </c>
      <c r="DZ117" s="127">
        <f>Planbase100[[#This Row],[29/09/25]]+(1-Planbase100[[#This Row],[29/09/25]])*'Plan 39'!CG71</f>
        <v>1</v>
      </c>
      <c r="EA117" s="127">
        <f>Planbase100[[#This Row],[06/10/25]]+(1-Planbase100[[#This Row],[06/10/25]])*'Plan 39'!CH71</f>
        <v>1</v>
      </c>
      <c r="EB117" s="127">
        <f>Planbase100[[#This Row],[13/10/25]]+(1-Planbase100[[#This Row],[13/10/25]])*'Plan 39'!CI71</f>
        <v>1</v>
      </c>
      <c r="EC117" s="127">
        <f>Planbase100[[#This Row],[20/10/25]]+(1-Planbase100[[#This Row],[20/10/25]])*'Plan 39'!CJ71</f>
        <v>1</v>
      </c>
      <c r="ED117" s="127">
        <f>Planbase100[[#This Row],[27/10/25]]+(1-Planbase100[[#This Row],[27/10/25]])*'Plan 39'!CK71</f>
        <v>1</v>
      </c>
      <c r="EE117" s="127">
        <f>Planbase100[[#This Row],[03/11/25]]+(1-Planbase100[[#This Row],[03/11/25]])*'Plan 39'!CL71</f>
        <v>1</v>
      </c>
      <c r="EF117" s="127">
        <f>Planbase100[[#This Row],[10/11/25]]+(1-Planbase100[[#This Row],[10/11/25]])*'Plan 39'!CM71</f>
        <v>1</v>
      </c>
      <c r="EG117" s="127">
        <f>Planbase100[[#This Row],[17/11/25]]+(1-Planbase100[[#This Row],[17/11/25]])*'Plan 39'!CN71</f>
        <v>1</v>
      </c>
      <c r="EH117" s="127">
        <f>Planbase100[[#This Row],[24/11/25]]+(1-Planbase100[[#This Row],[24/11/25]])*'Plan 39'!CO71</f>
        <v>1</v>
      </c>
      <c r="EI117" s="127">
        <f>Planbase100[[#This Row],[01/12/25]]+(1-Planbase100[[#This Row],[01/12/25]])*'Plan 39'!CP71</f>
        <v>1</v>
      </c>
    </row>
    <row r="118" spans="2:139" ht="15" hidden="1" outlineLevel="2" collapsed="1" x14ac:dyDescent="0.3">
      <c r="B118" s="22"/>
      <c r="C118" s="23"/>
      <c r="D118" s="23" t="s">
        <v>122</v>
      </c>
      <c r="E118" s="50"/>
      <c r="F118" s="26">
        <f>+SUM(F119:F121)</f>
        <v>45</v>
      </c>
      <c r="G118" s="28">
        <v>2.9849192336063604E-2</v>
      </c>
      <c r="H118" s="51"/>
      <c r="I118" s="125">
        <f>+SUMPRODUCT($G$119:$G$121,I119:I121)</f>
        <v>0</v>
      </c>
      <c r="J118" s="28">
        <f>+SUMPRODUCT($G$119:$G$121,J119:J121)</f>
        <v>0</v>
      </c>
      <c r="K118" s="28">
        <f t="shared" ref="K118:BB118" si="350">+SUMPRODUCT($G$119:$G$121,K119:K121)</f>
        <v>0</v>
      </c>
      <c r="L118" s="28">
        <f t="shared" si="350"/>
        <v>0</v>
      </c>
      <c r="M118" s="64">
        <f t="shared" si="350"/>
        <v>0</v>
      </c>
      <c r="N118" s="64">
        <f t="shared" si="350"/>
        <v>0</v>
      </c>
      <c r="O118" s="28">
        <f t="shared" si="350"/>
        <v>0</v>
      </c>
      <c r="P118" s="28">
        <f t="shared" si="350"/>
        <v>0</v>
      </c>
      <c r="Q118" s="28">
        <f t="shared" si="350"/>
        <v>0</v>
      </c>
      <c r="R118" s="28">
        <f t="shared" si="350"/>
        <v>0</v>
      </c>
      <c r="S118" s="28">
        <f t="shared" si="350"/>
        <v>0</v>
      </c>
      <c r="T118" s="28">
        <f t="shared" si="350"/>
        <v>0</v>
      </c>
      <c r="U118" s="28">
        <f t="shared" si="350"/>
        <v>0</v>
      </c>
      <c r="V118" s="28">
        <f t="shared" si="350"/>
        <v>0</v>
      </c>
      <c r="W118" s="28">
        <f t="shared" si="350"/>
        <v>0</v>
      </c>
      <c r="X118" s="28">
        <f t="shared" si="350"/>
        <v>0</v>
      </c>
      <c r="Y118" s="28">
        <f t="shared" si="350"/>
        <v>0</v>
      </c>
      <c r="Z118" s="28">
        <f t="shared" si="350"/>
        <v>0</v>
      </c>
      <c r="AA118" s="28">
        <f t="shared" si="350"/>
        <v>0</v>
      </c>
      <c r="AB118" s="28">
        <f t="shared" si="350"/>
        <v>4.9999999999999992E-3</v>
      </c>
      <c r="AC118" s="28">
        <f t="shared" si="350"/>
        <v>1.4999999999999999E-2</v>
      </c>
      <c r="AD118" s="28">
        <f t="shared" si="350"/>
        <v>2.5374999999999998E-2</v>
      </c>
      <c r="AE118" s="28">
        <f t="shared" si="350"/>
        <v>6.3750000000000001E-2</v>
      </c>
      <c r="AF118" s="28">
        <f t="shared" si="350"/>
        <v>7.3999999999999996E-2</v>
      </c>
      <c r="AG118" s="28">
        <f t="shared" si="350"/>
        <v>0.15166666666666664</v>
      </c>
      <c r="AH118" s="28">
        <f t="shared" si="350"/>
        <v>0.15166666666666664</v>
      </c>
      <c r="AI118" s="28">
        <f>+SUMPRODUCT($G$119:$G$121,AI119:AI121)</f>
        <v>0.15166666666666664</v>
      </c>
      <c r="AJ118" s="28">
        <f>+SUMPRODUCT($G$119:$G$121,AJ119:AJ121)</f>
        <v>0.15166666666666664</v>
      </c>
      <c r="AK118" s="28">
        <f t="shared" si="350"/>
        <v>0.15166666666666664</v>
      </c>
      <c r="AL118" s="28">
        <f t="shared" si="350"/>
        <v>0.15333333333333332</v>
      </c>
      <c r="AM118" s="28">
        <f t="shared" si="350"/>
        <v>0.17968749999999997</v>
      </c>
      <c r="AN118" s="28">
        <f t="shared" si="350"/>
        <v>0.18039583333333331</v>
      </c>
      <c r="AO118" s="28">
        <f t="shared" si="350"/>
        <v>0.18374999999999997</v>
      </c>
      <c r="AP118" s="28">
        <f t="shared" si="350"/>
        <v>0.18374999999999997</v>
      </c>
      <c r="AQ118" s="28">
        <f t="shared" si="350"/>
        <v>0.18374999999999997</v>
      </c>
      <c r="AR118" s="28">
        <f t="shared" si="350"/>
        <v>0.18374999999999997</v>
      </c>
      <c r="AS118" s="28">
        <f t="shared" si="350"/>
        <v>0.18374999999999997</v>
      </c>
      <c r="AT118" s="28">
        <f t="shared" si="350"/>
        <v>0.18374999999999997</v>
      </c>
      <c r="AU118" s="28">
        <f t="shared" si="350"/>
        <v>0.18374999999999997</v>
      </c>
      <c r="AV118" s="28">
        <f t="shared" si="350"/>
        <v>0.18374999999999997</v>
      </c>
      <c r="AW118" s="28">
        <f t="shared" si="350"/>
        <v>0.18374999999999997</v>
      </c>
      <c r="AX118" s="28">
        <f t="shared" si="350"/>
        <v>0.18374999999999997</v>
      </c>
      <c r="AY118" s="28">
        <f t="shared" si="350"/>
        <v>0.18374999999999997</v>
      </c>
      <c r="AZ118" s="28">
        <f t="shared" si="350"/>
        <v>0.59478333333333333</v>
      </c>
      <c r="BA118" s="28">
        <f t="shared" si="350"/>
        <v>0.59478333333333333</v>
      </c>
      <c r="BB118" s="28">
        <f t="shared" si="350"/>
        <v>0.59478333333333333</v>
      </c>
      <c r="BC118" s="28">
        <f t="shared" ref="BC118:CE118" si="351">+SUMPRODUCT($G$119:$G$121,BC119:BC121)</f>
        <v>0.59478333333333333</v>
      </c>
      <c r="BD118" s="28">
        <f t="shared" si="351"/>
        <v>0.59478333333333333</v>
      </c>
      <c r="BE118" s="28">
        <f t="shared" si="351"/>
        <v>0.59478333333333333</v>
      </c>
      <c r="BF118" s="28">
        <f t="shared" si="351"/>
        <v>0.59478333333333333</v>
      </c>
      <c r="BG118" s="28">
        <f t="shared" si="351"/>
        <v>0.59478333333333333</v>
      </c>
      <c r="BH118" s="28">
        <f t="shared" si="351"/>
        <v>0.59478333333333333</v>
      </c>
      <c r="BI118" s="28">
        <f t="shared" si="351"/>
        <v>0.59478333333333333</v>
      </c>
      <c r="BJ118" s="28">
        <f t="shared" si="351"/>
        <v>0.59478333333333333</v>
      </c>
      <c r="BK118" s="28">
        <f t="shared" si="351"/>
        <v>0.59478333333333333</v>
      </c>
      <c r="BL118" s="28">
        <f t="shared" si="351"/>
        <v>0.59478333333333333</v>
      </c>
      <c r="BM118" s="28">
        <f t="shared" si="351"/>
        <v>0.59478333333333333</v>
      </c>
      <c r="BN118" s="28">
        <f t="shared" si="351"/>
        <v>0.59478333333333333</v>
      </c>
      <c r="BO118" s="28">
        <f t="shared" si="351"/>
        <v>0.61497708333333334</v>
      </c>
      <c r="BP118" s="28">
        <f t="shared" si="351"/>
        <v>0.67782258333333334</v>
      </c>
      <c r="BQ118" s="28">
        <f t="shared" si="351"/>
        <v>0.74066808333333334</v>
      </c>
      <c r="BR118" s="28">
        <f t="shared" si="351"/>
        <v>0.84213091666666662</v>
      </c>
      <c r="BS118" s="28">
        <f t="shared" si="351"/>
        <v>0.90081391666666666</v>
      </c>
      <c r="BT118" s="28">
        <f t="shared" si="351"/>
        <v>0.95961249999999998</v>
      </c>
      <c r="BU118" s="28">
        <f t="shared" si="351"/>
        <v>0.97980624999999999</v>
      </c>
      <c r="BV118" s="28">
        <f t="shared" si="351"/>
        <v>1</v>
      </c>
      <c r="BW118" s="28">
        <f t="shared" si="351"/>
        <v>1</v>
      </c>
      <c r="BX118" s="28">
        <f t="shared" si="351"/>
        <v>1</v>
      </c>
      <c r="BY118" s="28">
        <f t="shared" si="351"/>
        <v>1</v>
      </c>
      <c r="BZ118" s="28">
        <f t="shared" si="351"/>
        <v>1</v>
      </c>
      <c r="CA118" s="28">
        <f t="shared" si="351"/>
        <v>1</v>
      </c>
      <c r="CB118" s="28">
        <f t="shared" si="351"/>
        <v>1</v>
      </c>
      <c r="CC118" s="28">
        <f t="shared" si="351"/>
        <v>1</v>
      </c>
      <c r="CD118" s="28">
        <f t="shared" si="351"/>
        <v>1</v>
      </c>
      <c r="CE118" s="28">
        <f t="shared" si="351"/>
        <v>1</v>
      </c>
      <c r="CF118" s="28">
        <f t="shared" ref="CF118:CI118" si="352">+SUMPRODUCT($G$119:$G$121,CF119:CF121)</f>
        <v>1</v>
      </c>
      <c r="CG118" s="28">
        <f t="shared" si="352"/>
        <v>1</v>
      </c>
      <c r="CH118" s="28">
        <f t="shared" si="352"/>
        <v>1</v>
      </c>
      <c r="CI118" s="28">
        <f t="shared" si="352"/>
        <v>1</v>
      </c>
      <c r="CJ118" s="28">
        <f t="shared" ref="CJ118:CK118" si="353">+SUMPRODUCT($G$119:$G$121,CJ119:CJ121)</f>
        <v>1</v>
      </c>
      <c r="CK118" s="28">
        <f t="shared" si="353"/>
        <v>1</v>
      </c>
      <c r="CL118" s="28">
        <f t="shared" ref="CL118" si="354">+SUMPRODUCT($G$119:$G$121,CL119:CL121)</f>
        <v>1</v>
      </c>
      <c r="CM118" s="28">
        <f t="shared" ref="CM118:CV118" si="355">+SUMPRODUCT($G$119:$G$121,CM119:CM121)</f>
        <v>1</v>
      </c>
      <c r="CN118" s="28">
        <f t="shared" si="355"/>
        <v>1</v>
      </c>
      <c r="CO118" s="28">
        <f t="shared" si="355"/>
        <v>1</v>
      </c>
      <c r="CP118" s="28">
        <f t="shared" si="355"/>
        <v>1</v>
      </c>
      <c r="CQ118" s="28">
        <f t="shared" si="355"/>
        <v>1</v>
      </c>
      <c r="CR118" s="28">
        <f t="shared" si="355"/>
        <v>1</v>
      </c>
      <c r="CS118" s="28">
        <f t="shared" si="355"/>
        <v>1</v>
      </c>
      <c r="CT118" s="28">
        <f t="shared" si="355"/>
        <v>1</v>
      </c>
      <c r="CU118" s="28">
        <f t="shared" si="355"/>
        <v>1</v>
      </c>
      <c r="CV118" s="28">
        <f t="shared" si="355"/>
        <v>1</v>
      </c>
      <c r="CW118" s="28">
        <f t="shared" ref="CW118" si="356">+SUMPRODUCT($G$119:$G$121,CW119:CW121)</f>
        <v>1</v>
      </c>
      <c r="CX118" s="28">
        <f t="shared" ref="CX118:CY118" si="357">+SUMPRODUCT($G$119:$G$121,CX119:CX121)</f>
        <v>1</v>
      </c>
      <c r="CY118" s="28">
        <f t="shared" si="357"/>
        <v>1</v>
      </c>
      <c r="CZ118" s="28">
        <f t="shared" ref="CZ118:DA118" si="358">+SUMPRODUCT($G$119:$G$121,CZ119:CZ121)</f>
        <v>1</v>
      </c>
      <c r="DA118" s="28">
        <f t="shared" si="358"/>
        <v>1</v>
      </c>
      <c r="DB118" s="28">
        <f t="shared" ref="DB118:DC118" si="359">+SUMPRODUCT($G$119:$G$121,DB119:DB121)</f>
        <v>1</v>
      </c>
      <c r="DC118" s="28">
        <f t="shared" si="359"/>
        <v>1</v>
      </c>
      <c r="DD118" s="28">
        <f t="shared" ref="DD118:DE118" si="360">+SUMPRODUCT($G$119:$G$121,DD119:DD121)</f>
        <v>1</v>
      </c>
      <c r="DE118" s="28">
        <f t="shared" si="360"/>
        <v>1</v>
      </c>
      <c r="DF118" s="28">
        <f t="shared" ref="DF118:DJ118" si="361">+SUMPRODUCT($G$119:$G$121,DF119:DF121)</f>
        <v>1</v>
      </c>
      <c r="DG118" s="28">
        <f t="shared" si="361"/>
        <v>1</v>
      </c>
      <c r="DH118" s="28">
        <f t="shared" si="361"/>
        <v>1</v>
      </c>
      <c r="DI118" s="28">
        <f t="shared" si="361"/>
        <v>1</v>
      </c>
      <c r="DJ118" s="28">
        <f t="shared" si="361"/>
        <v>1</v>
      </c>
      <c r="DK118" s="28">
        <f t="shared" ref="DK118:EI118" si="362">+SUMPRODUCT($G$119:$G$121,DK119:DK121)</f>
        <v>1</v>
      </c>
      <c r="DL118" s="28">
        <f t="shared" si="362"/>
        <v>1</v>
      </c>
      <c r="DM118" s="28">
        <f t="shared" si="362"/>
        <v>1</v>
      </c>
      <c r="DN118" s="28">
        <f t="shared" si="362"/>
        <v>1</v>
      </c>
      <c r="DO118" s="28">
        <f t="shared" si="362"/>
        <v>1</v>
      </c>
      <c r="DP118" s="28">
        <f t="shared" si="362"/>
        <v>1</v>
      </c>
      <c r="DQ118" s="28">
        <f t="shared" si="362"/>
        <v>1</v>
      </c>
      <c r="DR118" s="28">
        <f t="shared" si="362"/>
        <v>1</v>
      </c>
      <c r="DS118" s="28">
        <f t="shared" si="362"/>
        <v>1</v>
      </c>
      <c r="DT118" s="28">
        <f t="shared" si="362"/>
        <v>1</v>
      </c>
      <c r="DU118" s="28">
        <f t="shared" si="362"/>
        <v>1</v>
      </c>
      <c r="DV118" s="28">
        <f t="shared" si="362"/>
        <v>1</v>
      </c>
      <c r="DW118" s="28">
        <f t="shared" si="362"/>
        <v>1</v>
      </c>
      <c r="DX118" s="28">
        <f t="shared" si="362"/>
        <v>1</v>
      </c>
      <c r="DY118" s="28">
        <f t="shared" si="362"/>
        <v>1</v>
      </c>
      <c r="DZ118" s="28">
        <f t="shared" si="362"/>
        <v>1</v>
      </c>
      <c r="EA118" s="28">
        <f t="shared" si="362"/>
        <v>1</v>
      </c>
      <c r="EB118" s="28">
        <f t="shared" si="362"/>
        <v>1</v>
      </c>
      <c r="EC118" s="28">
        <f t="shared" si="362"/>
        <v>1</v>
      </c>
      <c r="ED118" s="28">
        <f t="shared" si="362"/>
        <v>1</v>
      </c>
      <c r="EE118" s="28">
        <f t="shared" si="362"/>
        <v>1</v>
      </c>
      <c r="EF118" s="28">
        <f t="shared" si="362"/>
        <v>1</v>
      </c>
      <c r="EG118" s="28">
        <f t="shared" si="362"/>
        <v>1</v>
      </c>
      <c r="EH118" s="28">
        <f t="shared" si="362"/>
        <v>1</v>
      </c>
      <c r="EI118" s="28">
        <f t="shared" si="362"/>
        <v>1</v>
      </c>
    </row>
    <row r="119" spans="2:139" hidden="1" outlineLevel="3" x14ac:dyDescent="0.3">
      <c r="B119" s="29"/>
      <c r="C119" s="30"/>
      <c r="D119" s="30"/>
      <c r="E119" s="52" t="s">
        <v>123</v>
      </c>
      <c r="F119" s="33">
        <v>15</v>
      </c>
      <c r="G119" s="35">
        <v>0.33333333333333331</v>
      </c>
      <c r="H119" s="53"/>
      <c r="I119" s="126">
        <v>0</v>
      </c>
      <c r="J119" s="127">
        <v>0</v>
      </c>
      <c r="K119" s="127">
        <v>0</v>
      </c>
      <c r="L119" s="127">
        <v>0</v>
      </c>
      <c r="M119" s="128">
        <v>0</v>
      </c>
      <c r="N119" s="128">
        <v>0</v>
      </c>
      <c r="O119" s="127">
        <v>0</v>
      </c>
      <c r="P119" s="127">
        <v>0</v>
      </c>
      <c r="Q119" s="127">
        <v>0</v>
      </c>
      <c r="R119" s="127">
        <v>0</v>
      </c>
      <c r="S119" s="127">
        <v>0</v>
      </c>
      <c r="T119" s="127">
        <v>0</v>
      </c>
      <c r="U119" s="127">
        <v>0</v>
      </c>
      <c r="V119" s="127">
        <v>0</v>
      </c>
      <c r="W119" s="127">
        <v>0</v>
      </c>
      <c r="X119" s="127">
        <v>0</v>
      </c>
      <c r="Y119" s="127">
        <v>0</v>
      </c>
      <c r="Z119" s="127">
        <v>0</v>
      </c>
      <c r="AA119" s="127">
        <v>0</v>
      </c>
      <c r="AB119" s="127">
        <v>0</v>
      </c>
      <c r="AC119" s="127">
        <v>0</v>
      </c>
      <c r="AD119" s="127">
        <v>7.5000000000000012E-4</v>
      </c>
      <c r="AE119" s="127">
        <v>3.0000000000000005E-3</v>
      </c>
      <c r="AF119" s="127">
        <v>2.7000000000000003E-2</v>
      </c>
      <c r="AG119" s="127">
        <v>0.15</v>
      </c>
      <c r="AH119" s="127">
        <v>0.15</v>
      </c>
      <c r="AI119" s="127">
        <v>0.15</v>
      </c>
      <c r="AJ119" s="127">
        <v>0.15</v>
      </c>
      <c r="AK119" s="127">
        <v>0.15</v>
      </c>
      <c r="AL119" s="127">
        <v>0.15</v>
      </c>
      <c r="AM119" s="127">
        <v>0.17499999999999999</v>
      </c>
      <c r="AN119" s="127">
        <v>0.17499999999999999</v>
      </c>
      <c r="AO119" s="127">
        <v>0.17499999999999999</v>
      </c>
      <c r="AP119" s="127">
        <v>0.17499999999999999</v>
      </c>
      <c r="AQ119" s="127">
        <v>0.17499999999999999</v>
      </c>
      <c r="AR119" s="127">
        <v>0.17499999999999999</v>
      </c>
      <c r="AS119" s="127">
        <v>0.17499999999999999</v>
      </c>
      <c r="AT119" s="127">
        <v>0.17499999999999999</v>
      </c>
      <c r="AU119" s="127">
        <v>0.17499999999999999</v>
      </c>
      <c r="AV119" s="127">
        <v>0.17499999999999999</v>
      </c>
      <c r="AW119" s="127">
        <v>0.17499999999999999</v>
      </c>
      <c r="AX119" s="127">
        <v>0.17499999999999999</v>
      </c>
      <c r="AY119" s="127">
        <v>0.17499999999999999</v>
      </c>
      <c r="AZ119" s="127">
        <v>0.61575000000000002</v>
      </c>
      <c r="BA119" s="127">
        <v>0.61575000000000002</v>
      </c>
      <c r="BB119" s="127">
        <f>Planbase100[[#This Row],[05/05/25]]+(1-Planbase100[[#This Row],[05/05/25]])*'Plan 39'!I73</f>
        <v>0.61575000000000002</v>
      </c>
      <c r="BC119" s="127">
        <f>Planbase100[[#This Row],[05/05/25]]+(1-Planbase100[[#This Row],[05/05/25]])*'Plan 39'!J73</f>
        <v>0.61575000000000002</v>
      </c>
      <c r="BD119" s="127">
        <f>Planbase100[[#This Row],[05/05/25]]+(1-Planbase100[[#This Row],[05/05/25]])*'Plan 39'!K73</f>
        <v>0.61575000000000002</v>
      </c>
      <c r="BE119" s="127">
        <f>Planbase100[[#This Row],[05/05/25]]+(1-Planbase100[[#This Row],[05/05/25]])*'Plan 39'!L73</f>
        <v>0.61575000000000002</v>
      </c>
      <c r="BF119" s="127">
        <f>Planbase100[[#This Row],[05/05/25]]+(1-Planbase100[[#This Row],[05/05/25]])*'Plan 39'!M73</f>
        <v>0.61575000000000002</v>
      </c>
      <c r="BG119" s="127">
        <f>Planbase100[[#This Row],[05/05/25]]+(1-Planbase100[[#This Row],[05/05/25]])*'Plan 39'!N73</f>
        <v>0.61575000000000002</v>
      </c>
      <c r="BH119" s="127">
        <f>Planbase100[[#This Row],[05/05/25]]+(1-Planbase100[[#This Row],[05/05/25]])*'Plan 39'!O73</f>
        <v>0.61575000000000002</v>
      </c>
      <c r="BI119" s="127">
        <f>Planbase100[[#This Row],[05/05/25]]+(1-Planbase100[[#This Row],[05/05/25]])*'Plan 39'!P73</f>
        <v>0.61575000000000002</v>
      </c>
      <c r="BJ119" s="127">
        <f>Planbase100[[#This Row],[05/05/25]]+(1-Planbase100[[#This Row],[05/05/25]])*'Plan 39'!Q73</f>
        <v>0.61575000000000002</v>
      </c>
      <c r="BK119" s="127">
        <f>Planbase100[[#This Row],[05/05/25]]+(1-Planbase100[[#This Row],[05/05/25]])*'Plan 39'!R73</f>
        <v>0.61575000000000002</v>
      </c>
      <c r="BL119" s="127">
        <f>Planbase100[[#This Row],[05/05/25]]+(1-Planbase100[[#This Row],[05/05/25]])*'Plan 39'!S73</f>
        <v>0.61575000000000002</v>
      </c>
      <c r="BM119" s="127">
        <f>Planbase100[[#This Row],[05/05/25]]+(1-Planbase100[[#This Row],[05/05/25]])*'Plan 39'!T73</f>
        <v>0.61575000000000002</v>
      </c>
      <c r="BN119" s="127">
        <f>Planbase100[[#This Row],[05/05/25]]+(1-Planbase100[[#This Row],[05/05/25]])*'Plan 39'!U73</f>
        <v>0.61575000000000002</v>
      </c>
      <c r="BO119" s="127">
        <f>Planbase100[[#This Row],[05/05/25]]+(1-Planbase100[[#This Row],[05/05/25]])*'Plan 39'!V73</f>
        <v>0.61575000000000002</v>
      </c>
      <c r="BP119" s="127">
        <f>Planbase100[[#This Row],[05/05/25]]+(1-Planbase100[[#This Row],[05/05/25]])*'Plan 39'!W73</f>
        <v>0.74370524999999998</v>
      </c>
      <c r="BQ119" s="127">
        <f>Planbase100[[#This Row],[05/05/25]]+(1-Planbase100[[#This Row],[05/05/25]])*'Plan 39'!X73</f>
        <v>0.87166049999999995</v>
      </c>
      <c r="BR119" s="127">
        <f>Planbase100[[#This Row],[05/05/25]]+(1-Planbase100[[#This Row],[05/05/25]])*'Plan 39'!Y73</f>
        <v>1</v>
      </c>
      <c r="BS119" s="127">
        <f>Planbase100[[#This Row],[05/05/25]]+(1-Planbase100[[#This Row],[05/05/25]])*'Plan 39'!Z73</f>
        <v>1</v>
      </c>
      <c r="BT119" s="127">
        <f>Planbase100[[#This Row],[05/05/25]]+(1-Planbase100[[#This Row],[05/05/25]])*'Plan 39'!AA73</f>
        <v>1</v>
      </c>
      <c r="BU119" s="127">
        <f>Planbase100[[#This Row],[05/05/25]]+(1-Planbase100[[#This Row],[05/05/25]])*'Plan 39'!AB73</f>
        <v>1</v>
      </c>
      <c r="BV119" s="127">
        <f>Planbase100[[#This Row],[05/05/25]]+(1-Planbase100[[#This Row],[05/05/25]])*'Plan 39'!AC73</f>
        <v>1</v>
      </c>
      <c r="BW119" s="127">
        <f>Planbase100[[#This Row],[05/05/25]]+(1-Planbase100[[#This Row],[05/05/25]])*'Plan 39'!AD73</f>
        <v>1</v>
      </c>
      <c r="BX119" s="127">
        <f>Planbase100[[#This Row],[05/05/25]]+(1-Planbase100[[#This Row],[05/05/25]])*'Plan 39'!AE73</f>
        <v>1</v>
      </c>
      <c r="BY119" s="127">
        <f>Planbase100[[#This Row],[05/05/25]]+(1-Planbase100[[#This Row],[05/05/25]])*'Plan 39'!AF73</f>
        <v>1</v>
      </c>
      <c r="BZ119" s="127">
        <f>Planbase100[[#This Row],[05/05/25]]+(1-Planbase100[[#This Row],[05/05/25]])*'Plan 39'!AG73</f>
        <v>1</v>
      </c>
      <c r="CA119" s="127">
        <f>Planbase100[[#This Row],[05/05/25]]+(1-Planbase100[[#This Row],[05/05/25]])*'Plan 39'!AH73</f>
        <v>1</v>
      </c>
      <c r="CB119" s="127">
        <f>Planbase100[[#This Row],[05/05/25]]+(1-Planbase100[[#This Row],[05/05/25]])*'Plan 39'!AI73</f>
        <v>1</v>
      </c>
      <c r="CC119" s="127">
        <f>Planbase100[[#This Row],[05/05/25]]+(1-Planbase100[[#This Row],[05/05/25]])*'Plan 39'!AJ73</f>
        <v>1</v>
      </c>
      <c r="CD119" s="127">
        <f>Planbase100[[#This Row],[05/05/25]]+(1-Planbase100[[#This Row],[05/05/25]])*'Plan 39'!AK73</f>
        <v>1</v>
      </c>
      <c r="CE119" s="127">
        <f>Planbase100[[#This Row],[05/05/25]]+(1-Planbase100[[#This Row],[05/05/25]])*'Plan 39'!AL73</f>
        <v>1</v>
      </c>
      <c r="CF119" s="127">
        <f>Planbase100[[#This Row],[05/05/25]]+(1-Planbase100[[#This Row],[05/05/25]])*'Plan 39'!AM73</f>
        <v>1</v>
      </c>
      <c r="CG119" s="127">
        <f>Planbase100[[#This Row],[05/05/25]]+(1-Planbase100[[#This Row],[05/05/25]])*'Plan 39'!AN73</f>
        <v>1</v>
      </c>
      <c r="CH119" s="127">
        <f>Planbase100[[#This Row],[05/05/25]]+(1-Planbase100[[#This Row],[05/05/25]])*'Plan 39'!AO73</f>
        <v>1</v>
      </c>
      <c r="CI119" s="127">
        <f>Planbase100[[#This Row],[05/05/25]]+(1-Planbase100[[#This Row],[05/05/25]])*'Plan 39'!AP73</f>
        <v>1</v>
      </c>
      <c r="CJ119" s="127">
        <f>Planbase100[[#This Row],[05/05/25]]+(1-Planbase100[[#This Row],[05/05/25]])*'Plan 39'!AQ73</f>
        <v>1</v>
      </c>
      <c r="CK119" s="127">
        <f>Planbase100[[#This Row],[05/05/25]]+(1-Planbase100[[#This Row],[05/05/25]])*'Plan 39'!AR73</f>
        <v>1</v>
      </c>
      <c r="CL119" s="127">
        <f>Planbase100[[#This Row],[05/05/25]]+(1-Planbase100[[#This Row],[05/05/25]])*'Plan 39'!AS73</f>
        <v>1</v>
      </c>
      <c r="CM119" s="127">
        <f>Planbase100[[#This Row],[05/05/25]]+(1-Planbase100[[#This Row],[05/05/25]])*'Plan 39'!AT73</f>
        <v>1</v>
      </c>
      <c r="CN119" s="127">
        <f>Planbase100[[#This Row],[05/05/25]]+(1-Planbase100[[#This Row],[05/05/25]])*'Plan 39'!AU73</f>
        <v>1</v>
      </c>
      <c r="CO119" s="127">
        <f>Planbase100[[#This Row],[05/05/25]]+(1-Planbase100[[#This Row],[05/05/25]])*'Plan 39'!AV73</f>
        <v>1</v>
      </c>
      <c r="CP119" s="127">
        <f>Planbase100[[#This Row],[05/05/25]]+(1-Planbase100[[#This Row],[05/05/25]])*'Plan 39'!AW73</f>
        <v>1</v>
      </c>
      <c r="CQ119" s="127">
        <f>Planbase100[[#This Row],[05/05/25]]+(1-Planbase100[[#This Row],[05/05/25]])*'Plan 39'!AX73</f>
        <v>1</v>
      </c>
      <c r="CR119" s="127">
        <f>Planbase100[[#This Row],[05/05/25]]+(1-Planbase100[[#This Row],[05/05/25]])*'Plan 39'!AY73</f>
        <v>1</v>
      </c>
      <c r="CS119" s="127">
        <f>Planbase100[[#This Row],[05/05/25]]+(1-Planbase100[[#This Row],[05/05/25]])*'Plan 39'!AZ73</f>
        <v>1</v>
      </c>
      <c r="CT119" s="127">
        <f>Planbase100[[#This Row],[05/05/25]]+(1-Planbase100[[#This Row],[05/05/25]])*'Plan 39'!BA73</f>
        <v>1</v>
      </c>
      <c r="CU119" s="127">
        <f>Planbase100[[#This Row],[05/05/25]]+(1-Planbase100[[#This Row],[05/05/25]])*'Plan 39'!BB73</f>
        <v>1</v>
      </c>
      <c r="CV119" s="127">
        <f>Planbase100[[#This Row],[05/05/25]]+(1-Planbase100[[#This Row],[05/05/25]])*'Plan 39'!BC73</f>
        <v>1</v>
      </c>
      <c r="CW119" s="127">
        <f>Planbase100[[#This Row],[05/05/25]]+(1-Planbase100[[#This Row],[05/05/25]])*'Plan 39'!BD73</f>
        <v>1</v>
      </c>
      <c r="CX119" s="127">
        <f>Planbase100[[#This Row],[05/05/25]]+(1-Planbase100[[#This Row],[05/05/25]])*'Plan 39'!BE73</f>
        <v>1</v>
      </c>
      <c r="CY119" s="127">
        <f>Planbase100[[#This Row],[05/05/25]]+(1-Planbase100[[#This Row],[05/05/25]])*'Plan 39'!BF73</f>
        <v>1</v>
      </c>
      <c r="CZ119" s="127">
        <f>Planbase100[[#This Row],[05/05/25]]+(1-Planbase100[[#This Row],[05/05/25]])*'Plan 39'!BG73</f>
        <v>1</v>
      </c>
      <c r="DA119" s="127">
        <f>Planbase100[[#This Row],[05/05/25]]+(1-Planbase100[[#This Row],[05/05/25]])*'Plan 39'!BH73</f>
        <v>1</v>
      </c>
      <c r="DB119" s="127">
        <f>Planbase100[[#This Row],[05/05/25]]+(1-Planbase100[[#This Row],[05/05/25]])*'Plan 39'!BI73</f>
        <v>1</v>
      </c>
      <c r="DC119" s="127">
        <f>Planbase100[[#This Row],[05/05/25]]+(1-Planbase100[[#This Row],[05/05/25]])*'Plan 39'!BJ73</f>
        <v>1</v>
      </c>
      <c r="DD119" s="127">
        <f>Planbase100[[#This Row],[05/05/25]]+(1-Planbase100[[#This Row],[05/05/25]])*'Plan 39'!BK73</f>
        <v>1</v>
      </c>
      <c r="DE119" s="127">
        <f>Planbase100[[#This Row],[05/05/25]]+(1-Planbase100[[#This Row],[05/05/25]])*'Plan 39'!BL73</f>
        <v>1</v>
      </c>
      <c r="DF119" s="127">
        <f>Planbase100[[#This Row],[12/05/25]]+(1-Planbase100[[#This Row],[12/05/25]])*'Plan 39'!BM73</f>
        <v>1</v>
      </c>
      <c r="DG119" s="127">
        <f>Planbase100[[#This Row],[19/05/25]]+(1-Planbase100[[#This Row],[19/05/25]])*'Plan 39'!BN73</f>
        <v>1</v>
      </c>
      <c r="DH119" s="127">
        <f>Planbase100[[#This Row],[26/05/25]]+(1-Planbase100[[#This Row],[26/05/25]])*'Plan 39'!BO73</f>
        <v>1</v>
      </c>
      <c r="DI119" s="127">
        <f>Planbase100[[#This Row],[02/06/25]]+(1-Planbase100[[#This Row],[02/06/25]])*'Plan 39'!BP73</f>
        <v>1</v>
      </c>
      <c r="DJ119" s="127">
        <f>Planbase100[[#This Row],[09/06/25]]+(1-Planbase100[[#This Row],[09/06/25]])*'Plan 39'!BQ73</f>
        <v>1</v>
      </c>
      <c r="DK119" s="127">
        <f>Planbase100[[#This Row],[16/06/25]]+(1-Planbase100[[#This Row],[16/06/25]])*'Plan 39'!BR73</f>
        <v>1</v>
      </c>
      <c r="DL119" s="127">
        <f>Planbase100[[#This Row],[23/06/25]]+(1-Planbase100[[#This Row],[23/06/25]])*'Plan 39'!BS73</f>
        <v>1</v>
      </c>
      <c r="DM119" s="127">
        <f>Planbase100[[#This Row],[30/06/25]]+(1-Planbase100[[#This Row],[30/06/25]])*'Plan 39'!BT73</f>
        <v>1</v>
      </c>
      <c r="DN119" s="127">
        <f>Planbase100[[#This Row],[07/07/25]]+(1-Planbase100[[#This Row],[07/07/25]])*'Plan 39'!BU73</f>
        <v>1</v>
      </c>
      <c r="DO119" s="127">
        <f>Planbase100[[#This Row],[14/07/25]]+(1-Planbase100[[#This Row],[14/07/25]])*'Plan 39'!BV73</f>
        <v>1</v>
      </c>
      <c r="DP119" s="127">
        <f>Planbase100[[#This Row],[21/07/25]]+(1-Planbase100[[#This Row],[21/07/25]])*'Plan 39'!BW73</f>
        <v>1</v>
      </c>
      <c r="DQ119" s="127">
        <f>Planbase100[[#This Row],[28/07/25]]+(1-Planbase100[[#This Row],[28/07/25]])*'Plan 39'!BX73</f>
        <v>1</v>
      </c>
      <c r="DR119" s="127">
        <f>Planbase100[[#This Row],[04/08/25]]+(1-Planbase100[[#This Row],[04/08/25]])*'Plan 39'!BY73</f>
        <v>1</v>
      </c>
      <c r="DS119" s="127">
        <f>Planbase100[[#This Row],[11/08/25]]+(1-Planbase100[[#This Row],[11/08/25]])*'Plan 39'!BZ73</f>
        <v>1</v>
      </c>
      <c r="DT119" s="127">
        <f>Planbase100[[#This Row],[18/08/25]]+(1-Planbase100[[#This Row],[18/08/25]])*'Plan 39'!CA73</f>
        <v>1</v>
      </c>
      <c r="DU119" s="127">
        <f>Planbase100[[#This Row],[25/08/25]]+(1-Planbase100[[#This Row],[25/08/25]])*'Plan 39'!CB73</f>
        <v>1</v>
      </c>
      <c r="DV119" s="127">
        <f>Planbase100[[#This Row],[01/09/25]]+(1-Planbase100[[#This Row],[01/09/25]])*'Plan 39'!CC73</f>
        <v>1</v>
      </c>
      <c r="DW119" s="127">
        <f>Planbase100[[#This Row],[08/09/25]]+(1-Planbase100[[#This Row],[08/09/25]])*'Plan 39'!CD73</f>
        <v>1</v>
      </c>
      <c r="DX119" s="127">
        <f>Planbase100[[#This Row],[15/09/25]]+(1-Planbase100[[#This Row],[15/09/25]])*'Plan 39'!CE73</f>
        <v>1</v>
      </c>
      <c r="DY119" s="127">
        <f>Planbase100[[#This Row],[22/09/25]]+(1-Planbase100[[#This Row],[22/09/25]])*'Plan 39'!CF73</f>
        <v>1</v>
      </c>
      <c r="DZ119" s="127">
        <f>Planbase100[[#This Row],[29/09/25]]+(1-Planbase100[[#This Row],[29/09/25]])*'Plan 39'!CG73</f>
        <v>1</v>
      </c>
      <c r="EA119" s="127">
        <f>Planbase100[[#This Row],[06/10/25]]+(1-Planbase100[[#This Row],[06/10/25]])*'Plan 39'!CH73</f>
        <v>1</v>
      </c>
      <c r="EB119" s="127">
        <f>Planbase100[[#This Row],[13/10/25]]+(1-Planbase100[[#This Row],[13/10/25]])*'Plan 39'!CI73</f>
        <v>1</v>
      </c>
      <c r="EC119" s="127">
        <f>Planbase100[[#This Row],[20/10/25]]+(1-Planbase100[[#This Row],[20/10/25]])*'Plan 39'!CJ73</f>
        <v>1</v>
      </c>
      <c r="ED119" s="127">
        <f>Planbase100[[#This Row],[27/10/25]]+(1-Planbase100[[#This Row],[27/10/25]])*'Plan 39'!CK73</f>
        <v>1</v>
      </c>
      <c r="EE119" s="127">
        <f>Planbase100[[#This Row],[03/11/25]]+(1-Planbase100[[#This Row],[03/11/25]])*'Plan 39'!CL73</f>
        <v>1</v>
      </c>
      <c r="EF119" s="127">
        <f>Planbase100[[#This Row],[10/11/25]]+(1-Planbase100[[#This Row],[10/11/25]])*'Plan 39'!CM73</f>
        <v>1</v>
      </c>
      <c r="EG119" s="127">
        <f>Planbase100[[#This Row],[17/11/25]]+(1-Planbase100[[#This Row],[17/11/25]])*'Plan 39'!CN73</f>
        <v>1</v>
      </c>
      <c r="EH119" s="127">
        <f>Planbase100[[#This Row],[24/11/25]]+(1-Planbase100[[#This Row],[24/11/25]])*'Plan 39'!CO73</f>
        <v>1</v>
      </c>
      <c r="EI119" s="127">
        <f>Planbase100[[#This Row],[01/12/25]]+(1-Planbase100[[#This Row],[01/12/25]])*'Plan 39'!CP73</f>
        <v>1</v>
      </c>
    </row>
    <row r="120" spans="2:139" hidden="1" outlineLevel="3" x14ac:dyDescent="0.3">
      <c r="B120" s="29"/>
      <c r="C120" s="30"/>
      <c r="D120" s="30"/>
      <c r="E120" s="52" t="s">
        <v>124</v>
      </c>
      <c r="F120" s="33">
        <v>15</v>
      </c>
      <c r="G120" s="35">
        <v>0.33333333333333331</v>
      </c>
      <c r="H120" s="53"/>
      <c r="I120" s="126">
        <v>0</v>
      </c>
      <c r="J120" s="127">
        <v>0</v>
      </c>
      <c r="K120" s="127">
        <v>0</v>
      </c>
      <c r="L120" s="127">
        <v>0</v>
      </c>
      <c r="M120" s="128">
        <v>0</v>
      </c>
      <c r="N120" s="128">
        <v>0</v>
      </c>
      <c r="O120" s="127">
        <v>0</v>
      </c>
      <c r="P120" s="127">
        <v>0</v>
      </c>
      <c r="Q120" s="127">
        <v>0</v>
      </c>
      <c r="R120" s="127">
        <v>0</v>
      </c>
      <c r="S120" s="127">
        <v>0</v>
      </c>
      <c r="T120" s="127">
        <v>0</v>
      </c>
      <c r="U120" s="127">
        <v>0</v>
      </c>
      <c r="V120" s="127">
        <v>0</v>
      </c>
      <c r="W120" s="127">
        <v>0</v>
      </c>
      <c r="X120" s="127">
        <v>0</v>
      </c>
      <c r="Y120" s="127">
        <v>0</v>
      </c>
      <c r="Z120" s="127">
        <v>0</v>
      </c>
      <c r="AA120" s="127">
        <v>0</v>
      </c>
      <c r="AB120" s="127">
        <v>1.4999999999999999E-2</v>
      </c>
      <c r="AC120" s="127">
        <v>4.4999999999999998E-2</v>
      </c>
      <c r="AD120" s="127">
        <v>7.4999999999999997E-2</v>
      </c>
      <c r="AE120" s="127">
        <v>0.12</v>
      </c>
      <c r="AF120" s="127">
        <v>0.12</v>
      </c>
      <c r="AG120" s="127">
        <v>0.155</v>
      </c>
      <c r="AH120" s="127">
        <v>0.155</v>
      </c>
      <c r="AI120" s="127">
        <v>0.155</v>
      </c>
      <c r="AJ120" s="127">
        <v>0.155</v>
      </c>
      <c r="AK120" s="127">
        <v>0.155</v>
      </c>
      <c r="AL120" s="127">
        <v>0.155</v>
      </c>
      <c r="AM120" s="127">
        <v>0.18156249999999999</v>
      </c>
      <c r="AN120" s="127">
        <v>0.1824375</v>
      </c>
      <c r="AO120" s="127">
        <v>0.19249999999999998</v>
      </c>
      <c r="AP120" s="127">
        <v>0.19249999999999998</v>
      </c>
      <c r="AQ120" s="127">
        <v>0.19249999999999998</v>
      </c>
      <c r="AR120" s="127">
        <v>0.19249999999999998</v>
      </c>
      <c r="AS120" s="127">
        <v>0.19249999999999998</v>
      </c>
      <c r="AT120" s="127">
        <v>0.19249999999999998</v>
      </c>
      <c r="AU120" s="127">
        <v>0.19249999999999998</v>
      </c>
      <c r="AV120" s="127">
        <v>0.19249999999999998</v>
      </c>
      <c r="AW120" s="127">
        <v>0.19249999999999998</v>
      </c>
      <c r="AX120" s="127">
        <v>0.19249999999999998</v>
      </c>
      <c r="AY120" s="127">
        <v>0.19249999999999998</v>
      </c>
      <c r="AZ120" s="127">
        <v>0.51534999999999997</v>
      </c>
      <c r="BA120" s="127">
        <v>0.51534999999999997</v>
      </c>
      <c r="BB120" s="127">
        <f>Planbase100[[#This Row],[05/05/25]]+(1-Planbase100[[#This Row],[05/05/25]])*'Plan 39'!I74</f>
        <v>0.51534999999999997</v>
      </c>
      <c r="BC120" s="127">
        <f>Planbase100[[#This Row],[05/05/25]]+(1-Planbase100[[#This Row],[05/05/25]])*'Plan 39'!J74</f>
        <v>0.51534999999999997</v>
      </c>
      <c r="BD120" s="127">
        <f>Planbase100[[#This Row],[05/05/25]]+(1-Planbase100[[#This Row],[05/05/25]])*'Plan 39'!K74</f>
        <v>0.51534999999999997</v>
      </c>
      <c r="BE120" s="127">
        <f>Planbase100[[#This Row],[05/05/25]]+(1-Planbase100[[#This Row],[05/05/25]])*'Plan 39'!L74</f>
        <v>0.51534999999999997</v>
      </c>
      <c r="BF120" s="127">
        <f>Planbase100[[#This Row],[05/05/25]]+(1-Planbase100[[#This Row],[05/05/25]])*'Plan 39'!M74</f>
        <v>0.51534999999999997</v>
      </c>
      <c r="BG120" s="127">
        <f>Planbase100[[#This Row],[05/05/25]]+(1-Planbase100[[#This Row],[05/05/25]])*'Plan 39'!N74</f>
        <v>0.51534999999999997</v>
      </c>
      <c r="BH120" s="127">
        <f>Planbase100[[#This Row],[05/05/25]]+(1-Planbase100[[#This Row],[05/05/25]])*'Plan 39'!O74</f>
        <v>0.51534999999999997</v>
      </c>
      <c r="BI120" s="127">
        <f>Planbase100[[#This Row],[05/05/25]]+(1-Planbase100[[#This Row],[05/05/25]])*'Plan 39'!P74</f>
        <v>0.51534999999999997</v>
      </c>
      <c r="BJ120" s="127">
        <f>Planbase100[[#This Row],[05/05/25]]+(1-Planbase100[[#This Row],[05/05/25]])*'Plan 39'!Q74</f>
        <v>0.51534999999999997</v>
      </c>
      <c r="BK120" s="127">
        <f>Planbase100[[#This Row],[05/05/25]]+(1-Planbase100[[#This Row],[05/05/25]])*'Plan 39'!R74</f>
        <v>0.51534999999999997</v>
      </c>
      <c r="BL120" s="127">
        <f>Planbase100[[#This Row],[05/05/25]]+(1-Planbase100[[#This Row],[05/05/25]])*'Plan 39'!S74</f>
        <v>0.51534999999999997</v>
      </c>
      <c r="BM120" s="127">
        <f>Planbase100[[#This Row],[05/05/25]]+(1-Planbase100[[#This Row],[05/05/25]])*'Plan 39'!T74</f>
        <v>0.51534999999999997</v>
      </c>
      <c r="BN120" s="127">
        <f>Planbase100[[#This Row],[05/05/25]]+(1-Planbase100[[#This Row],[05/05/25]])*'Plan 39'!U74</f>
        <v>0.51534999999999997</v>
      </c>
      <c r="BO120" s="127">
        <f>Planbase100[[#This Row],[05/05/25]]+(1-Planbase100[[#This Row],[05/05/25]])*'Plan 39'!V74</f>
        <v>0.57593125000000001</v>
      </c>
      <c r="BP120" s="127">
        <f>Planbase100[[#This Row],[05/05/25]]+(1-Planbase100[[#This Row],[05/05/25]])*'Plan 39'!W74</f>
        <v>0.63651250000000004</v>
      </c>
      <c r="BQ120" s="127">
        <f>Planbase100[[#This Row],[05/05/25]]+(1-Planbase100[[#This Row],[05/05/25]])*'Plan 39'!X74</f>
        <v>0.69709374999999996</v>
      </c>
      <c r="BR120" s="127">
        <f>Planbase100[[#This Row],[05/05/25]]+(1-Planbase100[[#This Row],[05/05/25]])*'Plan 39'!Y74</f>
        <v>0.75767499999999999</v>
      </c>
      <c r="BS120" s="127">
        <f>Planbase100[[#This Row],[05/05/25]]+(1-Planbase100[[#This Row],[05/05/25]])*'Plan 39'!Z74</f>
        <v>0.81825625000000002</v>
      </c>
      <c r="BT120" s="127">
        <f>Planbase100[[#This Row],[05/05/25]]+(1-Planbase100[[#This Row],[05/05/25]])*'Plan 39'!AA74</f>
        <v>0.87883749999999994</v>
      </c>
      <c r="BU120" s="127">
        <f>Planbase100[[#This Row],[05/05/25]]+(1-Planbase100[[#This Row],[05/05/25]])*'Plan 39'!AB74</f>
        <v>0.93941874999999997</v>
      </c>
      <c r="BV120" s="127">
        <f>Planbase100[[#This Row],[05/05/25]]+(1-Planbase100[[#This Row],[05/05/25]])*'Plan 39'!AC74</f>
        <v>1</v>
      </c>
      <c r="BW120" s="127">
        <f>Planbase100[[#This Row],[05/05/25]]+(1-Planbase100[[#This Row],[05/05/25]])*'Plan 39'!AD74</f>
        <v>1</v>
      </c>
      <c r="BX120" s="127">
        <f>Planbase100[[#This Row],[05/05/25]]+(1-Planbase100[[#This Row],[05/05/25]])*'Plan 39'!AE74</f>
        <v>1</v>
      </c>
      <c r="BY120" s="127">
        <f>Planbase100[[#This Row],[05/05/25]]+(1-Planbase100[[#This Row],[05/05/25]])*'Plan 39'!AF74</f>
        <v>1</v>
      </c>
      <c r="BZ120" s="127">
        <f>Planbase100[[#This Row],[05/05/25]]+(1-Planbase100[[#This Row],[05/05/25]])*'Plan 39'!AG74</f>
        <v>1</v>
      </c>
      <c r="CA120" s="127">
        <f>Planbase100[[#This Row],[05/05/25]]+(1-Planbase100[[#This Row],[05/05/25]])*'Plan 39'!AH74</f>
        <v>1</v>
      </c>
      <c r="CB120" s="127">
        <f>Planbase100[[#This Row],[05/05/25]]+(1-Planbase100[[#This Row],[05/05/25]])*'Plan 39'!AI74</f>
        <v>1</v>
      </c>
      <c r="CC120" s="127">
        <f>Planbase100[[#This Row],[05/05/25]]+(1-Planbase100[[#This Row],[05/05/25]])*'Plan 39'!AJ74</f>
        <v>1</v>
      </c>
      <c r="CD120" s="127">
        <f>Planbase100[[#This Row],[05/05/25]]+(1-Planbase100[[#This Row],[05/05/25]])*'Plan 39'!AK74</f>
        <v>1</v>
      </c>
      <c r="CE120" s="127">
        <f>Planbase100[[#This Row],[05/05/25]]+(1-Planbase100[[#This Row],[05/05/25]])*'Plan 39'!AL74</f>
        <v>1</v>
      </c>
      <c r="CF120" s="127">
        <f>Planbase100[[#This Row],[05/05/25]]+(1-Planbase100[[#This Row],[05/05/25]])*'Plan 39'!AM74</f>
        <v>1</v>
      </c>
      <c r="CG120" s="127">
        <f>Planbase100[[#This Row],[05/05/25]]+(1-Planbase100[[#This Row],[05/05/25]])*'Plan 39'!AN74</f>
        <v>1</v>
      </c>
      <c r="CH120" s="127">
        <f>Planbase100[[#This Row],[05/05/25]]+(1-Planbase100[[#This Row],[05/05/25]])*'Plan 39'!AO74</f>
        <v>1</v>
      </c>
      <c r="CI120" s="127">
        <f>Planbase100[[#This Row],[05/05/25]]+(1-Planbase100[[#This Row],[05/05/25]])*'Plan 39'!AP74</f>
        <v>1</v>
      </c>
      <c r="CJ120" s="127">
        <f>Planbase100[[#This Row],[05/05/25]]+(1-Planbase100[[#This Row],[05/05/25]])*'Plan 39'!AQ74</f>
        <v>1</v>
      </c>
      <c r="CK120" s="127">
        <f>Planbase100[[#This Row],[05/05/25]]+(1-Planbase100[[#This Row],[05/05/25]])*'Plan 39'!AR74</f>
        <v>1</v>
      </c>
      <c r="CL120" s="127">
        <f>Planbase100[[#This Row],[05/05/25]]+(1-Planbase100[[#This Row],[05/05/25]])*'Plan 39'!AS74</f>
        <v>1</v>
      </c>
      <c r="CM120" s="127">
        <f>Planbase100[[#This Row],[05/05/25]]+(1-Planbase100[[#This Row],[05/05/25]])*'Plan 39'!AT74</f>
        <v>1</v>
      </c>
      <c r="CN120" s="127">
        <f>Planbase100[[#This Row],[05/05/25]]+(1-Planbase100[[#This Row],[05/05/25]])*'Plan 39'!AU74</f>
        <v>1</v>
      </c>
      <c r="CO120" s="127">
        <f>Planbase100[[#This Row],[05/05/25]]+(1-Planbase100[[#This Row],[05/05/25]])*'Plan 39'!AV74</f>
        <v>1</v>
      </c>
      <c r="CP120" s="127">
        <f>Planbase100[[#This Row],[05/05/25]]+(1-Planbase100[[#This Row],[05/05/25]])*'Plan 39'!AW74</f>
        <v>1</v>
      </c>
      <c r="CQ120" s="127">
        <f>Planbase100[[#This Row],[05/05/25]]+(1-Planbase100[[#This Row],[05/05/25]])*'Plan 39'!AX74</f>
        <v>1</v>
      </c>
      <c r="CR120" s="127">
        <f>Planbase100[[#This Row],[05/05/25]]+(1-Planbase100[[#This Row],[05/05/25]])*'Plan 39'!AY74</f>
        <v>1</v>
      </c>
      <c r="CS120" s="127">
        <f>Planbase100[[#This Row],[05/05/25]]+(1-Planbase100[[#This Row],[05/05/25]])*'Plan 39'!AZ74</f>
        <v>1</v>
      </c>
      <c r="CT120" s="127">
        <f>Planbase100[[#This Row],[05/05/25]]+(1-Planbase100[[#This Row],[05/05/25]])*'Plan 39'!BA74</f>
        <v>1</v>
      </c>
      <c r="CU120" s="127">
        <f>Planbase100[[#This Row],[05/05/25]]+(1-Planbase100[[#This Row],[05/05/25]])*'Plan 39'!BB74</f>
        <v>1</v>
      </c>
      <c r="CV120" s="127">
        <f>Planbase100[[#This Row],[05/05/25]]+(1-Planbase100[[#This Row],[05/05/25]])*'Plan 39'!BC74</f>
        <v>1</v>
      </c>
      <c r="CW120" s="127">
        <f>Planbase100[[#This Row],[05/05/25]]+(1-Planbase100[[#This Row],[05/05/25]])*'Plan 39'!BD74</f>
        <v>1</v>
      </c>
      <c r="CX120" s="127">
        <f>Planbase100[[#This Row],[05/05/25]]+(1-Planbase100[[#This Row],[05/05/25]])*'Plan 39'!BE74</f>
        <v>1</v>
      </c>
      <c r="CY120" s="127">
        <f>Planbase100[[#This Row],[05/05/25]]+(1-Planbase100[[#This Row],[05/05/25]])*'Plan 39'!BF74</f>
        <v>1</v>
      </c>
      <c r="CZ120" s="127">
        <f>Planbase100[[#This Row],[05/05/25]]+(1-Planbase100[[#This Row],[05/05/25]])*'Plan 39'!BG74</f>
        <v>1</v>
      </c>
      <c r="DA120" s="127">
        <f>Planbase100[[#This Row],[05/05/25]]+(1-Planbase100[[#This Row],[05/05/25]])*'Plan 39'!BH74</f>
        <v>1</v>
      </c>
      <c r="DB120" s="127">
        <f>Planbase100[[#This Row],[05/05/25]]+(1-Planbase100[[#This Row],[05/05/25]])*'Plan 39'!BI74</f>
        <v>1</v>
      </c>
      <c r="DC120" s="127">
        <f>Planbase100[[#This Row],[05/05/25]]+(1-Planbase100[[#This Row],[05/05/25]])*'Plan 39'!BJ74</f>
        <v>1</v>
      </c>
      <c r="DD120" s="127">
        <f>Planbase100[[#This Row],[05/05/25]]+(1-Planbase100[[#This Row],[05/05/25]])*'Plan 39'!BK74</f>
        <v>1</v>
      </c>
      <c r="DE120" s="127">
        <f>Planbase100[[#This Row],[05/05/25]]+(1-Planbase100[[#This Row],[05/05/25]])*'Plan 39'!BL74</f>
        <v>1</v>
      </c>
      <c r="DF120" s="127">
        <f>Planbase100[[#This Row],[12/05/25]]+(1-Planbase100[[#This Row],[12/05/25]])*'Plan 39'!BM74</f>
        <v>1</v>
      </c>
      <c r="DG120" s="127">
        <f>Planbase100[[#This Row],[19/05/25]]+(1-Planbase100[[#This Row],[19/05/25]])*'Plan 39'!BN74</f>
        <v>1</v>
      </c>
      <c r="DH120" s="127">
        <f>Planbase100[[#This Row],[26/05/25]]+(1-Planbase100[[#This Row],[26/05/25]])*'Plan 39'!BO74</f>
        <v>1</v>
      </c>
      <c r="DI120" s="127">
        <f>Planbase100[[#This Row],[02/06/25]]+(1-Planbase100[[#This Row],[02/06/25]])*'Plan 39'!BP74</f>
        <v>1</v>
      </c>
      <c r="DJ120" s="127">
        <f>Planbase100[[#This Row],[09/06/25]]+(1-Planbase100[[#This Row],[09/06/25]])*'Plan 39'!BQ74</f>
        <v>1</v>
      </c>
      <c r="DK120" s="127">
        <f>Planbase100[[#This Row],[16/06/25]]+(1-Planbase100[[#This Row],[16/06/25]])*'Plan 39'!BR74</f>
        <v>1</v>
      </c>
      <c r="DL120" s="127">
        <f>Planbase100[[#This Row],[23/06/25]]+(1-Planbase100[[#This Row],[23/06/25]])*'Plan 39'!BS74</f>
        <v>1</v>
      </c>
      <c r="DM120" s="127">
        <f>Planbase100[[#This Row],[30/06/25]]+(1-Planbase100[[#This Row],[30/06/25]])*'Plan 39'!BT74</f>
        <v>1</v>
      </c>
      <c r="DN120" s="127">
        <f>Planbase100[[#This Row],[07/07/25]]+(1-Planbase100[[#This Row],[07/07/25]])*'Plan 39'!BU74</f>
        <v>1</v>
      </c>
      <c r="DO120" s="127">
        <f>Planbase100[[#This Row],[14/07/25]]+(1-Planbase100[[#This Row],[14/07/25]])*'Plan 39'!BV74</f>
        <v>1</v>
      </c>
      <c r="DP120" s="127">
        <f>Planbase100[[#This Row],[21/07/25]]+(1-Planbase100[[#This Row],[21/07/25]])*'Plan 39'!BW74</f>
        <v>1</v>
      </c>
      <c r="DQ120" s="127">
        <f>Planbase100[[#This Row],[28/07/25]]+(1-Planbase100[[#This Row],[28/07/25]])*'Plan 39'!BX74</f>
        <v>1</v>
      </c>
      <c r="DR120" s="127">
        <f>Planbase100[[#This Row],[04/08/25]]+(1-Planbase100[[#This Row],[04/08/25]])*'Plan 39'!BY74</f>
        <v>1</v>
      </c>
      <c r="DS120" s="127">
        <f>Planbase100[[#This Row],[11/08/25]]+(1-Planbase100[[#This Row],[11/08/25]])*'Plan 39'!BZ74</f>
        <v>1</v>
      </c>
      <c r="DT120" s="127">
        <f>Planbase100[[#This Row],[18/08/25]]+(1-Planbase100[[#This Row],[18/08/25]])*'Plan 39'!CA74</f>
        <v>1</v>
      </c>
      <c r="DU120" s="127">
        <f>Planbase100[[#This Row],[25/08/25]]+(1-Planbase100[[#This Row],[25/08/25]])*'Plan 39'!CB74</f>
        <v>1</v>
      </c>
      <c r="DV120" s="127">
        <f>Planbase100[[#This Row],[01/09/25]]+(1-Planbase100[[#This Row],[01/09/25]])*'Plan 39'!CC74</f>
        <v>1</v>
      </c>
      <c r="DW120" s="127">
        <f>Planbase100[[#This Row],[08/09/25]]+(1-Planbase100[[#This Row],[08/09/25]])*'Plan 39'!CD74</f>
        <v>1</v>
      </c>
      <c r="DX120" s="127">
        <f>Planbase100[[#This Row],[15/09/25]]+(1-Planbase100[[#This Row],[15/09/25]])*'Plan 39'!CE74</f>
        <v>1</v>
      </c>
      <c r="DY120" s="127">
        <f>Planbase100[[#This Row],[22/09/25]]+(1-Planbase100[[#This Row],[22/09/25]])*'Plan 39'!CF74</f>
        <v>1</v>
      </c>
      <c r="DZ120" s="127">
        <f>Planbase100[[#This Row],[29/09/25]]+(1-Planbase100[[#This Row],[29/09/25]])*'Plan 39'!CG74</f>
        <v>1</v>
      </c>
      <c r="EA120" s="127">
        <f>Planbase100[[#This Row],[06/10/25]]+(1-Planbase100[[#This Row],[06/10/25]])*'Plan 39'!CH74</f>
        <v>1</v>
      </c>
      <c r="EB120" s="127">
        <f>Planbase100[[#This Row],[13/10/25]]+(1-Planbase100[[#This Row],[13/10/25]])*'Plan 39'!CI74</f>
        <v>1</v>
      </c>
      <c r="EC120" s="127">
        <f>Planbase100[[#This Row],[20/10/25]]+(1-Planbase100[[#This Row],[20/10/25]])*'Plan 39'!CJ74</f>
        <v>1</v>
      </c>
      <c r="ED120" s="127">
        <f>Planbase100[[#This Row],[27/10/25]]+(1-Planbase100[[#This Row],[27/10/25]])*'Plan 39'!CK74</f>
        <v>1</v>
      </c>
      <c r="EE120" s="127">
        <f>Planbase100[[#This Row],[03/11/25]]+(1-Planbase100[[#This Row],[03/11/25]])*'Plan 39'!CL74</f>
        <v>1</v>
      </c>
      <c r="EF120" s="127">
        <f>Planbase100[[#This Row],[10/11/25]]+(1-Planbase100[[#This Row],[10/11/25]])*'Plan 39'!CM74</f>
        <v>1</v>
      </c>
      <c r="EG120" s="127">
        <f>Planbase100[[#This Row],[17/11/25]]+(1-Planbase100[[#This Row],[17/11/25]])*'Plan 39'!CN74</f>
        <v>1</v>
      </c>
      <c r="EH120" s="127">
        <f>Planbase100[[#This Row],[24/11/25]]+(1-Planbase100[[#This Row],[24/11/25]])*'Plan 39'!CO74</f>
        <v>1</v>
      </c>
      <c r="EI120" s="127">
        <f>Planbase100[[#This Row],[01/12/25]]+(1-Planbase100[[#This Row],[01/12/25]])*'Plan 39'!CP74</f>
        <v>1</v>
      </c>
    </row>
    <row r="121" spans="2:139" hidden="1" outlineLevel="3" x14ac:dyDescent="0.3">
      <c r="B121" s="29"/>
      <c r="C121" s="30"/>
      <c r="D121" s="30"/>
      <c r="E121" s="52" t="s">
        <v>125</v>
      </c>
      <c r="F121" s="33">
        <v>15</v>
      </c>
      <c r="G121" s="35">
        <v>0.33333333333333331</v>
      </c>
      <c r="H121" s="53"/>
      <c r="I121" s="126">
        <v>0</v>
      </c>
      <c r="J121" s="127">
        <v>0</v>
      </c>
      <c r="K121" s="127">
        <v>0</v>
      </c>
      <c r="L121" s="127">
        <v>0</v>
      </c>
      <c r="M121" s="128">
        <v>0</v>
      </c>
      <c r="N121" s="128">
        <v>0</v>
      </c>
      <c r="O121" s="127">
        <v>0</v>
      </c>
      <c r="P121" s="127">
        <v>0</v>
      </c>
      <c r="Q121" s="127">
        <v>0</v>
      </c>
      <c r="R121" s="127">
        <v>0</v>
      </c>
      <c r="S121" s="127">
        <v>0</v>
      </c>
      <c r="T121" s="127">
        <v>0</v>
      </c>
      <c r="U121" s="127">
        <v>0</v>
      </c>
      <c r="V121" s="127">
        <v>0</v>
      </c>
      <c r="W121" s="127">
        <v>0</v>
      </c>
      <c r="X121" s="127">
        <v>0</v>
      </c>
      <c r="Y121" s="127">
        <v>0</v>
      </c>
      <c r="Z121" s="127">
        <v>0</v>
      </c>
      <c r="AA121" s="127">
        <v>0</v>
      </c>
      <c r="AB121" s="127">
        <v>0</v>
      </c>
      <c r="AC121" s="127">
        <v>0</v>
      </c>
      <c r="AD121" s="127">
        <v>3.7500000000000006E-4</v>
      </c>
      <c r="AE121" s="127">
        <v>6.8250000000000005E-2</v>
      </c>
      <c r="AF121" s="127">
        <v>7.4999999999999997E-2</v>
      </c>
      <c r="AG121" s="127">
        <v>0.15</v>
      </c>
      <c r="AH121" s="127">
        <v>0.15</v>
      </c>
      <c r="AI121" s="127">
        <v>0.15</v>
      </c>
      <c r="AJ121" s="127">
        <v>0.15</v>
      </c>
      <c r="AK121" s="127">
        <v>0.15</v>
      </c>
      <c r="AL121" s="127">
        <v>0.155</v>
      </c>
      <c r="AM121" s="127">
        <v>0.1825</v>
      </c>
      <c r="AN121" s="127">
        <v>0.18375</v>
      </c>
      <c r="AO121" s="127">
        <v>0.18375</v>
      </c>
      <c r="AP121" s="127">
        <v>0.18375</v>
      </c>
      <c r="AQ121" s="127">
        <v>0.18375</v>
      </c>
      <c r="AR121" s="127">
        <v>0.18375</v>
      </c>
      <c r="AS121" s="127">
        <v>0.18375</v>
      </c>
      <c r="AT121" s="127">
        <v>0.18375</v>
      </c>
      <c r="AU121" s="127">
        <v>0.18375</v>
      </c>
      <c r="AV121" s="127">
        <v>0.18375</v>
      </c>
      <c r="AW121" s="127">
        <v>0.18375</v>
      </c>
      <c r="AX121" s="127">
        <v>0.18375</v>
      </c>
      <c r="AY121" s="127">
        <v>0.18375</v>
      </c>
      <c r="AZ121" s="127">
        <v>0.65325</v>
      </c>
      <c r="BA121" s="127">
        <v>0.65325</v>
      </c>
      <c r="BB121" s="127">
        <f>Planbase100[[#This Row],[05/05/25]]+(1-Planbase100[[#This Row],[05/05/25]])*'Plan 39'!I75</f>
        <v>0.65325</v>
      </c>
      <c r="BC121" s="127">
        <f>Planbase100[[#This Row],[05/05/25]]+(1-Planbase100[[#This Row],[05/05/25]])*'Plan 39'!J75</f>
        <v>0.65325</v>
      </c>
      <c r="BD121" s="127">
        <f>Planbase100[[#This Row],[05/05/25]]+(1-Planbase100[[#This Row],[05/05/25]])*'Plan 39'!K75</f>
        <v>0.65325</v>
      </c>
      <c r="BE121" s="127">
        <f>Planbase100[[#This Row],[05/05/25]]+(1-Planbase100[[#This Row],[05/05/25]])*'Plan 39'!L75</f>
        <v>0.65325</v>
      </c>
      <c r="BF121" s="127">
        <f>Planbase100[[#This Row],[05/05/25]]+(1-Planbase100[[#This Row],[05/05/25]])*'Plan 39'!M75</f>
        <v>0.65325</v>
      </c>
      <c r="BG121" s="127">
        <f>Planbase100[[#This Row],[05/05/25]]+(1-Planbase100[[#This Row],[05/05/25]])*'Plan 39'!N75</f>
        <v>0.65325</v>
      </c>
      <c r="BH121" s="127">
        <f>Planbase100[[#This Row],[05/05/25]]+(1-Planbase100[[#This Row],[05/05/25]])*'Plan 39'!O75</f>
        <v>0.65325</v>
      </c>
      <c r="BI121" s="127">
        <f>Planbase100[[#This Row],[05/05/25]]+(1-Planbase100[[#This Row],[05/05/25]])*'Plan 39'!P75</f>
        <v>0.65325</v>
      </c>
      <c r="BJ121" s="127">
        <f>Planbase100[[#This Row],[05/05/25]]+(1-Planbase100[[#This Row],[05/05/25]])*'Plan 39'!Q75</f>
        <v>0.65325</v>
      </c>
      <c r="BK121" s="127">
        <f>Planbase100[[#This Row],[05/05/25]]+(1-Planbase100[[#This Row],[05/05/25]])*'Plan 39'!R75</f>
        <v>0.65325</v>
      </c>
      <c r="BL121" s="127">
        <f>Planbase100[[#This Row],[05/05/25]]+(1-Planbase100[[#This Row],[05/05/25]])*'Plan 39'!S75</f>
        <v>0.65325</v>
      </c>
      <c r="BM121" s="127">
        <f>Planbase100[[#This Row],[05/05/25]]+(1-Planbase100[[#This Row],[05/05/25]])*'Plan 39'!T75</f>
        <v>0.65325</v>
      </c>
      <c r="BN121" s="127">
        <f>Planbase100[[#This Row],[05/05/25]]+(1-Planbase100[[#This Row],[05/05/25]])*'Plan 39'!U75</f>
        <v>0.65325</v>
      </c>
      <c r="BO121" s="127">
        <f>Planbase100[[#This Row],[05/05/25]]+(1-Planbase100[[#This Row],[05/05/25]])*'Plan 39'!V75</f>
        <v>0.65325</v>
      </c>
      <c r="BP121" s="127">
        <f>Planbase100[[#This Row],[05/05/25]]+(1-Planbase100[[#This Row],[05/05/25]])*'Plan 39'!W75</f>
        <v>0.65325</v>
      </c>
      <c r="BQ121" s="127">
        <f>Planbase100[[#This Row],[05/05/25]]+(1-Planbase100[[#This Row],[05/05/25]])*'Plan 39'!X75</f>
        <v>0.65325</v>
      </c>
      <c r="BR121" s="127">
        <f>Planbase100[[#This Row],[05/05/25]]+(1-Planbase100[[#This Row],[05/05/25]])*'Plan 39'!Y75</f>
        <v>0.76871774999999998</v>
      </c>
      <c r="BS121" s="127">
        <f>Planbase100[[#This Row],[05/05/25]]+(1-Planbase100[[#This Row],[05/05/25]])*'Plan 39'!Z75</f>
        <v>0.88418550000000007</v>
      </c>
      <c r="BT121" s="127">
        <f>Planbase100[[#This Row],[05/05/25]]+(1-Planbase100[[#This Row],[05/05/25]])*'Plan 39'!AA75</f>
        <v>1</v>
      </c>
      <c r="BU121" s="127">
        <f>Planbase100[[#This Row],[05/05/25]]+(1-Planbase100[[#This Row],[05/05/25]])*'Plan 39'!AB75</f>
        <v>1</v>
      </c>
      <c r="BV121" s="127">
        <f>Planbase100[[#This Row],[05/05/25]]+(1-Planbase100[[#This Row],[05/05/25]])*'Plan 39'!AC75</f>
        <v>1</v>
      </c>
      <c r="BW121" s="127">
        <f>Planbase100[[#This Row],[05/05/25]]+(1-Planbase100[[#This Row],[05/05/25]])*'Plan 39'!AD75</f>
        <v>1</v>
      </c>
      <c r="BX121" s="127">
        <f>Planbase100[[#This Row],[05/05/25]]+(1-Planbase100[[#This Row],[05/05/25]])*'Plan 39'!AE75</f>
        <v>1</v>
      </c>
      <c r="BY121" s="127">
        <f>Planbase100[[#This Row],[05/05/25]]+(1-Planbase100[[#This Row],[05/05/25]])*'Plan 39'!AF75</f>
        <v>1</v>
      </c>
      <c r="BZ121" s="127">
        <f>Planbase100[[#This Row],[05/05/25]]+(1-Planbase100[[#This Row],[05/05/25]])*'Plan 39'!AG75</f>
        <v>1</v>
      </c>
      <c r="CA121" s="127">
        <f>Planbase100[[#This Row],[05/05/25]]+(1-Planbase100[[#This Row],[05/05/25]])*'Plan 39'!AH75</f>
        <v>1</v>
      </c>
      <c r="CB121" s="127">
        <f>Planbase100[[#This Row],[05/05/25]]+(1-Planbase100[[#This Row],[05/05/25]])*'Plan 39'!AI75</f>
        <v>1</v>
      </c>
      <c r="CC121" s="127">
        <f>Planbase100[[#This Row],[05/05/25]]+(1-Planbase100[[#This Row],[05/05/25]])*'Plan 39'!AJ75</f>
        <v>1</v>
      </c>
      <c r="CD121" s="127">
        <f>Planbase100[[#This Row],[05/05/25]]+(1-Planbase100[[#This Row],[05/05/25]])*'Plan 39'!AK75</f>
        <v>1</v>
      </c>
      <c r="CE121" s="127">
        <f>Planbase100[[#This Row],[05/05/25]]+(1-Planbase100[[#This Row],[05/05/25]])*'Plan 39'!AL75</f>
        <v>1</v>
      </c>
      <c r="CF121" s="127">
        <f>Planbase100[[#This Row],[05/05/25]]+(1-Planbase100[[#This Row],[05/05/25]])*'Plan 39'!AM75</f>
        <v>1</v>
      </c>
      <c r="CG121" s="127">
        <f>Planbase100[[#This Row],[05/05/25]]+(1-Planbase100[[#This Row],[05/05/25]])*'Plan 39'!AN75</f>
        <v>1</v>
      </c>
      <c r="CH121" s="127">
        <f>Planbase100[[#This Row],[05/05/25]]+(1-Planbase100[[#This Row],[05/05/25]])*'Plan 39'!AO75</f>
        <v>1</v>
      </c>
      <c r="CI121" s="127">
        <f>Planbase100[[#This Row],[05/05/25]]+(1-Planbase100[[#This Row],[05/05/25]])*'Plan 39'!AP75</f>
        <v>1</v>
      </c>
      <c r="CJ121" s="127">
        <f>Planbase100[[#This Row],[05/05/25]]+(1-Planbase100[[#This Row],[05/05/25]])*'Plan 39'!AQ75</f>
        <v>1</v>
      </c>
      <c r="CK121" s="127">
        <f>Planbase100[[#This Row],[05/05/25]]+(1-Planbase100[[#This Row],[05/05/25]])*'Plan 39'!AR75</f>
        <v>1</v>
      </c>
      <c r="CL121" s="127">
        <f>Planbase100[[#This Row],[05/05/25]]+(1-Planbase100[[#This Row],[05/05/25]])*'Plan 39'!AS75</f>
        <v>1</v>
      </c>
      <c r="CM121" s="127">
        <f>Planbase100[[#This Row],[05/05/25]]+(1-Planbase100[[#This Row],[05/05/25]])*'Plan 39'!AT75</f>
        <v>1</v>
      </c>
      <c r="CN121" s="127">
        <f>Planbase100[[#This Row],[05/05/25]]+(1-Planbase100[[#This Row],[05/05/25]])*'Plan 39'!AU75</f>
        <v>1</v>
      </c>
      <c r="CO121" s="127">
        <f>Planbase100[[#This Row],[05/05/25]]+(1-Planbase100[[#This Row],[05/05/25]])*'Plan 39'!AV75</f>
        <v>1</v>
      </c>
      <c r="CP121" s="127">
        <f>Planbase100[[#This Row],[05/05/25]]+(1-Planbase100[[#This Row],[05/05/25]])*'Plan 39'!AW75</f>
        <v>1</v>
      </c>
      <c r="CQ121" s="127">
        <f>Planbase100[[#This Row],[05/05/25]]+(1-Planbase100[[#This Row],[05/05/25]])*'Plan 39'!AX75</f>
        <v>1</v>
      </c>
      <c r="CR121" s="127">
        <f>Planbase100[[#This Row],[05/05/25]]+(1-Planbase100[[#This Row],[05/05/25]])*'Plan 39'!AY75</f>
        <v>1</v>
      </c>
      <c r="CS121" s="127">
        <f>Planbase100[[#This Row],[05/05/25]]+(1-Planbase100[[#This Row],[05/05/25]])*'Plan 39'!AZ75</f>
        <v>1</v>
      </c>
      <c r="CT121" s="127">
        <f>Planbase100[[#This Row],[05/05/25]]+(1-Planbase100[[#This Row],[05/05/25]])*'Plan 39'!BA75</f>
        <v>1</v>
      </c>
      <c r="CU121" s="127">
        <f>Planbase100[[#This Row],[05/05/25]]+(1-Planbase100[[#This Row],[05/05/25]])*'Plan 39'!BB75</f>
        <v>1</v>
      </c>
      <c r="CV121" s="127">
        <f>Planbase100[[#This Row],[05/05/25]]+(1-Planbase100[[#This Row],[05/05/25]])*'Plan 39'!BC75</f>
        <v>1</v>
      </c>
      <c r="CW121" s="127">
        <f>Planbase100[[#This Row],[05/05/25]]+(1-Planbase100[[#This Row],[05/05/25]])*'Plan 39'!BD75</f>
        <v>1</v>
      </c>
      <c r="CX121" s="127">
        <f>Planbase100[[#This Row],[05/05/25]]+(1-Planbase100[[#This Row],[05/05/25]])*'Plan 39'!BE75</f>
        <v>1</v>
      </c>
      <c r="CY121" s="127">
        <f>Planbase100[[#This Row],[05/05/25]]+(1-Planbase100[[#This Row],[05/05/25]])*'Plan 39'!BF75</f>
        <v>1</v>
      </c>
      <c r="CZ121" s="127">
        <f>Planbase100[[#This Row],[05/05/25]]+(1-Planbase100[[#This Row],[05/05/25]])*'Plan 39'!BG75</f>
        <v>1</v>
      </c>
      <c r="DA121" s="127">
        <f>Planbase100[[#This Row],[05/05/25]]+(1-Planbase100[[#This Row],[05/05/25]])*'Plan 39'!BH75</f>
        <v>1</v>
      </c>
      <c r="DB121" s="127">
        <f>Planbase100[[#This Row],[05/05/25]]+(1-Planbase100[[#This Row],[05/05/25]])*'Plan 39'!BI75</f>
        <v>1</v>
      </c>
      <c r="DC121" s="127">
        <f>Planbase100[[#This Row],[05/05/25]]+(1-Planbase100[[#This Row],[05/05/25]])*'Plan 39'!BJ75</f>
        <v>1</v>
      </c>
      <c r="DD121" s="127">
        <f>Planbase100[[#This Row],[05/05/25]]+(1-Planbase100[[#This Row],[05/05/25]])*'Plan 39'!BK75</f>
        <v>1</v>
      </c>
      <c r="DE121" s="127">
        <f>Planbase100[[#This Row],[05/05/25]]+(1-Planbase100[[#This Row],[05/05/25]])*'Plan 39'!BL75</f>
        <v>1</v>
      </c>
      <c r="DF121" s="127">
        <f>Planbase100[[#This Row],[12/05/25]]+(1-Planbase100[[#This Row],[12/05/25]])*'Plan 39'!BM75</f>
        <v>1</v>
      </c>
      <c r="DG121" s="127">
        <f>Planbase100[[#This Row],[19/05/25]]+(1-Planbase100[[#This Row],[19/05/25]])*'Plan 39'!BN75</f>
        <v>1</v>
      </c>
      <c r="DH121" s="127">
        <f>Planbase100[[#This Row],[26/05/25]]+(1-Planbase100[[#This Row],[26/05/25]])*'Plan 39'!BO75</f>
        <v>1</v>
      </c>
      <c r="DI121" s="127">
        <f>Planbase100[[#This Row],[02/06/25]]+(1-Planbase100[[#This Row],[02/06/25]])*'Plan 39'!BP75</f>
        <v>1</v>
      </c>
      <c r="DJ121" s="127">
        <f>Planbase100[[#This Row],[09/06/25]]+(1-Planbase100[[#This Row],[09/06/25]])*'Plan 39'!BQ75</f>
        <v>1</v>
      </c>
      <c r="DK121" s="127">
        <f>Planbase100[[#This Row],[16/06/25]]+(1-Planbase100[[#This Row],[16/06/25]])*'Plan 39'!BR75</f>
        <v>1</v>
      </c>
      <c r="DL121" s="127">
        <f>Planbase100[[#This Row],[23/06/25]]+(1-Planbase100[[#This Row],[23/06/25]])*'Plan 39'!BS75</f>
        <v>1</v>
      </c>
      <c r="DM121" s="127">
        <f>Planbase100[[#This Row],[30/06/25]]+(1-Planbase100[[#This Row],[30/06/25]])*'Plan 39'!BT75</f>
        <v>1</v>
      </c>
      <c r="DN121" s="127">
        <f>Planbase100[[#This Row],[07/07/25]]+(1-Planbase100[[#This Row],[07/07/25]])*'Plan 39'!BU75</f>
        <v>1</v>
      </c>
      <c r="DO121" s="127">
        <f>Planbase100[[#This Row],[14/07/25]]+(1-Planbase100[[#This Row],[14/07/25]])*'Plan 39'!BV75</f>
        <v>1</v>
      </c>
      <c r="DP121" s="127">
        <f>Planbase100[[#This Row],[21/07/25]]+(1-Planbase100[[#This Row],[21/07/25]])*'Plan 39'!BW75</f>
        <v>1</v>
      </c>
      <c r="DQ121" s="127">
        <f>Planbase100[[#This Row],[28/07/25]]+(1-Planbase100[[#This Row],[28/07/25]])*'Plan 39'!BX75</f>
        <v>1</v>
      </c>
      <c r="DR121" s="127">
        <f>Planbase100[[#This Row],[04/08/25]]+(1-Planbase100[[#This Row],[04/08/25]])*'Plan 39'!BY75</f>
        <v>1</v>
      </c>
      <c r="DS121" s="127">
        <f>Planbase100[[#This Row],[11/08/25]]+(1-Planbase100[[#This Row],[11/08/25]])*'Plan 39'!BZ75</f>
        <v>1</v>
      </c>
      <c r="DT121" s="127">
        <f>Planbase100[[#This Row],[18/08/25]]+(1-Planbase100[[#This Row],[18/08/25]])*'Plan 39'!CA75</f>
        <v>1</v>
      </c>
      <c r="DU121" s="127">
        <f>Planbase100[[#This Row],[25/08/25]]+(1-Planbase100[[#This Row],[25/08/25]])*'Plan 39'!CB75</f>
        <v>1</v>
      </c>
      <c r="DV121" s="127">
        <f>Planbase100[[#This Row],[01/09/25]]+(1-Planbase100[[#This Row],[01/09/25]])*'Plan 39'!CC75</f>
        <v>1</v>
      </c>
      <c r="DW121" s="127">
        <f>Planbase100[[#This Row],[08/09/25]]+(1-Planbase100[[#This Row],[08/09/25]])*'Plan 39'!CD75</f>
        <v>1</v>
      </c>
      <c r="DX121" s="127">
        <f>Planbase100[[#This Row],[15/09/25]]+(1-Planbase100[[#This Row],[15/09/25]])*'Plan 39'!CE75</f>
        <v>1</v>
      </c>
      <c r="DY121" s="127">
        <f>Planbase100[[#This Row],[22/09/25]]+(1-Planbase100[[#This Row],[22/09/25]])*'Plan 39'!CF75</f>
        <v>1</v>
      </c>
      <c r="DZ121" s="127">
        <f>Planbase100[[#This Row],[29/09/25]]+(1-Planbase100[[#This Row],[29/09/25]])*'Plan 39'!CG75</f>
        <v>1</v>
      </c>
      <c r="EA121" s="127">
        <f>Planbase100[[#This Row],[06/10/25]]+(1-Planbase100[[#This Row],[06/10/25]])*'Plan 39'!CH75</f>
        <v>1</v>
      </c>
      <c r="EB121" s="127">
        <f>Planbase100[[#This Row],[13/10/25]]+(1-Planbase100[[#This Row],[13/10/25]])*'Plan 39'!CI75</f>
        <v>1</v>
      </c>
      <c r="EC121" s="127">
        <f>Planbase100[[#This Row],[20/10/25]]+(1-Planbase100[[#This Row],[20/10/25]])*'Plan 39'!CJ75</f>
        <v>1</v>
      </c>
      <c r="ED121" s="127">
        <f>Planbase100[[#This Row],[27/10/25]]+(1-Planbase100[[#This Row],[27/10/25]])*'Plan 39'!CK75</f>
        <v>1</v>
      </c>
      <c r="EE121" s="127">
        <f>Planbase100[[#This Row],[03/11/25]]+(1-Planbase100[[#This Row],[03/11/25]])*'Plan 39'!CL75</f>
        <v>1</v>
      </c>
      <c r="EF121" s="127">
        <f>Planbase100[[#This Row],[10/11/25]]+(1-Planbase100[[#This Row],[10/11/25]])*'Plan 39'!CM75</f>
        <v>1</v>
      </c>
      <c r="EG121" s="127">
        <f>Planbase100[[#This Row],[17/11/25]]+(1-Planbase100[[#This Row],[17/11/25]])*'Plan 39'!CN75</f>
        <v>1</v>
      </c>
      <c r="EH121" s="127">
        <f>Planbase100[[#This Row],[24/11/25]]+(1-Planbase100[[#This Row],[24/11/25]])*'Plan 39'!CO75</f>
        <v>1</v>
      </c>
      <c r="EI121" s="127">
        <f>Planbase100[[#This Row],[01/12/25]]+(1-Planbase100[[#This Row],[01/12/25]])*'Plan 39'!CP75</f>
        <v>1</v>
      </c>
    </row>
    <row r="122" spans="2:139" ht="15" hidden="1" outlineLevel="2" collapsed="1" x14ac:dyDescent="0.3">
      <c r="B122" s="22"/>
      <c r="C122" s="23"/>
      <c r="D122" s="23" t="s">
        <v>126</v>
      </c>
      <c r="E122" s="50"/>
      <c r="F122" s="26">
        <f>+SUM(F123:F128)</f>
        <v>30</v>
      </c>
      <c r="G122" s="28">
        <v>6.9648115450815076E-2</v>
      </c>
      <c r="H122" s="51"/>
      <c r="I122" s="125">
        <f>+SUMPRODUCT($G$123:$G$128,I123:I128)</f>
        <v>0</v>
      </c>
      <c r="J122" s="28">
        <f>+SUMPRODUCT($G$123:$G$128,J123:J128)</f>
        <v>0</v>
      </c>
      <c r="K122" s="28">
        <f t="shared" ref="K122:BB122" si="363">+SUMPRODUCT($G$123:$G$128,K123:K128)</f>
        <v>0</v>
      </c>
      <c r="L122" s="28">
        <f t="shared" si="363"/>
        <v>0</v>
      </c>
      <c r="M122" s="64">
        <f t="shared" si="363"/>
        <v>0</v>
      </c>
      <c r="N122" s="64">
        <f t="shared" si="363"/>
        <v>0</v>
      </c>
      <c r="O122" s="28">
        <f t="shared" si="363"/>
        <v>0</v>
      </c>
      <c r="P122" s="28">
        <f t="shared" si="363"/>
        <v>0</v>
      </c>
      <c r="Q122" s="28">
        <f t="shared" si="363"/>
        <v>0</v>
      </c>
      <c r="R122" s="28">
        <f t="shared" si="363"/>
        <v>0</v>
      </c>
      <c r="S122" s="28">
        <f t="shared" si="363"/>
        <v>0</v>
      </c>
      <c r="T122" s="28">
        <f t="shared" si="363"/>
        <v>0</v>
      </c>
      <c r="U122" s="28">
        <f t="shared" si="363"/>
        <v>0</v>
      </c>
      <c r="V122" s="28">
        <f t="shared" si="363"/>
        <v>0</v>
      </c>
      <c r="W122" s="28">
        <f t="shared" si="363"/>
        <v>0</v>
      </c>
      <c r="X122" s="28">
        <f t="shared" si="363"/>
        <v>0</v>
      </c>
      <c r="Y122" s="28">
        <f t="shared" si="363"/>
        <v>0</v>
      </c>
      <c r="Z122" s="28">
        <f t="shared" si="363"/>
        <v>0</v>
      </c>
      <c r="AA122" s="28">
        <f t="shared" si="363"/>
        <v>0</v>
      </c>
      <c r="AB122" s="28">
        <f t="shared" si="363"/>
        <v>0</v>
      </c>
      <c r="AC122" s="28">
        <f t="shared" si="363"/>
        <v>9.5555555555555588E-2</v>
      </c>
      <c r="AD122" s="28">
        <f t="shared" si="363"/>
        <v>0.18666666666666673</v>
      </c>
      <c r="AE122" s="28">
        <f t="shared" si="363"/>
        <v>0.21844444444444452</v>
      </c>
      <c r="AF122" s="28">
        <f t="shared" si="363"/>
        <v>0.28066666666666673</v>
      </c>
      <c r="AG122" s="28">
        <f t="shared" si="363"/>
        <v>0.28066666666666673</v>
      </c>
      <c r="AH122" s="28">
        <f t="shared" si="363"/>
        <v>0.28066666666666673</v>
      </c>
      <c r="AI122" s="28">
        <f>+SUMPRODUCT($G$123:$G$128,AI123:AI128)</f>
        <v>0.28066666666666673</v>
      </c>
      <c r="AJ122" s="28">
        <f>+SUMPRODUCT($G$123:$G$128,AJ123:AJ128)</f>
        <v>0.28066666666666673</v>
      </c>
      <c r="AK122" s="28">
        <f t="shared" si="363"/>
        <v>0.28066666666666673</v>
      </c>
      <c r="AL122" s="28">
        <f t="shared" si="363"/>
        <v>0.28400000000000009</v>
      </c>
      <c r="AM122" s="28">
        <f t="shared" si="363"/>
        <v>0.28733333333333344</v>
      </c>
      <c r="AN122" s="28">
        <f t="shared" si="363"/>
        <v>0.40066666666666673</v>
      </c>
      <c r="AO122" s="28">
        <f t="shared" si="363"/>
        <v>0.43066666666666675</v>
      </c>
      <c r="AP122" s="28">
        <f t="shared" si="363"/>
        <v>0.67000000000000015</v>
      </c>
      <c r="AQ122" s="28">
        <f t="shared" si="363"/>
        <v>0.68333333333333357</v>
      </c>
      <c r="AR122" s="28">
        <f t="shared" si="363"/>
        <v>0.68666666666666698</v>
      </c>
      <c r="AS122" s="28">
        <f t="shared" si="363"/>
        <v>0.71000000000000019</v>
      </c>
      <c r="AT122" s="28">
        <f t="shared" si="363"/>
        <v>0.7166666666666669</v>
      </c>
      <c r="AU122" s="28">
        <f t="shared" si="363"/>
        <v>0.7166666666666669</v>
      </c>
      <c r="AV122" s="28">
        <f t="shared" si="363"/>
        <v>0.78888888888888908</v>
      </c>
      <c r="AW122" s="28">
        <f t="shared" si="363"/>
        <v>0.78888888888888908</v>
      </c>
      <c r="AX122" s="28">
        <f t="shared" si="363"/>
        <v>0.78888888888888908</v>
      </c>
      <c r="AY122" s="28">
        <f t="shared" si="363"/>
        <v>0.78888888888888908</v>
      </c>
      <c r="AZ122" s="28">
        <f t="shared" si="363"/>
        <v>0.78888888888888908</v>
      </c>
      <c r="BA122" s="28">
        <f t="shared" si="363"/>
        <v>0.78888888888888908</v>
      </c>
      <c r="BB122" s="28">
        <f t="shared" si="363"/>
        <v>0.78888888888888908</v>
      </c>
      <c r="BC122" s="28">
        <f t="shared" ref="BC122:CE122" si="364">+SUMPRODUCT($G$123:$G$128,BC123:BC128)</f>
        <v>0.78888888888888908</v>
      </c>
      <c r="BD122" s="28">
        <f t="shared" si="364"/>
        <v>0.78888888888888908</v>
      </c>
      <c r="BE122" s="28">
        <f t="shared" si="364"/>
        <v>0.78888888888888908</v>
      </c>
      <c r="BF122" s="28">
        <f t="shared" si="364"/>
        <v>0.78888888888888908</v>
      </c>
      <c r="BG122" s="28">
        <f t="shared" si="364"/>
        <v>0.78888888888888908</v>
      </c>
      <c r="BH122" s="28">
        <f t="shared" si="364"/>
        <v>0.78888888888888908</v>
      </c>
      <c r="BI122" s="28">
        <f t="shared" si="364"/>
        <v>0.78888888888888908</v>
      </c>
      <c r="BJ122" s="28">
        <f t="shared" si="364"/>
        <v>0.78888888888888908</v>
      </c>
      <c r="BK122" s="28">
        <f t="shared" si="364"/>
        <v>0.78888888888888908</v>
      </c>
      <c r="BL122" s="28">
        <f t="shared" si="364"/>
        <v>0.78888888888888908</v>
      </c>
      <c r="BM122" s="28">
        <f t="shared" si="364"/>
        <v>0.78888888888888908</v>
      </c>
      <c r="BN122" s="28">
        <f t="shared" si="364"/>
        <v>0.78888888888888908</v>
      </c>
      <c r="BO122" s="28">
        <f t="shared" si="364"/>
        <v>0.78888888888888908</v>
      </c>
      <c r="BP122" s="28">
        <f t="shared" si="364"/>
        <v>0.78888888888888908</v>
      </c>
      <c r="BQ122" s="28">
        <f t="shared" si="364"/>
        <v>0.78888888888888908</v>
      </c>
      <c r="BR122" s="28">
        <f t="shared" si="364"/>
        <v>0.78888888888888908</v>
      </c>
      <c r="BS122" s="28">
        <f t="shared" si="364"/>
        <v>0.78888888888888908</v>
      </c>
      <c r="BT122" s="28">
        <f t="shared" si="364"/>
        <v>0.78888888888888908</v>
      </c>
      <c r="BU122" s="28">
        <f t="shared" si="364"/>
        <v>0.78888888888888908</v>
      </c>
      <c r="BV122" s="28">
        <f t="shared" si="364"/>
        <v>0.78888888888888908</v>
      </c>
      <c r="BW122" s="28">
        <f t="shared" si="364"/>
        <v>0.78888888888888908</v>
      </c>
      <c r="BX122" s="28">
        <f t="shared" si="364"/>
        <v>0.78888888888888908</v>
      </c>
      <c r="BY122" s="28">
        <f t="shared" si="364"/>
        <v>0.78888888888888908</v>
      </c>
      <c r="BZ122" s="28">
        <f t="shared" si="364"/>
        <v>0.78888888888888908</v>
      </c>
      <c r="CA122" s="28">
        <f t="shared" si="364"/>
        <v>0.81527777777777799</v>
      </c>
      <c r="CB122" s="28">
        <f t="shared" si="364"/>
        <v>0.8416666666666669</v>
      </c>
      <c r="CC122" s="28">
        <f t="shared" si="364"/>
        <v>0.86805555555555569</v>
      </c>
      <c r="CD122" s="28">
        <f t="shared" si="364"/>
        <v>0.8944444444444446</v>
      </c>
      <c r="CE122" s="28">
        <f t="shared" si="364"/>
        <v>0.92083333333333339</v>
      </c>
      <c r="CF122" s="28">
        <f t="shared" ref="CF122:CI122" si="365">+SUMPRODUCT($G$123:$G$128,CF123:CF128)</f>
        <v>0.94722222222222241</v>
      </c>
      <c r="CG122" s="28">
        <f t="shared" si="365"/>
        <v>0.97361111111111132</v>
      </c>
      <c r="CH122" s="28">
        <f t="shared" si="365"/>
        <v>1.0000000000000002</v>
      </c>
      <c r="CI122" s="28">
        <f t="shared" si="365"/>
        <v>1.0000000000000002</v>
      </c>
      <c r="CJ122" s="28">
        <f t="shared" ref="CJ122:CK122" si="366">+SUMPRODUCT($G$123:$G$128,CJ123:CJ128)</f>
        <v>1.0000000000000002</v>
      </c>
      <c r="CK122" s="28">
        <f t="shared" si="366"/>
        <v>1.0000000000000002</v>
      </c>
      <c r="CL122" s="28">
        <f t="shared" ref="CL122" si="367">+SUMPRODUCT($G$123:$G$128,CL123:CL128)</f>
        <v>1.0000000000000002</v>
      </c>
      <c r="CM122" s="28">
        <f t="shared" ref="CM122:CV122" si="368">+SUMPRODUCT($G$123:$G$128,CM123:CM128)</f>
        <v>1.0000000000000002</v>
      </c>
      <c r="CN122" s="28">
        <f t="shared" si="368"/>
        <v>1.0000000000000002</v>
      </c>
      <c r="CO122" s="28">
        <f t="shared" si="368"/>
        <v>1.0000000000000002</v>
      </c>
      <c r="CP122" s="28">
        <f t="shared" si="368"/>
        <v>1.0000000000000002</v>
      </c>
      <c r="CQ122" s="28">
        <f t="shared" si="368"/>
        <v>1.0000000000000002</v>
      </c>
      <c r="CR122" s="28">
        <f t="shared" si="368"/>
        <v>1.0000000000000002</v>
      </c>
      <c r="CS122" s="28">
        <f t="shared" si="368"/>
        <v>1.0000000000000002</v>
      </c>
      <c r="CT122" s="28">
        <f t="shared" si="368"/>
        <v>1.0000000000000002</v>
      </c>
      <c r="CU122" s="28">
        <f t="shared" si="368"/>
        <v>1.0000000000000002</v>
      </c>
      <c r="CV122" s="28">
        <f t="shared" si="368"/>
        <v>1.0000000000000002</v>
      </c>
      <c r="CW122" s="28">
        <f t="shared" ref="CW122" si="369">+SUMPRODUCT($G$123:$G$128,CW123:CW128)</f>
        <v>1.0000000000000002</v>
      </c>
      <c r="CX122" s="28">
        <f t="shared" ref="CX122:CY122" si="370">+SUMPRODUCT($G$123:$G$128,CX123:CX128)</f>
        <v>1.0000000000000002</v>
      </c>
      <c r="CY122" s="28">
        <f t="shared" si="370"/>
        <v>1.0000000000000002</v>
      </c>
      <c r="CZ122" s="28">
        <f t="shared" ref="CZ122:DA122" si="371">+SUMPRODUCT($G$123:$G$128,CZ123:CZ128)</f>
        <v>1.0000000000000002</v>
      </c>
      <c r="DA122" s="28">
        <f t="shared" si="371"/>
        <v>1.0000000000000002</v>
      </c>
      <c r="DB122" s="28">
        <f t="shared" ref="DB122:DC122" si="372">+SUMPRODUCT($G$123:$G$128,DB123:DB128)</f>
        <v>1.0000000000000002</v>
      </c>
      <c r="DC122" s="28">
        <f t="shared" si="372"/>
        <v>1.0000000000000002</v>
      </c>
      <c r="DD122" s="28">
        <f t="shared" ref="DD122:DE122" si="373">+SUMPRODUCT($G$123:$G$128,DD123:DD128)</f>
        <v>1.0000000000000002</v>
      </c>
      <c r="DE122" s="28">
        <f t="shared" si="373"/>
        <v>1.0000000000000002</v>
      </c>
      <c r="DF122" s="28">
        <f t="shared" ref="DF122:DJ122" si="374">+SUMPRODUCT($G$123:$G$128,DF123:DF128)</f>
        <v>1.0000000000000002</v>
      </c>
      <c r="DG122" s="28">
        <f t="shared" si="374"/>
        <v>1.0000000000000002</v>
      </c>
      <c r="DH122" s="28">
        <f t="shared" si="374"/>
        <v>1.0000000000000002</v>
      </c>
      <c r="DI122" s="28">
        <f t="shared" si="374"/>
        <v>1.0000000000000002</v>
      </c>
      <c r="DJ122" s="28">
        <f t="shared" si="374"/>
        <v>1.0000000000000002</v>
      </c>
      <c r="DK122" s="28">
        <f t="shared" ref="DK122:EI122" si="375">+SUMPRODUCT($G$123:$G$128,DK123:DK128)</f>
        <v>1.0000000000000002</v>
      </c>
      <c r="DL122" s="28">
        <f t="shared" si="375"/>
        <v>1.0000000000000002</v>
      </c>
      <c r="DM122" s="28">
        <f t="shared" si="375"/>
        <v>1.0000000000000002</v>
      </c>
      <c r="DN122" s="28">
        <f t="shared" si="375"/>
        <v>1.0000000000000002</v>
      </c>
      <c r="DO122" s="28">
        <f t="shared" si="375"/>
        <v>1.0000000000000002</v>
      </c>
      <c r="DP122" s="28">
        <f t="shared" si="375"/>
        <v>1.0000000000000002</v>
      </c>
      <c r="DQ122" s="28">
        <f t="shared" si="375"/>
        <v>1.0000000000000002</v>
      </c>
      <c r="DR122" s="28">
        <f t="shared" si="375"/>
        <v>1.0000000000000002</v>
      </c>
      <c r="DS122" s="28">
        <f t="shared" si="375"/>
        <v>1.0000000000000002</v>
      </c>
      <c r="DT122" s="28">
        <f t="shared" si="375"/>
        <v>1.0000000000000002</v>
      </c>
      <c r="DU122" s="28">
        <f t="shared" si="375"/>
        <v>1.0000000000000002</v>
      </c>
      <c r="DV122" s="28">
        <f t="shared" si="375"/>
        <v>1.0000000000000002</v>
      </c>
      <c r="DW122" s="28">
        <f t="shared" si="375"/>
        <v>1.0000000000000002</v>
      </c>
      <c r="DX122" s="28">
        <f t="shared" si="375"/>
        <v>1.0000000000000002</v>
      </c>
      <c r="DY122" s="28">
        <f t="shared" si="375"/>
        <v>1.0000000000000002</v>
      </c>
      <c r="DZ122" s="28">
        <f t="shared" si="375"/>
        <v>1.0000000000000002</v>
      </c>
      <c r="EA122" s="28">
        <f t="shared" si="375"/>
        <v>1.0000000000000002</v>
      </c>
      <c r="EB122" s="28">
        <f t="shared" si="375"/>
        <v>1.0000000000000002</v>
      </c>
      <c r="EC122" s="28">
        <f t="shared" si="375"/>
        <v>1.0000000000000002</v>
      </c>
      <c r="ED122" s="28">
        <f t="shared" si="375"/>
        <v>1.0000000000000002</v>
      </c>
      <c r="EE122" s="28">
        <f t="shared" si="375"/>
        <v>1.0000000000000002</v>
      </c>
      <c r="EF122" s="28">
        <f t="shared" si="375"/>
        <v>1.0000000000000002</v>
      </c>
      <c r="EG122" s="28">
        <f t="shared" si="375"/>
        <v>1.0000000000000002</v>
      </c>
      <c r="EH122" s="28">
        <f t="shared" si="375"/>
        <v>1.0000000000000002</v>
      </c>
      <c r="EI122" s="28">
        <f t="shared" si="375"/>
        <v>1.0000000000000002</v>
      </c>
    </row>
    <row r="123" spans="2:139" hidden="1" outlineLevel="3" x14ac:dyDescent="0.3">
      <c r="B123" s="29"/>
      <c r="C123" s="30"/>
      <c r="D123" s="30"/>
      <c r="E123" s="52" t="s">
        <v>127</v>
      </c>
      <c r="F123" s="33">
        <v>5</v>
      </c>
      <c r="G123" s="35">
        <v>0.22222222222222227</v>
      </c>
      <c r="H123" s="53"/>
      <c r="I123" s="126">
        <v>0</v>
      </c>
      <c r="J123" s="127">
        <v>0</v>
      </c>
      <c r="K123" s="127">
        <v>0</v>
      </c>
      <c r="L123" s="127">
        <v>0</v>
      </c>
      <c r="M123" s="128">
        <v>0</v>
      </c>
      <c r="N123" s="128">
        <v>0</v>
      </c>
      <c r="O123" s="127">
        <v>0</v>
      </c>
      <c r="P123" s="127">
        <v>0</v>
      </c>
      <c r="Q123" s="127">
        <v>0</v>
      </c>
      <c r="R123" s="127">
        <v>0</v>
      </c>
      <c r="S123" s="127">
        <v>0</v>
      </c>
      <c r="T123" s="127">
        <v>0</v>
      </c>
      <c r="U123" s="127">
        <v>0</v>
      </c>
      <c r="V123" s="127">
        <v>0</v>
      </c>
      <c r="W123" s="127">
        <v>0</v>
      </c>
      <c r="X123" s="127">
        <v>0</v>
      </c>
      <c r="Y123" s="127">
        <v>0</v>
      </c>
      <c r="Z123" s="127">
        <v>0</v>
      </c>
      <c r="AA123" s="127">
        <v>0</v>
      </c>
      <c r="AB123" s="127">
        <v>0</v>
      </c>
      <c r="AC123" s="127">
        <v>0.28000000000000003</v>
      </c>
      <c r="AD123" s="127">
        <v>0.28000000000000003</v>
      </c>
      <c r="AE123" s="127">
        <v>0.28000000000000003</v>
      </c>
      <c r="AF123" s="127">
        <v>0.28000000000000003</v>
      </c>
      <c r="AG123" s="127">
        <v>0.28000000000000003</v>
      </c>
      <c r="AH123" s="127">
        <v>0.28000000000000003</v>
      </c>
      <c r="AI123" s="127">
        <v>0.28000000000000003</v>
      </c>
      <c r="AJ123" s="127">
        <v>0.28000000000000003</v>
      </c>
      <c r="AK123" s="127">
        <v>0.28000000000000003</v>
      </c>
      <c r="AL123" s="127">
        <v>0.28000000000000003</v>
      </c>
      <c r="AM123" s="127">
        <v>0.28000000000000003</v>
      </c>
      <c r="AN123" s="127">
        <v>0.4</v>
      </c>
      <c r="AO123" s="127">
        <v>0.43</v>
      </c>
      <c r="AP123" s="127">
        <v>0.67</v>
      </c>
      <c r="AQ123" s="127">
        <v>0.70000000000000007</v>
      </c>
      <c r="AR123" s="127">
        <v>0.70000000000000007</v>
      </c>
      <c r="AS123" s="127">
        <v>0.70000000000000007</v>
      </c>
      <c r="AT123" s="127">
        <v>0.70000000000000007</v>
      </c>
      <c r="AU123" s="127">
        <v>0.70000000000000007</v>
      </c>
      <c r="AV123" s="127">
        <v>0.70000000000000007</v>
      </c>
      <c r="AW123" s="127">
        <v>0.70000000000000007</v>
      </c>
      <c r="AX123" s="127">
        <v>0.70000000000000007</v>
      </c>
      <c r="AY123" s="127">
        <v>0.70000000000000007</v>
      </c>
      <c r="AZ123" s="127">
        <v>0.70000000000000007</v>
      </c>
      <c r="BA123" s="127">
        <v>0.70000000000000007</v>
      </c>
      <c r="BB123" s="127">
        <f>Planbase100[[#This Row],[05/05/25]]+(1-Planbase100[[#This Row],[05/05/25]])*'Plan 39'!I77</f>
        <v>0.70000000000000007</v>
      </c>
      <c r="BC123" s="127">
        <f>Planbase100[[#This Row],[05/05/25]]+(1-Planbase100[[#This Row],[05/05/25]])*'Plan 39'!J77</f>
        <v>0.70000000000000007</v>
      </c>
      <c r="BD123" s="127">
        <f>Planbase100[[#This Row],[05/05/25]]+(1-Planbase100[[#This Row],[05/05/25]])*'Plan 39'!K77</f>
        <v>0.70000000000000007</v>
      </c>
      <c r="BE123" s="127">
        <f>Planbase100[[#This Row],[05/05/25]]+(1-Planbase100[[#This Row],[05/05/25]])*'Plan 39'!L77</f>
        <v>0.70000000000000007</v>
      </c>
      <c r="BF123" s="127">
        <f>Planbase100[[#This Row],[05/05/25]]+(1-Planbase100[[#This Row],[05/05/25]])*'Plan 39'!M77</f>
        <v>0.70000000000000007</v>
      </c>
      <c r="BG123" s="127">
        <f>Planbase100[[#This Row],[05/05/25]]+(1-Planbase100[[#This Row],[05/05/25]])*'Plan 39'!N77</f>
        <v>0.70000000000000007</v>
      </c>
      <c r="BH123" s="127">
        <f>Planbase100[[#This Row],[05/05/25]]+(1-Planbase100[[#This Row],[05/05/25]])*'Plan 39'!O77</f>
        <v>0.70000000000000007</v>
      </c>
      <c r="BI123" s="127">
        <f>Planbase100[[#This Row],[05/05/25]]+(1-Planbase100[[#This Row],[05/05/25]])*'Plan 39'!P77</f>
        <v>0.70000000000000007</v>
      </c>
      <c r="BJ123" s="127">
        <f>Planbase100[[#This Row],[05/05/25]]+(1-Planbase100[[#This Row],[05/05/25]])*'Plan 39'!Q77</f>
        <v>0.70000000000000007</v>
      </c>
      <c r="BK123" s="127">
        <f>Planbase100[[#This Row],[05/05/25]]+(1-Planbase100[[#This Row],[05/05/25]])*'Plan 39'!R77</f>
        <v>0.70000000000000007</v>
      </c>
      <c r="BL123" s="127">
        <f>Planbase100[[#This Row],[05/05/25]]+(1-Planbase100[[#This Row],[05/05/25]])*'Plan 39'!S77</f>
        <v>0.70000000000000007</v>
      </c>
      <c r="BM123" s="127">
        <f>Planbase100[[#This Row],[05/05/25]]+(1-Planbase100[[#This Row],[05/05/25]])*'Plan 39'!T77</f>
        <v>0.70000000000000007</v>
      </c>
      <c r="BN123" s="127">
        <f>Planbase100[[#This Row],[05/05/25]]+(1-Planbase100[[#This Row],[05/05/25]])*'Plan 39'!U77</f>
        <v>0.70000000000000007</v>
      </c>
      <c r="BO123" s="127">
        <f>Planbase100[[#This Row],[05/05/25]]+(1-Planbase100[[#This Row],[05/05/25]])*'Plan 39'!V77</f>
        <v>0.70000000000000007</v>
      </c>
      <c r="BP123" s="127">
        <f>Planbase100[[#This Row],[05/05/25]]+(1-Planbase100[[#This Row],[05/05/25]])*'Plan 39'!W77</f>
        <v>0.70000000000000007</v>
      </c>
      <c r="BQ123" s="127">
        <f>Planbase100[[#This Row],[05/05/25]]+(1-Planbase100[[#This Row],[05/05/25]])*'Plan 39'!X77</f>
        <v>0.70000000000000007</v>
      </c>
      <c r="BR123" s="127">
        <f>Planbase100[[#This Row],[05/05/25]]+(1-Planbase100[[#This Row],[05/05/25]])*'Plan 39'!Y77</f>
        <v>0.70000000000000007</v>
      </c>
      <c r="BS123" s="127">
        <f>Planbase100[[#This Row],[05/05/25]]+(1-Planbase100[[#This Row],[05/05/25]])*'Plan 39'!Z77</f>
        <v>0.70000000000000007</v>
      </c>
      <c r="BT123" s="127">
        <f>Planbase100[[#This Row],[05/05/25]]+(1-Planbase100[[#This Row],[05/05/25]])*'Plan 39'!AA77</f>
        <v>0.70000000000000007</v>
      </c>
      <c r="BU123" s="127">
        <f>Planbase100[[#This Row],[05/05/25]]+(1-Planbase100[[#This Row],[05/05/25]])*'Plan 39'!AB77</f>
        <v>0.70000000000000007</v>
      </c>
      <c r="BV123" s="127">
        <f>Planbase100[[#This Row],[05/05/25]]+(1-Planbase100[[#This Row],[05/05/25]])*'Plan 39'!AC77</f>
        <v>0.70000000000000007</v>
      </c>
      <c r="BW123" s="127">
        <f>Planbase100[[#This Row],[05/05/25]]+(1-Planbase100[[#This Row],[05/05/25]])*'Plan 39'!AD77</f>
        <v>0.70000000000000007</v>
      </c>
      <c r="BX123" s="127">
        <f>Planbase100[[#This Row],[05/05/25]]+(1-Planbase100[[#This Row],[05/05/25]])*'Plan 39'!AE77</f>
        <v>0.70000000000000007</v>
      </c>
      <c r="BY123" s="127">
        <f>Planbase100[[#This Row],[05/05/25]]+(1-Planbase100[[#This Row],[05/05/25]])*'Plan 39'!AF77</f>
        <v>0.70000000000000007</v>
      </c>
      <c r="BZ123" s="127">
        <f>Planbase100[[#This Row],[05/05/25]]+(1-Planbase100[[#This Row],[05/05/25]])*'Plan 39'!AG77</f>
        <v>0.70000000000000007</v>
      </c>
      <c r="CA123" s="127">
        <f>Planbase100[[#This Row],[05/05/25]]+(1-Planbase100[[#This Row],[05/05/25]])*'Plan 39'!AH77</f>
        <v>0.73750000000000004</v>
      </c>
      <c r="CB123" s="127">
        <f>Planbase100[[#This Row],[05/05/25]]+(1-Planbase100[[#This Row],[05/05/25]])*'Plan 39'!AI77</f>
        <v>0.77500000000000002</v>
      </c>
      <c r="CC123" s="127">
        <f>Planbase100[[#This Row],[05/05/25]]+(1-Planbase100[[#This Row],[05/05/25]])*'Plan 39'!AJ77</f>
        <v>0.8125</v>
      </c>
      <c r="CD123" s="127">
        <f>Planbase100[[#This Row],[05/05/25]]+(1-Planbase100[[#This Row],[05/05/25]])*'Plan 39'!AK77</f>
        <v>0.85000000000000009</v>
      </c>
      <c r="CE123" s="127">
        <f>Planbase100[[#This Row],[05/05/25]]+(1-Planbase100[[#This Row],[05/05/25]])*'Plan 39'!AL77</f>
        <v>0.88749999999999996</v>
      </c>
      <c r="CF123" s="127">
        <f>Planbase100[[#This Row],[05/05/25]]+(1-Planbase100[[#This Row],[05/05/25]])*'Plan 39'!AM77</f>
        <v>0.92500000000000004</v>
      </c>
      <c r="CG123" s="127">
        <f>Planbase100[[#This Row],[05/05/25]]+(1-Planbase100[[#This Row],[05/05/25]])*'Plan 39'!AN77</f>
        <v>0.96250000000000002</v>
      </c>
      <c r="CH123" s="127">
        <f>Planbase100[[#This Row],[05/05/25]]+(1-Planbase100[[#This Row],[05/05/25]])*'Plan 39'!AO77</f>
        <v>1</v>
      </c>
      <c r="CI123" s="127">
        <f>Planbase100[[#This Row],[05/05/25]]+(1-Planbase100[[#This Row],[05/05/25]])*'Plan 39'!AP77</f>
        <v>1</v>
      </c>
      <c r="CJ123" s="127">
        <f>Planbase100[[#This Row],[05/05/25]]+(1-Planbase100[[#This Row],[05/05/25]])*'Plan 39'!AQ77</f>
        <v>1</v>
      </c>
      <c r="CK123" s="127">
        <f>Planbase100[[#This Row],[05/05/25]]+(1-Planbase100[[#This Row],[05/05/25]])*'Plan 39'!AR77</f>
        <v>1</v>
      </c>
      <c r="CL123" s="127">
        <f>Planbase100[[#This Row],[05/05/25]]+(1-Planbase100[[#This Row],[05/05/25]])*'Plan 39'!AS77</f>
        <v>1</v>
      </c>
      <c r="CM123" s="127">
        <f>Planbase100[[#This Row],[05/05/25]]+(1-Planbase100[[#This Row],[05/05/25]])*'Plan 39'!AT77</f>
        <v>1</v>
      </c>
      <c r="CN123" s="127">
        <f>Planbase100[[#This Row],[05/05/25]]+(1-Planbase100[[#This Row],[05/05/25]])*'Plan 39'!AU77</f>
        <v>1</v>
      </c>
      <c r="CO123" s="127">
        <f>Planbase100[[#This Row],[05/05/25]]+(1-Planbase100[[#This Row],[05/05/25]])*'Plan 39'!AV77</f>
        <v>1</v>
      </c>
      <c r="CP123" s="127">
        <f>Planbase100[[#This Row],[05/05/25]]+(1-Planbase100[[#This Row],[05/05/25]])*'Plan 39'!AW77</f>
        <v>1</v>
      </c>
      <c r="CQ123" s="127">
        <f>Planbase100[[#This Row],[05/05/25]]+(1-Planbase100[[#This Row],[05/05/25]])*'Plan 39'!AX77</f>
        <v>1</v>
      </c>
      <c r="CR123" s="127">
        <f>Planbase100[[#This Row],[05/05/25]]+(1-Planbase100[[#This Row],[05/05/25]])*'Plan 39'!AY77</f>
        <v>1</v>
      </c>
      <c r="CS123" s="127">
        <f>Planbase100[[#This Row],[05/05/25]]+(1-Planbase100[[#This Row],[05/05/25]])*'Plan 39'!AZ77</f>
        <v>1</v>
      </c>
      <c r="CT123" s="127">
        <f>Planbase100[[#This Row],[05/05/25]]+(1-Planbase100[[#This Row],[05/05/25]])*'Plan 39'!BA77</f>
        <v>1</v>
      </c>
      <c r="CU123" s="127">
        <f>Planbase100[[#This Row],[05/05/25]]+(1-Planbase100[[#This Row],[05/05/25]])*'Plan 39'!BB77</f>
        <v>1</v>
      </c>
      <c r="CV123" s="127">
        <f>Planbase100[[#This Row],[05/05/25]]+(1-Planbase100[[#This Row],[05/05/25]])*'Plan 39'!BC77</f>
        <v>1</v>
      </c>
      <c r="CW123" s="127">
        <f>Planbase100[[#This Row],[05/05/25]]+(1-Planbase100[[#This Row],[05/05/25]])*'Plan 39'!BD77</f>
        <v>1</v>
      </c>
      <c r="CX123" s="127">
        <f>Planbase100[[#This Row],[05/05/25]]+(1-Planbase100[[#This Row],[05/05/25]])*'Plan 39'!BE77</f>
        <v>1</v>
      </c>
      <c r="CY123" s="127">
        <f>Planbase100[[#This Row],[05/05/25]]+(1-Planbase100[[#This Row],[05/05/25]])*'Plan 39'!BF77</f>
        <v>1</v>
      </c>
      <c r="CZ123" s="127">
        <f>Planbase100[[#This Row],[05/05/25]]+(1-Planbase100[[#This Row],[05/05/25]])*'Plan 39'!BG77</f>
        <v>1</v>
      </c>
      <c r="DA123" s="127">
        <f>Planbase100[[#This Row],[05/05/25]]+(1-Planbase100[[#This Row],[05/05/25]])*'Plan 39'!BH77</f>
        <v>1</v>
      </c>
      <c r="DB123" s="127">
        <f>Planbase100[[#This Row],[05/05/25]]+(1-Planbase100[[#This Row],[05/05/25]])*'Plan 39'!BI77</f>
        <v>1</v>
      </c>
      <c r="DC123" s="127">
        <f>Planbase100[[#This Row],[05/05/25]]+(1-Planbase100[[#This Row],[05/05/25]])*'Plan 39'!BJ77</f>
        <v>1</v>
      </c>
      <c r="DD123" s="127">
        <f>Planbase100[[#This Row],[05/05/25]]+(1-Planbase100[[#This Row],[05/05/25]])*'Plan 39'!BK77</f>
        <v>1</v>
      </c>
      <c r="DE123" s="127">
        <f>Planbase100[[#This Row],[05/05/25]]+(1-Planbase100[[#This Row],[05/05/25]])*'Plan 39'!BL77</f>
        <v>1</v>
      </c>
      <c r="DF123" s="127">
        <f>Planbase100[[#This Row],[12/05/25]]+(1-Planbase100[[#This Row],[12/05/25]])*'Plan 39'!BM77</f>
        <v>1</v>
      </c>
      <c r="DG123" s="127">
        <f>Planbase100[[#This Row],[19/05/25]]+(1-Planbase100[[#This Row],[19/05/25]])*'Plan 39'!BN77</f>
        <v>1</v>
      </c>
      <c r="DH123" s="127">
        <f>Planbase100[[#This Row],[26/05/25]]+(1-Planbase100[[#This Row],[26/05/25]])*'Plan 39'!BO77</f>
        <v>1</v>
      </c>
      <c r="DI123" s="127">
        <f>Planbase100[[#This Row],[02/06/25]]+(1-Planbase100[[#This Row],[02/06/25]])*'Plan 39'!BP77</f>
        <v>1</v>
      </c>
      <c r="DJ123" s="127">
        <f>Planbase100[[#This Row],[09/06/25]]+(1-Planbase100[[#This Row],[09/06/25]])*'Plan 39'!BQ77</f>
        <v>1</v>
      </c>
      <c r="DK123" s="127">
        <f>Planbase100[[#This Row],[16/06/25]]+(1-Planbase100[[#This Row],[16/06/25]])*'Plan 39'!BR77</f>
        <v>1</v>
      </c>
      <c r="DL123" s="127">
        <f>Planbase100[[#This Row],[23/06/25]]+(1-Planbase100[[#This Row],[23/06/25]])*'Plan 39'!BS77</f>
        <v>1</v>
      </c>
      <c r="DM123" s="127">
        <f>Planbase100[[#This Row],[30/06/25]]+(1-Planbase100[[#This Row],[30/06/25]])*'Plan 39'!BT77</f>
        <v>1</v>
      </c>
      <c r="DN123" s="127">
        <f>Planbase100[[#This Row],[07/07/25]]+(1-Planbase100[[#This Row],[07/07/25]])*'Plan 39'!BU77</f>
        <v>1</v>
      </c>
      <c r="DO123" s="127">
        <f>Planbase100[[#This Row],[14/07/25]]+(1-Planbase100[[#This Row],[14/07/25]])*'Plan 39'!BV77</f>
        <v>1</v>
      </c>
      <c r="DP123" s="127">
        <f>Planbase100[[#This Row],[21/07/25]]+(1-Planbase100[[#This Row],[21/07/25]])*'Plan 39'!BW77</f>
        <v>1</v>
      </c>
      <c r="DQ123" s="127">
        <f>Planbase100[[#This Row],[28/07/25]]+(1-Planbase100[[#This Row],[28/07/25]])*'Plan 39'!BX77</f>
        <v>1</v>
      </c>
      <c r="DR123" s="127">
        <f>Planbase100[[#This Row],[04/08/25]]+(1-Planbase100[[#This Row],[04/08/25]])*'Plan 39'!BY77</f>
        <v>1</v>
      </c>
      <c r="DS123" s="127">
        <f>Planbase100[[#This Row],[11/08/25]]+(1-Planbase100[[#This Row],[11/08/25]])*'Plan 39'!BZ77</f>
        <v>1</v>
      </c>
      <c r="DT123" s="127">
        <f>Planbase100[[#This Row],[18/08/25]]+(1-Planbase100[[#This Row],[18/08/25]])*'Plan 39'!CA77</f>
        <v>1</v>
      </c>
      <c r="DU123" s="127">
        <f>Planbase100[[#This Row],[25/08/25]]+(1-Planbase100[[#This Row],[25/08/25]])*'Plan 39'!CB77</f>
        <v>1</v>
      </c>
      <c r="DV123" s="127">
        <f>Planbase100[[#This Row],[01/09/25]]+(1-Planbase100[[#This Row],[01/09/25]])*'Plan 39'!CC77</f>
        <v>1</v>
      </c>
      <c r="DW123" s="127">
        <f>Planbase100[[#This Row],[08/09/25]]+(1-Planbase100[[#This Row],[08/09/25]])*'Plan 39'!CD77</f>
        <v>1</v>
      </c>
      <c r="DX123" s="127">
        <f>Planbase100[[#This Row],[15/09/25]]+(1-Planbase100[[#This Row],[15/09/25]])*'Plan 39'!CE77</f>
        <v>1</v>
      </c>
      <c r="DY123" s="127">
        <f>Planbase100[[#This Row],[22/09/25]]+(1-Planbase100[[#This Row],[22/09/25]])*'Plan 39'!CF77</f>
        <v>1</v>
      </c>
      <c r="DZ123" s="127">
        <f>Planbase100[[#This Row],[29/09/25]]+(1-Planbase100[[#This Row],[29/09/25]])*'Plan 39'!CG77</f>
        <v>1</v>
      </c>
      <c r="EA123" s="127">
        <f>Planbase100[[#This Row],[06/10/25]]+(1-Planbase100[[#This Row],[06/10/25]])*'Plan 39'!CH77</f>
        <v>1</v>
      </c>
      <c r="EB123" s="127">
        <f>Planbase100[[#This Row],[13/10/25]]+(1-Planbase100[[#This Row],[13/10/25]])*'Plan 39'!CI77</f>
        <v>1</v>
      </c>
      <c r="EC123" s="127">
        <f>Planbase100[[#This Row],[20/10/25]]+(1-Planbase100[[#This Row],[20/10/25]])*'Plan 39'!CJ77</f>
        <v>1</v>
      </c>
      <c r="ED123" s="127">
        <f>Planbase100[[#This Row],[27/10/25]]+(1-Planbase100[[#This Row],[27/10/25]])*'Plan 39'!CK77</f>
        <v>1</v>
      </c>
      <c r="EE123" s="127">
        <f>Planbase100[[#This Row],[03/11/25]]+(1-Planbase100[[#This Row],[03/11/25]])*'Plan 39'!CL77</f>
        <v>1</v>
      </c>
      <c r="EF123" s="127">
        <f>Planbase100[[#This Row],[10/11/25]]+(1-Planbase100[[#This Row],[10/11/25]])*'Plan 39'!CM77</f>
        <v>1</v>
      </c>
      <c r="EG123" s="127">
        <f>Planbase100[[#This Row],[17/11/25]]+(1-Planbase100[[#This Row],[17/11/25]])*'Plan 39'!CN77</f>
        <v>1</v>
      </c>
      <c r="EH123" s="127">
        <f>Planbase100[[#This Row],[24/11/25]]+(1-Planbase100[[#This Row],[24/11/25]])*'Plan 39'!CO77</f>
        <v>1</v>
      </c>
      <c r="EI123" s="127">
        <f>Planbase100[[#This Row],[01/12/25]]+(1-Planbase100[[#This Row],[01/12/25]])*'Plan 39'!CP77</f>
        <v>1</v>
      </c>
    </row>
    <row r="124" spans="2:139" hidden="1" outlineLevel="3" x14ac:dyDescent="0.3">
      <c r="B124" s="29"/>
      <c r="C124" s="30"/>
      <c r="D124" s="30"/>
      <c r="E124" s="52" t="s">
        <v>128</v>
      </c>
      <c r="F124" s="33">
        <v>5</v>
      </c>
      <c r="G124" s="35">
        <v>0.11111111111111113</v>
      </c>
      <c r="H124" s="53"/>
      <c r="I124" s="126">
        <v>0</v>
      </c>
      <c r="J124" s="127">
        <v>0</v>
      </c>
      <c r="K124" s="127">
        <v>0</v>
      </c>
      <c r="L124" s="127">
        <v>0</v>
      </c>
      <c r="M124" s="128">
        <v>0</v>
      </c>
      <c r="N124" s="128">
        <v>0</v>
      </c>
      <c r="O124" s="127">
        <v>0</v>
      </c>
      <c r="P124" s="127">
        <v>0</v>
      </c>
      <c r="Q124" s="127">
        <v>0</v>
      </c>
      <c r="R124" s="127">
        <v>0</v>
      </c>
      <c r="S124" s="127">
        <v>0</v>
      </c>
      <c r="T124" s="127">
        <v>0</v>
      </c>
      <c r="U124" s="127">
        <v>0</v>
      </c>
      <c r="V124" s="127">
        <v>0</v>
      </c>
      <c r="W124" s="127">
        <v>0</v>
      </c>
      <c r="X124" s="127">
        <v>0</v>
      </c>
      <c r="Y124" s="127">
        <v>0</v>
      </c>
      <c r="Z124" s="127">
        <v>0</v>
      </c>
      <c r="AA124" s="127">
        <v>0</v>
      </c>
      <c r="AB124" s="127">
        <v>0</v>
      </c>
      <c r="AC124" s="127">
        <v>0.15</v>
      </c>
      <c r="AD124" s="127">
        <v>0.28000000000000003</v>
      </c>
      <c r="AE124" s="127">
        <v>0.28000000000000003</v>
      </c>
      <c r="AF124" s="127">
        <v>0.28000000000000003</v>
      </c>
      <c r="AG124" s="127">
        <v>0.28000000000000003</v>
      </c>
      <c r="AH124" s="127">
        <v>0.28000000000000003</v>
      </c>
      <c r="AI124" s="127">
        <v>0.28000000000000003</v>
      </c>
      <c r="AJ124" s="127">
        <v>0.28000000000000003</v>
      </c>
      <c r="AK124" s="127">
        <v>0.28000000000000003</v>
      </c>
      <c r="AL124" s="127">
        <v>0.28000000000000003</v>
      </c>
      <c r="AM124" s="127">
        <v>0.28000000000000003</v>
      </c>
      <c r="AN124" s="127">
        <v>0.4</v>
      </c>
      <c r="AO124" s="127">
        <v>0.43</v>
      </c>
      <c r="AP124" s="127">
        <v>0.67</v>
      </c>
      <c r="AQ124" s="127">
        <v>0.67</v>
      </c>
      <c r="AR124" s="127">
        <v>0.67</v>
      </c>
      <c r="AS124" s="127">
        <v>0.73000000000000009</v>
      </c>
      <c r="AT124" s="127">
        <v>0.73000000000000009</v>
      </c>
      <c r="AU124" s="127">
        <v>0.73000000000000009</v>
      </c>
      <c r="AV124" s="127">
        <v>0.875</v>
      </c>
      <c r="AW124" s="127">
        <v>0.875</v>
      </c>
      <c r="AX124" s="127">
        <v>0.875</v>
      </c>
      <c r="AY124" s="127">
        <v>0.875</v>
      </c>
      <c r="AZ124" s="127">
        <v>0.875</v>
      </c>
      <c r="BA124" s="127">
        <v>0.875</v>
      </c>
      <c r="BB124" s="127">
        <f>Planbase100[[#This Row],[05/05/25]]+(1-Planbase100[[#This Row],[05/05/25]])*'Plan 39'!I78</f>
        <v>0.875</v>
      </c>
      <c r="BC124" s="127">
        <f>Planbase100[[#This Row],[05/05/25]]+(1-Planbase100[[#This Row],[05/05/25]])*'Plan 39'!J78</f>
        <v>0.875</v>
      </c>
      <c r="BD124" s="127">
        <f>Planbase100[[#This Row],[05/05/25]]+(1-Planbase100[[#This Row],[05/05/25]])*'Plan 39'!K78</f>
        <v>0.875</v>
      </c>
      <c r="BE124" s="127">
        <f>Planbase100[[#This Row],[05/05/25]]+(1-Planbase100[[#This Row],[05/05/25]])*'Plan 39'!L78</f>
        <v>0.875</v>
      </c>
      <c r="BF124" s="127">
        <f>Planbase100[[#This Row],[05/05/25]]+(1-Planbase100[[#This Row],[05/05/25]])*'Plan 39'!M78</f>
        <v>0.875</v>
      </c>
      <c r="BG124" s="127">
        <f>Planbase100[[#This Row],[05/05/25]]+(1-Planbase100[[#This Row],[05/05/25]])*'Plan 39'!N78</f>
        <v>0.875</v>
      </c>
      <c r="BH124" s="127">
        <f>Planbase100[[#This Row],[05/05/25]]+(1-Planbase100[[#This Row],[05/05/25]])*'Plan 39'!O78</f>
        <v>0.875</v>
      </c>
      <c r="BI124" s="127">
        <f>Planbase100[[#This Row],[05/05/25]]+(1-Planbase100[[#This Row],[05/05/25]])*'Plan 39'!P78</f>
        <v>0.875</v>
      </c>
      <c r="BJ124" s="127">
        <f>Planbase100[[#This Row],[05/05/25]]+(1-Planbase100[[#This Row],[05/05/25]])*'Plan 39'!Q78</f>
        <v>0.875</v>
      </c>
      <c r="BK124" s="127">
        <f>Planbase100[[#This Row],[05/05/25]]+(1-Planbase100[[#This Row],[05/05/25]])*'Plan 39'!R78</f>
        <v>0.875</v>
      </c>
      <c r="BL124" s="127">
        <f>Planbase100[[#This Row],[05/05/25]]+(1-Planbase100[[#This Row],[05/05/25]])*'Plan 39'!S78</f>
        <v>0.875</v>
      </c>
      <c r="BM124" s="127">
        <f>Planbase100[[#This Row],[05/05/25]]+(1-Planbase100[[#This Row],[05/05/25]])*'Plan 39'!T78</f>
        <v>0.875</v>
      </c>
      <c r="BN124" s="127">
        <f>Planbase100[[#This Row],[05/05/25]]+(1-Planbase100[[#This Row],[05/05/25]])*'Plan 39'!U78</f>
        <v>0.875</v>
      </c>
      <c r="BO124" s="127">
        <f>Planbase100[[#This Row],[05/05/25]]+(1-Planbase100[[#This Row],[05/05/25]])*'Plan 39'!V78</f>
        <v>0.875</v>
      </c>
      <c r="BP124" s="127">
        <f>Planbase100[[#This Row],[05/05/25]]+(1-Planbase100[[#This Row],[05/05/25]])*'Plan 39'!W78</f>
        <v>0.875</v>
      </c>
      <c r="BQ124" s="127">
        <f>Planbase100[[#This Row],[05/05/25]]+(1-Planbase100[[#This Row],[05/05/25]])*'Plan 39'!X78</f>
        <v>0.875</v>
      </c>
      <c r="BR124" s="127">
        <f>Planbase100[[#This Row],[05/05/25]]+(1-Planbase100[[#This Row],[05/05/25]])*'Plan 39'!Y78</f>
        <v>0.875</v>
      </c>
      <c r="BS124" s="127">
        <f>Planbase100[[#This Row],[05/05/25]]+(1-Planbase100[[#This Row],[05/05/25]])*'Plan 39'!Z78</f>
        <v>0.875</v>
      </c>
      <c r="BT124" s="127">
        <f>Planbase100[[#This Row],[05/05/25]]+(1-Planbase100[[#This Row],[05/05/25]])*'Plan 39'!AA78</f>
        <v>0.875</v>
      </c>
      <c r="BU124" s="127">
        <f>Planbase100[[#This Row],[05/05/25]]+(1-Planbase100[[#This Row],[05/05/25]])*'Plan 39'!AB78</f>
        <v>0.875</v>
      </c>
      <c r="BV124" s="127">
        <f>Planbase100[[#This Row],[05/05/25]]+(1-Planbase100[[#This Row],[05/05/25]])*'Plan 39'!AC78</f>
        <v>0.875</v>
      </c>
      <c r="BW124" s="127">
        <f>Planbase100[[#This Row],[05/05/25]]+(1-Planbase100[[#This Row],[05/05/25]])*'Plan 39'!AD78</f>
        <v>0.875</v>
      </c>
      <c r="BX124" s="127">
        <f>Planbase100[[#This Row],[05/05/25]]+(1-Planbase100[[#This Row],[05/05/25]])*'Plan 39'!AE78</f>
        <v>0.875</v>
      </c>
      <c r="BY124" s="127">
        <f>Planbase100[[#This Row],[05/05/25]]+(1-Planbase100[[#This Row],[05/05/25]])*'Plan 39'!AF78</f>
        <v>0.875</v>
      </c>
      <c r="BZ124" s="127">
        <f>Planbase100[[#This Row],[05/05/25]]+(1-Planbase100[[#This Row],[05/05/25]])*'Plan 39'!AG78</f>
        <v>0.875</v>
      </c>
      <c r="CA124" s="127">
        <f>Planbase100[[#This Row],[05/05/25]]+(1-Planbase100[[#This Row],[05/05/25]])*'Plan 39'!AH78</f>
        <v>0.890625</v>
      </c>
      <c r="CB124" s="127">
        <f>Planbase100[[#This Row],[05/05/25]]+(1-Planbase100[[#This Row],[05/05/25]])*'Plan 39'!AI78</f>
        <v>0.90625</v>
      </c>
      <c r="CC124" s="127">
        <f>Planbase100[[#This Row],[05/05/25]]+(1-Planbase100[[#This Row],[05/05/25]])*'Plan 39'!AJ78</f>
        <v>0.921875</v>
      </c>
      <c r="CD124" s="127">
        <f>Planbase100[[#This Row],[05/05/25]]+(1-Planbase100[[#This Row],[05/05/25]])*'Plan 39'!AK78</f>
        <v>0.9375</v>
      </c>
      <c r="CE124" s="127">
        <f>Planbase100[[#This Row],[05/05/25]]+(1-Planbase100[[#This Row],[05/05/25]])*'Plan 39'!AL78</f>
        <v>0.953125</v>
      </c>
      <c r="CF124" s="127">
        <f>Planbase100[[#This Row],[05/05/25]]+(1-Planbase100[[#This Row],[05/05/25]])*'Plan 39'!AM78</f>
        <v>0.96875</v>
      </c>
      <c r="CG124" s="127">
        <f>Planbase100[[#This Row],[05/05/25]]+(1-Planbase100[[#This Row],[05/05/25]])*'Plan 39'!AN78</f>
        <v>0.984375</v>
      </c>
      <c r="CH124" s="127">
        <f>Planbase100[[#This Row],[05/05/25]]+(1-Planbase100[[#This Row],[05/05/25]])*'Plan 39'!AO78</f>
        <v>1</v>
      </c>
      <c r="CI124" s="127">
        <f>Planbase100[[#This Row],[05/05/25]]+(1-Planbase100[[#This Row],[05/05/25]])*'Plan 39'!AP78</f>
        <v>1</v>
      </c>
      <c r="CJ124" s="127">
        <f>Planbase100[[#This Row],[05/05/25]]+(1-Planbase100[[#This Row],[05/05/25]])*'Plan 39'!AQ78</f>
        <v>1</v>
      </c>
      <c r="CK124" s="127">
        <f>Planbase100[[#This Row],[05/05/25]]+(1-Planbase100[[#This Row],[05/05/25]])*'Plan 39'!AR78</f>
        <v>1</v>
      </c>
      <c r="CL124" s="127">
        <f>Planbase100[[#This Row],[05/05/25]]+(1-Planbase100[[#This Row],[05/05/25]])*'Plan 39'!AS78</f>
        <v>1</v>
      </c>
      <c r="CM124" s="127">
        <f>Planbase100[[#This Row],[05/05/25]]+(1-Planbase100[[#This Row],[05/05/25]])*'Plan 39'!AT78</f>
        <v>1</v>
      </c>
      <c r="CN124" s="127">
        <f>Planbase100[[#This Row],[05/05/25]]+(1-Planbase100[[#This Row],[05/05/25]])*'Plan 39'!AU78</f>
        <v>1</v>
      </c>
      <c r="CO124" s="127">
        <f>Planbase100[[#This Row],[05/05/25]]+(1-Planbase100[[#This Row],[05/05/25]])*'Plan 39'!AV78</f>
        <v>1</v>
      </c>
      <c r="CP124" s="127">
        <f>Planbase100[[#This Row],[05/05/25]]+(1-Planbase100[[#This Row],[05/05/25]])*'Plan 39'!AW78</f>
        <v>1</v>
      </c>
      <c r="CQ124" s="127">
        <f>Planbase100[[#This Row],[05/05/25]]+(1-Planbase100[[#This Row],[05/05/25]])*'Plan 39'!AX78</f>
        <v>1</v>
      </c>
      <c r="CR124" s="127">
        <f>Planbase100[[#This Row],[05/05/25]]+(1-Planbase100[[#This Row],[05/05/25]])*'Plan 39'!AY78</f>
        <v>1</v>
      </c>
      <c r="CS124" s="127">
        <f>Planbase100[[#This Row],[05/05/25]]+(1-Planbase100[[#This Row],[05/05/25]])*'Plan 39'!AZ78</f>
        <v>1</v>
      </c>
      <c r="CT124" s="127">
        <f>Planbase100[[#This Row],[05/05/25]]+(1-Planbase100[[#This Row],[05/05/25]])*'Plan 39'!BA78</f>
        <v>1</v>
      </c>
      <c r="CU124" s="127">
        <f>Planbase100[[#This Row],[05/05/25]]+(1-Planbase100[[#This Row],[05/05/25]])*'Plan 39'!BB78</f>
        <v>1</v>
      </c>
      <c r="CV124" s="127">
        <f>Planbase100[[#This Row],[05/05/25]]+(1-Planbase100[[#This Row],[05/05/25]])*'Plan 39'!BC78</f>
        <v>1</v>
      </c>
      <c r="CW124" s="127">
        <f>Planbase100[[#This Row],[05/05/25]]+(1-Planbase100[[#This Row],[05/05/25]])*'Plan 39'!BD78</f>
        <v>1</v>
      </c>
      <c r="CX124" s="127">
        <f>Planbase100[[#This Row],[05/05/25]]+(1-Planbase100[[#This Row],[05/05/25]])*'Plan 39'!BE78</f>
        <v>1</v>
      </c>
      <c r="CY124" s="127">
        <f>Planbase100[[#This Row],[05/05/25]]+(1-Planbase100[[#This Row],[05/05/25]])*'Plan 39'!BF78</f>
        <v>1</v>
      </c>
      <c r="CZ124" s="127">
        <f>Planbase100[[#This Row],[05/05/25]]+(1-Planbase100[[#This Row],[05/05/25]])*'Plan 39'!BG78</f>
        <v>1</v>
      </c>
      <c r="DA124" s="127">
        <f>Planbase100[[#This Row],[05/05/25]]+(1-Planbase100[[#This Row],[05/05/25]])*'Plan 39'!BH78</f>
        <v>1</v>
      </c>
      <c r="DB124" s="127">
        <f>Planbase100[[#This Row],[05/05/25]]+(1-Planbase100[[#This Row],[05/05/25]])*'Plan 39'!BI78</f>
        <v>1</v>
      </c>
      <c r="DC124" s="127">
        <f>Planbase100[[#This Row],[05/05/25]]+(1-Planbase100[[#This Row],[05/05/25]])*'Plan 39'!BJ78</f>
        <v>1</v>
      </c>
      <c r="DD124" s="127">
        <f>Planbase100[[#This Row],[05/05/25]]+(1-Planbase100[[#This Row],[05/05/25]])*'Plan 39'!BK78</f>
        <v>1</v>
      </c>
      <c r="DE124" s="127">
        <f>Planbase100[[#This Row],[05/05/25]]+(1-Planbase100[[#This Row],[05/05/25]])*'Plan 39'!BL78</f>
        <v>1</v>
      </c>
      <c r="DF124" s="127">
        <f>Planbase100[[#This Row],[12/05/25]]+(1-Planbase100[[#This Row],[12/05/25]])*'Plan 39'!BM78</f>
        <v>1</v>
      </c>
      <c r="DG124" s="127">
        <f>Planbase100[[#This Row],[19/05/25]]+(1-Planbase100[[#This Row],[19/05/25]])*'Plan 39'!BN78</f>
        <v>1</v>
      </c>
      <c r="DH124" s="127">
        <f>Planbase100[[#This Row],[26/05/25]]+(1-Planbase100[[#This Row],[26/05/25]])*'Plan 39'!BO78</f>
        <v>1</v>
      </c>
      <c r="DI124" s="127">
        <f>Planbase100[[#This Row],[02/06/25]]+(1-Planbase100[[#This Row],[02/06/25]])*'Plan 39'!BP78</f>
        <v>1</v>
      </c>
      <c r="DJ124" s="127">
        <f>Planbase100[[#This Row],[09/06/25]]+(1-Planbase100[[#This Row],[09/06/25]])*'Plan 39'!BQ78</f>
        <v>1</v>
      </c>
      <c r="DK124" s="127">
        <f>Planbase100[[#This Row],[16/06/25]]+(1-Planbase100[[#This Row],[16/06/25]])*'Plan 39'!BR78</f>
        <v>1</v>
      </c>
      <c r="DL124" s="127">
        <f>Planbase100[[#This Row],[23/06/25]]+(1-Planbase100[[#This Row],[23/06/25]])*'Plan 39'!BS78</f>
        <v>1</v>
      </c>
      <c r="DM124" s="127">
        <f>Planbase100[[#This Row],[30/06/25]]+(1-Planbase100[[#This Row],[30/06/25]])*'Plan 39'!BT78</f>
        <v>1</v>
      </c>
      <c r="DN124" s="127">
        <f>Planbase100[[#This Row],[07/07/25]]+(1-Planbase100[[#This Row],[07/07/25]])*'Plan 39'!BU78</f>
        <v>1</v>
      </c>
      <c r="DO124" s="127">
        <f>Planbase100[[#This Row],[14/07/25]]+(1-Planbase100[[#This Row],[14/07/25]])*'Plan 39'!BV78</f>
        <v>1</v>
      </c>
      <c r="DP124" s="127">
        <f>Planbase100[[#This Row],[21/07/25]]+(1-Planbase100[[#This Row],[21/07/25]])*'Plan 39'!BW78</f>
        <v>1</v>
      </c>
      <c r="DQ124" s="127">
        <f>Planbase100[[#This Row],[28/07/25]]+(1-Planbase100[[#This Row],[28/07/25]])*'Plan 39'!BX78</f>
        <v>1</v>
      </c>
      <c r="DR124" s="127">
        <f>Planbase100[[#This Row],[04/08/25]]+(1-Planbase100[[#This Row],[04/08/25]])*'Plan 39'!BY78</f>
        <v>1</v>
      </c>
      <c r="DS124" s="127">
        <f>Planbase100[[#This Row],[11/08/25]]+(1-Planbase100[[#This Row],[11/08/25]])*'Plan 39'!BZ78</f>
        <v>1</v>
      </c>
      <c r="DT124" s="127">
        <f>Planbase100[[#This Row],[18/08/25]]+(1-Planbase100[[#This Row],[18/08/25]])*'Plan 39'!CA78</f>
        <v>1</v>
      </c>
      <c r="DU124" s="127">
        <f>Planbase100[[#This Row],[25/08/25]]+(1-Planbase100[[#This Row],[25/08/25]])*'Plan 39'!CB78</f>
        <v>1</v>
      </c>
      <c r="DV124" s="127">
        <f>Planbase100[[#This Row],[01/09/25]]+(1-Planbase100[[#This Row],[01/09/25]])*'Plan 39'!CC78</f>
        <v>1</v>
      </c>
      <c r="DW124" s="127">
        <f>Planbase100[[#This Row],[08/09/25]]+(1-Planbase100[[#This Row],[08/09/25]])*'Plan 39'!CD78</f>
        <v>1</v>
      </c>
      <c r="DX124" s="127">
        <f>Planbase100[[#This Row],[15/09/25]]+(1-Planbase100[[#This Row],[15/09/25]])*'Plan 39'!CE78</f>
        <v>1</v>
      </c>
      <c r="DY124" s="127">
        <f>Planbase100[[#This Row],[22/09/25]]+(1-Planbase100[[#This Row],[22/09/25]])*'Plan 39'!CF78</f>
        <v>1</v>
      </c>
      <c r="DZ124" s="127">
        <f>Planbase100[[#This Row],[29/09/25]]+(1-Planbase100[[#This Row],[29/09/25]])*'Plan 39'!CG78</f>
        <v>1</v>
      </c>
      <c r="EA124" s="127">
        <f>Planbase100[[#This Row],[06/10/25]]+(1-Planbase100[[#This Row],[06/10/25]])*'Plan 39'!CH78</f>
        <v>1</v>
      </c>
      <c r="EB124" s="127">
        <f>Planbase100[[#This Row],[13/10/25]]+(1-Planbase100[[#This Row],[13/10/25]])*'Plan 39'!CI78</f>
        <v>1</v>
      </c>
      <c r="EC124" s="127">
        <f>Planbase100[[#This Row],[20/10/25]]+(1-Planbase100[[#This Row],[20/10/25]])*'Plan 39'!CJ78</f>
        <v>1</v>
      </c>
      <c r="ED124" s="127">
        <f>Planbase100[[#This Row],[27/10/25]]+(1-Planbase100[[#This Row],[27/10/25]])*'Plan 39'!CK78</f>
        <v>1</v>
      </c>
      <c r="EE124" s="127">
        <f>Planbase100[[#This Row],[03/11/25]]+(1-Planbase100[[#This Row],[03/11/25]])*'Plan 39'!CL78</f>
        <v>1</v>
      </c>
      <c r="EF124" s="127">
        <f>Planbase100[[#This Row],[10/11/25]]+(1-Planbase100[[#This Row],[10/11/25]])*'Plan 39'!CM78</f>
        <v>1</v>
      </c>
      <c r="EG124" s="127">
        <f>Planbase100[[#This Row],[17/11/25]]+(1-Planbase100[[#This Row],[17/11/25]])*'Plan 39'!CN78</f>
        <v>1</v>
      </c>
      <c r="EH124" s="127">
        <f>Planbase100[[#This Row],[24/11/25]]+(1-Planbase100[[#This Row],[24/11/25]])*'Plan 39'!CO78</f>
        <v>1</v>
      </c>
      <c r="EI124" s="127">
        <f>Planbase100[[#This Row],[01/12/25]]+(1-Planbase100[[#This Row],[01/12/25]])*'Plan 39'!CP78</f>
        <v>1</v>
      </c>
    </row>
    <row r="125" spans="2:139" hidden="1" outlineLevel="3" x14ac:dyDescent="0.3">
      <c r="B125" s="29"/>
      <c r="C125" s="30"/>
      <c r="D125" s="30"/>
      <c r="E125" s="52" t="s">
        <v>129</v>
      </c>
      <c r="F125" s="33">
        <v>5</v>
      </c>
      <c r="G125" s="35">
        <v>0.11111111111111113</v>
      </c>
      <c r="H125" s="53"/>
      <c r="I125" s="126">
        <v>0</v>
      </c>
      <c r="J125" s="127">
        <v>0</v>
      </c>
      <c r="K125" s="127">
        <v>0</v>
      </c>
      <c r="L125" s="127">
        <v>0</v>
      </c>
      <c r="M125" s="128">
        <v>0</v>
      </c>
      <c r="N125" s="128">
        <v>0</v>
      </c>
      <c r="O125" s="127">
        <v>0</v>
      </c>
      <c r="P125" s="127">
        <v>0</v>
      </c>
      <c r="Q125" s="127">
        <v>0</v>
      </c>
      <c r="R125" s="127">
        <v>0</v>
      </c>
      <c r="S125" s="127">
        <v>0</v>
      </c>
      <c r="T125" s="127">
        <v>0</v>
      </c>
      <c r="U125" s="127">
        <v>0</v>
      </c>
      <c r="V125" s="127">
        <v>0</v>
      </c>
      <c r="W125" s="127">
        <v>0</v>
      </c>
      <c r="X125" s="127">
        <v>0</v>
      </c>
      <c r="Y125" s="127">
        <v>0</v>
      </c>
      <c r="Z125" s="127">
        <v>0</v>
      </c>
      <c r="AA125" s="127">
        <v>0</v>
      </c>
      <c r="AB125" s="127">
        <v>0</v>
      </c>
      <c r="AC125" s="127">
        <v>0.15</v>
      </c>
      <c r="AD125" s="127">
        <v>0.28000000000000003</v>
      </c>
      <c r="AE125" s="127">
        <v>0.28000000000000003</v>
      </c>
      <c r="AF125" s="127">
        <v>0.28000000000000003</v>
      </c>
      <c r="AG125" s="127">
        <v>0.28000000000000003</v>
      </c>
      <c r="AH125" s="127">
        <v>0.28000000000000003</v>
      </c>
      <c r="AI125" s="127">
        <v>0.28000000000000003</v>
      </c>
      <c r="AJ125" s="127">
        <v>0.28000000000000003</v>
      </c>
      <c r="AK125" s="127">
        <v>0.28000000000000003</v>
      </c>
      <c r="AL125" s="127">
        <v>0.31</v>
      </c>
      <c r="AM125" s="127">
        <v>0.34</v>
      </c>
      <c r="AN125" s="127">
        <v>0.4</v>
      </c>
      <c r="AO125" s="127">
        <v>0.43</v>
      </c>
      <c r="AP125" s="127">
        <v>0.67</v>
      </c>
      <c r="AQ125" s="127">
        <v>0.67</v>
      </c>
      <c r="AR125" s="127">
        <v>0.70000000000000007</v>
      </c>
      <c r="AS125" s="127">
        <v>0.73000000000000009</v>
      </c>
      <c r="AT125" s="127">
        <v>0.73000000000000009</v>
      </c>
      <c r="AU125" s="127">
        <v>0.73000000000000009</v>
      </c>
      <c r="AV125" s="127">
        <v>0.83000000000000007</v>
      </c>
      <c r="AW125" s="127">
        <v>0.83000000000000007</v>
      </c>
      <c r="AX125" s="127">
        <v>0.83000000000000007</v>
      </c>
      <c r="AY125" s="127">
        <v>0.83000000000000007</v>
      </c>
      <c r="AZ125" s="127">
        <v>0.83000000000000007</v>
      </c>
      <c r="BA125" s="127">
        <v>0.83000000000000007</v>
      </c>
      <c r="BB125" s="127">
        <f>Planbase100[[#This Row],[05/05/25]]+(1-Planbase100[[#This Row],[05/05/25]])*'Plan 39'!I79</f>
        <v>0.83000000000000007</v>
      </c>
      <c r="BC125" s="127">
        <f>Planbase100[[#This Row],[05/05/25]]+(1-Planbase100[[#This Row],[05/05/25]])*'Plan 39'!J79</f>
        <v>0.83000000000000007</v>
      </c>
      <c r="BD125" s="127">
        <f>Planbase100[[#This Row],[05/05/25]]+(1-Planbase100[[#This Row],[05/05/25]])*'Plan 39'!K79</f>
        <v>0.83000000000000007</v>
      </c>
      <c r="BE125" s="127">
        <f>Planbase100[[#This Row],[05/05/25]]+(1-Planbase100[[#This Row],[05/05/25]])*'Plan 39'!L79</f>
        <v>0.83000000000000007</v>
      </c>
      <c r="BF125" s="127">
        <f>Planbase100[[#This Row],[05/05/25]]+(1-Planbase100[[#This Row],[05/05/25]])*'Plan 39'!M79</f>
        <v>0.83000000000000007</v>
      </c>
      <c r="BG125" s="127">
        <f>Planbase100[[#This Row],[05/05/25]]+(1-Planbase100[[#This Row],[05/05/25]])*'Plan 39'!N79</f>
        <v>0.83000000000000007</v>
      </c>
      <c r="BH125" s="127">
        <f>Planbase100[[#This Row],[05/05/25]]+(1-Planbase100[[#This Row],[05/05/25]])*'Plan 39'!O79</f>
        <v>0.83000000000000007</v>
      </c>
      <c r="BI125" s="127">
        <f>Planbase100[[#This Row],[05/05/25]]+(1-Planbase100[[#This Row],[05/05/25]])*'Plan 39'!P79</f>
        <v>0.83000000000000007</v>
      </c>
      <c r="BJ125" s="127">
        <f>Planbase100[[#This Row],[05/05/25]]+(1-Planbase100[[#This Row],[05/05/25]])*'Plan 39'!Q79</f>
        <v>0.83000000000000007</v>
      </c>
      <c r="BK125" s="127">
        <f>Planbase100[[#This Row],[05/05/25]]+(1-Planbase100[[#This Row],[05/05/25]])*'Plan 39'!R79</f>
        <v>0.83000000000000007</v>
      </c>
      <c r="BL125" s="127">
        <f>Planbase100[[#This Row],[05/05/25]]+(1-Planbase100[[#This Row],[05/05/25]])*'Plan 39'!S79</f>
        <v>0.83000000000000007</v>
      </c>
      <c r="BM125" s="127">
        <f>Planbase100[[#This Row],[05/05/25]]+(1-Planbase100[[#This Row],[05/05/25]])*'Plan 39'!T79</f>
        <v>0.83000000000000007</v>
      </c>
      <c r="BN125" s="127">
        <f>Planbase100[[#This Row],[05/05/25]]+(1-Planbase100[[#This Row],[05/05/25]])*'Plan 39'!U79</f>
        <v>0.83000000000000007</v>
      </c>
      <c r="BO125" s="127">
        <f>Planbase100[[#This Row],[05/05/25]]+(1-Planbase100[[#This Row],[05/05/25]])*'Plan 39'!V79</f>
        <v>0.83000000000000007</v>
      </c>
      <c r="BP125" s="127">
        <f>Planbase100[[#This Row],[05/05/25]]+(1-Planbase100[[#This Row],[05/05/25]])*'Plan 39'!W79</f>
        <v>0.83000000000000007</v>
      </c>
      <c r="BQ125" s="127">
        <f>Planbase100[[#This Row],[05/05/25]]+(1-Planbase100[[#This Row],[05/05/25]])*'Plan 39'!X79</f>
        <v>0.83000000000000007</v>
      </c>
      <c r="BR125" s="127">
        <f>Planbase100[[#This Row],[05/05/25]]+(1-Planbase100[[#This Row],[05/05/25]])*'Plan 39'!Y79</f>
        <v>0.83000000000000007</v>
      </c>
      <c r="BS125" s="127">
        <f>Planbase100[[#This Row],[05/05/25]]+(1-Planbase100[[#This Row],[05/05/25]])*'Plan 39'!Z79</f>
        <v>0.83000000000000007</v>
      </c>
      <c r="BT125" s="127">
        <f>Planbase100[[#This Row],[05/05/25]]+(1-Planbase100[[#This Row],[05/05/25]])*'Plan 39'!AA79</f>
        <v>0.83000000000000007</v>
      </c>
      <c r="BU125" s="127">
        <f>Planbase100[[#This Row],[05/05/25]]+(1-Planbase100[[#This Row],[05/05/25]])*'Plan 39'!AB79</f>
        <v>0.83000000000000007</v>
      </c>
      <c r="BV125" s="127">
        <f>Planbase100[[#This Row],[05/05/25]]+(1-Planbase100[[#This Row],[05/05/25]])*'Plan 39'!AC79</f>
        <v>0.83000000000000007</v>
      </c>
      <c r="BW125" s="127">
        <f>Planbase100[[#This Row],[05/05/25]]+(1-Planbase100[[#This Row],[05/05/25]])*'Plan 39'!AD79</f>
        <v>0.83000000000000007</v>
      </c>
      <c r="BX125" s="127">
        <f>Planbase100[[#This Row],[05/05/25]]+(1-Planbase100[[#This Row],[05/05/25]])*'Plan 39'!AE79</f>
        <v>0.83000000000000007</v>
      </c>
      <c r="BY125" s="127">
        <f>Planbase100[[#This Row],[05/05/25]]+(1-Planbase100[[#This Row],[05/05/25]])*'Plan 39'!AF79</f>
        <v>0.83000000000000007</v>
      </c>
      <c r="BZ125" s="127">
        <f>Planbase100[[#This Row],[05/05/25]]+(1-Planbase100[[#This Row],[05/05/25]])*'Plan 39'!AG79</f>
        <v>0.83000000000000007</v>
      </c>
      <c r="CA125" s="127">
        <f>Planbase100[[#This Row],[05/05/25]]+(1-Planbase100[[#This Row],[05/05/25]])*'Plan 39'!AH79</f>
        <v>0.85125000000000006</v>
      </c>
      <c r="CB125" s="127">
        <f>Planbase100[[#This Row],[05/05/25]]+(1-Planbase100[[#This Row],[05/05/25]])*'Plan 39'!AI79</f>
        <v>0.87250000000000005</v>
      </c>
      <c r="CC125" s="127">
        <f>Planbase100[[#This Row],[05/05/25]]+(1-Planbase100[[#This Row],[05/05/25]])*'Plan 39'!AJ79</f>
        <v>0.89375000000000004</v>
      </c>
      <c r="CD125" s="127">
        <f>Planbase100[[#This Row],[05/05/25]]+(1-Planbase100[[#This Row],[05/05/25]])*'Plan 39'!AK79</f>
        <v>0.91500000000000004</v>
      </c>
      <c r="CE125" s="127">
        <f>Planbase100[[#This Row],[05/05/25]]+(1-Planbase100[[#This Row],[05/05/25]])*'Plan 39'!AL79</f>
        <v>0.93625000000000003</v>
      </c>
      <c r="CF125" s="127">
        <f>Planbase100[[#This Row],[05/05/25]]+(1-Planbase100[[#This Row],[05/05/25]])*'Plan 39'!AM79</f>
        <v>0.95750000000000002</v>
      </c>
      <c r="CG125" s="127">
        <f>Planbase100[[#This Row],[05/05/25]]+(1-Planbase100[[#This Row],[05/05/25]])*'Plan 39'!AN79</f>
        <v>0.97875000000000001</v>
      </c>
      <c r="CH125" s="127">
        <f>Planbase100[[#This Row],[05/05/25]]+(1-Planbase100[[#This Row],[05/05/25]])*'Plan 39'!AO79</f>
        <v>1</v>
      </c>
      <c r="CI125" s="127">
        <f>Planbase100[[#This Row],[05/05/25]]+(1-Planbase100[[#This Row],[05/05/25]])*'Plan 39'!AP79</f>
        <v>1</v>
      </c>
      <c r="CJ125" s="127">
        <f>Planbase100[[#This Row],[05/05/25]]+(1-Planbase100[[#This Row],[05/05/25]])*'Plan 39'!AQ79</f>
        <v>1</v>
      </c>
      <c r="CK125" s="127">
        <f>Planbase100[[#This Row],[05/05/25]]+(1-Planbase100[[#This Row],[05/05/25]])*'Plan 39'!AR79</f>
        <v>1</v>
      </c>
      <c r="CL125" s="127">
        <f>Planbase100[[#This Row],[05/05/25]]+(1-Planbase100[[#This Row],[05/05/25]])*'Plan 39'!AS79</f>
        <v>1</v>
      </c>
      <c r="CM125" s="127">
        <f>Planbase100[[#This Row],[05/05/25]]+(1-Planbase100[[#This Row],[05/05/25]])*'Plan 39'!AT79</f>
        <v>1</v>
      </c>
      <c r="CN125" s="127">
        <f>Planbase100[[#This Row],[05/05/25]]+(1-Planbase100[[#This Row],[05/05/25]])*'Plan 39'!AU79</f>
        <v>1</v>
      </c>
      <c r="CO125" s="127">
        <f>Planbase100[[#This Row],[05/05/25]]+(1-Planbase100[[#This Row],[05/05/25]])*'Plan 39'!AV79</f>
        <v>1</v>
      </c>
      <c r="CP125" s="127">
        <f>Planbase100[[#This Row],[05/05/25]]+(1-Planbase100[[#This Row],[05/05/25]])*'Plan 39'!AW79</f>
        <v>1</v>
      </c>
      <c r="CQ125" s="127">
        <f>Planbase100[[#This Row],[05/05/25]]+(1-Planbase100[[#This Row],[05/05/25]])*'Plan 39'!AX79</f>
        <v>1</v>
      </c>
      <c r="CR125" s="127">
        <f>Planbase100[[#This Row],[05/05/25]]+(1-Planbase100[[#This Row],[05/05/25]])*'Plan 39'!AY79</f>
        <v>1</v>
      </c>
      <c r="CS125" s="127">
        <f>Planbase100[[#This Row],[05/05/25]]+(1-Planbase100[[#This Row],[05/05/25]])*'Plan 39'!AZ79</f>
        <v>1</v>
      </c>
      <c r="CT125" s="127">
        <f>Planbase100[[#This Row],[05/05/25]]+(1-Planbase100[[#This Row],[05/05/25]])*'Plan 39'!BA79</f>
        <v>1</v>
      </c>
      <c r="CU125" s="127">
        <f>Planbase100[[#This Row],[05/05/25]]+(1-Planbase100[[#This Row],[05/05/25]])*'Plan 39'!BB79</f>
        <v>1</v>
      </c>
      <c r="CV125" s="127">
        <f>Planbase100[[#This Row],[05/05/25]]+(1-Planbase100[[#This Row],[05/05/25]])*'Plan 39'!BC79</f>
        <v>1</v>
      </c>
      <c r="CW125" s="127">
        <f>Planbase100[[#This Row],[05/05/25]]+(1-Planbase100[[#This Row],[05/05/25]])*'Plan 39'!BD79</f>
        <v>1</v>
      </c>
      <c r="CX125" s="127">
        <f>Planbase100[[#This Row],[05/05/25]]+(1-Planbase100[[#This Row],[05/05/25]])*'Plan 39'!BE79</f>
        <v>1</v>
      </c>
      <c r="CY125" s="127">
        <f>Planbase100[[#This Row],[05/05/25]]+(1-Planbase100[[#This Row],[05/05/25]])*'Plan 39'!BF79</f>
        <v>1</v>
      </c>
      <c r="CZ125" s="127">
        <f>Planbase100[[#This Row],[05/05/25]]+(1-Planbase100[[#This Row],[05/05/25]])*'Plan 39'!BG79</f>
        <v>1</v>
      </c>
      <c r="DA125" s="127">
        <f>Planbase100[[#This Row],[05/05/25]]+(1-Planbase100[[#This Row],[05/05/25]])*'Plan 39'!BH79</f>
        <v>1</v>
      </c>
      <c r="DB125" s="127">
        <f>Planbase100[[#This Row],[05/05/25]]+(1-Planbase100[[#This Row],[05/05/25]])*'Plan 39'!BI79</f>
        <v>1</v>
      </c>
      <c r="DC125" s="127">
        <f>Planbase100[[#This Row],[05/05/25]]+(1-Planbase100[[#This Row],[05/05/25]])*'Plan 39'!BJ79</f>
        <v>1</v>
      </c>
      <c r="DD125" s="127">
        <f>Planbase100[[#This Row],[05/05/25]]+(1-Planbase100[[#This Row],[05/05/25]])*'Plan 39'!BK79</f>
        <v>1</v>
      </c>
      <c r="DE125" s="127">
        <f>Planbase100[[#This Row],[05/05/25]]+(1-Planbase100[[#This Row],[05/05/25]])*'Plan 39'!BL79</f>
        <v>1</v>
      </c>
      <c r="DF125" s="127">
        <f>Planbase100[[#This Row],[12/05/25]]+(1-Planbase100[[#This Row],[12/05/25]])*'Plan 39'!BM79</f>
        <v>1</v>
      </c>
      <c r="DG125" s="127">
        <f>Planbase100[[#This Row],[19/05/25]]+(1-Planbase100[[#This Row],[19/05/25]])*'Plan 39'!BN79</f>
        <v>1</v>
      </c>
      <c r="DH125" s="127">
        <f>Planbase100[[#This Row],[26/05/25]]+(1-Planbase100[[#This Row],[26/05/25]])*'Plan 39'!BO79</f>
        <v>1</v>
      </c>
      <c r="DI125" s="127">
        <f>Planbase100[[#This Row],[02/06/25]]+(1-Planbase100[[#This Row],[02/06/25]])*'Plan 39'!BP79</f>
        <v>1</v>
      </c>
      <c r="DJ125" s="127">
        <f>Planbase100[[#This Row],[09/06/25]]+(1-Planbase100[[#This Row],[09/06/25]])*'Plan 39'!BQ79</f>
        <v>1</v>
      </c>
      <c r="DK125" s="127">
        <f>Planbase100[[#This Row],[16/06/25]]+(1-Planbase100[[#This Row],[16/06/25]])*'Plan 39'!BR79</f>
        <v>1</v>
      </c>
      <c r="DL125" s="127">
        <f>Planbase100[[#This Row],[23/06/25]]+(1-Planbase100[[#This Row],[23/06/25]])*'Plan 39'!BS79</f>
        <v>1</v>
      </c>
      <c r="DM125" s="127">
        <f>Planbase100[[#This Row],[30/06/25]]+(1-Planbase100[[#This Row],[30/06/25]])*'Plan 39'!BT79</f>
        <v>1</v>
      </c>
      <c r="DN125" s="127">
        <f>Planbase100[[#This Row],[07/07/25]]+(1-Planbase100[[#This Row],[07/07/25]])*'Plan 39'!BU79</f>
        <v>1</v>
      </c>
      <c r="DO125" s="127">
        <f>Planbase100[[#This Row],[14/07/25]]+(1-Planbase100[[#This Row],[14/07/25]])*'Plan 39'!BV79</f>
        <v>1</v>
      </c>
      <c r="DP125" s="127">
        <f>Planbase100[[#This Row],[21/07/25]]+(1-Planbase100[[#This Row],[21/07/25]])*'Plan 39'!BW79</f>
        <v>1</v>
      </c>
      <c r="DQ125" s="127">
        <f>Planbase100[[#This Row],[28/07/25]]+(1-Planbase100[[#This Row],[28/07/25]])*'Plan 39'!BX79</f>
        <v>1</v>
      </c>
      <c r="DR125" s="127">
        <f>Planbase100[[#This Row],[04/08/25]]+(1-Planbase100[[#This Row],[04/08/25]])*'Plan 39'!BY79</f>
        <v>1</v>
      </c>
      <c r="DS125" s="127">
        <f>Planbase100[[#This Row],[11/08/25]]+(1-Planbase100[[#This Row],[11/08/25]])*'Plan 39'!BZ79</f>
        <v>1</v>
      </c>
      <c r="DT125" s="127">
        <f>Planbase100[[#This Row],[18/08/25]]+(1-Planbase100[[#This Row],[18/08/25]])*'Plan 39'!CA79</f>
        <v>1</v>
      </c>
      <c r="DU125" s="127">
        <f>Planbase100[[#This Row],[25/08/25]]+(1-Planbase100[[#This Row],[25/08/25]])*'Plan 39'!CB79</f>
        <v>1</v>
      </c>
      <c r="DV125" s="127">
        <f>Planbase100[[#This Row],[01/09/25]]+(1-Planbase100[[#This Row],[01/09/25]])*'Plan 39'!CC79</f>
        <v>1</v>
      </c>
      <c r="DW125" s="127">
        <f>Planbase100[[#This Row],[08/09/25]]+(1-Planbase100[[#This Row],[08/09/25]])*'Plan 39'!CD79</f>
        <v>1</v>
      </c>
      <c r="DX125" s="127">
        <f>Planbase100[[#This Row],[15/09/25]]+(1-Planbase100[[#This Row],[15/09/25]])*'Plan 39'!CE79</f>
        <v>1</v>
      </c>
      <c r="DY125" s="127">
        <f>Planbase100[[#This Row],[22/09/25]]+(1-Planbase100[[#This Row],[22/09/25]])*'Plan 39'!CF79</f>
        <v>1</v>
      </c>
      <c r="DZ125" s="127">
        <f>Planbase100[[#This Row],[29/09/25]]+(1-Planbase100[[#This Row],[29/09/25]])*'Plan 39'!CG79</f>
        <v>1</v>
      </c>
      <c r="EA125" s="127">
        <f>Planbase100[[#This Row],[06/10/25]]+(1-Planbase100[[#This Row],[06/10/25]])*'Plan 39'!CH79</f>
        <v>1</v>
      </c>
      <c r="EB125" s="127">
        <f>Planbase100[[#This Row],[13/10/25]]+(1-Planbase100[[#This Row],[13/10/25]])*'Plan 39'!CI79</f>
        <v>1</v>
      </c>
      <c r="EC125" s="127">
        <f>Planbase100[[#This Row],[20/10/25]]+(1-Planbase100[[#This Row],[20/10/25]])*'Plan 39'!CJ79</f>
        <v>1</v>
      </c>
      <c r="ED125" s="127">
        <f>Planbase100[[#This Row],[27/10/25]]+(1-Planbase100[[#This Row],[27/10/25]])*'Plan 39'!CK79</f>
        <v>1</v>
      </c>
      <c r="EE125" s="127">
        <f>Planbase100[[#This Row],[03/11/25]]+(1-Planbase100[[#This Row],[03/11/25]])*'Plan 39'!CL79</f>
        <v>1</v>
      </c>
      <c r="EF125" s="127">
        <f>Planbase100[[#This Row],[10/11/25]]+(1-Planbase100[[#This Row],[10/11/25]])*'Plan 39'!CM79</f>
        <v>1</v>
      </c>
      <c r="EG125" s="127">
        <f>Planbase100[[#This Row],[17/11/25]]+(1-Planbase100[[#This Row],[17/11/25]])*'Plan 39'!CN79</f>
        <v>1</v>
      </c>
      <c r="EH125" s="127">
        <f>Planbase100[[#This Row],[24/11/25]]+(1-Planbase100[[#This Row],[24/11/25]])*'Plan 39'!CO79</f>
        <v>1</v>
      </c>
      <c r="EI125" s="127">
        <f>Planbase100[[#This Row],[01/12/25]]+(1-Planbase100[[#This Row],[01/12/25]])*'Plan 39'!CP79</f>
        <v>1</v>
      </c>
    </row>
    <row r="126" spans="2:139" ht="28.8" hidden="1" outlineLevel="3" x14ac:dyDescent="0.3">
      <c r="B126" s="29"/>
      <c r="C126" s="30"/>
      <c r="D126" s="30"/>
      <c r="E126" s="52" t="s">
        <v>130</v>
      </c>
      <c r="F126" s="33">
        <v>5</v>
      </c>
      <c r="G126" s="35">
        <v>0.22222222222222227</v>
      </c>
      <c r="H126" s="53"/>
      <c r="I126" s="126">
        <v>0</v>
      </c>
      <c r="J126" s="127">
        <v>0</v>
      </c>
      <c r="K126" s="127">
        <v>0</v>
      </c>
      <c r="L126" s="127">
        <v>0</v>
      </c>
      <c r="M126" s="128">
        <v>0</v>
      </c>
      <c r="N126" s="128">
        <v>0</v>
      </c>
      <c r="O126" s="127">
        <v>0</v>
      </c>
      <c r="P126" s="127">
        <v>0</v>
      </c>
      <c r="Q126" s="127">
        <v>0</v>
      </c>
      <c r="R126" s="127">
        <v>0</v>
      </c>
      <c r="S126" s="127">
        <v>0</v>
      </c>
      <c r="T126" s="127">
        <v>0</v>
      </c>
      <c r="U126" s="127">
        <v>0</v>
      </c>
      <c r="V126" s="127">
        <v>0</v>
      </c>
      <c r="W126" s="127">
        <v>0</v>
      </c>
      <c r="X126" s="127">
        <v>0</v>
      </c>
      <c r="Y126" s="127">
        <v>0</v>
      </c>
      <c r="Z126" s="127">
        <v>0</v>
      </c>
      <c r="AA126" s="127">
        <v>0</v>
      </c>
      <c r="AB126" s="127">
        <v>0</v>
      </c>
      <c r="AC126" s="127">
        <v>0</v>
      </c>
      <c r="AD126" s="127">
        <v>0</v>
      </c>
      <c r="AE126" s="127">
        <v>0</v>
      </c>
      <c r="AF126" s="127">
        <v>0.28000000000000003</v>
      </c>
      <c r="AG126" s="127">
        <v>0.28000000000000003</v>
      </c>
      <c r="AH126" s="127">
        <v>0.28000000000000003</v>
      </c>
      <c r="AI126" s="127">
        <v>0.28000000000000003</v>
      </c>
      <c r="AJ126" s="127">
        <v>0.28000000000000003</v>
      </c>
      <c r="AK126" s="127">
        <v>0.28000000000000003</v>
      </c>
      <c r="AL126" s="127">
        <v>0.28000000000000003</v>
      </c>
      <c r="AM126" s="127">
        <v>0.28000000000000003</v>
      </c>
      <c r="AN126" s="127">
        <v>0.4</v>
      </c>
      <c r="AO126" s="127">
        <v>0.43</v>
      </c>
      <c r="AP126" s="127">
        <v>0.67</v>
      </c>
      <c r="AQ126" s="127">
        <v>0.67</v>
      </c>
      <c r="AR126" s="127">
        <v>0.67</v>
      </c>
      <c r="AS126" s="127">
        <v>0.73000000000000009</v>
      </c>
      <c r="AT126" s="127">
        <v>0.73000000000000009</v>
      </c>
      <c r="AU126" s="127">
        <v>0.73000000000000009</v>
      </c>
      <c r="AV126" s="127">
        <v>0.83000000000000007</v>
      </c>
      <c r="AW126" s="127">
        <v>0.83000000000000007</v>
      </c>
      <c r="AX126" s="127">
        <v>0.83000000000000007</v>
      </c>
      <c r="AY126" s="127">
        <v>0.83000000000000007</v>
      </c>
      <c r="AZ126" s="127">
        <v>0.83000000000000007</v>
      </c>
      <c r="BA126" s="127">
        <v>0.83000000000000007</v>
      </c>
      <c r="BB126" s="127">
        <f>Planbase100[[#This Row],[05/05/25]]+(1-Planbase100[[#This Row],[05/05/25]])*'Plan 39'!I80</f>
        <v>0.83000000000000007</v>
      </c>
      <c r="BC126" s="127">
        <f>Planbase100[[#This Row],[05/05/25]]+(1-Planbase100[[#This Row],[05/05/25]])*'Plan 39'!J80</f>
        <v>0.83000000000000007</v>
      </c>
      <c r="BD126" s="127">
        <f>Planbase100[[#This Row],[05/05/25]]+(1-Planbase100[[#This Row],[05/05/25]])*'Plan 39'!K80</f>
        <v>0.83000000000000007</v>
      </c>
      <c r="BE126" s="127">
        <f>Planbase100[[#This Row],[05/05/25]]+(1-Planbase100[[#This Row],[05/05/25]])*'Plan 39'!L80</f>
        <v>0.83000000000000007</v>
      </c>
      <c r="BF126" s="127">
        <f>Planbase100[[#This Row],[05/05/25]]+(1-Planbase100[[#This Row],[05/05/25]])*'Plan 39'!M80</f>
        <v>0.83000000000000007</v>
      </c>
      <c r="BG126" s="127">
        <f>Planbase100[[#This Row],[05/05/25]]+(1-Planbase100[[#This Row],[05/05/25]])*'Plan 39'!N80</f>
        <v>0.83000000000000007</v>
      </c>
      <c r="BH126" s="127">
        <f>Planbase100[[#This Row],[05/05/25]]+(1-Planbase100[[#This Row],[05/05/25]])*'Plan 39'!O80</f>
        <v>0.83000000000000007</v>
      </c>
      <c r="BI126" s="127">
        <f>Planbase100[[#This Row],[05/05/25]]+(1-Planbase100[[#This Row],[05/05/25]])*'Plan 39'!P80</f>
        <v>0.83000000000000007</v>
      </c>
      <c r="BJ126" s="127">
        <f>Planbase100[[#This Row],[05/05/25]]+(1-Planbase100[[#This Row],[05/05/25]])*'Plan 39'!Q80</f>
        <v>0.83000000000000007</v>
      </c>
      <c r="BK126" s="127">
        <f>Planbase100[[#This Row],[05/05/25]]+(1-Planbase100[[#This Row],[05/05/25]])*'Plan 39'!R80</f>
        <v>0.83000000000000007</v>
      </c>
      <c r="BL126" s="127">
        <f>Planbase100[[#This Row],[05/05/25]]+(1-Planbase100[[#This Row],[05/05/25]])*'Plan 39'!S80</f>
        <v>0.83000000000000007</v>
      </c>
      <c r="BM126" s="127">
        <f>Planbase100[[#This Row],[05/05/25]]+(1-Planbase100[[#This Row],[05/05/25]])*'Plan 39'!T80</f>
        <v>0.83000000000000007</v>
      </c>
      <c r="BN126" s="127">
        <f>Planbase100[[#This Row],[05/05/25]]+(1-Planbase100[[#This Row],[05/05/25]])*'Plan 39'!U80</f>
        <v>0.83000000000000007</v>
      </c>
      <c r="BO126" s="127">
        <f>Planbase100[[#This Row],[05/05/25]]+(1-Planbase100[[#This Row],[05/05/25]])*'Plan 39'!V80</f>
        <v>0.83000000000000007</v>
      </c>
      <c r="BP126" s="127">
        <f>Planbase100[[#This Row],[05/05/25]]+(1-Planbase100[[#This Row],[05/05/25]])*'Plan 39'!W80</f>
        <v>0.83000000000000007</v>
      </c>
      <c r="BQ126" s="127">
        <f>Planbase100[[#This Row],[05/05/25]]+(1-Planbase100[[#This Row],[05/05/25]])*'Plan 39'!X80</f>
        <v>0.83000000000000007</v>
      </c>
      <c r="BR126" s="127">
        <f>Planbase100[[#This Row],[05/05/25]]+(1-Planbase100[[#This Row],[05/05/25]])*'Plan 39'!Y80</f>
        <v>0.83000000000000007</v>
      </c>
      <c r="BS126" s="127">
        <f>Planbase100[[#This Row],[05/05/25]]+(1-Planbase100[[#This Row],[05/05/25]])*'Plan 39'!Z80</f>
        <v>0.83000000000000007</v>
      </c>
      <c r="BT126" s="127">
        <f>Planbase100[[#This Row],[05/05/25]]+(1-Planbase100[[#This Row],[05/05/25]])*'Plan 39'!AA80</f>
        <v>0.83000000000000007</v>
      </c>
      <c r="BU126" s="127">
        <f>Planbase100[[#This Row],[05/05/25]]+(1-Planbase100[[#This Row],[05/05/25]])*'Plan 39'!AB80</f>
        <v>0.83000000000000007</v>
      </c>
      <c r="BV126" s="127">
        <f>Planbase100[[#This Row],[05/05/25]]+(1-Planbase100[[#This Row],[05/05/25]])*'Plan 39'!AC80</f>
        <v>0.83000000000000007</v>
      </c>
      <c r="BW126" s="127">
        <f>Planbase100[[#This Row],[05/05/25]]+(1-Planbase100[[#This Row],[05/05/25]])*'Plan 39'!AD80</f>
        <v>0.83000000000000007</v>
      </c>
      <c r="BX126" s="127">
        <f>Planbase100[[#This Row],[05/05/25]]+(1-Planbase100[[#This Row],[05/05/25]])*'Plan 39'!AE80</f>
        <v>0.83000000000000007</v>
      </c>
      <c r="BY126" s="127">
        <f>Planbase100[[#This Row],[05/05/25]]+(1-Planbase100[[#This Row],[05/05/25]])*'Plan 39'!AF80</f>
        <v>0.83000000000000007</v>
      </c>
      <c r="BZ126" s="127">
        <f>Planbase100[[#This Row],[05/05/25]]+(1-Planbase100[[#This Row],[05/05/25]])*'Plan 39'!AG80</f>
        <v>0.83000000000000007</v>
      </c>
      <c r="CA126" s="127">
        <f>Planbase100[[#This Row],[05/05/25]]+(1-Planbase100[[#This Row],[05/05/25]])*'Plan 39'!AH80</f>
        <v>0.85125000000000006</v>
      </c>
      <c r="CB126" s="127">
        <f>Planbase100[[#This Row],[05/05/25]]+(1-Planbase100[[#This Row],[05/05/25]])*'Plan 39'!AI80</f>
        <v>0.87250000000000005</v>
      </c>
      <c r="CC126" s="127">
        <f>Planbase100[[#This Row],[05/05/25]]+(1-Planbase100[[#This Row],[05/05/25]])*'Plan 39'!AJ80</f>
        <v>0.89375000000000004</v>
      </c>
      <c r="CD126" s="127">
        <f>Planbase100[[#This Row],[05/05/25]]+(1-Planbase100[[#This Row],[05/05/25]])*'Plan 39'!AK80</f>
        <v>0.91500000000000004</v>
      </c>
      <c r="CE126" s="127">
        <f>Planbase100[[#This Row],[05/05/25]]+(1-Planbase100[[#This Row],[05/05/25]])*'Plan 39'!AL80</f>
        <v>0.93625000000000003</v>
      </c>
      <c r="CF126" s="127">
        <f>Planbase100[[#This Row],[05/05/25]]+(1-Planbase100[[#This Row],[05/05/25]])*'Plan 39'!AM80</f>
        <v>0.95750000000000002</v>
      </c>
      <c r="CG126" s="127">
        <f>Planbase100[[#This Row],[05/05/25]]+(1-Planbase100[[#This Row],[05/05/25]])*'Plan 39'!AN80</f>
        <v>0.97875000000000001</v>
      </c>
      <c r="CH126" s="127">
        <f>Planbase100[[#This Row],[05/05/25]]+(1-Planbase100[[#This Row],[05/05/25]])*'Plan 39'!AO80</f>
        <v>1</v>
      </c>
      <c r="CI126" s="127">
        <f>Planbase100[[#This Row],[05/05/25]]+(1-Planbase100[[#This Row],[05/05/25]])*'Plan 39'!AP80</f>
        <v>1</v>
      </c>
      <c r="CJ126" s="127">
        <f>Planbase100[[#This Row],[05/05/25]]+(1-Planbase100[[#This Row],[05/05/25]])*'Plan 39'!AQ80</f>
        <v>1</v>
      </c>
      <c r="CK126" s="127">
        <f>Planbase100[[#This Row],[05/05/25]]+(1-Planbase100[[#This Row],[05/05/25]])*'Plan 39'!AR80</f>
        <v>1</v>
      </c>
      <c r="CL126" s="127">
        <f>Planbase100[[#This Row],[05/05/25]]+(1-Planbase100[[#This Row],[05/05/25]])*'Plan 39'!AS80</f>
        <v>1</v>
      </c>
      <c r="CM126" s="127">
        <f>Planbase100[[#This Row],[05/05/25]]+(1-Planbase100[[#This Row],[05/05/25]])*'Plan 39'!AT80</f>
        <v>1</v>
      </c>
      <c r="CN126" s="127">
        <f>Planbase100[[#This Row],[05/05/25]]+(1-Planbase100[[#This Row],[05/05/25]])*'Plan 39'!AU80</f>
        <v>1</v>
      </c>
      <c r="CO126" s="127">
        <f>Planbase100[[#This Row],[05/05/25]]+(1-Planbase100[[#This Row],[05/05/25]])*'Plan 39'!AV80</f>
        <v>1</v>
      </c>
      <c r="CP126" s="127">
        <f>Planbase100[[#This Row],[05/05/25]]+(1-Planbase100[[#This Row],[05/05/25]])*'Plan 39'!AW80</f>
        <v>1</v>
      </c>
      <c r="CQ126" s="127">
        <f>Planbase100[[#This Row],[05/05/25]]+(1-Planbase100[[#This Row],[05/05/25]])*'Plan 39'!AX80</f>
        <v>1</v>
      </c>
      <c r="CR126" s="127">
        <f>Planbase100[[#This Row],[05/05/25]]+(1-Planbase100[[#This Row],[05/05/25]])*'Plan 39'!AY80</f>
        <v>1</v>
      </c>
      <c r="CS126" s="127">
        <f>Planbase100[[#This Row],[05/05/25]]+(1-Planbase100[[#This Row],[05/05/25]])*'Plan 39'!AZ80</f>
        <v>1</v>
      </c>
      <c r="CT126" s="127">
        <f>Planbase100[[#This Row],[05/05/25]]+(1-Planbase100[[#This Row],[05/05/25]])*'Plan 39'!BA80</f>
        <v>1</v>
      </c>
      <c r="CU126" s="127">
        <f>Planbase100[[#This Row],[05/05/25]]+(1-Planbase100[[#This Row],[05/05/25]])*'Plan 39'!BB80</f>
        <v>1</v>
      </c>
      <c r="CV126" s="127">
        <f>Planbase100[[#This Row],[05/05/25]]+(1-Planbase100[[#This Row],[05/05/25]])*'Plan 39'!BC80</f>
        <v>1</v>
      </c>
      <c r="CW126" s="127">
        <f>Planbase100[[#This Row],[05/05/25]]+(1-Planbase100[[#This Row],[05/05/25]])*'Plan 39'!BD80</f>
        <v>1</v>
      </c>
      <c r="CX126" s="127">
        <f>Planbase100[[#This Row],[05/05/25]]+(1-Planbase100[[#This Row],[05/05/25]])*'Plan 39'!BE80</f>
        <v>1</v>
      </c>
      <c r="CY126" s="127">
        <f>Planbase100[[#This Row],[05/05/25]]+(1-Planbase100[[#This Row],[05/05/25]])*'Plan 39'!BF80</f>
        <v>1</v>
      </c>
      <c r="CZ126" s="127">
        <f>Planbase100[[#This Row],[05/05/25]]+(1-Planbase100[[#This Row],[05/05/25]])*'Plan 39'!BG80</f>
        <v>1</v>
      </c>
      <c r="DA126" s="127">
        <f>Planbase100[[#This Row],[05/05/25]]+(1-Planbase100[[#This Row],[05/05/25]])*'Plan 39'!BH80</f>
        <v>1</v>
      </c>
      <c r="DB126" s="127">
        <f>Planbase100[[#This Row],[05/05/25]]+(1-Planbase100[[#This Row],[05/05/25]])*'Plan 39'!BI80</f>
        <v>1</v>
      </c>
      <c r="DC126" s="127">
        <f>Planbase100[[#This Row],[05/05/25]]+(1-Planbase100[[#This Row],[05/05/25]])*'Plan 39'!BJ80</f>
        <v>1</v>
      </c>
      <c r="DD126" s="127">
        <f>Planbase100[[#This Row],[05/05/25]]+(1-Planbase100[[#This Row],[05/05/25]])*'Plan 39'!BK80</f>
        <v>1</v>
      </c>
      <c r="DE126" s="127">
        <f>Planbase100[[#This Row],[05/05/25]]+(1-Planbase100[[#This Row],[05/05/25]])*'Plan 39'!BL80</f>
        <v>1</v>
      </c>
      <c r="DF126" s="127">
        <f>Planbase100[[#This Row],[12/05/25]]+(1-Planbase100[[#This Row],[12/05/25]])*'Plan 39'!BM80</f>
        <v>1</v>
      </c>
      <c r="DG126" s="127">
        <f>Planbase100[[#This Row],[19/05/25]]+(1-Planbase100[[#This Row],[19/05/25]])*'Plan 39'!BN80</f>
        <v>1</v>
      </c>
      <c r="DH126" s="127">
        <f>Planbase100[[#This Row],[26/05/25]]+(1-Planbase100[[#This Row],[26/05/25]])*'Plan 39'!BO80</f>
        <v>1</v>
      </c>
      <c r="DI126" s="127">
        <f>Planbase100[[#This Row],[02/06/25]]+(1-Planbase100[[#This Row],[02/06/25]])*'Plan 39'!BP80</f>
        <v>1</v>
      </c>
      <c r="DJ126" s="127">
        <f>Planbase100[[#This Row],[09/06/25]]+(1-Planbase100[[#This Row],[09/06/25]])*'Plan 39'!BQ80</f>
        <v>1</v>
      </c>
      <c r="DK126" s="127">
        <f>Planbase100[[#This Row],[16/06/25]]+(1-Planbase100[[#This Row],[16/06/25]])*'Plan 39'!BR80</f>
        <v>1</v>
      </c>
      <c r="DL126" s="127">
        <f>Planbase100[[#This Row],[23/06/25]]+(1-Planbase100[[#This Row],[23/06/25]])*'Plan 39'!BS80</f>
        <v>1</v>
      </c>
      <c r="DM126" s="127">
        <f>Planbase100[[#This Row],[30/06/25]]+(1-Planbase100[[#This Row],[30/06/25]])*'Plan 39'!BT80</f>
        <v>1</v>
      </c>
      <c r="DN126" s="127">
        <f>Planbase100[[#This Row],[07/07/25]]+(1-Planbase100[[#This Row],[07/07/25]])*'Plan 39'!BU80</f>
        <v>1</v>
      </c>
      <c r="DO126" s="127">
        <f>Planbase100[[#This Row],[14/07/25]]+(1-Planbase100[[#This Row],[14/07/25]])*'Plan 39'!BV80</f>
        <v>1</v>
      </c>
      <c r="DP126" s="127">
        <f>Planbase100[[#This Row],[21/07/25]]+(1-Planbase100[[#This Row],[21/07/25]])*'Plan 39'!BW80</f>
        <v>1</v>
      </c>
      <c r="DQ126" s="127">
        <f>Planbase100[[#This Row],[28/07/25]]+(1-Planbase100[[#This Row],[28/07/25]])*'Plan 39'!BX80</f>
        <v>1</v>
      </c>
      <c r="DR126" s="127">
        <f>Planbase100[[#This Row],[04/08/25]]+(1-Planbase100[[#This Row],[04/08/25]])*'Plan 39'!BY80</f>
        <v>1</v>
      </c>
      <c r="DS126" s="127">
        <f>Planbase100[[#This Row],[11/08/25]]+(1-Planbase100[[#This Row],[11/08/25]])*'Plan 39'!BZ80</f>
        <v>1</v>
      </c>
      <c r="DT126" s="127">
        <f>Planbase100[[#This Row],[18/08/25]]+(1-Planbase100[[#This Row],[18/08/25]])*'Plan 39'!CA80</f>
        <v>1</v>
      </c>
      <c r="DU126" s="127">
        <f>Planbase100[[#This Row],[25/08/25]]+(1-Planbase100[[#This Row],[25/08/25]])*'Plan 39'!CB80</f>
        <v>1</v>
      </c>
      <c r="DV126" s="127">
        <f>Planbase100[[#This Row],[01/09/25]]+(1-Planbase100[[#This Row],[01/09/25]])*'Plan 39'!CC80</f>
        <v>1</v>
      </c>
      <c r="DW126" s="127">
        <f>Planbase100[[#This Row],[08/09/25]]+(1-Planbase100[[#This Row],[08/09/25]])*'Plan 39'!CD80</f>
        <v>1</v>
      </c>
      <c r="DX126" s="127">
        <f>Planbase100[[#This Row],[15/09/25]]+(1-Planbase100[[#This Row],[15/09/25]])*'Plan 39'!CE80</f>
        <v>1</v>
      </c>
      <c r="DY126" s="127">
        <f>Planbase100[[#This Row],[22/09/25]]+(1-Planbase100[[#This Row],[22/09/25]])*'Plan 39'!CF80</f>
        <v>1</v>
      </c>
      <c r="DZ126" s="127">
        <f>Planbase100[[#This Row],[29/09/25]]+(1-Planbase100[[#This Row],[29/09/25]])*'Plan 39'!CG80</f>
        <v>1</v>
      </c>
      <c r="EA126" s="127">
        <f>Planbase100[[#This Row],[06/10/25]]+(1-Planbase100[[#This Row],[06/10/25]])*'Plan 39'!CH80</f>
        <v>1</v>
      </c>
      <c r="EB126" s="127">
        <f>Planbase100[[#This Row],[13/10/25]]+(1-Planbase100[[#This Row],[13/10/25]])*'Plan 39'!CI80</f>
        <v>1</v>
      </c>
      <c r="EC126" s="127">
        <f>Planbase100[[#This Row],[20/10/25]]+(1-Planbase100[[#This Row],[20/10/25]])*'Plan 39'!CJ80</f>
        <v>1</v>
      </c>
      <c r="ED126" s="127">
        <f>Planbase100[[#This Row],[27/10/25]]+(1-Planbase100[[#This Row],[27/10/25]])*'Plan 39'!CK80</f>
        <v>1</v>
      </c>
      <c r="EE126" s="127">
        <f>Planbase100[[#This Row],[03/11/25]]+(1-Planbase100[[#This Row],[03/11/25]])*'Plan 39'!CL80</f>
        <v>1</v>
      </c>
      <c r="EF126" s="127">
        <f>Planbase100[[#This Row],[10/11/25]]+(1-Planbase100[[#This Row],[10/11/25]])*'Plan 39'!CM80</f>
        <v>1</v>
      </c>
      <c r="EG126" s="127">
        <f>Planbase100[[#This Row],[17/11/25]]+(1-Planbase100[[#This Row],[17/11/25]])*'Plan 39'!CN80</f>
        <v>1</v>
      </c>
      <c r="EH126" s="127">
        <f>Planbase100[[#This Row],[24/11/25]]+(1-Planbase100[[#This Row],[24/11/25]])*'Plan 39'!CO80</f>
        <v>1</v>
      </c>
      <c r="EI126" s="127">
        <f>Planbase100[[#This Row],[01/12/25]]+(1-Planbase100[[#This Row],[01/12/25]])*'Plan 39'!CP80</f>
        <v>1</v>
      </c>
    </row>
    <row r="127" spans="2:139" hidden="1" outlineLevel="3" x14ac:dyDescent="0.3">
      <c r="B127" s="29"/>
      <c r="C127" s="30"/>
      <c r="D127" s="30"/>
      <c r="E127" s="52" t="s">
        <v>131</v>
      </c>
      <c r="F127" s="33">
        <v>5</v>
      </c>
      <c r="G127" s="35">
        <v>0.11111111111111113</v>
      </c>
      <c r="H127" s="53"/>
      <c r="I127" s="126">
        <v>0</v>
      </c>
      <c r="J127" s="127">
        <v>0</v>
      </c>
      <c r="K127" s="127">
        <v>0</v>
      </c>
      <c r="L127" s="127">
        <v>0</v>
      </c>
      <c r="M127" s="128">
        <v>0</v>
      </c>
      <c r="N127" s="128">
        <v>0</v>
      </c>
      <c r="O127" s="127">
        <v>0</v>
      </c>
      <c r="P127" s="127">
        <v>0</v>
      </c>
      <c r="Q127" s="127">
        <v>0</v>
      </c>
      <c r="R127" s="127">
        <v>0</v>
      </c>
      <c r="S127" s="127">
        <v>0</v>
      </c>
      <c r="T127" s="127">
        <v>0</v>
      </c>
      <c r="U127" s="127">
        <v>0</v>
      </c>
      <c r="V127" s="127">
        <v>0</v>
      </c>
      <c r="W127" s="127">
        <v>0</v>
      </c>
      <c r="X127" s="127">
        <v>0</v>
      </c>
      <c r="Y127" s="127">
        <v>0</v>
      </c>
      <c r="Z127" s="127">
        <v>0</v>
      </c>
      <c r="AA127" s="127">
        <v>0</v>
      </c>
      <c r="AB127" s="127">
        <v>0</v>
      </c>
      <c r="AC127" s="127">
        <v>0</v>
      </c>
      <c r="AD127" s="127">
        <v>0</v>
      </c>
      <c r="AE127" s="127">
        <v>0.28000000000000003</v>
      </c>
      <c r="AF127" s="127">
        <v>0.28000000000000003</v>
      </c>
      <c r="AG127" s="127">
        <v>0.28000000000000003</v>
      </c>
      <c r="AH127" s="127">
        <v>0.28000000000000003</v>
      </c>
      <c r="AI127" s="127">
        <v>0.28000000000000003</v>
      </c>
      <c r="AJ127" s="127">
        <v>0.28000000000000003</v>
      </c>
      <c r="AK127" s="127">
        <v>0.28000000000000003</v>
      </c>
      <c r="AL127" s="127">
        <v>0.28000000000000003</v>
      </c>
      <c r="AM127" s="127">
        <v>0.28000000000000003</v>
      </c>
      <c r="AN127" s="127">
        <v>0.4</v>
      </c>
      <c r="AO127" s="127">
        <v>0.43</v>
      </c>
      <c r="AP127" s="127">
        <v>0.67</v>
      </c>
      <c r="AQ127" s="127">
        <v>0.67</v>
      </c>
      <c r="AR127" s="127">
        <v>0.67</v>
      </c>
      <c r="AS127" s="127">
        <v>0.67</v>
      </c>
      <c r="AT127" s="127">
        <v>0.67</v>
      </c>
      <c r="AU127" s="127">
        <v>0.67</v>
      </c>
      <c r="AV127" s="127">
        <v>0.875</v>
      </c>
      <c r="AW127" s="127">
        <v>0.875</v>
      </c>
      <c r="AX127" s="127">
        <v>0.875</v>
      </c>
      <c r="AY127" s="127">
        <v>0.875</v>
      </c>
      <c r="AZ127" s="127">
        <v>0.875</v>
      </c>
      <c r="BA127" s="127">
        <v>0.875</v>
      </c>
      <c r="BB127" s="127">
        <f>Planbase100[[#This Row],[05/05/25]]+(1-Planbase100[[#This Row],[05/05/25]])*'Plan 39'!I81</f>
        <v>0.875</v>
      </c>
      <c r="BC127" s="127">
        <f>Planbase100[[#This Row],[05/05/25]]+(1-Planbase100[[#This Row],[05/05/25]])*'Plan 39'!J81</f>
        <v>0.875</v>
      </c>
      <c r="BD127" s="127">
        <f>Planbase100[[#This Row],[05/05/25]]+(1-Planbase100[[#This Row],[05/05/25]])*'Plan 39'!K81</f>
        <v>0.875</v>
      </c>
      <c r="BE127" s="127">
        <f>Planbase100[[#This Row],[05/05/25]]+(1-Planbase100[[#This Row],[05/05/25]])*'Plan 39'!L81</f>
        <v>0.875</v>
      </c>
      <c r="BF127" s="127">
        <f>Planbase100[[#This Row],[05/05/25]]+(1-Planbase100[[#This Row],[05/05/25]])*'Plan 39'!M81</f>
        <v>0.875</v>
      </c>
      <c r="BG127" s="127">
        <f>Planbase100[[#This Row],[05/05/25]]+(1-Planbase100[[#This Row],[05/05/25]])*'Plan 39'!N81</f>
        <v>0.875</v>
      </c>
      <c r="BH127" s="127">
        <f>Planbase100[[#This Row],[05/05/25]]+(1-Planbase100[[#This Row],[05/05/25]])*'Plan 39'!O81</f>
        <v>0.875</v>
      </c>
      <c r="BI127" s="127">
        <f>Planbase100[[#This Row],[05/05/25]]+(1-Planbase100[[#This Row],[05/05/25]])*'Plan 39'!P81</f>
        <v>0.875</v>
      </c>
      <c r="BJ127" s="127">
        <f>Planbase100[[#This Row],[05/05/25]]+(1-Planbase100[[#This Row],[05/05/25]])*'Plan 39'!Q81</f>
        <v>0.875</v>
      </c>
      <c r="BK127" s="127">
        <f>Planbase100[[#This Row],[05/05/25]]+(1-Planbase100[[#This Row],[05/05/25]])*'Plan 39'!R81</f>
        <v>0.875</v>
      </c>
      <c r="BL127" s="127">
        <f>Planbase100[[#This Row],[05/05/25]]+(1-Planbase100[[#This Row],[05/05/25]])*'Plan 39'!S81</f>
        <v>0.875</v>
      </c>
      <c r="BM127" s="127">
        <f>Planbase100[[#This Row],[05/05/25]]+(1-Planbase100[[#This Row],[05/05/25]])*'Plan 39'!T81</f>
        <v>0.875</v>
      </c>
      <c r="BN127" s="127">
        <f>Planbase100[[#This Row],[05/05/25]]+(1-Planbase100[[#This Row],[05/05/25]])*'Plan 39'!U81</f>
        <v>0.875</v>
      </c>
      <c r="BO127" s="127">
        <f>Planbase100[[#This Row],[05/05/25]]+(1-Planbase100[[#This Row],[05/05/25]])*'Plan 39'!V81</f>
        <v>0.875</v>
      </c>
      <c r="BP127" s="127">
        <f>Planbase100[[#This Row],[05/05/25]]+(1-Planbase100[[#This Row],[05/05/25]])*'Plan 39'!W81</f>
        <v>0.875</v>
      </c>
      <c r="BQ127" s="127">
        <f>Planbase100[[#This Row],[05/05/25]]+(1-Planbase100[[#This Row],[05/05/25]])*'Plan 39'!X81</f>
        <v>0.875</v>
      </c>
      <c r="BR127" s="127">
        <f>Planbase100[[#This Row],[05/05/25]]+(1-Planbase100[[#This Row],[05/05/25]])*'Plan 39'!Y81</f>
        <v>0.875</v>
      </c>
      <c r="BS127" s="127">
        <f>Planbase100[[#This Row],[05/05/25]]+(1-Planbase100[[#This Row],[05/05/25]])*'Plan 39'!Z81</f>
        <v>0.875</v>
      </c>
      <c r="BT127" s="127">
        <f>Planbase100[[#This Row],[05/05/25]]+(1-Planbase100[[#This Row],[05/05/25]])*'Plan 39'!AA81</f>
        <v>0.875</v>
      </c>
      <c r="BU127" s="127">
        <f>Planbase100[[#This Row],[05/05/25]]+(1-Planbase100[[#This Row],[05/05/25]])*'Plan 39'!AB81</f>
        <v>0.875</v>
      </c>
      <c r="BV127" s="127">
        <f>Planbase100[[#This Row],[05/05/25]]+(1-Planbase100[[#This Row],[05/05/25]])*'Plan 39'!AC81</f>
        <v>0.875</v>
      </c>
      <c r="BW127" s="127">
        <f>Planbase100[[#This Row],[05/05/25]]+(1-Planbase100[[#This Row],[05/05/25]])*'Plan 39'!AD81</f>
        <v>0.875</v>
      </c>
      <c r="BX127" s="127">
        <f>Planbase100[[#This Row],[05/05/25]]+(1-Planbase100[[#This Row],[05/05/25]])*'Plan 39'!AE81</f>
        <v>0.875</v>
      </c>
      <c r="BY127" s="127">
        <f>Planbase100[[#This Row],[05/05/25]]+(1-Planbase100[[#This Row],[05/05/25]])*'Plan 39'!AF81</f>
        <v>0.875</v>
      </c>
      <c r="BZ127" s="127">
        <f>Planbase100[[#This Row],[05/05/25]]+(1-Planbase100[[#This Row],[05/05/25]])*'Plan 39'!AG81</f>
        <v>0.875</v>
      </c>
      <c r="CA127" s="127">
        <f>Planbase100[[#This Row],[05/05/25]]+(1-Planbase100[[#This Row],[05/05/25]])*'Plan 39'!AH81</f>
        <v>0.890625</v>
      </c>
      <c r="CB127" s="127">
        <f>Planbase100[[#This Row],[05/05/25]]+(1-Planbase100[[#This Row],[05/05/25]])*'Plan 39'!AI81</f>
        <v>0.90625</v>
      </c>
      <c r="CC127" s="127">
        <f>Planbase100[[#This Row],[05/05/25]]+(1-Planbase100[[#This Row],[05/05/25]])*'Plan 39'!AJ81</f>
        <v>0.921875</v>
      </c>
      <c r="CD127" s="127">
        <f>Planbase100[[#This Row],[05/05/25]]+(1-Planbase100[[#This Row],[05/05/25]])*'Plan 39'!AK81</f>
        <v>0.9375</v>
      </c>
      <c r="CE127" s="127">
        <f>Planbase100[[#This Row],[05/05/25]]+(1-Planbase100[[#This Row],[05/05/25]])*'Plan 39'!AL81</f>
        <v>0.953125</v>
      </c>
      <c r="CF127" s="127">
        <f>Planbase100[[#This Row],[05/05/25]]+(1-Planbase100[[#This Row],[05/05/25]])*'Plan 39'!AM81</f>
        <v>0.96875</v>
      </c>
      <c r="CG127" s="127">
        <f>Planbase100[[#This Row],[05/05/25]]+(1-Planbase100[[#This Row],[05/05/25]])*'Plan 39'!AN81</f>
        <v>0.984375</v>
      </c>
      <c r="CH127" s="127">
        <f>Planbase100[[#This Row],[05/05/25]]+(1-Planbase100[[#This Row],[05/05/25]])*'Plan 39'!AO81</f>
        <v>1</v>
      </c>
      <c r="CI127" s="127">
        <f>Planbase100[[#This Row],[05/05/25]]+(1-Planbase100[[#This Row],[05/05/25]])*'Plan 39'!AP81</f>
        <v>1</v>
      </c>
      <c r="CJ127" s="127">
        <f>Planbase100[[#This Row],[05/05/25]]+(1-Planbase100[[#This Row],[05/05/25]])*'Plan 39'!AQ81</f>
        <v>1</v>
      </c>
      <c r="CK127" s="127">
        <f>Planbase100[[#This Row],[05/05/25]]+(1-Planbase100[[#This Row],[05/05/25]])*'Plan 39'!AR81</f>
        <v>1</v>
      </c>
      <c r="CL127" s="127">
        <f>Planbase100[[#This Row],[05/05/25]]+(1-Planbase100[[#This Row],[05/05/25]])*'Plan 39'!AS81</f>
        <v>1</v>
      </c>
      <c r="CM127" s="127">
        <f>Planbase100[[#This Row],[05/05/25]]+(1-Planbase100[[#This Row],[05/05/25]])*'Plan 39'!AT81</f>
        <v>1</v>
      </c>
      <c r="CN127" s="127">
        <f>Planbase100[[#This Row],[05/05/25]]+(1-Planbase100[[#This Row],[05/05/25]])*'Plan 39'!AU81</f>
        <v>1</v>
      </c>
      <c r="CO127" s="127">
        <f>Planbase100[[#This Row],[05/05/25]]+(1-Planbase100[[#This Row],[05/05/25]])*'Plan 39'!AV81</f>
        <v>1</v>
      </c>
      <c r="CP127" s="127">
        <f>Planbase100[[#This Row],[05/05/25]]+(1-Planbase100[[#This Row],[05/05/25]])*'Plan 39'!AW81</f>
        <v>1</v>
      </c>
      <c r="CQ127" s="127">
        <f>Planbase100[[#This Row],[05/05/25]]+(1-Planbase100[[#This Row],[05/05/25]])*'Plan 39'!AX81</f>
        <v>1</v>
      </c>
      <c r="CR127" s="127">
        <f>Planbase100[[#This Row],[05/05/25]]+(1-Planbase100[[#This Row],[05/05/25]])*'Plan 39'!AY81</f>
        <v>1</v>
      </c>
      <c r="CS127" s="127">
        <f>Planbase100[[#This Row],[05/05/25]]+(1-Planbase100[[#This Row],[05/05/25]])*'Plan 39'!AZ81</f>
        <v>1</v>
      </c>
      <c r="CT127" s="127">
        <f>Planbase100[[#This Row],[05/05/25]]+(1-Planbase100[[#This Row],[05/05/25]])*'Plan 39'!BA81</f>
        <v>1</v>
      </c>
      <c r="CU127" s="127">
        <f>Planbase100[[#This Row],[05/05/25]]+(1-Planbase100[[#This Row],[05/05/25]])*'Plan 39'!BB81</f>
        <v>1</v>
      </c>
      <c r="CV127" s="127">
        <f>Planbase100[[#This Row],[05/05/25]]+(1-Planbase100[[#This Row],[05/05/25]])*'Plan 39'!BC81</f>
        <v>1</v>
      </c>
      <c r="CW127" s="127">
        <f>Planbase100[[#This Row],[05/05/25]]+(1-Planbase100[[#This Row],[05/05/25]])*'Plan 39'!BD81</f>
        <v>1</v>
      </c>
      <c r="CX127" s="127">
        <f>Planbase100[[#This Row],[05/05/25]]+(1-Planbase100[[#This Row],[05/05/25]])*'Plan 39'!BE81</f>
        <v>1</v>
      </c>
      <c r="CY127" s="127">
        <f>Planbase100[[#This Row],[05/05/25]]+(1-Planbase100[[#This Row],[05/05/25]])*'Plan 39'!BF81</f>
        <v>1</v>
      </c>
      <c r="CZ127" s="127">
        <f>Planbase100[[#This Row],[05/05/25]]+(1-Planbase100[[#This Row],[05/05/25]])*'Plan 39'!BG81</f>
        <v>1</v>
      </c>
      <c r="DA127" s="127">
        <f>Planbase100[[#This Row],[05/05/25]]+(1-Planbase100[[#This Row],[05/05/25]])*'Plan 39'!BH81</f>
        <v>1</v>
      </c>
      <c r="DB127" s="127">
        <f>Planbase100[[#This Row],[05/05/25]]+(1-Planbase100[[#This Row],[05/05/25]])*'Plan 39'!BI81</f>
        <v>1</v>
      </c>
      <c r="DC127" s="127">
        <f>Planbase100[[#This Row],[05/05/25]]+(1-Planbase100[[#This Row],[05/05/25]])*'Plan 39'!BJ81</f>
        <v>1</v>
      </c>
      <c r="DD127" s="127">
        <f>Planbase100[[#This Row],[05/05/25]]+(1-Planbase100[[#This Row],[05/05/25]])*'Plan 39'!BK81</f>
        <v>1</v>
      </c>
      <c r="DE127" s="127">
        <f>Planbase100[[#This Row],[05/05/25]]+(1-Planbase100[[#This Row],[05/05/25]])*'Plan 39'!BL81</f>
        <v>1</v>
      </c>
      <c r="DF127" s="127">
        <f>Planbase100[[#This Row],[12/05/25]]+(1-Planbase100[[#This Row],[12/05/25]])*'Plan 39'!BM81</f>
        <v>1</v>
      </c>
      <c r="DG127" s="127">
        <f>Planbase100[[#This Row],[19/05/25]]+(1-Planbase100[[#This Row],[19/05/25]])*'Plan 39'!BN81</f>
        <v>1</v>
      </c>
      <c r="DH127" s="127">
        <f>Planbase100[[#This Row],[26/05/25]]+(1-Planbase100[[#This Row],[26/05/25]])*'Plan 39'!BO81</f>
        <v>1</v>
      </c>
      <c r="DI127" s="127">
        <f>Planbase100[[#This Row],[02/06/25]]+(1-Planbase100[[#This Row],[02/06/25]])*'Plan 39'!BP81</f>
        <v>1</v>
      </c>
      <c r="DJ127" s="127">
        <f>Planbase100[[#This Row],[09/06/25]]+(1-Planbase100[[#This Row],[09/06/25]])*'Plan 39'!BQ81</f>
        <v>1</v>
      </c>
      <c r="DK127" s="127">
        <f>Planbase100[[#This Row],[16/06/25]]+(1-Planbase100[[#This Row],[16/06/25]])*'Plan 39'!BR81</f>
        <v>1</v>
      </c>
      <c r="DL127" s="127">
        <f>Planbase100[[#This Row],[23/06/25]]+(1-Planbase100[[#This Row],[23/06/25]])*'Plan 39'!BS81</f>
        <v>1</v>
      </c>
      <c r="DM127" s="127">
        <f>Planbase100[[#This Row],[30/06/25]]+(1-Planbase100[[#This Row],[30/06/25]])*'Plan 39'!BT81</f>
        <v>1</v>
      </c>
      <c r="DN127" s="127">
        <f>Planbase100[[#This Row],[07/07/25]]+(1-Planbase100[[#This Row],[07/07/25]])*'Plan 39'!BU81</f>
        <v>1</v>
      </c>
      <c r="DO127" s="127">
        <f>Planbase100[[#This Row],[14/07/25]]+(1-Planbase100[[#This Row],[14/07/25]])*'Plan 39'!BV81</f>
        <v>1</v>
      </c>
      <c r="DP127" s="127">
        <f>Planbase100[[#This Row],[21/07/25]]+(1-Planbase100[[#This Row],[21/07/25]])*'Plan 39'!BW81</f>
        <v>1</v>
      </c>
      <c r="DQ127" s="127">
        <f>Planbase100[[#This Row],[28/07/25]]+(1-Planbase100[[#This Row],[28/07/25]])*'Plan 39'!BX81</f>
        <v>1</v>
      </c>
      <c r="DR127" s="127">
        <f>Planbase100[[#This Row],[04/08/25]]+(1-Planbase100[[#This Row],[04/08/25]])*'Plan 39'!BY81</f>
        <v>1</v>
      </c>
      <c r="DS127" s="127">
        <f>Planbase100[[#This Row],[11/08/25]]+(1-Planbase100[[#This Row],[11/08/25]])*'Plan 39'!BZ81</f>
        <v>1</v>
      </c>
      <c r="DT127" s="127">
        <f>Planbase100[[#This Row],[18/08/25]]+(1-Planbase100[[#This Row],[18/08/25]])*'Plan 39'!CA81</f>
        <v>1</v>
      </c>
      <c r="DU127" s="127">
        <f>Planbase100[[#This Row],[25/08/25]]+(1-Planbase100[[#This Row],[25/08/25]])*'Plan 39'!CB81</f>
        <v>1</v>
      </c>
      <c r="DV127" s="127">
        <f>Planbase100[[#This Row],[01/09/25]]+(1-Planbase100[[#This Row],[01/09/25]])*'Plan 39'!CC81</f>
        <v>1</v>
      </c>
      <c r="DW127" s="127">
        <f>Planbase100[[#This Row],[08/09/25]]+(1-Planbase100[[#This Row],[08/09/25]])*'Plan 39'!CD81</f>
        <v>1</v>
      </c>
      <c r="DX127" s="127">
        <f>Planbase100[[#This Row],[15/09/25]]+(1-Planbase100[[#This Row],[15/09/25]])*'Plan 39'!CE81</f>
        <v>1</v>
      </c>
      <c r="DY127" s="127">
        <f>Planbase100[[#This Row],[22/09/25]]+(1-Planbase100[[#This Row],[22/09/25]])*'Plan 39'!CF81</f>
        <v>1</v>
      </c>
      <c r="DZ127" s="127">
        <f>Planbase100[[#This Row],[29/09/25]]+(1-Planbase100[[#This Row],[29/09/25]])*'Plan 39'!CG81</f>
        <v>1</v>
      </c>
      <c r="EA127" s="127">
        <f>Planbase100[[#This Row],[06/10/25]]+(1-Planbase100[[#This Row],[06/10/25]])*'Plan 39'!CH81</f>
        <v>1</v>
      </c>
      <c r="EB127" s="127">
        <f>Planbase100[[#This Row],[13/10/25]]+(1-Planbase100[[#This Row],[13/10/25]])*'Plan 39'!CI81</f>
        <v>1</v>
      </c>
      <c r="EC127" s="127">
        <f>Planbase100[[#This Row],[20/10/25]]+(1-Planbase100[[#This Row],[20/10/25]])*'Plan 39'!CJ81</f>
        <v>1</v>
      </c>
      <c r="ED127" s="127">
        <f>Planbase100[[#This Row],[27/10/25]]+(1-Planbase100[[#This Row],[27/10/25]])*'Plan 39'!CK81</f>
        <v>1</v>
      </c>
      <c r="EE127" s="127">
        <f>Planbase100[[#This Row],[03/11/25]]+(1-Planbase100[[#This Row],[03/11/25]])*'Plan 39'!CL81</f>
        <v>1</v>
      </c>
      <c r="EF127" s="127">
        <f>Planbase100[[#This Row],[10/11/25]]+(1-Planbase100[[#This Row],[10/11/25]])*'Plan 39'!CM81</f>
        <v>1</v>
      </c>
      <c r="EG127" s="127">
        <f>Planbase100[[#This Row],[17/11/25]]+(1-Planbase100[[#This Row],[17/11/25]])*'Plan 39'!CN81</f>
        <v>1</v>
      </c>
      <c r="EH127" s="127">
        <f>Planbase100[[#This Row],[24/11/25]]+(1-Planbase100[[#This Row],[24/11/25]])*'Plan 39'!CO81</f>
        <v>1</v>
      </c>
      <c r="EI127" s="127">
        <f>Planbase100[[#This Row],[01/12/25]]+(1-Planbase100[[#This Row],[01/12/25]])*'Plan 39'!CP81</f>
        <v>1</v>
      </c>
    </row>
    <row r="128" spans="2:139" hidden="1" outlineLevel="3" x14ac:dyDescent="0.3">
      <c r="B128" s="29"/>
      <c r="C128" s="30"/>
      <c r="D128" s="30"/>
      <c r="E128" s="52" t="s">
        <v>132</v>
      </c>
      <c r="F128" s="33">
        <v>5</v>
      </c>
      <c r="G128" s="35">
        <v>0.22222222222222227</v>
      </c>
      <c r="H128" s="53"/>
      <c r="I128" s="126">
        <v>0</v>
      </c>
      <c r="J128" s="127">
        <v>0</v>
      </c>
      <c r="K128" s="127">
        <v>0</v>
      </c>
      <c r="L128" s="127">
        <v>0</v>
      </c>
      <c r="M128" s="128">
        <v>0</v>
      </c>
      <c r="N128" s="128">
        <v>0</v>
      </c>
      <c r="O128" s="127">
        <v>0</v>
      </c>
      <c r="P128" s="127">
        <v>0</v>
      </c>
      <c r="Q128" s="127">
        <v>0</v>
      </c>
      <c r="R128" s="127">
        <v>0</v>
      </c>
      <c r="S128" s="127">
        <v>0</v>
      </c>
      <c r="T128" s="127">
        <v>0</v>
      </c>
      <c r="U128" s="127">
        <v>0</v>
      </c>
      <c r="V128" s="127">
        <v>0</v>
      </c>
      <c r="W128" s="127">
        <v>0</v>
      </c>
      <c r="X128" s="127">
        <v>0</v>
      </c>
      <c r="Y128" s="127">
        <v>0</v>
      </c>
      <c r="Z128" s="127">
        <v>0</v>
      </c>
      <c r="AA128" s="127">
        <v>0</v>
      </c>
      <c r="AB128" s="127">
        <v>0</v>
      </c>
      <c r="AC128" s="127">
        <v>0</v>
      </c>
      <c r="AD128" s="127">
        <v>0.28000000000000003</v>
      </c>
      <c r="AE128" s="127">
        <v>0.28300000000000003</v>
      </c>
      <c r="AF128" s="127">
        <v>0.28300000000000003</v>
      </c>
      <c r="AG128" s="127">
        <v>0.28300000000000003</v>
      </c>
      <c r="AH128" s="127">
        <v>0.28300000000000003</v>
      </c>
      <c r="AI128" s="127">
        <v>0.28300000000000003</v>
      </c>
      <c r="AJ128" s="127">
        <v>0.28300000000000003</v>
      </c>
      <c r="AK128" s="127">
        <v>0.28300000000000003</v>
      </c>
      <c r="AL128" s="127">
        <v>0.28300000000000003</v>
      </c>
      <c r="AM128" s="127">
        <v>0.28300000000000003</v>
      </c>
      <c r="AN128" s="127">
        <v>0.40300000000000002</v>
      </c>
      <c r="AO128" s="127">
        <v>0.433</v>
      </c>
      <c r="AP128" s="127">
        <v>0.67</v>
      </c>
      <c r="AQ128" s="127">
        <v>0.70000000000000007</v>
      </c>
      <c r="AR128" s="127">
        <v>0.70000000000000007</v>
      </c>
      <c r="AS128" s="127">
        <v>0.70000000000000007</v>
      </c>
      <c r="AT128" s="127">
        <v>0.73000000000000009</v>
      </c>
      <c r="AU128" s="127">
        <v>0.73000000000000009</v>
      </c>
      <c r="AV128" s="127">
        <v>0.73000000000000009</v>
      </c>
      <c r="AW128" s="127">
        <v>0.73000000000000009</v>
      </c>
      <c r="AX128" s="127">
        <v>0.73000000000000009</v>
      </c>
      <c r="AY128" s="127">
        <v>0.73000000000000009</v>
      </c>
      <c r="AZ128" s="127">
        <v>0.73000000000000009</v>
      </c>
      <c r="BA128" s="127">
        <v>0.73000000000000009</v>
      </c>
      <c r="BB128" s="127">
        <f>Planbase100[[#This Row],[05/05/25]]+(1-Planbase100[[#This Row],[05/05/25]])*'Plan 39'!I82</f>
        <v>0.73000000000000009</v>
      </c>
      <c r="BC128" s="127">
        <f>Planbase100[[#This Row],[05/05/25]]+(1-Planbase100[[#This Row],[05/05/25]])*'Plan 39'!J82</f>
        <v>0.73000000000000009</v>
      </c>
      <c r="BD128" s="127">
        <f>Planbase100[[#This Row],[05/05/25]]+(1-Planbase100[[#This Row],[05/05/25]])*'Plan 39'!K82</f>
        <v>0.73000000000000009</v>
      </c>
      <c r="BE128" s="127">
        <f>Planbase100[[#This Row],[05/05/25]]+(1-Planbase100[[#This Row],[05/05/25]])*'Plan 39'!L82</f>
        <v>0.73000000000000009</v>
      </c>
      <c r="BF128" s="127">
        <f>Planbase100[[#This Row],[05/05/25]]+(1-Planbase100[[#This Row],[05/05/25]])*'Plan 39'!M82</f>
        <v>0.73000000000000009</v>
      </c>
      <c r="BG128" s="127">
        <f>Planbase100[[#This Row],[05/05/25]]+(1-Planbase100[[#This Row],[05/05/25]])*'Plan 39'!N82</f>
        <v>0.73000000000000009</v>
      </c>
      <c r="BH128" s="127">
        <f>Planbase100[[#This Row],[05/05/25]]+(1-Planbase100[[#This Row],[05/05/25]])*'Plan 39'!O82</f>
        <v>0.73000000000000009</v>
      </c>
      <c r="BI128" s="127">
        <f>Planbase100[[#This Row],[05/05/25]]+(1-Planbase100[[#This Row],[05/05/25]])*'Plan 39'!P82</f>
        <v>0.73000000000000009</v>
      </c>
      <c r="BJ128" s="127">
        <f>Planbase100[[#This Row],[05/05/25]]+(1-Planbase100[[#This Row],[05/05/25]])*'Plan 39'!Q82</f>
        <v>0.73000000000000009</v>
      </c>
      <c r="BK128" s="127">
        <f>Planbase100[[#This Row],[05/05/25]]+(1-Planbase100[[#This Row],[05/05/25]])*'Plan 39'!R82</f>
        <v>0.73000000000000009</v>
      </c>
      <c r="BL128" s="127">
        <f>Planbase100[[#This Row],[05/05/25]]+(1-Planbase100[[#This Row],[05/05/25]])*'Plan 39'!S82</f>
        <v>0.73000000000000009</v>
      </c>
      <c r="BM128" s="127">
        <f>Planbase100[[#This Row],[05/05/25]]+(1-Planbase100[[#This Row],[05/05/25]])*'Plan 39'!T82</f>
        <v>0.73000000000000009</v>
      </c>
      <c r="BN128" s="127">
        <f>Planbase100[[#This Row],[05/05/25]]+(1-Planbase100[[#This Row],[05/05/25]])*'Plan 39'!U82</f>
        <v>0.73000000000000009</v>
      </c>
      <c r="BO128" s="127">
        <f>Planbase100[[#This Row],[05/05/25]]+(1-Planbase100[[#This Row],[05/05/25]])*'Plan 39'!V82</f>
        <v>0.73000000000000009</v>
      </c>
      <c r="BP128" s="127">
        <f>Planbase100[[#This Row],[05/05/25]]+(1-Planbase100[[#This Row],[05/05/25]])*'Plan 39'!W82</f>
        <v>0.73000000000000009</v>
      </c>
      <c r="BQ128" s="127">
        <f>Planbase100[[#This Row],[05/05/25]]+(1-Planbase100[[#This Row],[05/05/25]])*'Plan 39'!X82</f>
        <v>0.73000000000000009</v>
      </c>
      <c r="BR128" s="127">
        <f>Planbase100[[#This Row],[05/05/25]]+(1-Planbase100[[#This Row],[05/05/25]])*'Plan 39'!Y82</f>
        <v>0.73000000000000009</v>
      </c>
      <c r="BS128" s="127">
        <f>Planbase100[[#This Row],[05/05/25]]+(1-Planbase100[[#This Row],[05/05/25]])*'Plan 39'!Z82</f>
        <v>0.73000000000000009</v>
      </c>
      <c r="BT128" s="127">
        <f>Planbase100[[#This Row],[05/05/25]]+(1-Planbase100[[#This Row],[05/05/25]])*'Plan 39'!AA82</f>
        <v>0.73000000000000009</v>
      </c>
      <c r="BU128" s="127">
        <f>Planbase100[[#This Row],[05/05/25]]+(1-Planbase100[[#This Row],[05/05/25]])*'Plan 39'!AB82</f>
        <v>0.73000000000000009</v>
      </c>
      <c r="BV128" s="127">
        <f>Planbase100[[#This Row],[05/05/25]]+(1-Planbase100[[#This Row],[05/05/25]])*'Plan 39'!AC82</f>
        <v>0.73000000000000009</v>
      </c>
      <c r="BW128" s="127">
        <f>Planbase100[[#This Row],[05/05/25]]+(1-Planbase100[[#This Row],[05/05/25]])*'Plan 39'!AD82</f>
        <v>0.73000000000000009</v>
      </c>
      <c r="BX128" s="127">
        <f>Planbase100[[#This Row],[05/05/25]]+(1-Planbase100[[#This Row],[05/05/25]])*'Plan 39'!AE82</f>
        <v>0.73000000000000009</v>
      </c>
      <c r="BY128" s="127">
        <f>Planbase100[[#This Row],[05/05/25]]+(1-Planbase100[[#This Row],[05/05/25]])*'Plan 39'!AF82</f>
        <v>0.73000000000000009</v>
      </c>
      <c r="BZ128" s="127">
        <f>Planbase100[[#This Row],[05/05/25]]+(1-Planbase100[[#This Row],[05/05/25]])*'Plan 39'!AG82</f>
        <v>0.73000000000000009</v>
      </c>
      <c r="CA128" s="127">
        <f>Planbase100[[#This Row],[05/05/25]]+(1-Planbase100[[#This Row],[05/05/25]])*'Plan 39'!AH82</f>
        <v>0.76375000000000004</v>
      </c>
      <c r="CB128" s="127">
        <f>Planbase100[[#This Row],[05/05/25]]+(1-Planbase100[[#This Row],[05/05/25]])*'Plan 39'!AI82</f>
        <v>0.7975000000000001</v>
      </c>
      <c r="CC128" s="127">
        <f>Planbase100[[#This Row],[05/05/25]]+(1-Planbase100[[#This Row],[05/05/25]])*'Plan 39'!AJ82</f>
        <v>0.83125000000000004</v>
      </c>
      <c r="CD128" s="127">
        <f>Planbase100[[#This Row],[05/05/25]]+(1-Planbase100[[#This Row],[05/05/25]])*'Plan 39'!AK82</f>
        <v>0.86499999999999999</v>
      </c>
      <c r="CE128" s="127">
        <f>Planbase100[[#This Row],[05/05/25]]+(1-Planbase100[[#This Row],[05/05/25]])*'Plan 39'!AL82</f>
        <v>0.89875000000000005</v>
      </c>
      <c r="CF128" s="127">
        <f>Planbase100[[#This Row],[05/05/25]]+(1-Planbase100[[#This Row],[05/05/25]])*'Plan 39'!AM82</f>
        <v>0.9325</v>
      </c>
      <c r="CG128" s="127">
        <f>Planbase100[[#This Row],[05/05/25]]+(1-Planbase100[[#This Row],[05/05/25]])*'Plan 39'!AN82</f>
        <v>0.96625000000000005</v>
      </c>
      <c r="CH128" s="127">
        <f>Planbase100[[#This Row],[05/05/25]]+(1-Planbase100[[#This Row],[05/05/25]])*'Plan 39'!AO82</f>
        <v>1</v>
      </c>
      <c r="CI128" s="127">
        <f>Planbase100[[#This Row],[05/05/25]]+(1-Planbase100[[#This Row],[05/05/25]])*'Plan 39'!AP82</f>
        <v>1</v>
      </c>
      <c r="CJ128" s="127">
        <f>Planbase100[[#This Row],[05/05/25]]+(1-Planbase100[[#This Row],[05/05/25]])*'Plan 39'!AQ82</f>
        <v>1</v>
      </c>
      <c r="CK128" s="127">
        <f>Planbase100[[#This Row],[05/05/25]]+(1-Planbase100[[#This Row],[05/05/25]])*'Plan 39'!AR82</f>
        <v>1</v>
      </c>
      <c r="CL128" s="127">
        <f>Planbase100[[#This Row],[05/05/25]]+(1-Planbase100[[#This Row],[05/05/25]])*'Plan 39'!AS82</f>
        <v>1</v>
      </c>
      <c r="CM128" s="127">
        <f>Planbase100[[#This Row],[05/05/25]]+(1-Planbase100[[#This Row],[05/05/25]])*'Plan 39'!AT82</f>
        <v>1</v>
      </c>
      <c r="CN128" s="127">
        <f>Planbase100[[#This Row],[05/05/25]]+(1-Planbase100[[#This Row],[05/05/25]])*'Plan 39'!AU82</f>
        <v>1</v>
      </c>
      <c r="CO128" s="127">
        <f>Planbase100[[#This Row],[05/05/25]]+(1-Planbase100[[#This Row],[05/05/25]])*'Plan 39'!AV82</f>
        <v>1</v>
      </c>
      <c r="CP128" s="127">
        <f>Planbase100[[#This Row],[05/05/25]]+(1-Planbase100[[#This Row],[05/05/25]])*'Plan 39'!AW82</f>
        <v>1</v>
      </c>
      <c r="CQ128" s="127">
        <f>Planbase100[[#This Row],[05/05/25]]+(1-Planbase100[[#This Row],[05/05/25]])*'Plan 39'!AX82</f>
        <v>1</v>
      </c>
      <c r="CR128" s="127">
        <f>Planbase100[[#This Row],[05/05/25]]+(1-Planbase100[[#This Row],[05/05/25]])*'Plan 39'!AY82</f>
        <v>1</v>
      </c>
      <c r="CS128" s="127">
        <f>Planbase100[[#This Row],[05/05/25]]+(1-Planbase100[[#This Row],[05/05/25]])*'Plan 39'!AZ82</f>
        <v>1</v>
      </c>
      <c r="CT128" s="127">
        <f>Planbase100[[#This Row],[05/05/25]]+(1-Planbase100[[#This Row],[05/05/25]])*'Plan 39'!BA82</f>
        <v>1</v>
      </c>
      <c r="CU128" s="127">
        <f>Planbase100[[#This Row],[05/05/25]]+(1-Planbase100[[#This Row],[05/05/25]])*'Plan 39'!BB82</f>
        <v>1</v>
      </c>
      <c r="CV128" s="127">
        <f>Planbase100[[#This Row],[05/05/25]]+(1-Planbase100[[#This Row],[05/05/25]])*'Plan 39'!BC82</f>
        <v>1</v>
      </c>
      <c r="CW128" s="127">
        <f>Planbase100[[#This Row],[05/05/25]]+(1-Planbase100[[#This Row],[05/05/25]])*'Plan 39'!BD82</f>
        <v>1</v>
      </c>
      <c r="CX128" s="127">
        <f>Planbase100[[#This Row],[05/05/25]]+(1-Planbase100[[#This Row],[05/05/25]])*'Plan 39'!BE82</f>
        <v>1</v>
      </c>
      <c r="CY128" s="127">
        <f>Planbase100[[#This Row],[05/05/25]]+(1-Planbase100[[#This Row],[05/05/25]])*'Plan 39'!BF82</f>
        <v>1</v>
      </c>
      <c r="CZ128" s="127">
        <f>Planbase100[[#This Row],[05/05/25]]+(1-Planbase100[[#This Row],[05/05/25]])*'Plan 39'!BG82</f>
        <v>1</v>
      </c>
      <c r="DA128" s="127">
        <f>Planbase100[[#This Row],[05/05/25]]+(1-Planbase100[[#This Row],[05/05/25]])*'Plan 39'!BH82</f>
        <v>1</v>
      </c>
      <c r="DB128" s="127">
        <f>Planbase100[[#This Row],[05/05/25]]+(1-Planbase100[[#This Row],[05/05/25]])*'Plan 39'!BI82</f>
        <v>1</v>
      </c>
      <c r="DC128" s="127">
        <f>Planbase100[[#This Row],[05/05/25]]+(1-Planbase100[[#This Row],[05/05/25]])*'Plan 39'!BJ82</f>
        <v>1</v>
      </c>
      <c r="DD128" s="127">
        <f>Planbase100[[#This Row],[05/05/25]]+(1-Planbase100[[#This Row],[05/05/25]])*'Plan 39'!BK82</f>
        <v>1</v>
      </c>
      <c r="DE128" s="127">
        <f>Planbase100[[#This Row],[05/05/25]]+(1-Planbase100[[#This Row],[05/05/25]])*'Plan 39'!BL82</f>
        <v>1</v>
      </c>
      <c r="DF128" s="127">
        <f>Planbase100[[#This Row],[12/05/25]]+(1-Planbase100[[#This Row],[12/05/25]])*'Plan 39'!BM82</f>
        <v>1</v>
      </c>
      <c r="DG128" s="127">
        <f>Planbase100[[#This Row],[19/05/25]]+(1-Planbase100[[#This Row],[19/05/25]])*'Plan 39'!BN82</f>
        <v>1</v>
      </c>
      <c r="DH128" s="127">
        <f>Planbase100[[#This Row],[26/05/25]]+(1-Planbase100[[#This Row],[26/05/25]])*'Plan 39'!BO82</f>
        <v>1</v>
      </c>
      <c r="DI128" s="127">
        <f>Planbase100[[#This Row],[02/06/25]]+(1-Planbase100[[#This Row],[02/06/25]])*'Plan 39'!BP82</f>
        <v>1</v>
      </c>
      <c r="DJ128" s="127">
        <f>Planbase100[[#This Row],[09/06/25]]+(1-Planbase100[[#This Row],[09/06/25]])*'Plan 39'!BQ82</f>
        <v>1</v>
      </c>
      <c r="DK128" s="127">
        <f>Planbase100[[#This Row],[16/06/25]]+(1-Planbase100[[#This Row],[16/06/25]])*'Plan 39'!BR82</f>
        <v>1</v>
      </c>
      <c r="DL128" s="127">
        <f>Planbase100[[#This Row],[23/06/25]]+(1-Planbase100[[#This Row],[23/06/25]])*'Plan 39'!BS82</f>
        <v>1</v>
      </c>
      <c r="DM128" s="127">
        <f>Planbase100[[#This Row],[30/06/25]]+(1-Planbase100[[#This Row],[30/06/25]])*'Plan 39'!BT82</f>
        <v>1</v>
      </c>
      <c r="DN128" s="127">
        <f>Planbase100[[#This Row],[07/07/25]]+(1-Planbase100[[#This Row],[07/07/25]])*'Plan 39'!BU82</f>
        <v>1</v>
      </c>
      <c r="DO128" s="127">
        <f>Planbase100[[#This Row],[14/07/25]]+(1-Planbase100[[#This Row],[14/07/25]])*'Plan 39'!BV82</f>
        <v>1</v>
      </c>
      <c r="DP128" s="127">
        <f>Planbase100[[#This Row],[21/07/25]]+(1-Planbase100[[#This Row],[21/07/25]])*'Plan 39'!BW82</f>
        <v>1</v>
      </c>
      <c r="DQ128" s="127">
        <f>Planbase100[[#This Row],[28/07/25]]+(1-Planbase100[[#This Row],[28/07/25]])*'Plan 39'!BX82</f>
        <v>1</v>
      </c>
      <c r="DR128" s="127">
        <f>Planbase100[[#This Row],[04/08/25]]+(1-Planbase100[[#This Row],[04/08/25]])*'Plan 39'!BY82</f>
        <v>1</v>
      </c>
      <c r="DS128" s="127">
        <f>Planbase100[[#This Row],[11/08/25]]+(1-Planbase100[[#This Row],[11/08/25]])*'Plan 39'!BZ82</f>
        <v>1</v>
      </c>
      <c r="DT128" s="127">
        <f>Planbase100[[#This Row],[18/08/25]]+(1-Planbase100[[#This Row],[18/08/25]])*'Plan 39'!CA82</f>
        <v>1</v>
      </c>
      <c r="DU128" s="127">
        <f>Planbase100[[#This Row],[25/08/25]]+(1-Planbase100[[#This Row],[25/08/25]])*'Plan 39'!CB82</f>
        <v>1</v>
      </c>
      <c r="DV128" s="127">
        <f>Planbase100[[#This Row],[01/09/25]]+(1-Planbase100[[#This Row],[01/09/25]])*'Plan 39'!CC82</f>
        <v>1</v>
      </c>
      <c r="DW128" s="127">
        <f>Planbase100[[#This Row],[08/09/25]]+(1-Planbase100[[#This Row],[08/09/25]])*'Plan 39'!CD82</f>
        <v>1</v>
      </c>
      <c r="DX128" s="127">
        <f>Planbase100[[#This Row],[15/09/25]]+(1-Planbase100[[#This Row],[15/09/25]])*'Plan 39'!CE82</f>
        <v>1</v>
      </c>
      <c r="DY128" s="127">
        <f>Planbase100[[#This Row],[22/09/25]]+(1-Planbase100[[#This Row],[22/09/25]])*'Plan 39'!CF82</f>
        <v>1</v>
      </c>
      <c r="DZ128" s="127">
        <f>Planbase100[[#This Row],[29/09/25]]+(1-Planbase100[[#This Row],[29/09/25]])*'Plan 39'!CG82</f>
        <v>1</v>
      </c>
      <c r="EA128" s="127">
        <f>Planbase100[[#This Row],[06/10/25]]+(1-Planbase100[[#This Row],[06/10/25]])*'Plan 39'!CH82</f>
        <v>1</v>
      </c>
      <c r="EB128" s="127">
        <f>Planbase100[[#This Row],[13/10/25]]+(1-Planbase100[[#This Row],[13/10/25]])*'Plan 39'!CI82</f>
        <v>1</v>
      </c>
      <c r="EC128" s="127">
        <f>Planbase100[[#This Row],[20/10/25]]+(1-Planbase100[[#This Row],[20/10/25]])*'Plan 39'!CJ82</f>
        <v>1</v>
      </c>
      <c r="ED128" s="127">
        <f>Planbase100[[#This Row],[27/10/25]]+(1-Planbase100[[#This Row],[27/10/25]])*'Plan 39'!CK82</f>
        <v>1</v>
      </c>
      <c r="EE128" s="127">
        <f>Planbase100[[#This Row],[03/11/25]]+(1-Planbase100[[#This Row],[03/11/25]])*'Plan 39'!CL82</f>
        <v>1</v>
      </c>
      <c r="EF128" s="127">
        <f>Planbase100[[#This Row],[10/11/25]]+(1-Planbase100[[#This Row],[10/11/25]])*'Plan 39'!CM82</f>
        <v>1</v>
      </c>
      <c r="EG128" s="127">
        <f>Planbase100[[#This Row],[17/11/25]]+(1-Planbase100[[#This Row],[17/11/25]])*'Plan 39'!CN82</f>
        <v>1</v>
      </c>
      <c r="EH128" s="127">
        <f>Planbase100[[#This Row],[24/11/25]]+(1-Planbase100[[#This Row],[24/11/25]])*'Plan 39'!CO82</f>
        <v>1</v>
      </c>
      <c r="EI128" s="127">
        <f>Planbase100[[#This Row],[01/12/25]]+(1-Planbase100[[#This Row],[01/12/25]])*'Plan 39'!CP82</f>
        <v>1</v>
      </c>
    </row>
    <row r="129" spans="2:139" ht="15" hidden="1" outlineLevel="2" collapsed="1" x14ac:dyDescent="0.3">
      <c r="B129" s="22"/>
      <c r="C129" s="23"/>
      <c r="D129" s="23" t="s">
        <v>133</v>
      </c>
      <c r="E129" s="50"/>
      <c r="F129" s="26">
        <f>+SUM(F130:F132)</f>
        <v>60</v>
      </c>
      <c r="G129" s="28">
        <v>6.964811545081509E-2</v>
      </c>
      <c r="H129" s="51"/>
      <c r="I129" s="125">
        <f>+SUMPRODUCT($G$130:$G$132,I130:I132)</f>
        <v>0</v>
      </c>
      <c r="J129" s="28">
        <f>+SUMPRODUCT($G$130:$G$132,J130:J132)</f>
        <v>0</v>
      </c>
      <c r="K129" s="28">
        <f t="shared" ref="K129:BB129" si="376">+SUMPRODUCT($G$130:$G$132,K130:K132)</f>
        <v>0</v>
      </c>
      <c r="L129" s="28">
        <f t="shared" si="376"/>
        <v>0</v>
      </c>
      <c r="M129" s="64">
        <f t="shared" si="376"/>
        <v>0</v>
      </c>
      <c r="N129" s="64">
        <f t="shared" si="376"/>
        <v>0</v>
      </c>
      <c r="O129" s="28">
        <f t="shared" si="376"/>
        <v>0</v>
      </c>
      <c r="P129" s="28">
        <f t="shared" si="376"/>
        <v>0</v>
      </c>
      <c r="Q129" s="28">
        <f t="shared" si="376"/>
        <v>0</v>
      </c>
      <c r="R129" s="28">
        <f t="shared" si="376"/>
        <v>0</v>
      </c>
      <c r="S129" s="28">
        <f t="shared" si="376"/>
        <v>0</v>
      </c>
      <c r="T129" s="28">
        <f t="shared" si="376"/>
        <v>0</v>
      </c>
      <c r="U129" s="28">
        <f t="shared" si="376"/>
        <v>0</v>
      </c>
      <c r="V129" s="28">
        <f t="shared" si="376"/>
        <v>0</v>
      </c>
      <c r="W129" s="28">
        <f t="shared" si="376"/>
        <v>0</v>
      </c>
      <c r="X129" s="28">
        <f t="shared" si="376"/>
        <v>0</v>
      </c>
      <c r="Y129" s="28">
        <f t="shared" si="376"/>
        <v>0</v>
      </c>
      <c r="Z129" s="28">
        <f t="shared" si="376"/>
        <v>0</v>
      </c>
      <c r="AA129" s="28">
        <f t="shared" si="376"/>
        <v>0</v>
      </c>
      <c r="AB129" s="28">
        <f t="shared" si="376"/>
        <v>0</v>
      </c>
      <c r="AC129" s="28">
        <f t="shared" si="376"/>
        <v>0</v>
      </c>
      <c r="AD129" s="28">
        <f t="shared" si="376"/>
        <v>0</v>
      </c>
      <c r="AE129" s="28">
        <f t="shared" si="376"/>
        <v>0</v>
      </c>
      <c r="AF129" s="28">
        <f t="shared" si="376"/>
        <v>0</v>
      </c>
      <c r="AG129" s="28">
        <f t="shared" si="376"/>
        <v>0</v>
      </c>
      <c r="AH129" s="28">
        <f t="shared" si="376"/>
        <v>8.2240484094211613E-2</v>
      </c>
      <c r="AI129" s="28">
        <f>+SUMPRODUCT($G$130:$G$132,AI130:AI132)</f>
        <v>8.2240484094211613E-2</v>
      </c>
      <c r="AJ129" s="28">
        <f>+SUMPRODUCT($G$130:$G$132,AJ130:AJ132)</f>
        <v>8.2240484094211613E-2</v>
      </c>
      <c r="AK129" s="28">
        <f t="shared" si="376"/>
        <v>9.3340484094211612E-2</v>
      </c>
      <c r="AL129" s="28">
        <f t="shared" si="376"/>
        <v>0.10444048409421161</v>
      </c>
      <c r="AM129" s="28">
        <f t="shared" si="376"/>
        <v>0.10444048409421161</v>
      </c>
      <c r="AN129" s="28">
        <f t="shared" si="376"/>
        <v>0.11554048409421162</v>
      </c>
      <c r="AO129" s="28">
        <f t="shared" si="376"/>
        <v>0.11998048409421162</v>
      </c>
      <c r="AP129" s="28">
        <f t="shared" si="376"/>
        <v>0.12442048409421162</v>
      </c>
      <c r="AQ129" s="28">
        <f t="shared" si="376"/>
        <v>0.12442048409421162</v>
      </c>
      <c r="AR129" s="28">
        <f t="shared" si="376"/>
        <v>0.12442048409421162</v>
      </c>
      <c r="AS129" s="28">
        <f t="shared" si="376"/>
        <v>0.12442048409421162</v>
      </c>
      <c r="AT129" s="28">
        <f t="shared" si="376"/>
        <v>0.12442048409421162</v>
      </c>
      <c r="AU129" s="28">
        <f t="shared" si="376"/>
        <v>0.12442048409421162</v>
      </c>
      <c r="AV129" s="28">
        <f t="shared" si="376"/>
        <v>0.12664048409421161</v>
      </c>
      <c r="AW129" s="28">
        <f t="shared" si="376"/>
        <v>0.12664048409421161</v>
      </c>
      <c r="AX129" s="28">
        <f t="shared" si="376"/>
        <v>0.12664048409421161</v>
      </c>
      <c r="AY129" s="28">
        <f t="shared" si="376"/>
        <v>0.12664048409421161</v>
      </c>
      <c r="AZ129" s="28">
        <f t="shared" si="376"/>
        <v>0.12664048409421161</v>
      </c>
      <c r="BA129" s="28">
        <f t="shared" si="376"/>
        <v>0.12664048409421161</v>
      </c>
      <c r="BB129" s="28">
        <f t="shared" si="376"/>
        <v>0.12664048409421161</v>
      </c>
      <c r="BC129" s="28">
        <f t="shared" ref="BC129:CE129" si="377">+SUMPRODUCT($G$130:$G$132,BC130:BC132)</f>
        <v>0.12664048409421161</v>
      </c>
      <c r="BD129" s="28">
        <f t="shared" si="377"/>
        <v>0.12664048409421161</v>
      </c>
      <c r="BE129" s="28">
        <f t="shared" si="377"/>
        <v>0.12664048409421161</v>
      </c>
      <c r="BF129" s="28">
        <f t="shared" si="377"/>
        <v>0.12664048409421161</v>
      </c>
      <c r="BG129" s="28">
        <f t="shared" si="377"/>
        <v>0.12664048409421161</v>
      </c>
      <c r="BH129" s="28">
        <f t="shared" si="377"/>
        <v>0.12664048409421161</v>
      </c>
      <c r="BI129" s="28">
        <f t="shared" si="377"/>
        <v>0.12664048409421161</v>
      </c>
      <c r="BJ129" s="28">
        <f t="shared" si="377"/>
        <v>0.12664048409421161</v>
      </c>
      <c r="BK129" s="28">
        <f t="shared" si="377"/>
        <v>0.12664048409421161</v>
      </c>
      <c r="BL129" s="28">
        <f t="shared" si="377"/>
        <v>0.12664048409421161</v>
      </c>
      <c r="BM129" s="28">
        <f t="shared" si="377"/>
        <v>0.12664048409421161</v>
      </c>
      <c r="BN129" s="28">
        <f t="shared" si="377"/>
        <v>0.12664048409421161</v>
      </c>
      <c r="BO129" s="28">
        <f t="shared" si="377"/>
        <v>0.12664048409421161</v>
      </c>
      <c r="BP129" s="28">
        <f t="shared" si="377"/>
        <v>0.14190298409421162</v>
      </c>
      <c r="BQ129" s="28">
        <f t="shared" si="377"/>
        <v>0.15716548409421163</v>
      </c>
      <c r="BR129" s="28">
        <f t="shared" si="377"/>
        <v>0.17242798409421162</v>
      </c>
      <c r="BS129" s="28">
        <f t="shared" si="377"/>
        <v>0.18769048409421163</v>
      </c>
      <c r="BT129" s="28">
        <f t="shared" si="377"/>
        <v>0.20295298409421161</v>
      </c>
      <c r="BU129" s="28">
        <f t="shared" si="377"/>
        <v>0.21821548409421163</v>
      </c>
      <c r="BV129" s="28">
        <f t="shared" si="377"/>
        <v>0.23347798409421164</v>
      </c>
      <c r="BW129" s="28">
        <f t="shared" si="377"/>
        <v>0.27314792358243517</v>
      </c>
      <c r="BX129" s="28">
        <f t="shared" si="377"/>
        <v>0.29755536307065872</v>
      </c>
      <c r="BY129" s="28">
        <f t="shared" si="377"/>
        <v>0.32196280255888227</v>
      </c>
      <c r="BZ129" s="28">
        <f t="shared" si="377"/>
        <v>0.34637024204710581</v>
      </c>
      <c r="CA129" s="28">
        <f t="shared" si="377"/>
        <v>0.37077768153532936</v>
      </c>
      <c r="CB129" s="28">
        <f t="shared" si="377"/>
        <v>0.39518512102355291</v>
      </c>
      <c r="CC129" s="28">
        <f t="shared" si="377"/>
        <v>0.41959256051177646</v>
      </c>
      <c r="CD129" s="28">
        <f t="shared" si="377"/>
        <v>0.58299999999999996</v>
      </c>
      <c r="CE129" s="28">
        <f t="shared" si="377"/>
        <v>0.72199999999999998</v>
      </c>
      <c r="CF129" s="28">
        <f t="shared" ref="CF129:CI129" si="378">+SUMPRODUCT($G$130:$G$132,CF130:CF132)</f>
        <v>0.86099999999999999</v>
      </c>
      <c r="CG129" s="28">
        <f t="shared" si="378"/>
        <v>1</v>
      </c>
      <c r="CH129" s="28">
        <f t="shared" si="378"/>
        <v>1</v>
      </c>
      <c r="CI129" s="28">
        <f t="shared" si="378"/>
        <v>1</v>
      </c>
      <c r="CJ129" s="28">
        <f t="shared" ref="CJ129:CK129" si="379">+SUMPRODUCT($G$130:$G$132,CJ130:CJ132)</f>
        <v>1</v>
      </c>
      <c r="CK129" s="28">
        <f t="shared" si="379"/>
        <v>1</v>
      </c>
      <c r="CL129" s="28">
        <f t="shared" ref="CL129" si="380">+SUMPRODUCT($G$130:$G$132,CL130:CL132)</f>
        <v>1</v>
      </c>
      <c r="CM129" s="28">
        <f t="shared" ref="CM129:CV129" si="381">+SUMPRODUCT($G$130:$G$132,CM130:CM132)</f>
        <v>1</v>
      </c>
      <c r="CN129" s="28">
        <f t="shared" si="381"/>
        <v>1</v>
      </c>
      <c r="CO129" s="28">
        <f t="shared" si="381"/>
        <v>1</v>
      </c>
      <c r="CP129" s="28">
        <f t="shared" si="381"/>
        <v>1</v>
      </c>
      <c r="CQ129" s="28">
        <f t="shared" si="381"/>
        <v>1</v>
      </c>
      <c r="CR129" s="28">
        <f t="shared" si="381"/>
        <v>1</v>
      </c>
      <c r="CS129" s="28">
        <f t="shared" si="381"/>
        <v>1</v>
      </c>
      <c r="CT129" s="28">
        <f t="shared" si="381"/>
        <v>1</v>
      </c>
      <c r="CU129" s="28">
        <f t="shared" si="381"/>
        <v>1</v>
      </c>
      <c r="CV129" s="28">
        <f t="shared" si="381"/>
        <v>1</v>
      </c>
      <c r="CW129" s="28">
        <f t="shared" ref="CW129" si="382">+SUMPRODUCT($G$130:$G$132,CW130:CW132)</f>
        <v>1</v>
      </c>
      <c r="CX129" s="28">
        <f t="shared" ref="CX129:CY129" si="383">+SUMPRODUCT($G$130:$G$132,CX130:CX132)</f>
        <v>1</v>
      </c>
      <c r="CY129" s="28">
        <f t="shared" si="383"/>
        <v>1</v>
      </c>
      <c r="CZ129" s="28">
        <f t="shared" ref="CZ129:DA129" si="384">+SUMPRODUCT($G$130:$G$132,CZ130:CZ132)</f>
        <v>1</v>
      </c>
      <c r="DA129" s="28">
        <f t="shared" si="384"/>
        <v>1</v>
      </c>
      <c r="DB129" s="28">
        <f t="shared" ref="DB129:DC129" si="385">+SUMPRODUCT($G$130:$G$132,DB130:DB132)</f>
        <v>1</v>
      </c>
      <c r="DC129" s="28">
        <f t="shared" si="385"/>
        <v>1</v>
      </c>
      <c r="DD129" s="28">
        <f t="shared" ref="DD129:DE129" si="386">+SUMPRODUCT($G$130:$G$132,DD130:DD132)</f>
        <v>1</v>
      </c>
      <c r="DE129" s="28">
        <f t="shared" si="386"/>
        <v>1</v>
      </c>
      <c r="DF129" s="28">
        <f t="shared" ref="DF129:DJ129" si="387">+SUMPRODUCT($G$130:$G$132,DF130:DF132)</f>
        <v>1</v>
      </c>
      <c r="DG129" s="28">
        <f t="shared" si="387"/>
        <v>1</v>
      </c>
      <c r="DH129" s="28">
        <f t="shared" si="387"/>
        <v>1</v>
      </c>
      <c r="DI129" s="28">
        <f t="shared" si="387"/>
        <v>1</v>
      </c>
      <c r="DJ129" s="28">
        <f t="shared" si="387"/>
        <v>1</v>
      </c>
      <c r="DK129" s="28">
        <f t="shared" ref="DK129:EI129" si="388">+SUMPRODUCT($G$130:$G$132,DK130:DK132)</f>
        <v>1</v>
      </c>
      <c r="DL129" s="28">
        <f t="shared" si="388"/>
        <v>1</v>
      </c>
      <c r="DM129" s="28">
        <f t="shared" si="388"/>
        <v>1</v>
      </c>
      <c r="DN129" s="28">
        <f t="shared" si="388"/>
        <v>1</v>
      </c>
      <c r="DO129" s="28">
        <f t="shared" si="388"/>
        <v>1</v>
      </c>
      <c r="DP129" s="28">
        <f t="shared" si="388"/>
        <v>1</v>
      </c>
      <c r="DQ129" s="28">
        <f t="shared" si="388"/>
        <v>1</v>
      </c>
      <c r="DR129" s="28">
        <f t="shared" si="388"/>
        <v>1</v>
      </c>
      <c r="DS129" s="28">
        <f t="shared" si="388"/>
        <v>1</v>
      </c>
      <c r="DT129" s="28">
        <f t="shared" si="388"/>
        <v>1</v>
      </c>
      <c r="DU129" s="28">
        <f t="shared" si="388"/>
        <v>1</v>
      </c>
      <c r="DV129" s="28">
        <f t="shared" si="388"/>
        <v>1</v>
      </c>
      <c r="DW129" s="28">
        <f t="shared" si="388"/>
        <v>1</v>
      </c>
      <c r="DX129" s="28">
        <f t="shared" si="388"/>
        <v>1</v>
      </c>
      <c r="DY129" s="28">
        <f t="shared" si="388"/>
        <v>1</v>
      </c>
      <c r="DZ129" s="28">
        <f t="shared" si="388"/>
        <v>1</v>
      </c>
      <c r="EA129" s="28">
        <f t="shared" si="388"/>
        <v>1</v>
      </c>
      <c r="EB129" s="28">
        <f t="shared" si="388"/>
        <v>1</v>
      </c>
      <c r="EC129" s="28">
        <f t="shared" si="388"/>
        <v>1</v>
      </c>
      <c r="ED129" s="28">
        <f t="shared" si="388"/>
        <v>1</v>
      </c>
      <c r="EE129" s="28">
        <f t="shared" si="388"/>
        <v>1</v>
      </c>
      <c r="EF129" s="28">
        <f t="shared" si="388"/>
        <v>1</v>
      </c>
      <c r="EG129" s="28">
        <f t="shared" si="388"/>
        <v>1</v>
      </c>
      <c r="EH129" s="28">
        <f t="shared" si="388"/>
        <v>1</v>
      </c>
      <c r="EI129" s="28">
        <f t="shared" si="388"/>
        <v>1</v>
      </c>
    </row>
    <row r="130" spans="2:139" hidden="1" outlineLevel="3" x14ac:dyDescent="0.3">
      <c r="B130" s="29"/>
      <c r="C130" s="30"/>
      <c r="D130" s="30"/>
      <c r="E130" s="52" t="s">
        <v>134</v>
      </c>
      <c r="F130" s="33">
        <v>15</v>
      </c>
      <c r="G130" s="35">
        <v>0.222</v>
      </c>
      <c r="H130" s="53"/>
      <c r="I130" s="126">
        <v>0</v>
      </c>
      <c r="J130" s="127">
        <v>0</v>
      </c>
      <c r="K130" s="127">
        <v>0</v>
      </c>
      <c r="L130" s="127">
        <v>0</v>
      </c>
      <c r="M130" s="128">
        <v>0</v>
      </c>
      <c r="N130" s="128">
        <v>0</v>
      </c>
      <c r="O130" s="127">
        <v>0</v>
      </c>
      <c r="P130" s="127">
        <v>0</v>
      </c>
      <c r="Q130" s="127">
        <v>0</v>
      </c>
      <c r="R130" s="127">
        <v>0</v>
      </c>
      <c r="S130" s="127">
        <v>0</v>
      </c>
      <c r="T130" s="127">
        <v>0</v>
      </c>
      <c r="U130" s="127">
        <v>0</v>
      </c>
      <c r="V130" s="127">
        <v>0</v>
      </c>
      <c r="W130" s="127">
        <v>0</v>
      </c>
      <c r="X130" s="127">
        <v>0</v>
      </c>
      <c r="Y130" s="127">
        <v>0</v>
      </c>
      <c r="Z130" s="127">
        <v>0</v>
      </c>
      <c r="AA130" s="127">
        <v>0</v>
      </c>
      <c r="AB130" s="127">
        <v>0</v>
      </c>
      <c r="AC130" s="127">
        <v>0</v>
      </c>
      <c r="AD130" s="127">
        <v>0</v>
      </c>
      <c r="AE130" s="127">
        <v>0</v>
      </c>
      <c r="AF130" s="127">
        <v>0</v>
      </c>
      <c r="AG130" s="127">
        <v>0</v>
      </c>
      <c r="AH130" s="127">
        <v>0.25</v>
      </c>
      <c r="AI130" s="127">
        <v>0.25</v>
      </c>
      <c r="AJ130" s="127">
        <v>0.25</v>
      </c>
      <c r="AK130" s="127">
        <v>0.3</v>
      </c>
      <c r="AL130" s="127">
        <v>0.35</v>
      </c>
      <c r="AM130" s="127">
        <v>0.35</v>
      </c>
      <c r="AN130" s="127">
        <v>0.4</v>
      </c>
      <c r="AO130" s="127">
        <v>0.42</v>
      </c>
      <c r="AP130" s="127">
        <v>0.44</v>
      </c>
      <c r="AQ130" s="127">
        <v>0.44</v>
      </c>
      <c r="AR130" s="127">
        <v>0.44</v>
      </c>
      <c r="AS130" s="127">
        <v>0.44</v>
      </c>
      <c r="AT130" s="127">
        <v>0.44</v>
      </c>
      <c r="AU130" s="127">
        <v>0.44</v>
      </c>
      <c r="AV130" s="127">
        <v>0.45</v>
      </c>
      <c r="AW130" s="127">
        <v>0.45</v>
      </c>
      <c r="AX130" s="127">
        <v>0.45</v>
      </c>
      <c r="AY130" s="127">
        <v>0.45</v>
      </c>
      <c r="AZ130" s="127">
        <v>0.45</v>
      </c>
      <c r="BA130" s="127">
        <v>0.45</v>
      </c>
      <c r="BB130" s="127">
        <f>Planbase100[[#This Row],[05/05/25]]+(1-Planbase100[[#This Row],[05/05/25]])*'Plan 39'!I84</f>
        <v>0.45</v>
      </c>
      <c r="BC130" s="127">
        <f>Planbase100[[#This Row],[05/05/25]]+(1-Planbase100[[#This Row],[05/05/25]])*'Plan 39'!J84</f>
        <v>0.45</v>
      </c>
      <c r="BD130" s="127">
        <f>Planbase100[[#This Row],[05/05/25]]+(1-Planbase100[[#This Row],[05/05/25]])*'Plan 39'!K84</f>
        <v>0.45</v>
      </c>
      <c r="BE130" s="127">
        <f>Planbase100[[#This Row],[05/05/25]]+(1-Planbase100[[#This Row],[05/05/25]])*'Plan 39'!L84</f>
        <v>0.45</v>
      </c>
      <c r="BF130" s="127">
        <f>Planbase100[[#This Row],[05/05/25]]+(1-Planbase100[[#This Row],[05/05/25]])*'Plan 39'!M84</f>
        <v>0.45</v>
      </c>
      <c r="BG130" s="127">
        <f>Planbase100[[#This Row],[05/05/25]]+(1-Planbase100[[#This Row],[05/05/25]])*'Plan 39'!N84</f>
        <v>0.45</v>
      </c>
      <c r="BH130" s="127">
        <f>Planbase100[[#This Row],[05/05/25]]+(1-Planbase100[[#This Row],[05/05/25]])*'Plan 39'!O84</f>
        <v>0.45</v>
      </c>
      <c r="BI130" s="127">
        <f>Planbase100[[#This Row],[05/05/25]]+(1-Planbase100[[#This Row],[05/05/25]])*'Plan 39'!P84</f>
        <v>0.45</v>
      </c>
      <c r="BJ130" s="127">
        <f>Planbase100[[#This Row],[05/05/25]]+(1-Planbase100[[#This Row],[05/05/25]])*'Plan 39'!Q84</f>
        <v>0.45</v>
      </c>
      <c r="BK130" s="127">
        <f>Planbase100[[#This Row],[05/05/25]]+(1-Planbase100[[#This Row],[05/05/25]])*'Plan 39'!R84</f>
        <v>0.45</v>
      </c>
      <c r="BL130" s="127">
        <f>Planbase100[[#This Row],[05/05/25]]+(1-Planbase100[[#This Row],[05/05/25]])*'Plan 39'!S84</f>
        <v>0.45</v>
      </c>
      <c r="BM130" s="127">
        <f>Planbase100[[#This Row],[05/05/25]]+(1-Planbase100[[#This Row],[05/05/25]])*'Plan 39'!T84</f>
        <v>0.45</v>
      </c>
      <c r="BN130" s="127">
        <f>Planbase100[[#This Row],[05/05/25]]+(1-Planbase100[[#This Row],[05/05/25]])*'Plan 39'!U84</f>
        <v>0.45</v>
      </c>
      <c r="BO130" s="127">
        <f>Planbase100[[#This Row],[05/05/25]]+(1-Planbase100[[#This Row],[05/05/25]])*'Plan 39'!V84</f>
        <v>0.45</v>
      </c>
      <c r="BP130" s="127">
        <f>Planbase100[[#This Row],[05/05/25]]+(1-Planbase100[[#This Row],[05/05/25]])*'Plan 39'!W84</f>
        <v>0.51875000000000004</v>
      </c>
      <c r="BQ130" s="127">
        <f>Planbase100[[#This Row],[05/05/25]]+(1-Planbase100[[#This Row],[05/05/25]])*'Plan 39'!X84</f>
        <v>0.58750000000000002</v>
      </c>
      <c r="BR130" s="127">
        <f>Planbase100[[#This Row],[05/05/25]]+(1-Planbase100[[#This Row],[05/05/25]])*'Plan 39'!Y84</f>
        <v>0.65625</v>
      </c>
      <c r="BS130" s="127">
        <f>Planbase100[[#This Row],[05/05/25]]+(1-Planbase100[[#This Row],[05/05/25]])*'Plan 39'!Z84</f>
        <v>0.72500000000000009</v>
      </c>
      <c r="BT130" s="127">
        <f>Planbase100[[#This Row],[05/05/25]]+(1-Planbase100[[#This Row],[05/05/25]])*'Plan 39'!AA84</f>
        <v>0.79374999999999996</v>
      </c>
      <c r="BU130" s="127">
        <f>Planbase100[[#This Row],[05/05/25]]+(1-Planbase100[[#This Row],[05/05/25]])*'Plan 39'!AB84</f>
        <v>0.86250000000000004</v>
      </c>
      <c r="BV130" s="127">
        <f>Planbase100[[#This Row],[05/05/25]]+(1-Planbase100[[#This Row],[05/05/25]])*'Plan 39'!AC84</f>
        <v>0.93125000000000013</v>
      </c>
      <c r="BW130" s="127">
        <f>Planbase100[[#This Row],[05/05/25]]+(1-Planbase100[[#This Row],[05/05/25]])*'Plan 39'!AD84</f>
        <v>1</v>
      </c>
      <c r="BX130" s="127">
        <f>Planbase100[[#This Row],[05/05/25]]+(1-Planbase100[[#This Row],[05/05/25]])*'Plan 39'!AE84</f>
        <v>1</v>
      </c>
      <c r="BY130" s="127">
        <f>Planbase100[[#This Row],[05/05/25]]+(1-Planbase100[[#This Row],[05/05/25]])*'Plan 39'!AF84</f>
        <v>1</v>
      </c>
      <c r="BZ130" s="127">
        <f>Planbase100[[#This Row],[05/05/25]]+(1-Planbase100[[#This Row],[05/05/25]])*'Plan 39'!AG84</f>
        <v>1</v>
      </c>
      <c r="CA130" s="127">
        <f>Planbase100[[#This Row],[05/05/25]]+(1-Planbase100[[#This Row],[05/05/25]])*'Plan 39'!AH84</f>
        <v>1</v>
      </c>
      <c r="CB130" s="127">
        <f>Planbase100[[#This Row],[05/05/25]]+(1-Planbase100[[#This Row],[05/05/25]])*'Plan 39'!AI84</f>
        <v>1</v>
      </c>
      <c r="CC130" s="127">
        <f>Planbase100[[#This Row],[05/05/25]]+(1-Planbase100[[#This Row],[05/05/25]])*'Plan 39'!AJ84</f>
        <v>1</v>
      </c>
      <c r="CD130" s="127">
        <f>Planbase100[[#This Row],[05/05/25]]+(1-Planbase100[[#This Row],[05/05/25]])*'Plan 39'!AK84</f>
        <v>1</v>
      </c>
      <c r="CE130" s="127">
        <f>Planbase100[[#This Row],[05/05/25]]+(1-Planbase100[[#This Row],[05/05/25]])*'Plan 39'!AL84</f>
        <v>1</v>
      </c>
      <c r="CF130" s="127">
        <f>Planbase100[[#This Row],[05/05/25]]+(1-Planbase100[[#This Row],[05/05/25]])*'Plan 39'!AM84</f>
        <v>1</v>
      </c>
      <c r="CG130" s="127">
        <f>Planbase100[[#This Row],[05/05/25]]+(1-Planbase100[[#This Row],[05/05/25]])*'Plan 39'!AN84</f>
        <v>1</v>
      </c>
      <c r="CH130" s="127">
        <f>Planbase100[[#This Row],[05/05/25]]+(1-Planbase100[[#This Row],[05/05/25]])*'Plan 39'!AO84</f>
        <v>1</v>
      </c>
      <c r="CI130" s="127">
        <f>Planbase100[[#This Row],[05/05/25]]+(1-Planbase100[[#This Row],[05/05/25]])*'Plan 39'!AP84</f>
        <v>1</v>
      </c>
      <c r="CJ130" s="127">
        <f>Planbase100[[#This Row],[05/05/25]]+(1-Planbase100[[#This Row],[05/05/25]])*'Plan 39'!AQ84</f>
        <v>1</v>
      </c>
      <c r="CK130" s="127">
        <f>Planbase100[[#This Row],[05/05/25]]+(1-Planbase100[[#This Row],[05/05/25]])*'Plan 39'!AR84</f>
        <v>1</v>
      </c>
      <c r="CL130" s="127">
        <f>Planbase100[[#This Row],[05/05/25]]+(1-Planbase100[[#This Row],[05/05/25]])*'Plan 39'!AS84</f>
        <v>1</v>
      </c>
      <c r="CM130" s="127">
        <f>Planbase100[[#This Row],[05/05/25]]+(1-Planbase100[[#This Row],[05/05/25]])*'Plan 39'!AT84</f>
        <v>1</v>
      </c>
      <c r="CN130" s="127">
        <f>Planbase100[[#This Row],[05/05/25]]+(1-Planbase100[[#This Row],[05/05/25]])*'Plan 39'!AU84</f>
        <v>1</v>
      </c>
      <c r="CO130" s="127">
        <f>Planbase100[[#This Row],[05/05/25]]+(1-Planbase100[[#This Row],[05/05/25]])*'Plan 39'!AV84</f>
        <v>1</v>
      </c>
      <c r="CP130" s="127">
        <f>Planbase100[[#This Row],[05/05/25]]+(1-Planbase100[[#This Row],[05/05/25]])*'Plan 39'!AW84</f>
        <v>1</v>
      </c>
      <c r="CQ130" s="127">
        <f>Planbase100[[#This Row],[05/05/25]]+(1-Planbase100[[#This Row],[05/05/25]])*'Plan 39'!AX84</f>
        <v>1</v>
      </c>
      <c r="CR130" s="127">
        <f>Planbase100[[#This Row],[05/05/25]]+(1-Planbase100[[#This Row],[05/05/25]])*'Plan 39'!AY84</f>
        <v>1</v>
      </c>
      <c r="CS130" s="127">
        <f>Planbase100[[#This Row],[05/05/25]]+(1-Planbase100[[#This Row],[05/05/25]])*'Plan 39'!AZ84</f>
        <v>1</v>
      </c>
      <c r="CT130" s="127">
        <f>Planbase100[[#This Row],[05/05/25]]+(1-Planbase100[[#This Row],[05/05/25]])*'Plan 39'!BA84</f>
        <v>1</v>
      </c>
      <c r="CU130" s="127">
        <f>Planbase100[[#This Row],[05/05/25]]+(1-Planbase100[[#This Row],[05/05/25]])*'Plan 39'!BB84</f>
        <v>1</v>
      </c>
      <c r="CV130" s="127">
        <f>Planbase100[[#This Row],[05/05/25]]+(1-Planbase100[[#This Row],[05/05/25]])*'Plan 39'!BC84</f>
        <v>1</v>
      </c>
      <c r="CW130" s="127">
        <f>Planbase100[[#This Row],[05/05/25]]+(1-Planbase100[[#This Row],[05/05/25]])*'Plan 39'!BD84</f>
        <v>1</v>
      </c>
      <c r="CX130" s="127">
        <f>Planbase100[[#This Row],[05/05/25]]+(1-Planbase100[[#This Row],[05/05/25]])*'Plan 39'!BE84</f>
        <v>1</v>
      </c>
      <c r="CY130" s="127">
        <f>Planbase100[[#This Row],[05/05/25]]+(1-Planbase100[[#This Row],[05/05/25]])*'Plan 39'!BF84</f>
        <v>1</v>
      </c>
      <c r="CZ130" s="127">
        <f>Planbase100[[#This Row],[05/05/25]]+(1-Planbase100[[#This Row],[05/05/25]])*'Plan 39'!BG84</f>
        <v>1</v>
      </c>
      <c r="DA130" s="127">
        <f>Planbase100[[#This Row],[05/05/25]]+(1-Planbase100[[#This Row],[05/05/25]])*'Plan 39'!BH84</f>
        <v>1</v>
      </c>
      <c r="DB130" s="127">
        <f>Planbase100[[#This Row],[05/05/25]]+(1-Planbase100[[#This Row],[05/05/25]])*'Plan 39'!BI84</f>
        <v>1</v>
      </c>
      <c r="DC130" s="127">
        <f>Planbase100[[#This Row],[05/05/25]]+(1-Planbase100[[#This Row],[05/05/25]])*'Plan 39'!BJ84</f>
        <v>1</v>
      </c>
      <c r="DD130" s="127">
        <f>Planbase100[[#This Row],[05/05/25]]+(1-Planbase100[[#This Row],[05/05/25]])*'Plan 39'!BK84</f>
        <v>1</v>
      </c>
      <c r="DE130" s="127">
        <f>Planbase100[[#This Row],[05/05/25]]+(1-Planbase100[[#This Row],[05/05/25]])*'Plan 39'!BL84</f>
        <v>1</v>
      </c>
      <c r="DF130" s="127">
        <f>Planbase100[[#This Row],[12/05/25]]+(1-Planbase100[[#This Row],[12/05/25]])*'Plan 39'!BM84</f>
        <v>1</v>
      </c>
      <c r="DG130" s="127">
        <f>Planbase100[[#This Row],[19/05/25]]+(1-Planbase100[[#This Row],[19/05/25]])*'Plan 39'!BN84</f>
        <v>1</v>
      </c>
      <c r="DH130" s="127">
        <f>Planbase100[[#This Row],[26/05/25]]+(1-Planbase100[[#This Row],[26/05/25]])*'Plan 39'!BO84</f>
        <v>1</v>
      </c>
      <c r="DI130" s="127">
        <f>Planbase100[[#This Row],[02/06/25]]+(1-Planbase100[[#This Row],[02/06/25]])*'Plan 39'!BP84</f>
        <v>1</v>
      </c>
      <c r="DJ130" s="127">
        <f>Planbase100[[#This Row],[09/06/25]]+(1-Planbase100[[#This Row],[09/06/25]])*'Plan 39'!BQ84</f>
        <v>1</v>
      </c>
      <c r="DK130" s="127">
        <f>Planbase100[[#This Row],[16/06/25]]+(1-Planbase100[[#This Row],[16/06/25]])*'Plan 39'!BR84</f>
        <v>1</v>
      </c>
      <c r="DL130" s="127">
        <f>Planbase100[[#This Row],[23/06/25]]+(1-Planbase100[[#This Row],[23/06/25]])*'Plan 39'!BS84</f>
        <v>1</v>
      </c>
      <c r="DM130" s="127">
        <f>Planbase100[[#This Row],[30/06/25]]+(1-Planbase100[[#This Row],[30/06/25]])*'Plan 39'!BT84</f>
        <v>1</v>
      </c>
      <c r="DN130" s="127">
        <f>Planbase100[[#This Row],[07/07/25]]+(1-Planbase100[[#This Row],[07/07/25]])*'Plan 39'!BU84</f>
        <v>1</v>
      </c>
      <c r="DO130" s="127">
        <f>Planbase100[[#This Row],[14/07/25]]+(1-Planbase100[[#This Row],[14/07/25]])*'Plan 39'!BV84</f>
        <v>1</v>
      </c>
      <c r="DP130" s="127">
        <f>Planbase100[[#This Row],[21/07/25]]+(1-Planbase100[[#This Row],[21/07/25]])*'Plan 39'!BW84</f>
        <v>1</v>
      </c>
      <c r="DQ130" s="127">
        <f>Planbase100[[#This Row],[28/07/25]]+(1-Planbase100[[#This Row],[28/07/25]])*'Plan 39'!BX84</f>
        <v>1</v>
      </c>
      <c r="DR130" s="127">
        <f>Planbase100[[#This Row],[04/08/25]]+(1-Planbase100[[#This Row],[04/08/25]])*'Plan 39'!BY84</f>
        <v>1</v>
      </c>
      <c r="DS130" s="127">
        <f>Planbase100[[#This Row],[11/08/25]]+(1-Planbase100[[#This Row],[11/08/25]])*'Plan 39'!BZ84</f>
        <v>1</v>
      </c>
      <c r="DT130" s="127">
        <f>Planbase100[[#This Row],[18/08/25]]+(1-Planbase100[[#This Row],[18/08/25]])*'Plan 39'!CA84</f>
        <v>1</v>
      </c>
      <c r="DU130" s="127">
        <f>Planbase100[[#This Row],[25/08/25]]+(1-Planbase100[[#This Row],[25/08/25]])*'Plan 39'!CB84</f>
        <v>1</v>
      </c>
      <c r="DV130" s="127">
        <f>Planbase100[[#This Row],[01/09/25]]+(1-Planbase100[[#This Row],[01/09/25]])*'Plan 39'!CC84</f>
        <v>1</v>
      </c>
      <c r="DW130" s="127">
        <f>Planbase100[[#This Row],[08/09/25]]+(1-Planbase100[[#This Row],[08/09/25]])*'Plan 39'!CD84</f>
        <v>1</v>
      </c>
      <c r="DX130" s="127">
        <f>Planbase100[[#This Row],[15/09/25]]+(1-Planbase100[[#This Row],[15/09/25]])*'Plan 39'!CE84</f>
        <v>1</v>
      </c>
      <c r="DY130" s="127">
        <f>Planbase100[[#This Row],[22/09/25]]+(1-Planbase100[[#This Row],[22/09/25]])*'Plan 39'!CF84</f>
        <v>1</v>
      </c>
      <c r="DZ130" s="127">
        <f>Planbase100[[#This Row],[29/09/25]]+(1-Planbase100[[#This Row],[29/09/25]])*'Plan 39'!CG84</f>
        <v>1</v>
      </c>
      <c r="EA130" s="127">
        <f>Planbase100[[#This Row],[06/10/25]]+(1-Planbase100[[#This Row],[06/10/25]])*'Plan 39'!CH84</f>
        <v>1</v>
      </c>
      <c r="EB130" s="127">
        <f>Planbase100[[#This Row],[13/10/25]]+(1-Planbase100[[#This Row],[13/10/25]])*'Plan 39'!CI84</f>
        <v>1</v>
      </c>
      <c r="EC130" s="127">
        <f>Planbase100[[#This Row],[20/10/25]]+(1-Planbase100[[#This Row],[20/10/25]])*'Plan 39'!CJ84</f>
        <v>1</v>
      </c>
      <c r="ED130" s="127">
        <f>Planbase100[[#This Row],[27/10/25]]+(1-Planbase100[[#This Row],[27/10/25]])*'Plan 39'!CK84</f>
        <v>1</v>
      </c>
      <c r="EE130" s="127">
        <f>Planbase100[[#This Row],[03/11/25]]+(1-Planbase100[[#This Row],[03/11/25]])*'Plan 39'!CL84</f>
        <v>1</v>
      </c>
      <c r="EF130" s="127">
        <f>Planbase100[[#This Row],[10/11/25]]+(1-Planbase100[[#This Row],[10/11/25]])*'Plan 39'!CM84</f>
        <v>1</v>
      </c>
      <c r="EG130" s="127">
        <f>Planbase100[[#This Row],[17/11/25]]+(1-Planbase100[[#This Row],[17/11/25]])*'Plan 39'!CN84</f>
        <v>1</v>
      </c>
      <c r="EH130" s="127">
        <f>Planbase100[[#This Row],[24/11/25]]+(1-Planbase100[[#This Row],[24/11/25]])*'Plan 39'!CO84</f>
        <v>1</v>
      </c>
      <c r="EI130" s="127">
        <f>Planbase100[[#This Row],[01/12/25]]+(1-Planbase100[[#This Row],[01/12/25]])*'Plan 39'!CP84</f>
        <v>1</v>
      </c>
    </row>
    <row r="131" spans="2:139" ht="15" hidden="1" outlineLevel="3" x14ac:dyDescent="0.3">
      <c r="B131" s="29"/>
      <c r="C131" s="30"/>
      <c r="D131" s="30"/>
      <c r="E131" s="52" t="s">
        <v>135</v>
      </c>
      <c r="F131" s="33">
        <v>30</v>
      </c>
      <c r="G131" s="35">
        <v>0.222</v>
      </c>
      <c r="H131" s="53"/>
      <c r="I131" s="126">
        <v>0</v>
      </c>
      <c r="J131" s="127">
        <v>0</v>
      </c>
      <c r="K131" s="127">
        <v>0</v>
      </c>
      <c r="L131" s="127">
        <v>0</v>
      </c>
      <c r="M131" s="128">
        <v>0</v>
      </c>
      <c r="N131" s="128">
        <v>0</v>
      </c>
      <c r="O131" s="127">
        <v>0</v>
      </c>
      <c r="P131" s="127">
        <v>0</v>
      </c>
      <c r="Q131" s="127">
        <v>0</v>
      </c>
      <c r="R131" s="127">
        <v>0</v>
      </c>
      <c r="S131" s="127">
        <v>0</v>
      </c>
      <c r="T131" s="127">
        <v>0</v>
      </c>
      <c r="U131" s="127">
        <v>0</v>
      </c>
      <c r="V131" s="127">
        <v>0</v>
      </c>
      <c r="W131" s="127">
        <v>0</v>
      </c>
      <c r="X131" s="127">
        <v>0</v>
      </c>
      <c r="Y131" s="127">
        <v>0</v>
      </c>
      <c r="Z131" s="127">
        <v>0</v>
      </c>
      <c r="AA131" s="127">
        <v>0</v>
      </c>
      <c r="AB131" s="127">
        <v>0</v>
      </c>
      <c r="AC131" s="127">
        <v>0</v>
      </c>
      <c r="AD131" s="127">
        <v>0</v>
      </c>
      <c r="AE131" s="127">
        <v>0</v>
      </c>
      <c r="AF131" s="127">
        <v>0</v>
      </c>
      <c r="AG131" s="127">
        <v>0</v>
      </c>
      <c r="AH131" s="131">
        <v>0.12045263105500728</v>
      </c>
      <c r="AI131" s="131">
        <v>0.12045263105500728</v>
      </c>
      <c r="AJ131" s="131">
        <v>0.12045263105500728</v>
      </c>
      <c r="AK131" s="131">
        <v>0.12045263105500728</v>
      </c>
      <c r="AL131" s="131">
        <v>0.12045263105500728</v>
      </c>
      <c r="AM131" s="131">
        <v>0.12045263105500728</v>
      </c>
      <c r="AN131" s="131">
        <v>0.12045263105500728</v>
      </c>
      <c r="AO131" s="131">
        <v>0.12045263105500728</v>
      </c>
      <c r="AP131" s="131">
        <v>0.12045263105500728</v>
      </c>
      <c r="AQ131" s="131">
        <v>0.12045263105500728</v>
      </c>
      <c r="AR131" s="131">
        <v>0.12045263105500728</v>
      </c>
      <c r="AS131" s="131">
        <v>0.12045263105500728</v>
      </c>
      <c r="AT131" s="131">
        <v>0.12045263105500728</v>
      </c>
      <c r="AU131" s="131">
        <v>0.12045263105500728</v>
      </c>
      <c r="AV131" s="131">
        <v>0.12045263105500728</v>
      </c>
      <c r="AW131" s="131">
        <v>0.12045263105500728</v>
      </c>
      <c r="AX131" s="131">
        <v>0.12045263105500728</v>
      </c>
      <c r="AY131" s="131">
        <v>0.12045263105500728</v>
      </c>
      <c r="AZ131" s="131">
        <v>0.12045263105500728</v>
      </c>
      <c r="BA131" s="131">
        <v>0.12045263105500728</v>
      </c>
      <c r="BB131" s="127">
        <f>Planbase100[[#This Row],[05/05/25]]+(1-Planbase100[[#This Row],[05/05/25]])*'Plan 39'!I85</f>
        <v>0.12045263105500728</v>
      </c>
      <c r="BC131" s="127">
        <f>Planbase100[[#This Row],[05/05/25]]+(1-Planbase100[[#This Row],[05/05/25]])*'Plan 39'!J85</f>
        <v>0.12045263105500728</v>
      </c>
      <c r="BD131" s="127">
        <f>Planbase100[[#This Row],[05/05/25]]+(1-Planbase100[[#This Row],[05/05/25]])*'Plan 39'!K85</f>
        <v>0.12045263105500728</v>
      </c>
      <c r="BE131" s="127">
        <f>Planbase100[[#This Row],[05/05/25]]+(1-Planbase100[[#This Row],[05/05/25]])*'Plan 39'!L85</f>
        <v>0.12045263105500728</v>
      </c>
      <c r="BF131" s="127">
        <f>Planbase100[[#This Row],[05/05/25]]+(1-Planbase100[[#This Row],[05/05/25]])*'Plan 39'!M85</f>
        <v>0.12045263105500728</v>
      </c>
      <c r="BG131" s="127">
        <f>Planbase100[[#This Row],[05/05/25]]+(1-Planbase100[[#This Row],[05/05/25]])*'Plan 39'!N85</f>
        <v>0.12045263105500728</v>
      </c>
      <c r="BH131" s="127">
        <f>Planbase100[[#This Row],[05/05/25]]+(1-Planbase100[[#This Row],[05/05/25]])*'Plan 39'!O85</f>
        <v>0.12045263105500728</v>
      </c>
      <c r="BI131" s="127">
        <f>Planbase100[[#This Row],[05/05/25]]+(1-Planbase100[[#This Row],[05/05/25]])*'Plan 39'!P85</f>
        <v>0.12045263105500728</v>
      </c>
      <c r="BJ131" s="127">
        <f>Planbase100[[#This Row],[05/05/25]]+(1-Planbase100[[#This Row],[05/05/25]])*'Plan 39'!Q85</f>
        <v>0.12045263105500728</v>
      </c>
      <c r="BK131" s="127">
        <f>Planbase100[[#This Row],[05/05/25]]+(1-Planbase100[[#This Row],[05/05/25]])*'Plan 39'!R85</f>
        <v>0.12045263105500728</v>
      </c>
      <c r="BL131" s="127">
        <f>Planbase100[[#This Row],[05/05/25]]+(1-Planbase100[[#This Row],[05/05/25]])*'Plan 39'!S85</f>
        <v>0.12045263105500728</v>
      </c>
      <c r="BM131" s="127">
        <f>Planbase100[[#This Row],[05/05/25]]+(1-Planbase100[[#This Row],[05/05/25]])*'Plan 39'!T85</f>
        <v>0.12045263105500728</v>
      </c>
      <c r="BN131" s="127">
        <f>Planbase100[[#This Row],[05/05/25]]+(1-Planbase100[[#This Row],[05/05/25]])*'Plan 39'!U85</f>
        <v>0.12045263105500728</v>
      </c>
      <c r="BO131" s="127">
        <f>Planbase100[[#This Row],[05/05/25]]+(1-Planbase100[[#This Row],[05/05/25]])*'Plan 39'!V85</f>
        <v>0.12045263105500728</v>
      </c>
      <c r="BP131" s="127">
        <f>Planbase100[[#This Row],[05/05/25]]+(1-Planbase100[[#This Row],[05/05/25]])*'Plan 39'!W85</f>
        <v>0.12045263105500728</v>
      </c>
      <c r="BQ131" s="127">
        <f>Planbase100[[#This Row],[05/05/25]]+(1-Planbase100[[#This Row],[05/05/25]])*'Plan 39'!X85</f>
        <v>0.12045263105500728</v>
      </c>
      <c r="BR131" s="127">
        <f>Planbase100[[#This Row],[05/05/25]]+(1-Planbase100[[#This Row],[05/05/25]])*'Plan 39'!Y85</f>
        <v>0.12045263105500728</v>
      </c>
      <c r="BS131" s="127">
        <f>Planbase100[[#This Row],[05/05/25]]+(1-Planbase100[[#This Row],[05/05/25]])*'Plan 39'!Z85</f>
        <v>0.12045263105500728</v>
      </c>
      <c r="BT131" s="127">
        <f>Planbase100[[#This Row],[05/05/25]]+(1-Planbase100[[#This Row],[05/05/25]])*'Plan 39'!AA85</f>
        <v>0.12045263105500728</v>
      </c>
      <c r="BU131" s="127">
        <f>Planbase100[[#This Row],[05/05/25]]+(1-Planbase100[[#This Row],[05/05/25]])*'Plan 39'!AB85</f>
        <v>0.12045263105500728</v>
      </c>
      <c r="BV131" s="127">
        <f>Planbase100[[#This Row],[05/05/25]]+(1-Planbase100[[#This Row],[05/05/25]])*'Plan 39'!AC85</f>
        <v>0.12045263105500728</v>
      </c>
      <c r="BW131" s="127">
        <f>Planbase100[[#This Row],[05/05/25]]+(1-Planbase100[[#This Row],[05/05/25]])*'Plan 39'!AD85</f>
        <v>0.23039605217313136</v>
      </c>
      <c r="BX131" s="127">
        <f>Planbase100[[#This Row],[05/05/25]]+(1-Planbase100[[#This Row],[05/05/25]])*'Plan 39'!AE85</f>
        <v>0.34033947329125547</v>
      </c>
      <c r="BY131" s="127">
        <f>Planbase100[[#This Row],[05/05/25]]+(1-Planbase100[[#This Row],[05/05/25]])*'Plan 39'!AF85</f>
        <v>0.45028289440937952</v>
      </c>
      <c r="BZ131" s="127">
        <f>Planbase100[[#This Row],[05/05/25]]+(1-Planbase100[[#This Row],[05/05/25]])*'Plan 39'!AG85</f>
        <v>0.56022631552750368</v>
      </c>
      <c r="CA131" s="127">
        <f>Planbase100[[#This Row],[05/05/25]]+(1-Planbase100[[#This Row],[05/05/25]])*'Plan 39'!AH85</f>
        <v>0.67016973664562773</v>
      </c>
      <c r="CB131" s="127">
        <f>Planbase100[[#This Row],[05/05/25]]+(1-Planbase100[[#This Row],[05/05/25]])*'Plan 39'!AI85</f>
        <v>0.78011315776375179</v>
      </c>
      <c r="CC131" s="127">
        <f>Planbase100[[#This Row],[05/05/25]]+(1-Planbase100[[#This Row],[05/05/25]])*'Plan 39'!AJ85</f>
        <v>0.89005657888187595</v>
      </c>
      <c r="CD131" s="127">
        <f>Planbase100[[#This Row],[05/05/25]]+(1-Planbase100[[#This Row],[05/05/25]])*'Plan 39'!AK85</f>
        <v>1</v>
      </c>
      <c r="CE131" s="127">
        <f>Planbase100[[#This Row],[05/05/25]]+(1-Planbase100[[#This Row],[05/05/25]])*'Plan 39'!AL85</f>
        <v>1</v>
      </c>
      <c r="CF131" s="127">
        <f>Planbase100[[#This Row],[05/05/25]]+(1-Planbase100[[#This Row],[05/05/25]])*'Plan 39'!AM85</f>
        <v>1</v>
      </c>
      <c r="CG131" s="127">
        <f>Planbase100[[#This Row],[05/05/25]]+(1-Planbase100[[#This Row],[05/05/25]])*'Plan 39'!AN85</f>
        <v>1</v>
      </c>
      <c r="CH131" s="127">
        <f>Planbase100[[#This Row],[05/05/25]]+(1-Planbase100[[#This Row],[05/05/25]])*'Plan 39'!AO85</f>
        <v>1</v>
      </c>
      <c r="CI131" s="127">
        <f>Planbase100[[#This Row],[05/05/25]]+(1-Planbase100[[#This Row],[05/05/25]])*'Plan 39'!AP85</f>
        <v>1</v>
      </c>
      <c r="CJ131" s="127">
        <f>Planbase100[[#This Row],[05/05/25]]+(1-Planbase100[[#This Row],[05/05/25]])*'Plan 39'!AQ85</f>
        <v>1</v>
      </c>
      <c r="CK131" s="127">
        <f>Planbase100[[#This Row],[05/05/25]]+(1-Planbase100[[#This Row],[05/05/25]])*'Plan 39'!AR85</f>
        <v>1</v>
      </c>
      <c r="CL131" s="127">
        <f>Planbase100[[#This Row],[05/05/25]]+(1-Planbase100[[#This Row],[05/05/25]])*'Plan 39'!AS85</f>
        <v>1</v>
      </c>
      <c r="CM131" s="127">
        <f>Planbase100[[#This Row],[05/05/25]]+(1-Planbase100[[#This Row],[05/05/25]])*'Plan 39'!AT85</f>
        <v>1</v>
      </c>
      <c r="CN131" s="127">
        <f>Planbase100[[#This Row],[05/05/25]]+(1-Planbase100[[#This Row],[05/05/25]])*'Plan 39'!AU85</f>
        <v>1</v>
      </c>
      <c r="CO131" s="127">
        <f>Planbase100[[#This Row],[05/05/25]]+(1-Planbase100[[#This Row],[05/05/25]])*'Plan 39'!AV85</f>
        <v>1</v>
      </c>
      <c r="CP131" s="127">
        <f>Planbase100[[#This Row],[05/05/25]]+(1-Planbase100[[#This Row],[05/05/25]])*'Plan 39'!AW85</f>
        <v>1</v>
      </c>
      <c r="CQ131" s="127">
        <f>Planbase100[[#This Row],[05/05/25]]+(1-Planbase100[[#This Row],[05/05/25]])*'Plan 39'!AX85</f>
        <v>1</v>
      </c>
      <c r="CR131" s="127">
        <f>Planbase100[[#This Row],[05/05/25]]+(1-Planbase100[[#This Row],[05/05/25]])*'Plan 39'!AY85</f>
        <v>1</v>
      </c>
      <c r="CS131" s="127">
        <f>Planbase100[[#This Row],[05/05/25]]+(1-Planbase100[[#This Row],[05/05/25]])*'Plan 39'!AZ85</f>
        <v>1</v>
      </c>
      <c r="CT131" s="127">
        <f>Planbase100[[#This Row],[05/05/25]]+(1-Planbase100[[#This Row],[05/05/25]])*'Plan 39'!BA85</f>
        <v>1</v>
      </c>
      <c r="CU131" s="127">
        <f>Planbase100[[#This Row],[05/05/25]]+(1-Planbase100[[#This Row],[05/05/25]])*'Plan 39'!BB85</f>
        <v>1</v>
      </c>
      <c r="CV131" s="127">
        <f>Planbase100[[#This Row],[05/05/25]]+(1-Planbase100[[#This Row],[05/05/25]])*'Plan 39'!BC85</f>
        <v>1</v>
      </c>
      <c r="CW131" s="127">
        <f>Planbase100[[#This Row],[05/05/25]]+(1-Planbase100[[#This Row],[05/05/25]])*'Plan 39'!BD85</f>
        <v>1</v>
      </c>
      <c r="CX131" s="127">
        <f>Planbase100[[#This Row],[05/05/25]]+(1-Planbase100[[#This Row],[05/05/25]])*'Plan 39'!BE85</f>
        <v>1</v>
      </c>
      <c r="CY131" s="127">
        <f>Planbase100[[#This Row],[05/05/25]]+(1-Planbase100[[#This Row],[05/05/25]])*'Plan 39'!BF85</f>
        <v>1</v>
      </c>
      <c r="CZ131" s="127">
        <f>Planbase100[[#This Row],[05/05/25]]+(1-Planbase100[[#This Row],[05/05/25]])*'Plan 39'!BG85</f>
        <v>1</v>
      </c>
      <c r="DA131" s="127">
        <f>Planbase100[[#This Row],[05/05/25]]+(1-Planbase100[[#This Row],[05/05/25]])*'Plan 39'!BH85</f>
        <v>1</v>
      </c>
      <c r="DB131" s="127">
        <f>Planbase100[[#This Row],[05/05/25]]+(1-Planbase100[[#This Row],[05/05/25]])*'Plan 39'!BI85</f>
        <v>1</v>
      </c>
      <c r="DC131" s="127">
        <f>Planbase100[[#This Row],[05/05/25]]+(1-Planbase100[[#This Row],[05/05/25]])*'Plan 39'!BJ85</f>
        <v>1</v>
      </c>
      <c r="DD131" s="127">
        <f>Planbase100[[#This Row],[05/05/25]]+(1-Planbase100[[#This Row],[05/05/25]])*'Plan 39'!BK85</f>
        <v>1</v>
      </c>
      <c r="DE131" s="127">
        <f>Planbase100[[#This Row],[05/05/25]]+(1-Planbase100[[#This Row],[05/05/25]])*'Plan 39'!BL85</f>
        <v>1</v>
      </c>
      <c r="DF131" s="127">
        <f>Planbase100[[#This Row],[12/05/25]]+(1-Planbase100[[#This Row],[12/05/25]])*'Plan 39'!BM85</f>
        <v>1</v>
      </c>
      <c r="DG131" s="127">
        <f>Planbase100[[#This Row],[19/05/25]]+(1-Planbase100[[#This Row],[19/05/25]])*'Plan 39'!BN85</f>
        <v>1</v>
      </c>
      <c r="DH131" s="127">
        <f>Planbase100[[#This Row],[26/05/25]]+(1-Planbase100[[#This Row],[26/05/25]])*'Plan 39'!BO85</f>
        <v>1</v>
      </c>
      <c r="DI131" s="127">
        <f>Planbase100[[#This Row],[02/06/25]]+(1-Planbase100[[#This Row],[02/06/25]])*'Plan 39'!BP85</f>
        <v>1</v>
      </c>
      <c r="DJ131" s="127">
        <f>Planbase100[[#This Row],[09/06/25]]+(1-Planbase100[[#This Row],[09/06/25]])*'Plan 39'!BQ85</f>
        <v>1</v>
      </c>
      <c r="DK131" s="127">
        <f>Planbase100[[#This Row],[16/06/25]]+(1-Planbase100[[#This Row],[16/06/25]])*'Plan 39'!BR85</f>
        <v>1</v>
      </c>
      <c r="DL131" s="127">
        <f>Planbase100[[#This Row],[23/06/25]]+(1-Planbase100[[#This Row],[23/06/25]])*'Plan 39'!BS85</f>
        <v>1</v>
      </c>
      <c r="DM131" s="127">
        <f>Planbase100[[#This Row],[30/06/25]]+(1-Planbase100[[#This Row],[30/06/25]])*'Plan 39'!BT85</f>
        <v>1</v>
      </c>
      <c r="DN131" s="127">
        <f>Planbase100[[#This Row],[07/07/25]]+(1-Planbase100[[#This Row],[07/07/25]])*'Plan 39'!BU85</f>
        <v>1</v>
      </c>
      <c r="DO131" s="127">
        <f>Planbase100[[#This Row],[14/07/25]]+(1-Planbase100[[#This Row],[14/07/25]])*'Plan 39'!BV85</f>
        <v>1</v>
      </c>
      <c r="DP131" s="127">
        <f>Planbase100[[#This Row],[21/07/25]]+(1-Planbase100[[#This Row],[21/07/25]])*'Plan 39'!BW85</f>
        <v>1</v>
      </c>
      <c r="DQ131" s="127">
        <f>Planbase100[[#This Row],[28/07/25]]+(1-Planbase100[[#This Row],[28/07/25]])*'Plan 39'!BX85</f>
        <v>1</v>
      </c>
      <c r="DR131" s="127">
        <f>Planbase100[[#This Row],[04/08/25]]+(1-Planbase100[[#This Row],[04/08/25]])*'Plan 39'!BY85</f>
        <v>1</v>
      </c>
      <c r="DS131" s="127">
        <f>Planbase100[[#This Row],[11/08/25]]+(1-Planbase100[[#This Row],[11/08/25]])*'Plan 39'!BZ85</f>
        <v>1</v>
      </c>
      <c r="DT131" s="127">
        <f>Planbase100[[#This Row],[18/08/25]]+(1-Planbase100[[#This Row],[18/08/25]])*'Plan 39'!CA85</f>
        <v>1</v>
      </c>
      <c r="DU131" s="127">
        <f>Planbase100[[#This Row],[25/08/25]]+(1-Planbase100[[#This Row],[25/08/25]])*'Plan 39'!CB85</f>
        <v>1</v>
      </c>
      <c r="DV131" s="127">
        <f>Planbase100[[#This Row],[01/09/25]]+(1-Planbase100[[#This Row],[01/09/25]])*'Plan 39'!CC85</f>
        <v>1</v>
      </c>
      <c r="DW131" s="127">
        <f>Planbase100[[#This Row],[08/09/25]]+(1-Planbase100[[#This Row],[08/09/25]])*'Plan 39'!CD85</f>
        <v>1</v>
      </c>
      <c r="DX131" s="127">
        <f>Planbase100[[#This Row],[15/09/25]]+(1-Planbase100[[#This Row],[15/09/25]])*'Plan 39'!CE85</f>
        <v>1</v>
      </c>
      <c r="DY131" s="127">
        <f>Planbase100[[#This Row],[22/09/25]]+(1-Planbase100[[#This Row],[22/09/25]])*'Plan 39'!CF85</f>
        <v>1</v>
      </c>
      <c r="DZ131" s="127">
        <f>Planbase100[[#This Row],[29/09/25]]+(1-Planbase100[[#This Row],[29/09/25]])*'Plan 39'!CG85</f>
        <v>1</v>
      </c>
      <c r="EA131" s="127">
        <f>Planbase100[[#This Row],[06/10/25]]+(1-Planbase100[[#This Row],[06/10/25]])*'Plan 39'!CH85</f>
        <v>1</v>
      </c>
      <c r="EB131" s="127">
        <f>Planbase100[[#This Row],[13/10/25]]+(1-Planbase100[[#This Row],[13/10/25]])*'Plan 39'!CI85</f>
        <v>1</v>
      </c>
      <c r="EC131" s="127">
        <f>Planbase100[[#This Row],[20/10/25]]+(1-Planbase100[[#This Row],[20/10/25]])*'Plan 39'!CJ85</f>
        <v>1</v>
      </c>
      <c r="ED131" s="127">
        <f>Planbase100[[#This Row],[27/10/25]]+(1-Planbase100[[#This Row],[27/10/25]])*'Plan 39'!CK85</f>
        <v>1</v>
      </c>
      <c r="EE131" s="127">
        <f>Planbase100[[#This Row],[03/11/25]]+(1-Planbase100[[#This Row],[03/11/25]])*'Plan 39'!CL85</f>
        <v>1</v>
      </c>
      <c r="EF131" s="127">
        <f>Planbase100[[#This Row],[10/11/25]]+(1-Planbase100[[#This Row],[10/11/25]])*'Plan 39'!CM85</f>
        <v>1</v>
      </c>
      <c r="EG131" s="127">
        <f>Planbase100[[#This Row],[17/11/25]]+(1-Planbase100[[#This Row],[17/11/25]])*'Plan 39'!CN85</f>
        <v>1</v>
      </c>
      <c r="EH131" s="127">
        <f>Planbase100[[#This Row],[24/11/25]]+(1-Planbase100[[#This Row],[24/11/25]])*'Plan 39'!CO85</f>
        <v>1</v>
      </c>
      <c r="EI131" s="127">
        <f>Planbase100[[#This Row],[01/12/25]]+(1-Planbase100[[#This Row],[01/12/25]])*'Plan 39'!CP85</f>
        <v>1</v>
      </c>
    </row>
    <row r="132" spans="2:139" hidden="1" outlineLevel="3" x14ac:dyDescent="0.3">
      <c r="B132" s="29"/>
      <c r="C132" s="30"/>
      <c r="D132" s="30"/>
      <c r="E132" s="52" t="s">
        <v>136</v>
      </c>
      <c r="F132" s="33">
        <v>15</v>
      </c>
      <c r="G132" s="35">
        <v>0.55600000000000005</v>
      </c>
      <c r="H132" s="53"/>
      <c r="I132" s="126">
        <v>0</v>
      </c>
      <c r="J132" s="127">
        <v>0</v>
      </c>
      <c r="K132" s="127">
        <v>0</v>
      </c>
      <c r="L132" s="127">
        <v>0</v>
      </c>
      <c r="M132" s="128">
        <v>0</v>
      </c>
      <c r="N132" s="128">
        <v>0</v>
      </c>
      <c r="O132" s="127">
        <v>0</v>
      </c>
      <c r="P132" s="127">
        <v>0</v>
      </c>
      <c r="Q132" s="127">
        <v>0</v>
      </c>
      <c r="R132" s="127">
        <v>0</v>
      </c>
      <c r="S132" s="127">
        <v>0</v>
      </c>
      <c r="T132" s="127">
        <v>0</v>
      </c>
      <c r="U132" s="127">
        <v>0</v>
      </c>
      <c r="V132" s="127">
        <v>0</v>
      </c>
      <c r="W132" s="127">
        <v>0</v>
      </c>
      <c r="X132" s="127">
        <v>0</v>
      </c>
      <c r="Y132" s="127">
        <v>0</v>
      </c>
      <c r="Z132" s="127">
        <v>0</v>
      </c>
      <c r="AA132" s="127">
        <v>0</v>
      </c>
      <c r="AB132" s="127">
        <v>0</v>
      </c>
      <c r="AC132" s="127">
        <v>0</v>
      </c>
      <c r="AD132" s="127">
        <v>0</v>
      </c>
      <c r="AE132" s="127">
        <v>0</v>
      </c>
      <c r="AF132" s="127">
        <v>0</v>
      </c>
      <c r="AG132" s="127">
        <v>0</v>
      </c>
      <c r="AH132" s="127">
        <v>0</v>
      </c>
      <c r="AI132" s="127">
        <v>0</v>
      </c>
      <c r="AJ132" s="127">
        <v>0</v>
      </c>
      <c r="AK132" s="127">
        <v>0</v>
      </c>
      <c r="AL132" s="127">
        <v>0</v>
      </c>
      <c r="AM132" s="127">
        <v>0</v>
      </c>
      <c r="AN132" s="127">
        <v>0</v>
      </c>
      <c r="AO132" s="127">
        <v>0</v>
      </c>
      <c r="AP132" s="127">
        <v>0</v>
      </c>
      <c r="AQ132" s="127">
        <v>0</v>
      </c>
      <c r="AR132" s="127">
        <v>0</v>
      </c>
      <c r="AS132" s="127">
        <v>0</v>
      </c>
      <c r="AT132" s="127">
        <v>0</v>
      </c>
      <c r="AU132" s="127">
        <v>0</v>
      </c>
      <c r="AV132" s="127">
        <v>0</v>
      </c>
      <c r="AW132" s="127">
        <v>0</v>
      </c>
      <c r="AX132" s="127">
        <v>0</v>
      </c>
      <c r="AY132" s="127">
        <v>0</v>
      </c>
      <c r="AZ132" s="127">
        <v>0</v>
      </c>
      <c r="BA132" s="127">
        <v>0</v>
      </c>
      <c r="BB132" s="127">
        <f>Planbase100[[#This Row],[05/05/25]]+(1-Planbase100[[#This Row],[05/05/25]])*'Plan 39'!I86</f>
        <v>0</v>
      </c>
      <c r="BC132" s="127">
        <f>Planbase100[[#This Row],[05/05/25]]+(1-Planbase100[[#This Row],[05/05/25]])*'Plan 39'!J86</f>
        <v>0</v>
      </c>
      <c r="BD132" s="127">
        <f>Planbase100[[#This Row],[05/05/25]]+(1-Planbase100[[#This Row],[05/05/25]])*'Plan 39'!K86</f>
        <v>0</v>
      </c>
      <c r="BE132" s="127">
        <f>Planbase100[[#This Row],[05/05/25]]+(1-Planbase100[[#This Row],[05/05/25]])*'Plan 39'!L86</f>
        <v>0</v>
      </c>
      <c r="BF132" s="127">
        <f>Planbase100[[#This Row],[05/05/25]]+(1-Planbase100[[#This Row],[05/05/25]])*'Plan 39'!M86</f>
        <v>0</v>
      </c>
      <c r="BG132" s="127">
        <f>Planbase100[[#This Row],[05/05/25]]+(1-Planbase100[[#This Row],[05/05/25]])*'Plan 39'!N86</f>
        <v>0</v>
      </c>
      <c r="BH132" s="127">
        <f>Planbase100[[#This Row],[05/05/25]]+(1-Planbase100[[#This Row],[05/05/25]])*'Plan 39'!O86</f>
        <v>0</v>
      </c>
      <c r="BI132" s="127">
        <f>Planbase100[[#This Row],[05/05/25]]+(1-Planbase100[[#This Row],[05/05/25]])*'Plan 39'!P86</f>
        <v>0</v>
      </c>
      <c r="BJ132" s="127">
        <f>Planbase100[[#This Row],[05/05/25]]+(1-Planbase100[[#This Row],[05/05/25]])*'Plan 39'!Q86</f>
        <v>0</v>
      </c>
      <c r="BK132" s="127">
        <f>Planbase100[[#This Row],[05/05/25]]+(1-Planbase100[[#This Row],[05/05/25]])*'Plan 39'!R86</f>
        <v>0</v>
      </c>
      <c r="BL132" s="127">
        <f>Planbase100[[#This Row],[05/05/25]]+(1-Planbase100[[#This Row],[05/05/25]])*'Plan 39'!S86</f>
        <v>0</v>
      </c>
      <c r="BM132" s="127">
        <f>Planbase100[[#This Row],[05/05/25]]+(1-Planbase100[[#This Row],[05/05/25]])*'Plan 39'!T86</f>
        <v>0</v>
      </c>
      <c r="BN132" s="127">
        <f>Planbase100[[#This Row],[05/05/25]]+(1-Planbase100[[#This Row],[05/05/25]])*'Plan 39'!U86</f>
        <v>0</v>
      </c>
      <c r="BO132" s="127">
        <f>Planbase100[[#This Row],[05/05/25]]+(1-Planbase100[[#This Row],[05/05/25]])*'Plan 39'!V86</f>
        <v>0</v>
      </c>
      <c r="BP132" s="127">
        <f>Planbase100[[#This Row],[05/05/25]]+(1-Planbase100[[#This Row],[05/05/25]])*'Plan 39'!W86</f>
        <v>0</v>
      </c>
      <c r="BQ132" s="127">
        <f>Planbase100[[#This Row],[05/05/25]]+(1-Planbase100[[#This Row],[05/05/25]])*'Plan 39'!X86</f>
        <v>0</v>
      </c>
      <c r="BR132" s="127">
        <f>Planbase100[[#This Row],[05/05/25]]+(1-Planbase100[[#This Row],[05/05/25]])*'Plan 39'!Y86</f>
        <v>0</v>
      </c>
      <c r="BS132" s="127">
        <f>Planbase100[[#This Row],[05/05/25]]+(1-Planbase100[[#This Row],[05/05/25]])*'Plan 39'!Z86</f>
        <v>0</v>
      </c>
      <c r="BT132" s="127">
        <f>Planbase100[[#This Row],[05/05/25]]+(1-Planbase100[[#This Row],[05/05/25]])*'Plan 39'!AA86</f>
        <v>0</v>
      </c>
      <c r="BU132" s="127">
        <f>Planbase100[[#This Row],[05/05/25]]+(1-Planbase100[[#This Row],[05/05/25]])*'Plan 39'!AB86</f>
        <v>0</v>
      </c>
      <c r="BV132" s="127">
        <f>Planbase100[[#This Row],[05/05/25]]+(1-Planbase100[[#This Row],[05/05/25]])*'Plan 39'!AC86</f>
        <v>0</v>
      </c>
      <c r="BW132" s="127">
        <f>Planbase100[[#This Row],[05/05/25]]+(1-Planbase100[[#This Row],[05/05/25]])*'Plan 39'!AD86</f>
        <v>0</v>
      </c>
      <c r="BX132" s="127">
        <f>Planbase100[[#This Row],[05/05/25]]+(1-Planbase100[[#This Row],[05/05/25]])*'Plan 39'!AE86</f>
        <v>0</v>
      </c>
      <c r="BY132" s="127">
        <f>Planbase100[[#This Row],[05/05/25]]+(1-Planbase100[[#This Row],[05/05/25]])*'Plan 39'!AF86</f>
        <v>0</v>
      </c>
      <c r="BZ132" s="127">
        <f>Planbase100[[#This Row],[05/05/25]]+(1-Planbase100[[#This Row],[05/05/25]])*'Plan 39'!AG86</f>
        <v>0</v>
      </c>
      <c r="CA132" s="127">
        <f>Planbase100[[#This Row],[05/05/25]]+(1-Planbase100[[#This Row],[05/05/25]])*'Plan 39'!AH86</f>
        <v>0</v>
      </c>
      <c r="CB132" s="127">
        <f>Planbase100[[#This Row],[05/05/25]]+(1-Planbase100[[#This Row],[05/05/25]])*'Plan 39'!AI86</f>
        <v>0</v>
      </c>
      <c r="CC132" s="127">
        <f>Planbase100[[#This Row],[05/05/25]]+(1-Planbase100[[#This Row],[05/05/25]])*'Plan 39'!AJ86</f>
        <v>0</v>
      </c>
      <c r="CD132" s="127">
        <f>Planbase100[[#This Row],[05/05/25]]+(1-Planbase100[[#This Row],[05/05/25]])*'Plan 39'!AK86</f>
        <v>0.25</v>
      </c>
      <c r="CE132" s="127">
        <f>Planbase100[[#This Row],[05/05/25]]+(1-Planbase100[[#This Row],[05/05/25]])*'Plan 39'!AL86</f>
        <v>0.5</v>
      </c>
      <c r="CF132" s="127">
        <f>Planbase100[[#This Row],[05/05/25]]+(1-Planbase100[[#This Row],[05/05/25]])*'Plan 39'!AM86</f>
        <v>0.75</v>
      </c>
      <c r="CG132" s="127">
        <f>Planbase100[[#This Row],[05/05/25]]+(1-Planbase100[[#This Row],[05/05/25]])*'Plan 39'!AN86</f>
        <v>1</v>
      </c>
      <c r="CH132" s="127">
        <f>Planbase100[[#This Row],[05/05/25]]+(1-Planbase100[[#This Row],[05/05/25]])*'Plan 39'!AO86</f>
        <v>1</v>
      </c>
      <c r="CI132" s="127">
        <f>Planbase100[[#This Row],[05/05/25]]+(1-Planbase100[[#This Row],[05/05/25]])*'Plan 39'!AP86</f>
        <v>1</v>
      </c>
      <c r="CJ132" s="127">
        <f>Planbase100[[#This Row],[05/05/25]]+(1-Planbase100[[#This Row],[05/05/25]])*'Plan 39'!AQ86</f>
        <v>1</v>
      </c>
      <c r="CK132" s="127">
        <f>Planbase100[[#This Row],[05/05/25]]+(1-Planbase100[[#This Row],[05/05/25]])*'Plan 39'!AR86</f>
        <v>1</v>
      </c>
      <c r="CL132" s="127">
        <f>Planbase100[[#This Row],[05/05/25]]+(1-Planbase100[[#This Row],[05/05/25]])*'Plan 39'!AS86</f>
        <v>1</v>
      </c>
      <c r="CM132" s="127">
        <f>Planbase100[[#This Row],[05/05/25]]+(1-Planbase100[[#This Row],[05/05/25]])*'Plan 39'!AT86</f>
        <v>1</v>
      </c>
      <c r="CN132" s="127">
        <f>Planbase100[[#This Row],[05/05/25]]+(1-Planbase100[[#This Row],[05/05/25]])*'Plan 39'!AU86</f>
        <v>1</v>
      </c>
      <c r="CO132" s="127">
        <f>Planbase100[[#This Row],[05/05/25]]+(1-Planbase100[[#This Row],[05/05/25]])*'Plan 39'!AV86</f>
        <v>1</v>
      </c>
      <c r="CP132" s="127">
        <f>Planbase100[[#This Row],[05/05/25]]+(1-Planbase100[[#This Row],[05/05/25]])*'Plan 39'!AW86</f>
        <v>1</v>
      </c>
      <c r="CQ132" s="127">
        <f>Planbase100[[#This Row],[05/05/25]]+(1-Planbase100[[#This Row],[05/05/25]])*'Plan 39'!AX86</f>
        <v>1</v>
      </c>
      <c r="CR132" s="127">
        <f>Planbase100[[#This Row],[05/05/25]]+(1-Planbase100[[#This Row],[05/05/25]])*'Plan 39'!AY86</f>
        <v>1</v>
      </c>
      <c r="CS132" s="127">
        <f>Planbase100[[#This Row],[05/05/25]]+(1-Planbase100[[#This Row],[05/05/25]])*'Plan 39'!AZ86</f>
        <v>1</v>
      </c>
      <c r="CT132" s="127">
        <f>Planbase100[[#This Row],[05/05/25]]+(1-Planbase100[[#This Row],[05/05/25]])*'Plan 39'!BA86</f>
        <v>1</v>
      </c>
      <c r="CU132" s="127">
        <f>Planbase100[[#This Row],[05/05/25]]+(1-Planbase100[[#This Row],[05/05/25]])*'Plan 39'!BB86</f>
        <v>1</v>
      </c>
      <c r="CV132" s="127">
        <f>Planbase100[[#This Row],[05/05/25]]+(1-Planbase100[[#This Row],[05/05/25]])*'Plan 39'!BC86</f>
        <v>1</v>
      </c>
      <c r="CW132" s="127">
        <f>Planbase100[[#This Row],[05/05/25]]+(1-Planbase100[[#This Row],[05/05/25]])*'Plan 39'!BD86</f>
        <v>1</v>
      </c>
      <c r="CX132" s="127">
        <f>Planbase100[[#This Row],[05/05/25]]+(1-Planbase100[[#This Row],[05/05/25]])*'Plan 39'!BE86</f>
        <v>1</v>
      </c>
      <c r="CY132" s="127">
        <f>Planbase100[[#This Row],[05/05/25]]+(1-Planbase100[[#This Row],[05/05/25]])*'Plan 39'!BF86</f>
        <v>1</v>
      </c>
      <c r="CZ132" s="127">
        <f>Planbase100[[#This Row],[05/05/25]]+(1-Planbase100[[#This Row],[05/05/25]])*'Plan 39'!BG86</f>
        <v>1</v>
      </c>
      <c r="DA132" s="127">
        <f>Planbase100[[#This Row],[05/05/25]]+(1-Planbase100[[#This Row],[05/05/25]])*'Plan 39'!BH86</f>
        <v>1</v>
      </c>
      <c r="DB132" s="127">
        <f>Planbase100[[#This Row],[05/05/25]]+(1-Planbase100[[#This Row],[05/05/25]])*'Plan 39'!BI86</f>
        <v>1</v>
      </c>
      <c r="DC132" s="127">
        <f>Planbase100[[#This Row],[05/05/25]]+(1-Planbase100[[#This Row],[05/05/25]])*'Plan 39'!BJ86</f>
        <v>1</v>
      </c>
      <c r="DD132" s="127">
        <f>Planbase100[[#This Row],[05/05/25]]+(1-Planbase100[[#This Row],[05/05/25]])*'Plan 39'!BK86</f>
        <v>1</v>
      </c>
      <c r="DE132" s="127">
        <f>Planbase100[[#This Row],[05/05/25]]+(1-Planbase100[[#This Row],[05/05/25]])*'Plan 39'!BL86</f>
        <v>1</v>
      </c>
      <c r="DF132" s="127">
        <f>Planbase100[[#This Row],[12/05/25]]+(1-Planbase100[[#This Row],[12/05/25]])*'Plan 39'!BM86</f>
        <v>1</v>
      </c>
      <c r="DG132" s="127">
        <f>Planbase100[[#This Row],[19/05/25]]+(1-Planbase100[[#This Row],[19/05/25]])*'Plan 39'!BN86</f>
        <v>1</v>
      </c>
      <c r="DH132" s="127">
        <f>Planbase100[[#This Row],[26/05/25]]+(1-Planbase100[[#This Row],[26/05/25]])*'Plan 39'!BO86</f>
        <v>1</v>
      </c>
      <c r="DI132" s="127">
        <f>Planbase100[[#This Row],[02/06/25]]+(1-Planbase100[[#This Row],[02/06/25]])*'Plan 39'!BP86</f>
        <v>1</v>
      </c>
      <c r="DJ132" s="127">
        <f>Planbase100[[#This Row],[09/06/25]]+(1-Planbase100[[#This Row],[09/06/25]])*'Plan 39'!BQ86</f>
        <v>1</v>
      </c>
      <c r="DK132" s="127">
        <f>Planbase100[[#This Row],[16/06/25]]+(1-Planbase100[[#This Row],[16/06/25]])*'Plan 39'!BR86</f>
        <v>1</v>
      </c>
      <c r="DL132" s="127">
        <f>Planbase100[[#This Row],[23/06/25]]+(1-Planbase100[[#This Row],[23/06/25]])*'Plan 39'!BS86</f>
        <v>1</v>
      </c>
      <c r="DM132" s="127">
        <f>Planbase100[[#This Row],[30/06/25]]+(1-Planbase100[[#This Row],[30/06/25]])*'Plan 39'!BT86</f>
        <v>1</v>
      </c>
      <c r="DN132" s="127">
        <f>Planbase100[[#This Row],[07/07/25]]+(1-Planbase100[[#This Row],[07/07/25]])*'Plan 39'!BU86</f>
        <v>1</v>
      </c>
      <c r="DO132" s="127">
        <f>Planbase100[[#This Row],[14/07/25]]+(1-Planbase100[[#This Row],[14/07/25]])*'Plan 39'!BV86</f>
        <v>1</v>
      </c>
      <c r="DP132" s="127">
        <f>Planbase100[[#This Row],[21/07/25]]+(1-Planbase100[[#This Row],[21/07/25]])*'Plan 39'!BW86</f>
        <v>1</v>
      </c>
      <c r="DQ132" s="127">
        <f>Planbase100[[#This Row],[28/07/25]]+(1-Planbase100[[#This Row],[28/07/25]])*'Plan 39'!BX86</f>
        <v>1</v>
      </c>
      <c r="DR132" s="127">
        <f>Planbase100[[#This Row],[04/08/25]]+(1-Planbase100[[#This Row],[04/08/25]])*'Plan 39'!BY86</f>
        <v>1</v>
      </c>
      <c r="DS132" s="127">
        <f>Planbase100[[#This Row],[11/08/25]]+(1-Planbase100[[#This Row],[11/08/25]])*'Plan 39'!BZ86</f>
        <v>1</v>
      </c>
      <c r="DT132" s="127">
        <f>Planbase100[[#This Row],[18/08/25]]+(1-Planbase100[[#This Row],[18/08/25]])*'Plan 39'!CA86</f>
        <v>1</v>
      </c>
      <c r="DU132" s="127">
        <f>Planbase100[[#This Row],[25/08/25]]+(1-Planbase100[[#This Row],[25/08/25]])*'Plan 39'!CB86</f>
        <v>1</v>
      </c>
      <c r="DV132" s="127">
        <f>Planbase100[[#This Row],[01/09/25]]+(1-Planbase100[[#This Row],[01/09/25]])*'Plan 39'!CC86</f>
        <v>1</v>
      </c>
      <c r="DW132" s="127">
        <f>Planbase100[[#This Row],[08/09/25]]+(1-Planbase100[[#This Row],[08/09/25]])*'Plan 39'!CD86</f>
        <v>1</v>
      </c>
      <c r="DX132" s="127">
        <f>Planbase100[[#This Row],[15/09/25]]+(1-Planbase100[[#This Row],[15/09/25]])*'Plan 39'!CE86</f>
        <v>1</v>
      </c>
      <c r="DY132" s="127">
        <f>Planbase100[[#This Row],[22/09/25]]+(1-Planbase100[[#This Row],[22/09/25]])*'Plan 39'!CF86</f>
        <v>1</v>
      </c>
      <c r="DZ132" s="127">
        <f>Planbase100[[#This Row],[29/09/25]]+(1-Planbase100[[#This Row],[29/09/25]])*'Plan 39'!CG86</f>
        <v>1</v>
      </c>
      <c r="EA132" s="127">
        <f>Planbase100[[#This Row],[06/10/25]]+(1-Planbase100[[#This Row],[06/10/25]])*'Plan 39'!CH86</f>
        <v>1</v>
      </c>
      <c r="EB132" s="127">
        <f>Planbase100[[#This Row],[13/10/25]]+(1-Planbase100[[#This Row],[13/10/25]])*'Plan 39'!CI86</f>
        <v>1</v>
      </c>
      <c r="EC132" s="127">
        <f>Planbase100[[#This Row],[20/10/25]]+(1-Planbase100[[#This Row],[20/10/25]])*'Plan 39'!CJ86</f>
        <v>1</v>
      </c>
      <c r="ED132" s="127">
        <f>Planbase100[[#This Row],[27/10/25]]+(1-Planbase100[[#This Row],[27/10/25]])*'Plan 39'!CK86</f>
        <v>1</v>
      </c>
      <c r="EE132" s="127">
        <f>Planbase100[[#This Row],[03/11/25]]+(1-Planbase100[[#This Row],[03/11/25]])*'Plan 39'!CL86</f>
        <v>1</v>
      </c>
      <c r="EF132" s="127">
        <f>Planbase100[[#This Row],[10/11/25]]+(1-Planbase100[[#This Row],[10/11/25]])*'Plan 39'!CM86</f>
        <v>1</v>
      </c>
      <c r="EG132" s="127">
        <f>Planbase100[[#This Row],[17/11/25]]+(1-Planbase100[[#This Row],[17/11/25]])*'Plan 39'!CN86</f>
        <v>1</v>
      </c>
      <c r="EH132" s="127">
        <f>Planbase100[[#This Row],[24/11/25]]+(1-Planbase100[[#This Row],[24/11/25]])*'Plan 39'!CO86</f>
        <v>1</v>
      </c>
      <c r="EI132" s="127">
        <f>Planbase100[[#This Row],[01/12/25]]+(1-Planbase100[[#This Row],[01/12/25]])*'Plan 39'!CP86</f>
        <v>1</v>
      </c>
    </row>
    <row r="133" spans="2:139" ht="15" hidden="1" outlineLevel="2" collapsed="1" x14ac:dyDescent="0.3">
      <c r="B133" s="22"/>
      <c r="C133" s="23"/>
      <c r="D133" s="23" t="s">
        <v>137</v>
      </c>
      <c r="E133" s="50"/>
      <c r="F133" s="26">
        <f>+SUM(F135:F136)</f>
        <v>70</v>
      </c>
      <c r="G133" s="28">
        <v>6.9648115450815076E-2</v>
      </c>
      <c r="H133" s="51"/>
      <c r="I133" s="125">
        <f>SUMPRODUCT(I134:I136,$G$134:$G$136)</f>
        <v>0</v>
      </c>
      <c r="J133" s="28">
        <f t="shared" ref="J133:BB133" si="389">SUMPRODUCT(J134:J136,$G$134:$G$136)</f>
        <v>0</v>
      </c>
      <c r="K133" s="28">
        <f t="shared" si="389"/>
        <v>0</v>
      </c>
      <c r="L133" s="28">
        <f t="shared" si="389"/>
        <v>0</v>
      </c>
      <c r="M133" s="28">
        <f t="shared" si="389"/>
        <v>0</v>
      </c>
      <c r="N133" s="28">
        <f>SUMPRODUCT(N134:N136,$G$134:$G$136)</f>
        <v>0</v>
      </c>
      <c r="O133" s="28">
        <f t="shared" si="389"/>
        <v>0</v>
      </c>
      <c r="P133" s="28">
        <f t="shared" si="389"/>
        <v>0</v>
      </c>
      <c r="Q133" s="28">
        <f t="shared" si="389"/>
        <v>0</v>
      </c>
      <c r="R133" s="28">
        <f t="shared" si="389"/>
        <v>0</v>
      </c>
      <c r="S133" s="28">
        <f t="shared" si="389"/>
        <v>0</v>
      </c>
      <c r="T133" s="28">
        <f t="shared" si="389"/>
        <v>0</v>
      </c>
      <c r="U133" s="28">
        <f t="shared" si="389"/>
        <v>0</v>
      </c>
      <c r="V133" s="28">
        <f t="shared" si="389"/>
        <v>0</v>
      </c>
      <c r="W133" s="28">
        <f t="shared" si="389"/>
        <v>0</v>
      </c>
      <c r="X133" s="28">
        <f t="shared" si="389"/>
        <v>0</v>
      </c>
      <c r="Y133" s="28">
        <f t="shared" si="389"/>
        <v>0</v>
      </c>
      <c r="Z133" s="28">
        <f t="shared" si="389"/>
        <v>0</v>
      </c>
      <c r="AA133" s="28">
        <f t="shared" si="389"/>
        <v>0</v>
      </c>
      <c r="AB133" s="28">
        <f t="shared" si="389"/>
        <v>0</v>
      </c>
      <c r="AC133" s="28">
        <f t="shared" si="389"/>
        <v>0</v>
      </c>
      <c r="AD133" s="28">
        <f t="shared" si="389"/>
        <v>0</v>
      </c>
      <c r="AE133" s="28">
        <f t="shared" si="389"/>
        <v>0</v>
      </c>
      <c r="AF133" s="28">
        <f t="shared" si="389"/>
        <v>0</v>
      </c>
      <c r="AG133" s="28">
        <f t="shared" si="389"/>
        <v>0</v>
      </c>
      <c r="AH133" s="28">
        <f t="shared" si="389"/>
        <v>0</v>
      </c>
      <c r="AI133" s="28">
        <f>SUMPRODUCT(AI134:AI136,$G$134:$G$136)</f>
        <v>0</v>
      </c>
      <c r="AJ133" s="28">
        <f>SUMPRODUCT(AJ134:AJ136,$G$134:$G$136)</f>
        <v>0</v>
      </c>
      <c r="AK133" s="28">
        <f t="shared" si="389"/>
        <v>0</v>
      </c>
      <c r="AL133" s="28">
        <f t="shared" si="389"/>
        <v>0</v>
      </c>
      <c r="AM133" s="28">
        <f t="shared" si="389"/>
        <v>0</v>
      </c>
      <c r="AN133" s="28">
        <f t="shared" si="389"/>
        <v>0</v>
      </c>
      <c r="AO133" s="28">
        <f t="shared" si="389"/>
        <v>0</v>
      </c>
      <c r="AP133" s="28">
        <f t="shared" si="389"/>
        <v>0</v>
      </c>
      <c r="AQ133" s="28">
        <f t="shared" si="389"/>
        <v>0</v>
      </c>
      <c r="AR133" s="28">
        <f t="shared" si="389"/>
        <v>0</v>
      </c>
      <c r="AS133" s="28">
        <f t="shared" si="389"/>
        <v>0</v>
      </c>
      <c r="AT133" s="28">
        <f t="shared" si="389"/>
        <v>0</v>
      </c>
      <c r="AU133" s="28">
        <f t="shared" si="389"/>
        <v>0</v>
      </c>
      <c r="AV133" s="28">
        <f t="shared" si="389"/>
        <v>0</v>
      </c>
      <c r="AW133" s="28">
        <f t="shared" si="389"/>
        <v>0</v>
      </c>
      <c r="AX133" s="28">
        <f t="shared" si="389"/>
        <v>0</v>
      </c>
      <c r="AY133" s="28">
        <f t="shared" si="389"/>
        <v>0</v>
      </c>
      <c r="AZ133" s="28">
        <f t="shared" si="389"/>
        <v>0</v>
      </c>
      <c r="BA133" s="28">
        <f t="shared" si="389"/>
        <v>0</v>
      </c>
      <c r="BB133" s="28">
        <f t="shared" si="389"/>
        <v>0</v>
      </c>
      <c r="BC133" s="28">
        <f t="shared" ref="BC133:CE133" si="390">SUMPRODUCT(BC134:BC136,$G$134:$G$136)</f>
        <v>0</v>
      </c>
      <c r="BD133" s="28">
        <f t="shared" si="390"/>
        <v>0</v>
      </c>
      <c r="BE133" s="28">
        <f t="shared" si="390"/>
        <v>0</v>
      </c>
      <c r="BF133" s="28">
        <f t="shared" si="390"/>
        <v>0</v>
      </c>
      <c r="BG133" s="28">
        <f t="shared" si="390"/>
        <v>0</v>
      </c>
      <c r="BH133" s="28">
        <f t="shared" si="390"/>
        <v>0</v>
      </c>
      <c r="BI133" s="28">
        <f t="shared" si="390"/>
        <v>0</v>
      </c>
      <c r="BJ133" s="28">
        <f t="shared" si="390"/>
        <v>0</v>
      </c>
      <c r="BK133" s="28">
        <f t="shared" si="390"/>
        <v>0</v>
      </c>
      <c r="BL133" s="28">
        <f t="shared" si="390"/>
        <v>0</v>
      </c>
      <c r="BM133" s="28">
        <f t="shared" si="390"/>
        <v>0</v>
      </c>
      <c r="BN133" s="28">
        <f t="shared" si="390"/>
        <v>0</v>
      </c>
      <c r="BO133" s="28">
        <f t="shared" si="390"/>
        <v>0</v>
      </c>
      <c r="BP133" s="28">
        <f t="shared" si="390"/>
        <v>0</v>
      </c>
      <c r="BQ133" s="28">
        <f t="shared" si="390"/>
        <v>0</v>
      </c>
      <c r="BR133" s="28">
        <f t="shared" si="390"/>
        <v>0</v>
      </c>
      <c r="BS133" s="28">
        <f t="shared" si="390"/>
        <v>0</v>
      </c>
      <c r="BT133" s="28">
        <f t="shared" si="390"/>
        <v>0</v>
      </c>
      <c r="BU133" s="28">
        <f t="shared" si="390"/>
        <v>2.5000000000000001E-2</v>
      </c>
      <c r="BV133" s="28">
        <f t="shared" si="390"/>
        <v>0.05</v>
      </c>
      <c r="BW133" s="28">
        <f t="shared" si="390"/>
        <v>7.5000000000000011E-2</v>
      </c>
      <c r="BX133" s="28">
        <f t="shared" si="390"/>
        <v>0.18125000000000002</v>
      </c>
      <c r="BY133" s="28">
        <f t="shared" si="390"/>
        <v>0.28749999999999998</v>
      </c>
      <c r="BZ133" s="28">
        <f t="shared" si="390"/>
        <v>0.39375000000000004</v>
      </c>
      <c r="CA133" s="28">
        <f t="shared" si="390"/>
        <v>0.5</v>
      </c>
      <c r="CB133" s="28">
        <f t="shared" si="390"/>
        <v>0.63624999999999998</v>
      </c>
      <c r="CC133" s="28">
        <f t="shared" si="390"/>
        <v>0.74750000000000005</v>
      </c>
      <c r="CD133" s="28">
        <f t="shared" si="390"/>
        <v>0.85875000000000001</v>
      </c>
      <c r="CE133" s="28">
        <f t="shared" si="390"/>
        <v>0.97</v>
      </c>
      <c r="CF133" s="28">
        <f t="shared" ref="CF133:CI133" si="391">SUMPRODUCT(CF134:CF136,$G$134:$G$136)</f>
        <v>1</v>
      </c>
      <c r="CG133" s="28">
        <f t="shared" si="391"/>
        <v>1</v>
      </c>
      <c r="CH133" s="28">
        <f t="shared" si="391"/>
        <v>1</v>
      </c>
      <c r="CI133" s="28">
        <f t="shared" si="391"/>
        <v>1</v>
      </c>
      <c r="CJ133" s="28">
        <f t="shared" ref="CJ133:CK133" si="392">SUMPRODUCT(CJ134:CJ136,$G$134:$G$136)</f>
        <v>1</v>
      </c>
      <c r="CK133" s="28">
        <f t="shared" si="392"/>
        <v>1</v>
      </c>
      <c r="CL133" s="28">
        <f t="shared" ref="CL133" si="393">SUMPRODUCT(CL134:CL136,$G$134:$G$136)</f>
        <v>1</v>
      </c>
      <c r="CM133" s="28">
        <f t="shared" ref="CM133:CV133" si="394">SUMPRODUCT(CM134:CM136,$G$134:$G$136)</f>
        <v>1</v>
      </c>
      <c r="CN133" s="28">
        <f t="shared" si="394"/>
        <v>1</v>
      </c>
      <c r="CO133" s="28">
        <f t="shared" si="394"/>
        <v>1</v>
      </c>
      <c r="CP133" s="28">
        <f t="shared" si="394"/>
        <v>1</v>
      </c>
      <c r="CQ133" s="28">
        <f t="shared" si="394"/>
        <v>1</v>
      </c>
      <c r="CR133" s="28">
        <f t="shared" si="394"/>
        <v>1</v>
      </c>
      <c r="CS133" s="28">
        <f t="shared" si="394"/>
        <v>1</v>
      </c>
      <c r="CT133" s="28">
        <f t="shared" si="394"/>
        <v>1</v>
      </c>
      <c r="CU133" s="28">
        <f t="shared" si="394"/>
        <v>1</v>
      </c>
      <c r="CV133" s="28">
        <f t="shared" si="394"/>
        <v>1</v>
      </c>
      <c r="CW133" s="28">
        <f t="shared" ref="CW133" si="395">SUMPRODUCT(CW134:CW136,$G$134:$G$136)</f>
        <v>1</v>
      </c>
      <c r="CX133" s="28">
        <f t="shared" ref="CX133:CY133" si="396">SUMPRODUCT(CX134:CX136,$G$134:$G$136)</f>
        <v>1</v>
      </c>
      <c r="CY133" s="28">
        <f t="shared" si="396"/>
        <v>1</v>
      </c>
      <c r="CZ133" s="28">
        <f t="shared" ref="CZ133:DA133" si="397">SUMPRODUCT(CZ134:CZ136,$G$134:$G$136)</f>
        <v>1</v>
      </c>
      <c r="DA133" s="28">
        <f t="shared" si="397"/>
        <v>1</v>
      </c>
      <c r="DB133" s="28">
        <f t="shared" ref="DB133:DC133" si="398">SUMPRODUCT(DB134:DB136,$G$134:$G$136)</f>
        <v>1</v>
      </c>
      <c r="DC133" s="28">
        <f t="shared" si="398"/>
        <v>1</v>
      </c>
      <c r="DD133" s="28">
        <f t="shared" ref="DD133:DE133" si="399">SUMPRODUCT(DD134:DD136,$G$134:$G$136)</f>
        <v>1</v>
      </c>
      <c r="DE133" s="28">
        <f t="shared" si="399"/>
        <v>1</v>
      </c>
      <c r="DF133" s="28">
        <f t="shared" ref="DF133:DJ133" si="400">SUMPRODUCT(DF134:DF136,$G$134:$G$136)</f>
        <v>1</v>
      </c>
      <c r="DG133" s="28">
        <f t="shared" si="400"/>
        <v>1</v>
      </c>
      <c r="DH133" s="28">
        <f t="shared" si="400"/>
        <v>1</v>
      </c>
      <c r="DI133" s="28">
        <f t="shared" si="400"/>
        <v>1</v>
      </c>
      <c r="DJ133" s="28">
        <f t="shared" si="400"/>
        <v>1</v>
      </c>
      <c r="DK133" s="28">
        <f t="shared" ref="DK133:EI133" si="401">SUMPRODUCT(DK134:DK136,$G$134:$G$136)</f>
        <v>1</v>
      </c>
      <c r="DL133" s="28">
        <f t="shared" si="401"/>
        <v>1</v>
      </c>
      <c r="DM133" s="28">
        <f t="shared" si="401"/>
        <v>1</v>
      </c>
      <c r="DN133" s="28">
        <f t="shared" si="401"/>
        <v>1</v>
      </c>
      <c r="DO133" s="28">
        <f t="shared" si="401"/>
        <v>1</v>
      </c>
      <c r="DP133" s="28">
        <f t="shared" si="401"/>
        <v>1</v>
      </c>
      <c r="DQ133" s="28">
        <f t="shared" si="401"/>
        <v>1</v>
      </c>
      <c r="DR133" s="28">
        <f t="shared" si="401"/>
        <v>1</v>
      </c>
      <c r="DS133" s="28">
        <f t="shared" si="401"/>
        <v>1</v>
      </c>
      <c r="DT133" s="28">
        <f t="shared" si="401"/>
        <v>1</v>
      </c>
      <c r="DU133" s="28">
        <f t="shared" si="401"/>
        <v>1</v>
      </c>
      <c r="DV133" s="28">
        <f t="shared" si="401"/>
        <v>1</v>
      </c>
      <c r="DW133" s="28">
        <f t="shared" si="401"/>
        <v>1</v>
      </c>
      <c r="DX133" s="28">
        <f t="shared" si="401"/>
        <v>1</v>
      </c>
      <c r="DY133" s="28">
        <f t="shared" si="401"/>
        <v>1</v>
      </c>
      <c r="DZ133" s="28">
        <f t="shared" si="401"/>
        <v>1</v>
      </c>
      <c r="EA133" s="28">
        <f t="shared" si="401"/>
        <v>1</v>
      </c>
      <c r="EB133" s="28">
        <f t="shared" si="401"/>
        <v>1</v>
      </c>
      <c r="EC133" s="28">
        <f t="shared" si="401"/>
        <v>1</v>
      </c>
      <c r="ED133" s="28">
        <f t="shared" si="401"/>
        <v>1</v>
      </c>
      <c r="EE133" s="28">
        <f t="shared" si="401"/>
        <v>1</v>
      </c>
      <c r="EF133" s="28">
        <f t="shared" si="401"/>
        <v>1</v>
      </c>
      <c r="EG133" s="28">
        <f t="shared" si="401"/>
        <v>1</v>
      </c>
      <c r="EH133" s="28">
        <f t="shared" si="401"/>
        <v>1</v>
      </c>
      <c r="EI133" s="28">
        <f t="shared" si="401"/>
        <v>1</v>
      </c>
    </row>
    <row r="134" spans="2:139" hidden="1" outlineLevel="3" x14ac:dyDescent="0.3">
      <c r="B134" s="29"/>
      <c r="C134" s="30"/>
      <c r="D134" s="30"/>
      <c r="E134" s="30" t="s">
        <v>138</v>
      </c>
      <c r="F134" s="33">
        <v>30</v>
      </c>
      <c r="G134" s="35">
        <v>0.2</v>
      </c>
      <c r="H134" s="53"/>
      <c r="I134" s="126">
        <v>0</v>
      </c>
      <c r="J134" s="127">
        <v>0</v>
      </c>
      <c r="K134" s="127">
        <v>0</v>
      </c>
      <c r="L134" s="127">
        <v>0</v>
      </c>
      <c r="M134" s="128">
        <v>0</v>
      </c>
      <c r="N134" s="128">
        <v>0</v>
      </c>
      <c r="O134" s="127">
        <v>0</v>
      </c>
      <c r="P134" s="127">
        <v>0</v>
      </c>
      <c r="Q134" s="127">
        <v>0</v>
      </c>
      <c r="R134" s="127">
        <v>0</v>
      </c>
      <c r="S134" s="127">
        <v>0</v>
      </c>
      <c r="T134" s="127">
        <v>0</v>
      </c>
      <c r="U134" s="127">
        <v>0</v>
      </c>
      <c r="V134" s="127">
        <v>0</v>
      </c>
      <c r="W134" s="127">
        <v>0</v>
      </c>
      <c r="X134" s="127">
        <v>0</v>
      </c>
      <c r="Y134" s="127">
        <v>0</v>
      </c>
      <c r="Z134" s="127">
        <v>0</v>
      </c>
      <c r="AA134" s="127">
        <v>0</v>
      </c>
      <c r="AB134" s="127">
        <v>0</v>
      </c>
      <c r="AC134" s="127">
        <v>0</v>
      </c>
      <c r="AD134" s="127">
        <v>0</v>
      </c>
      <c r="AE134" s="127">
        <v>0</v>
      </c>
      <c r="AF134" s="127">
        <v>0</v>
      </c>
      <c r="AG134" s="127">
        <v>0</v>
      </c>
      <c r="AH134" s="127">
        <v>0</v>
      </c>
      <c r="AI134" s="127">
        <v>0</v>
      </c>
      <c r="AJ134" s="127">
        <v>0</v>
      </c>
      <c r="AK134" s="127">
        <v>0</v>
      </c>
      <c r="AL134" s="127">
        <v>0</v>
      </c>
      <c r="AM134" s="127">
        <v>0</v>
      </c>
      <c r="AN134" s="127">
        <v>0</v>
      </c>
      <c r="AO134" s="127">
        <v>0</v>
      </c>
      <c r="AP134" s="127">
        <v>0</v>
      </c>
      <c r="AQ134" s="127">
        <v>0</v>
      </c>
      <c r="AR134" s="127">
        <v>0</v>
      </c>
      <c r="AS134" s="127">
        <v>0</v>
      </c>
      <c r="AT134" s="127">
        <v>0</v>
      </c>
      <c r="AU134" s="127">
        <v>0</v>
      </c>
      <c r="AV134" s="127">
        <v>0</v>
      </c>
      <c r="AW134" s="127">
        <v>0</v>
      </c>
      <c r="AX134" s="127">
        <v>0</v>
      </c>
      <c r="AY134" s="127">
        <v>0</v>
      </c>
      <c r="AZ134" s="127">
        <v>0</v>
      </c>
      <c r="BA134" s="127">
        <v>0</v>
      </c>
      <c r="BB134" s="127">
        <f>Planbase100[[#This Row],[05/05/25]]+(1-Planbase100[[#This Row],[05/05/25]])*'Plan 39'!I88</f>
        <v>0</v>
      </c>
      <c r="BC134" s="127">
        <f>Planbase100[[#This Row],[05/05/25]]+(1-Planbase100[[#This Row],[05/05/25]])*'Plan 39'!J88</f>
        <v>0</v>
      </c>
      <c r="BD134" s="127">
        <f>Planbase100[[#This Row],[05/05/25]]+(1-Planbase100[[#This Row],[05/05/25]])*'Plan 39'!K88</f>
        <v>0</v>
      </c>
      <c r="BE134" s="127">
        <f>Planbase100[[#This Row],[05/05/25]]+(1-Planbase100[[#This Row],[05/05/25]])*'Plan 39'!L88</f>
        <v>0</v>
      </c>
      <c r="BF134" s="127">
        <f>Planbase100[[#This Row],[05/05/25]]+(1-Planbase100[[#This Row],[05/05/25]])*'Plan 39'!M88</f>
        <v>0</v>
      </c>
      <c r="BG134" s="127">
        <f>Planbase100[[#This Row],[05/05/25]]+(1-Planbase100[[#This Row],[05/05/25]])*'Plan 39'!N88</f>
        <v>0</v>
      </c>
      <c r="BH134" s="127">
        <f>Planbase100[[#This Row],[05/05/25]]+(1-Planbase100[[#This Row],[05/05/25]])*'Plan 39'!O88</f>
        <v>0</v>
      </c>
      <c r="BI134" s="127">
        <f>Planbase100[[#This Row],[05/05/25]]+(1-Planbase100[[#This Row],[05/05/25]])*'Plan 39'!P88</f>
        <v>0</v>
      </c>
      <c r="BJ134" s="127">
        <f>Planbase100[[#This Row],[05/05/25]]+(1-Planbase100[[#This Row],[05/05/25]])*'Plan 39'!Q88</f>
        <v>0</v>
      </c>
      <c r="BK134" s="127">
        <f>Planbase100[[#This Row],[05/05/25]]+(1-Planbase100[[#This Row],[05/05/25]])*'Plan 39'!R88</f>
        <v>0</v>
      </c>
      <c r="BL134" s="127">
        <f>Planbase100[[#This Row],[05/05/25]]+(1-Planbase100[[#This Row],[05/05/25]])*'Plan 39'!S88</f>
        <v>0</v>
      </c>
      <c r="BM134" s="127">
        <f>Planbase100[[#This Row],[05/05/25]]+(1-Planbase100[[#This Row],[05/05/25]])*'Plan 39'!T88</f>
        <v>0</v>
      </c>
      <c r="BN134" s="127">
        <f>Planbase100[[#This Row],[05/05/25]]+(1-Planbase100[[#This Row],[05/05/25]])*'Plan 39'!U88</f>
        <v>0</v>
      </c>
      <c r="BO134" s="127">
        <f>Planbase100[[#This Row],[05/05/25]]+(1-Planbase100[[#This Row],[05/05/25]])*'Plan 39'!V88</f>
        <v>0</v>
      </c>
      <c r="BP134" s="127">
        <f>Planbase100[[#This Row],[05/05/25]]+(1-Planbase100[[#This Row],[05/05/25]])*'Plan 39'!W88</f>
        <v>0</v>
      </c>
      <c r="BQ134" s="127">
        <f>Planbase100[[#This Row],[05/05/25]]+(1-Planbase100[[#This Row],[05/05/25]])*'Plan 39'!X88</f>
        <v>0</v>
      </c>
      <c r="BR134" s="127">
        <f>Planbase100[[#This Row],[05/05/25]]+(1-Planbase100[[#This Row],[05/05/25]])*'Plan 39'!Y88</f>
        <v>0</v>
      </c>
      <c r="BS134" s="127">
        <f>Planbase100[[#This Row],[05/05/25]]+(1-Planbase100[[#This Row],[05/05/25]])*'Plan 39'!Z88</f>
        <v>0</v>
      </c>
      <c r="BT134" s="127">
        <f>Planbase100[[#This Row],[05/05/25]]+(1-Planbase100[[#This Row],[05/05/25]])*'Plan 39'!AA88</f>
        <v>0</v>
      </c>
      <c r="BU134" s="127">
        <f>Planbase100[[#This Row],[05/05/25]]+(1-Planbase100[[#This Row],[05/05/25]])*'Plan 39'!AB88</f>
        <v>0.125</v>
      </c>
      <c r="BV134" s="127">
        <f>Planbase100[[#This Row],[05/05/25]]+(1-Planbase100[[#This Row],[05/05/25]])*'Plan 39'!AC88</f>
        <v>0.25</v>
      </c>
      <c r="BW134" s="127">
        <f>Planbase100[[#This Row],[05/05/25]]+(1-Planbase100[[#This Row],[05/05/25]])*'Plan 39'!AD88</f>
        <v>0.375</v>
      </c>
      <c r="BX134" s="127">
        <f>Planbase100[[#This Row],[05/05/25]]+(1-Planbase100[[#This Row],[05/05/25]])*'Plan 39'!AE88</f>
        <v>0.5</v>
      </c>
      <c r="BY134" s="127">
        <f>Planbase100[[#This Row],[05/05/25]]+(1-Planbase100[[#This Row],[05/05/25]])*'Plan 39'!AF88</f>
        <v>0.625</v>
      </c>
      <c r="BZ134" s="127">
        <f>Planbase100[[#This Row],[05/05/25]]+(1-Planbase100[[#This Row],[05/05/25]])*'Plan 39'!AG88</f>
        <v>0.75</v>
      </c>
      <c r="CA134" s="127">
        <f>Planbase100[[#This Row],[05/05/25]]+(1-Planbase100[[#This Row],[05/05/25]])*'Plan 39'!AH88</f>
        <v>0.875</v>
      </c>
      <c r="CB134" s="127">
        <f>Planbase100[[#This Row],[05/05/25]]+(1-Planbase100[[#This Row],[05/05/25]])*'Plan 39'!AI88</f>
        <v>1</v>
      </c>
      <c r="CC134" s="127">
        <f>Planbase100[[#This Row],[05/05/25]]+(1-Planbase100[[#This Row],[05/05/25]])*'Plan 39'!AJ88</f>
        <v>1</v>
      </c>
      <c r="CD134" s="127">
        <f>Planbase100[[#This Row],[05/05/25]]+(1-Planbase100[[#This Row],[05/05/25]])*'Plan 39'!AK88</f>
        <v>1</v>
      </c>
      <c r="CE134" s="127">
        <f>Planbase100[[#This Row],[05/05/25]]+(1-Planbase100[[#This Row],[05/05/25]])*'Plan 39'!AL88</f>
        <v>1</v>
      </c>
      <c r="CF134" s="127">
        <f>Planbase100[[#This Row],[05/05/25]]+(1-Planbase100[[#This Row],[05/05/25]])*'Plan 39'!AM88</f>
        <v>1</v>
      </c>
      <c r="CG134" s="127">
        <f>Planbase100[[#This Row],[05/05/25]]+(1-Planbase100[[#This Row],[05/05/25]])*'Plan 39'!AN88</f>
        <v>1</v>
      </c>
      <c r="CH134" s="127">
        <f>Planbase100[[#This Row],[05/05/25]]+(1-Planbase100[[#This Row],[05/05/25]])*'Plan 39'!AO88</f>
        <v>1</v>
      </c>
      <c r="CI134" s="127">
        <f>Planbase100[[#This Row],[05/05/25]]+(1-Planbase100[[#This Row],[05/05/25]])*'Plan 39'!AP88</f>
        <v>1</v>
      </c>
      <c r="CJ134" s="127">
        <f>Planbase100[[#This Row],[05/05/25]]+(1-Planbase100[[#This Row],[05/05/25]])*'Plan 39'!AQ88</f>
        <v>1</v>
      </c>
      <c r="CK134" s="127">
        <f>Planbase100[[#This Row],[05/05/25]]+(1-Planbase100[[#This Row],[05/05/25]])*'Plan 39'!AR88</f>
        <v>1</v>
      </c>
      <c r="CL134" s="127">
        <f>Planbase100[[#This Row],[05/05/25]]+(1-Planbase100[[#This Row],[05/05/25]])*'Plan 39'!AS88</f>
        <v>1</v>
      </c>
      <c r="CM134" s="127">
        <f>Planbase100[[#This Row],[05/05/25]]+(1-Planbase100[[#This Row],[05/05/25]])*'Plan 39'!AT88</f>
        <v>1</v>
      </c>
      <c r="CN134" s="127">
        <f>Planbase100[[#This Row],[05/05/25]]+(1-Planbase100[[#This Row],[05/05/25]])*'Plan 39'!AU88</f>
        <v>1</v>
      </c>
      <c r="CO134" s="127">
        <f>Planbase100[[#This Row],[05/05/25]]+(1-Planbase100[[#This Row],[05/05/25]])*'Plan 39'!AV88</f>
        <v>1</v>
      </c>
      <c r="CP134" s="127">
        <f>Planbase100[[#This Row],[05/05/25]]+(1-Planbase100[[#This Row],[05/05/25]])*'Plan 39'!AW88</f>
        <v>1</v>
      </c>
      <c r="CQ134" s="127">
        <f>Planbase100[[#This Row],[05/05/25]]+(1-Planbase100[[#This Row],[05/05/25]])*'Plan 39'!AX88</f>
        <v>1</v>
      </c>
      <c r="CR134" s="127">
        <f>Planbase100[[#This Row],[05/05/25]]+(1-Planbase100[[#This Row],[05/05/25]])*'Plan 39'!AY88</f>
        <v>1</v>
      </c>
      <c r="CS134" s="127">
        <f>Planbase100[[#This Row],[05/05/25]]+(1-Planbase100[[#This Row],[05/05/25]])*'Plan 39'!AZ88</f>
        <v>1</v>
      </c>
      <c r="CT134" s="127">
        <f>Planbase100[[#This Row],[05/05/25]]+(1-Planbase100[[#This Row],[05/05/25]])*'Plan 39'!BA88</f>
        <v>1</v>
      </c>
      <c r="CU134" s="127">
        <f>Planbase100[[#This Row],[05/05/25]]+(1-Planbase100[[#This Row],[05/05/25]])*'Plan 39'!BB88</f>
        <v>1</v>
      </c>
      <c r="CV134" s="127">
        <f>Planbase100[[#This Row],[05/05/25]]+(1-Planbase100[[#This Row],[05/05/25]])*'Plan 39'!BC88</f>
        <v>1</v>
      </c>
      <c r="CW134" s="127">
        <f>Planbase100[[#This Row],[05/05/25]]+(1-Planbase100[[#This Row],[05/05/25]])*'Plan 39'!BD88</f>
        <v>1</v>
      </c>
      <c r="CX134" s="127">
        <f>Planbase100[[#This Row],[05/05/25]]+(1-Planbase100[[#This Row],[05/05/25]])*'Plan 39'!BE88</f>
        <v>1</v>
      </c>
      <c r="CY134" s="127">
        <f>Planbase100[[#This Row],[05/05/25]]+(1-Planbase100[[#This Row],[05/05/25]])*'Plan 39'!BF88</f>
        <v>1</v>
      </c>
      <c r="CZ134" s="127">
        <f>Planbase100[[#This Row],[05/05/25]]+(1-Planbase100[[#This Row],[05/05/25]])*'Plan 39'!BG88</f>
        <v>1</v>
      </c>
      <c r="DA134" s="127">
        <f>Planbase100[[#This Row],[05/05/25]]+(1-Planbase100[[#This Row],[05/05/25]])*'Plan 39'!BH88</f>
        <v>1</v>
      </c>
      <c r="DB134" s="127">
        <f>Planbase100[[#This Row],[05/05/25]]+(1-Planbase100[[#This Row],[05/05/25]])*'Plan 39'!BI88</f>
        <v>1</v>
      </c>
      <c r="DC134" s="127">
        <f>Planbase100[[#This Row],[05/05/25]]+(1-Planbase100[[#This Row],[05/05/25]])*'Plan 39'!BJ88</f>
        <v>1</v>
      </c>
      <c r="DD134" s="127">
        <f>Planbase100[[#This Row],[05/05/25]]+(1-Planbase100[[#This Row],[05/05/25]])*'Plan 39'!BK88</f>
        <v>1</v>
      </c>
      <c r="DE134" s="127">
        <f>Planbase100[[#This Row],[05/05/25]]+(1-Planbase100[[#This Row],[05/05/25]])*'Plan 39'!BL88</f>
        <v>1</v>
      </c>
      <c r="DF134" s="127">
        <f>Planbase100[[#This Row],[12/05/25]]+(1-Planbase100[[#This Row],[12/05/25]])*'Plan 39'!BM88</f>
        <v>1</v>
      </c>
      <c r="DG134" s="127">
        <f>Planbase100[[#This Row],[19/05/25]]+(1-Planbase100[[#This Row],[19/05/25]])*'Plan 39'!BN88</f>
        <v>1</v>
      </c>
      <c r="DH134" s="127">
        <f>Planbase100[[#This Row],[26/05/25]]+(1-Planbase100[[#This Row],[26/05/25]])*'Plan 39'!BO88</f>
        <v>1</v>
      </c>
      <c r="DI134" s="127">
        <f>Planbase100[[#This Row],[02/06/25]]+(1-Planbase100[[#This Row],[02/06/25]])*'Plan 39'!BP88</f>
        <v>1</v>
      </c>
      <c r="DJ134" s="127">
        <f>Planbase100[[#This Row],[09/06/25]]+(1-Planbase100[[#This Row],[09/06/25]])*'Plan 39'!BQ88</f>
        <v>1</v>
      </c>
      <c r="DK134" s="127">
        <f>Planbase100[[#This Row],[16/06/25]]+(1-Planbase100[[#This Row],[16/06/25]])*'Plan 39'!BR88</f>
        <v>1</v>
      </c>
      <c r="DL134" s="127">
        <f>Planbase100[[#This Row],[23/06/25]]+(1-Planbase100[[#This Row],[23/06/25]])*'Plan 39'!BS88</f>
        <v>1</v>
      </c>
      <c r="DM134" s="127">
        <f>Planbase100[[#This Row],[30/06/25]]+(1-Planbase100[[#This Row],[30/06/25]])*'Plan 39'!BT88</f>
        <v>1</v>
      </c>
      <c r="DN134" s="127">
        <f>Planbase100[[#This Row],[07/07/25]]+(1-Planbase100[[#This Row],[07/07/25]])*'Plan 39'!BU88</f>
        <v>1</v>
      </c>
      <c r="DO134" s="127">
        <f>Planbase100[[#This Row],[14/07/25]]+(1-Planbase100[[#This Row],[14/07/25]])*'Plan 39'!BV88</f>
        <v>1</v>
      </c>
      <c r="DP134" s="127">
        <f>Planbase100[[#This Row],[21/07/25]]+(1-Planbase100[[#This Row],[21/07/25]])*'Plan 39'!BW88</f>
        <v>1</v>
      </c>
      <c r="DQ134" s="127">
        <f>Planbase100[[#This Row],[28/07/25]]+(1-Planbase100[[#This Row],[28/07/25]])*'Plan 39'!BX88</f>
        <v>1</v>
      </c>
      <c r="DR134" s="127">
        <f>Planbase100[[#This Row],[04/08/25]]+(1-Planbase100[[#This Row],[04/08/25]])*'Plan 39'!BY88</f>
        <v>1</v>
      </c>
      <c r="DS134" s="127">
        <f>Planbase100[[#This Row],[11/08/25]]+(1-Planbase100[[#This Row],[11/08/25]])*'Plan 39'!BZ88</f>
        <v>1</v>
      </c>
      <c r="DT134" s="127">
        <f>Planbase100[[#This Row],[18/08/25]]+(1-Planbase100[[#This Row],[18/08/25]])*'Plan 39'!CA88</f>
        <v>1</v>
      </c>
      <c r="DU134" s="127">
        <f>Planbase100[[#This Row],[25/08/25]]+(1-Planbase100[[#This Row],[25/08/25]])*'Plan 39'!CB88</f>
        <v>1</v>
      </c>
      <c r="DV134" s="127">
        <f>Planbase100[[#This Row],[01/09/25]]+(1-Planbase100[[#This Row],[01/09/25]])*'Plan 39'!CC88</f>
        <v>1</v>
      </c>
      <c r="DW134" s="127">
        <f>Planbase100[[#This Row],[08/09/25]]+(1-Planbase100[[#This Row],[08/09/25]])*'Plan 39'!CD88</f>
        <v>1</v>
      </c>
      <c r="DX134" s="127">
        <f>Planbase100[[#This Row],[15/09/25]]+(1-Planbase100[[#This Row],[15/09/25]])*'Plan 39'!CE88</f>
        <v>1</v>
      </c>
      <c r="DY134" s="127">
        <f>Planbase100[[#This Row],[22/09/25]]+(1-Planbase100[[#This Row],[22/09/25]])*'Plan 39'!CF88</f>
        <v>1</v>
      </c>
      <c r="DZ134" s="127">
        <f>Planbase100[[#This Row],[29/09/25]]+(1-Planbase100[[#This Row],[29/09/25]])*'Plan 39'!CG88</f>
        <v>1</v>
      </c>
      <c r="EA134" s="127">
        <f>Planbase100[[#This Row],[06/10/25]]+(1-Planbase100[[#This Row],[06/10/25]])*'Plan 39'!CH88</f>
        <v>1</v>
      </c>
      <c r="EB134" s="127">
        <f>Planbase100[[#This Row],[13/10/25]]+(1-Planbase100[[#This Row],[13/10/25]])*'Plan 39'!CI88</f>
        <v>1</v>
      </c>
      <c r="EC134" s="127">
        <f>Planbase100[[#This Row],[20/10/25]]+(1-Planbase100[[#This Row],[20/10/25]])*'Plan 39'!CJ88</f>
        <v>1</v>
      </c>
      <c r="ED134" s="127">
        <f>Planbase100[[#This Row],[27/10/25]]+(1-Planbase100[[#This Row],[27/10/25]])*'Plan 39'!CK88</f>
        <v>1</v>
      </c>
      <c r="EE134" s="127">
        <f>Planbase100[[#This Row],[03/11/25]]+(1-Planbase100[[#This Row],[03/11/25]])*'Plan 39'!CL88</f>
        <v>1</v>
      </c>
      <c r="EF134" s="127">
        <f>Planbase100[[#This Row],[10/11/25]]+(1-Planbase100[[#This Row],[10/11/25]])*'Plan 39'!CM88</f>
        <v>1</v>
      </c>
      <c r="EG134" s="127">
        <f>Planbase100[[#This Row],[17/11/25]]+(1-Planbase100[[#This Row],[17/11/25]])*'Plan 39'!CN88</f>
        <v>1</v>
      </c>
      <c r="EH134" s="127">
        <f>Planbase100[[#This Row],[24/11/25]]+(1-Planbase100[[#This Row],[24/11/25]])*'Plan 39'!CO88</f>
        <v>1</v>
      </c>
      <c r="EI134" s="127">
        <f>Planbase100[[#This Row],[01/12/25]]+(1-Planbase100[[#This Row],[01/12/25]])*'Plan 39'!CP88</f>
        <v>1</v>
      </c>
    </row>
    <row r="135" spans="2:139" hidden="1" outlineLevel="3" x14ac:dyDescent="0.3">
      <c r="B135" s="29"/>
      <c r="C135" s="30"/>
      <c r="D135" s="30"/>
      <c r="E135" s="52" t="s">
        <v>139</v>
      </c>
      <c r="F135" s="33">
        <v>30</v>
      </c>
      <c r="G135" s="35">
        <v>0.15</v>
      </c>
      <c r="H135" s="53"/>
      <c r="I135" s="126">
        <v>0</v>
      </c>
      <c r="J135" s="127">
        <v>0</v>
      </c>
      <c r="K135" s="127">
        <v>0</v>
      </c>
      <c r="L135" s="127">
        <v>0</v>
      </c>
      <c r="M135" s="128">
        <v>0</v>
      </c>
      <c r="N135" s="128">
        <v>0</v>
      </c>
      <c r="O135" s="127">
        <v>0</v>
      </c>
      <c r="P135" s="127">
        <v>0</v>
      </c>
      <c r="Q135" s="127">
        <v>0</v>
      </c>
      <c r="R135" s="127">
        <v>0</v>
      </c>
      <c r="S135" s="127">
        <v>0</v>
      </c>
      <c r="T135" s="127">
        <v>0</v>
      </c>
      <c r="U135" s="127">
        <v>0</v>
      </c>
      <c r="V135" s="127">
        <v>0</v>
      </c>
      <c r="W135" s="127">
        <v>0</v>
      </c>
      <c r="X135" s="127">
        <v>0</v>
      </c>
      <c r="Y135" s="127">
        <v>0</v>
      </c>
      <c r="Z135" s="127">
        <v>0</v>
      </c>
      <c r="AA135" s="127">
        <v>0</v>
      </c>
      <c r="AB135" s="127">
        <v>0</v>
      </c>
      <c r="AC135" s="127">
        <v>0</v>
      </c>
      <c r="AD135" s="127">
        <v>0</v>
      </c>
      <c r="AE135" s="127">
        <v>0</v>
      </c>
      <c r="AF135" s="127">
        <v>0</v>
      </c>
      <c r="AG135" s="127">
        <v>0</v>
      </c>
      <c r="AH135" s="127">
        <v>0</v>
      </c>
      <c r="AI135" s="127">
        <v>0</v>
      </c>
      <c r="AJ135" s="127">
        <v>0</v>
      </c>
      <c r="AK135" s="127">
        <v>0</v>
      </c>
      <c r="AL135" s="127">
        <v>0</v>
      </c>
      <c r="AM135" s="127">
        <v>0</v>
      </c>
      <c r="AN135" s="127">
        <v>0</v>
      </c>
      <c r="AO135" s="127">
        <v>0</v>
      </c>
      <c r="AP135" s="127">
        <v>0</v>
      </c>
      <c r="AQ135" s="127">
        <v>0</v>
      </c>
      <c r="AR135" s="127">
        <v>0</v>
      </c>
      <c r="AS135" s="127">
        <v>0</v>
      </c>
      <c r="AT135" s="127">
        <v>0</v>
      </c>
      <c r="AU135" s="127">
        <v>0</v>
      </c>
      <c r="AV135" s="127">
        <v>0</v>
      </c>
      <c r="AW135" s="127">
        <v>0</v>
      </c>
      <c r="AX135" s="127">
        <v>0</v>
      </c>
      <c r="AY135" s="127">
        <v>0</v>
      </c>
      <c r="AZ135" s="127">
        <v>0</v>
      </c>
      <c r="BA135" s="127">
        <v>0</v>
      </c>
      <c r="BB135" s="127">
        <f>Planbase100[[#This Row],[05/05/25]]+(1-Planbase100[[#This Row],[05/05/25]])*'Plan 39'!I89</f>
        <v>0</v>
      </c>
      <c r="BC135" s="127">
        <f>Planbase100[[#This Row],[05/05/25]]+(1-Planbase100[[#This Row],[05/05/25]])*'Plan 39'!J89</f>
        <v>0</v>
      </c>
      <c r="BD135" s="127">
        <f>Planbase100[[#This Row],[05/05/25]]+(1-Planbase100[[#This Row],[05/05/25]])*'Plan 39'!K89</f>
        <v>0</v>
      </c>
      <c r="BE135" s="127">
        <f>Planbase100[[#This Row],[05/05/25]]+(1-Planbase100[[#This Row],[05/05/25]])*'Plan 39'!L89</f>
        <v>0</v>
      </c>
      <c r="BF135" s="127">
        <f>Planbase100[[#This Row],[05/05/25]]+(1-Planbase100[[#This Row],[05/05/25]])*'Plan 39'!M89</f>
        <v>0</v>
      </c>
      <c r="BG135" s="127">
        <f>Planbase100[[#This Row],[05/05/25]]+(1-Planbase100[[#This Row],[05/05/25]])*'Plan 39'!N89</f>
        <v>0</v>
      </c>
      <c r="BH135" s="127">
        <f>Planbase100[[#This Row],[05/05/25]]+(1-Planbase100[[#This Row],[05/05/25]])*'Plan 39'!O89</f>
        <v>0</v>
      </c>
      <c r="BI135" s="127">
        <f>Planbase100[[#This Row],[05/05/25]]+(1-Planbase100[[#This Row],[05/05/25]])*'Plan 39'!P89</f>
        <v>0</v>
      </c>
      <c r="BJ135" s="127">
        <f>Planbase100[[#This Row],[05/05/25]]+(1-Planbase100[[#This Row],[05/05/25]])*'Plan 39'!Q89</f>
        <v>0</v>
      </c>
      <c r="BK135" s="127">
        <f>Planbase100[[#This Row],[05/05/25]]+(1-Planbase100[[#This Row],[05/05/25]])*'Plan 39'!R89</f>
        <v>0</v>
      </c>
      <c r="BL135" s="127">
        <f>Planbase100[[#This Row],[05/05/25]]+(1-Planbase100[[#This Row],[05/05/25]])*'Plan 39'!S89</f>
        <v>0</v>
      </c>
      <c r="BM135" s="127">
        <f>Planbase100[[#This Row],[05/05/25]]+(1-Planbase100[[#This Row],[05/05/25]])*'Plan 39'!T89</f>
        <v>0</v>
      </c>
      <c r="BN135" s="127">
        <f>Planbase100[[#This Row],[05/05/25]]+(1-Planbase100[[#This Row],[05/05/25]])*'Plan 39'!U89</f>
        <v>0</v>
      </c>
      <c r="BO135" s="127">
        <f>Planbase100[[#This Row],[05/05/25]]+(1-Planbase100[[#This Row],[05/05/25]])*'Plan 39'!V89</f>
        <v>0</v>
      </c>
      <c r="BP135" s="127">
        <f>Planbase100[[#This Row],[05/05/25]]+(1-Planbase100[[#This Row],[05/05/25]])*'Plan 39'!W89</f>
        <v>0</v>
      </c>
      <c r="BQ135" s="127">
        <f>Planbase100[[#This Row],[05/05/25]]+(1-Planbase100[[#This Row],[05/05/25]])*'Plan 39'!X89</f>
        <v>0</v>
      </c>
      <c r="BR135" s="127">
        <f>Planbase100[[#This Row],[05/05/25]]+(1-Planbase100[[#This Row],[05/05/25]])*'Plan 39'!Y89</f>
        <v>0</v>
      </c>
      <c r="BS135" s="127">
        <f>Planbase100[[#This Row],[05/05/25]]+(1-Planbase100[[#This Row],[05/05/25]])*'Plan 39'!Z89</f>
        <v>0</v>
      </c>
      <c r="BT135" s="127">
        <f>Planbase100[[#This Row],[05/05/25]]+(1-Planbase100[[#This Row],[05/05/25]])*'Plan 39'!AA89</f>
        <v>0</v>
      </c>
      <c r="BU135" s="127">
        <f>Planbase100[[#This Row],[05/05/25]]+(1-Planbase100[[#This Row],[05/05/25]])*'Plan 39'!AB89</f>
        <v>0</v>
      </c>
      <c r="BV135" s="127">
        <f>Planbase100[[#This Row],[05/05/25]]+(1-Planbase100[[#This Row],[05/05/25]])*'Plan 39'!AC89</f>
        <v>0</v>
      </c>
      <c r="BW135" s="127">
        <f>Planbase100[[#This Row],[05/05/25]]+(1-Planbase100[[#This Row],[05/05/25]])*'Plan 39'!AD89</f>
        <v>0</v>
      </c>
      <c r="BX135" s="127">
        <f>Planbase100[[#This Row],[05/05/25]]+(1-Planbase100[[#This Row],[05/05/25]])*'Plan 39'!AE89</f>
        <v>0</v>
      </c>
      <c r="BY135" s="127">
        <f>Planbase100[[#This Row],[05/05/25]]+(1-Planbase100[[#This Row],[05/05/25]])*'Plan 39'!AF89</f>
        <v>0</v>
      </c>
      <c r="BZ135" s="127">
        <f>Planbase100[[#This Row],[05/05/25]]+(1-Planbase100[[#This Row],[05/05/25]])*'Plan 39'!AG89</f>
        <v>0</v>
      </c>
      <c r="CA135" s="127">
        <f>Planbase100[[#This Row],[05/05/25]]+(1-Planbase100[[#This Row],[05/05/25]])*'Plan 39'!AH89</f>
        <v>0</v>
      </c>
      <c r="CB135" s="127">
        <f>Planbase100[[#This Row],[05/05/25]]+(1-Planbase100[[#This Row],[05/05/25]])*'Plan 39'!AI89</f>
        <v>0.2</v>
      </c>
      <c r="CC135" s="127">
        <f>Planbase100[[#This Row],[05/05/25]]+(1-Planbase100[[#This Row],[05/05/25]])*'Plan 39'!AJ89</f>
        <v>0.4</v>
      </c>
      <c r="CD135" s="127">
        <f>Planbase100[[#This Row],[05/05/25]]+(1-Planbase100[[#This Row],[05/05/25]])*'Plan 39'!AK89</f>
        <v>0.6</v>
      </c>
      <c r="CE135" s="127">
        <f>Planbase100[[#This Row],[05/05/25]]+(1-Planbase100[[#This Row],[05/05/25]])*'Plan 39'!AL89</f>
        <v>0.8</v>
      </c>
      <c r="CF135" s="127">
        <f>Planbase100[[#This Row],[05/05/25]]+(1-Planbase100[[#This Row],[05/05/25]])*'Plan 39'!AM89</f>
        <v>1</v>
      </c>
      <c r="CG135" s="127">
        <f>Planbase100[[#This Row],[05/05/25]]+(1-Planbase100[[#This Row],[05/05/25]])*'Plan 39'!AN89</f>
        <v>1</v>
      </c>
      <c r="CH135" s="127">
        <f>Planbase100[[#This Row],[05/05/25]]+(1-Planbase100[[#This Row],[05/05/25]])*'Plan 39'!AO89</f>
        <v>1</v>
      </c>
      <c r="CI135" s="127">
        <f>Planbase100[[#This Row],[05/05/25]]+(1-Planbase100[[#This Row],[05/05/25]])*'Plan 39'!AP89</f>
        <v>1</v>
      </c>
      <c r="CJ135" s="127">
        <f>Planbase100[[#This Row],[05/05/25]]+(1-Planbase100[[#This Row],[05/05/25]])*'Plan 39'!AQ89</f>
        <v>1</v>
      </c>
      <c r="CK135" s="127">
        <f>Planbase100[[#This Row],[05/05/25]]+(1-Planbase100[[#This Row],[05/05/25]])*'Plan 39'!AR89</f>
        <v>1</v>
      </c>
      <c r="CL135" s="127">
        <f>Planbase100[[#This Row],[05/05/25]]+(1-Planbase100[[#This Row],[05/05/25]])*'Plan 39'!AS89</f>
        <v>1</v>
      </c>
      <c r="CM135" s="127">
        <f>Planbase100[[#This Row],[05/05/25]]+(1-Planbase100[[#This Row],[05/05/25]])*'Plan 39'!AT89</f>
        <v>1</v>
      </c>
      <c r="CN135" s="127">
        <f>Planbase100[[#This Row],[05/05/25]]+(1-Planbase100[[#This Row],[05/05/25]])*'Plan 39'!AU89</f>
        <v>1</v>
      </c>
      <c r="CO135" s="127">
        <f>Planbase100[[#This Row],[05/05/25]]+(1-Planbase100[[#This Row],[05/05/25]])*'Plan 39'!AV89</f>
        <v>1</v>
      </c>
      <c r="CP135" s="127">
        <f>Planbase100[[#This Row],[05/05/25]]+(1-Planbase100[[#This Row],[05/05/25]])*'Plan 39'!AW89</f>
        <v>1</v>
      </c>
      <c r="CQ135" s="127">
        <f>Planbase100[[#This Row],[05/05/25]]+(1-Planbase100[[#This Row],[05/05/25]])*'Plan 39'!AX89</f>
        <v>1</v>
      </c>
      <c r="CR135" s="127">
        <f>Planbase100[[#This Row],[05/05/25]]+(1-Planbase100[[#This Row],[05/05/25]])*'Plan 39'!AY89</f>
        <v>1</v>
      </c>
      <c r="CS135" s="127">
        <f>Planbase100[[#This Row],[05/05/25]]+(1-Planbase100[[#This Row],[05/05/25]])*'Plan 39'!AZ89</f>
        <v>1</v>
      </c>
      <c r="CT135" s="127">
        <f>Planbase100[[#This Row],[05/05/25]]+(1-Planbase100[[#This Row],[05/05/25]])*'Plan 39'!BA89</f>
        <v>1</v>
      </c>
      <c r="CU135" s="127">
        <f>Planbase100[[#This Row],[05/05/25]]+(1-Planbase100[[#This Row],[05/05/25]])*'Plan 39'!BB89</f>
        <v>1</v>
      </c>
      <c r="CV135" s="127">
        <f>Planbase100[[#This Row],[05/05/25]]+(1-Planbase100[[#This Row],[05/05/25]])*'Plan 39'!BC89</f>
        <v>1</v>
      </c>
      <c r="CW135" s="127">
        <f>Planbase100[[#This Row],[05/05/25]]+(1-Planbase100[[#This Row],[05/05/25]])*'Plan 39'!BD89</f>
        <v>1</v>
      </c>
      <c r="CX135" s="127">
        <f>Planbase100[[#This Row],[05/05/25]]+(1-Planbase100[[#This Row],[05/05/25]])*'Plan 39'!BE89</f>
        <v>1</v>
      </c>
      <c r="CY135" s="127">
        <f>Planbase100[[#This Row],[05/05/25]]+(1-Planbase100[[#This Row],[05/05/25]])*'Plan 39'!BF89</f>
        <v>1</v>
      </c>
      <c r="CZ135" s="127">
        <f>Planbase100[[#This Row],[05/05/25]]+(1-Planbase100[[#This Row],[05/05/25]])*'Plan 39'!BG89</f>
        <v>1</v>
      </c>
      <c r="DA135" s="127">
        <f>Planbase100[[#This Row],[05/05/25]]+(1-Planbase100[[#This Row],[05/05/25]])*'Plan 39'!BH89</f>
        <v>1</v>
      </c>
      <c r="DB135" s="127">
        <f>Planbase100[[#This Row],[05/05/25]]+(1-Planbase100[[#This Row],[05/05/25]])*'Plan 39'!BI89</f>
        <v>1</v>
      </c>
      <c r="DC135" s="127">
        <f>Planbase100[[#This Row],[05/05/25]]+(1-Planbase100[[#This Row],[05/05/25]])*'Plan 39'!BJ89</f>
        <v>1</v>
      </c>
      <c r="DD135" s="127">
        <f>Planbase100[[#This Row],[05/05/25]]+(1-Planbase100[[#This Row],[05/05/25]])*'Plan 39'!BK89</f>
        <v>1</v>
      </c>
      <c r="DE135" s="127">
        <f>Planbase100[[#This Row],[05/05/25]]+(1-Planbase100[[#This Row],[05/05/25]])*'Plan 39'!BL89</f>
        <v>1</v>
      </c>
      <c r="DF135" s="127">
        <f>Planbase100[[#This Row],[12/05/25]]+(1-Planbase100[[#This Row],[12/05/25]])*'Plan 39'!BM89</f>
        <v>1</v>
      </c>
      <c r="DG135" s="127">
        <f>Planbase100[[#This Row],[19/05/25]]+(1-Planbase100[[#This Row],[19/05/25]])*'Plan 39'!BN89</f>
        <v>1</v>
      </c>
      <c r="DH135" s="127">
        <f>Planbase100[[#This Row],[26/05/25]]+(1-Planbase100[[#This Row],[26/05/25]])*'Plan 39'!BO89</f>
        <v>1</v>
      </c>
      <c r="DI135" s="127">
        <f>Planbase100[[#This Row],[02/06/25]]+(1-Planbase100[[#This Row],[02/06/25]])*'Plan 39'!BP89</f>
        <v>1</v>
      </c>
      <c r="DJ135" s="127">
        <f>Planbase100[[#This Row],[09/06/25]]+(1-Planbase100[[#This Row],[09/06/25]])*'Plan 39'!BQ89</f>
        <v>1</v>
      </c>
      <c r="DK135" s="127">
        <f>Planbase100[[#This Row],[16/06/25]]+(1-Planbase100[[#This Row],[16/06/25]])*'Plan 39'!BR89</f>
        <v>1</v>
      </c>
      <c r="DL135" s="127">
        <f>Planbase100[[#This Row],[23/06/25]]+(1-Planbase100[[#This Row],[23/06/25]])*'Plan 39'!BS89</f>
        <v>1</v>
      </c>
      <c r="DM135" s="127">
        <f>Planbase100[[#This Row],[30/06/25]]+(1-Planbase100[[#This Row],[30/06/25]])*'Plan 39'!BT89</f>
        <v>1</v>
      </c>
      <c r="DN135" s="127">
        <f>Planbase100[[#This Row],[07/07/25]]+(1-Planbase100[[#This Row],[07/07/25]])*'Plan 39'!BU89</f>
        <v>1</v>
      </c>
      <c r="DO135" s="127">
        <f>Planbase100[[#This Row],[14/07/25]]+(1-Planbase100[[#This Row],[14/07/25]])*'Plan 39'!BV89</f>
        <v>1</v>
      </c>
      <c r="DP135" s="127">
        <f>Planbase100[[#This Row],[21/07/25]]+(1-Planbase100[[#This Row],[21/07/25]])*'Plan 39'!BW89</f>
        <v>1</v>
      </c>
      <c r="DQ135" s="127">
        <f>Planbase100[[#This Row],[28/07/25]]+(1-Planbase100[[#This Row],[28/07/25]])*'Plan 39'!BX89</f>
        <v>1</v>
      </c>
      <c r="DR135" s="127">
        <f>Planbase100[[#This Row],[04/08/25]]+(1-Planbase100[[#This Row],[04/08/25]])*'Plan 39'!BY89</f>
        <v>1</v>
      </c>
      <c r="DS135" s="127">
        <f>Planbase100[[#This Row],[11/08/25]]+(1-Planbase100[[#This Row],[11/08/25]])*'Plan 39'!BZ89</f>
        <v>1</v>
      </c>
      <c r="DT135" s="127">
        <f>Planbase100[[#This Row],[18/08/25]]+(1-Planbase100[[#This Row],[18/08/25]])*'Plan 39'!CA89</f>
        <v>1</v>
      </c>
      <c r="DU135" s="127">
        <f>Planbase100[[#This Row],[25/08/25]]+(1-Planbase100[[#This Row],[25/08/25]])*'Plan 39'!CB89</f>
        <v>1</v>
      </c>
      <c r="DV135" s="127">
        <f>Planbase100[[#This Row],[01/09/25]]+(1-Planbase100[[#This Row],[01/09/25]])*'Plan 39'!CC89</f>
        <v>1</v>
      </c>
      <c r="DW135" s="127">
        <f>Planbase100[[#This Row],[08/09/25]]+(1-Planbase100[[#This Row],[08/09/25]])*'Plan 39'!CD89</f>
        <v>1</v>
      </c>
      <c r="DX135" s="127">
        <f>Planbase100[[#This Row],[15/09/25]]+(1-Planbase100[[#This Row],[15/09/25]])*'Plan 39'!CE89</f>
        <v>1</v>
      </c>
      <c r="DY135" s="127">
        <f>Planbase100[[#This Row],[22/09/25]]+(1-Planbase100[[#This Row],[22/09/25]])*'Plan 39'!CF89</f>
        <v>1</v>
      </c>
      <c r="DZ135" s="127">
        <f>Planbase100[[#This Row],[29/09/25]]+(1-Planbase100[[#This Row],[29/09/25]])*'Plan 39'!CG89</f>
        <v>1</v>
      </c>
      <c r="EA135" s="127">
        <f>Planbase100[[#This Row],[06/10/25]]+(1-Planbase100[[#This Row],[06/10/25]])*'Plan 39'!CH89</f>
        <v>1</v>
      </c>
      <c r="EB135" s="127">
        <f>Planbase100[[#This Row],[13/10/25]]+(1-Planbase100[[#This Row],[13/10/25]])*'Plan 39'!CI89</f>
        <v>1</v>
      </c>
      <c r="EC135" s="127">
        <f>Planbase100[[#This Row],[20/10/25]]+(1-Planbase100[[#This Row],[20/10/25]])*'Plan 39'!CJ89</f>
        <v>1</v>
      </c>
      <c r="ED135" s="127">
        <f>Planbase100[[#This Row],[27/10/25]]+(1-Planbase100[[#This Row],[27/10/25]])*'Plan 39'!CK89</f>
        <v>1</v>
      </c>
      <c r="EE135" s="127">
        <f>Planbase100[[#This Row],[03/11/25]]+(1-Planbase100[[#This Row],[03/11/25]])*'Plan 39'!CL89</f>
        <v>1</v>
      </c>
      <c r="EF135" s="127">
        <f>Planbase100[[#This Row],[10/11/25]]+(1-Planbase100[[#This Row],[10/11/25]])*'Plan 39'!CM89</f>
        <v>1</v>
      </c>
      <c r="EG135" s="127">
        <f>Planbase100[[#This Row],[17/11/25]]+(1-Planbase100[[#This Row],[17/11/25]])*'Plan 39'!CN89</f>
        <v>1</v>
      </c>
      <c r="EH135" s="127">
        <f>Planbase100[[#This Row],[24/11/25]]+(1-Planbase100[[#This Row],[24/11/25]])*'Plan 39'!CO89</f>
        <v>1</v>
      </c>
      <c r="EI135" s="127">
        <f>Planbase100[[#This Row],[01/12/25]]+(1-Planbase100[[#This Row],[01/12/25]])*'Plan 39'!CP89</f>
        <v>1</v>
      </c>
    </row>
    <row r="136" spans="2:139" hidden="1" outlineLevel="3" x14ac:dyDescent="0.3">
      <c r="B136" s="29"/>
      <c r="C136" s="30"/>
      <c r="D136" s="30"/>
      <c r="E136" s="52" t="s">
        <v>140</v>
      </c>
      <c r="F136" s="33">
        <v>40</v>
      </c>
      <c r="G136" s="35">
        <v>0.65</v>
      </c>
      <c r="H136" s="53"/>
      <c r="I136" s="126">
        <v>0</v>
      </c>
      <c r="J136" s="127">
        <v>0</v>
      </c>
      <c r="K136" s="127">
        <v>0</v>
      </c>
      <c r="L136" s="127">
        <v>0</v>
      </c>
      <c r="M136" s="128">
        <v>0</v>
      </c>
      <c r="N136" s="128">
        <v>0</v>
      </c>
      <c r="O136" s="127">
        <v>0</v>
      </c>
      <c r="P136" s="127">
        <v>0</v>
      </c>
      <c r="Q136" s="127">
        <v>0</v>
      </c>
      <c r="R136" s="127">
        <v>0</v>
      </c>
      <c r="S136" s="127">
        <v>0</v>
      </c>
      <c r="T136" s="127">
        <v>0</v>
      </c>
      <c r="U136" s="127">
        <v>0</v>
      </c>
      <c r="V136" s="127">
        <v>0</v>
      </c>
      <c r="W136" s="127">
        <v>0</v>
      </c>
      <c r="X136" s="127">
        <v>0</v>
      </c>
      <c r="Y136" s="127">
        <v>0</v>
      </c>
      <c r="Z136" s="127">
        <v>0</v>
      </c>
      <c r="AA136" s="127">
        <v>0</v>
      </c>
      <c r="AB136" s="127">
        <v>0</v>
      </c>
      <c r="AC136" s="127">
        <v>0</v>
      </c>
      <c r="AD136" s="127">
        <v>0</v>
      </c>
      <c r="AE136" s="127">
        <v>0</v>
      </c>
      <c r="AF136" s="127">
        <v>0</v>
      </c>
      <c r="AG136" s="127">
        <v>0</v>
      </c>
      <c r="AH136" s="127">
        <v>0</v>
      </c>
      <c r="AI136" s="127">
        <v>0</v>
      </c>
      <c r="AJ136" s="127">
        <v>0</v>
      </c>
      <c r="AK136" s="127">
        <v>0</v>
      </c>
      <c r="AL136" s="127">
        <v>0</v>
      </c>
      <c r="AM136" s="127">
        <v>0</v>
      </c>
      <c r="AN136" s="127">
        <v>0</v>
      </c>
      <c r="AO136" s="127">
        <v>0</v>
      </c>
      <c r="AP136" s="127">
        <v>0</v>
      </c>
      <c r="AQ136" s="127">
        <v>0</v>
      </c>
      <c r="AR136" s="127">
        <v>0</v>
      </c>
      <c r="AS136" s="127">
        <v>0</v>
      </c>
      <c r="AT136" s="127">
        <v>0</v>
      </c>
      <c r="AU136" s="127">
        <v>0</v>
      </c>
      <c r="AV136" s="127">
        <v>0</v>
      </c>
      <c r="AW136" s="127">
        <v>0</v>
      </c>
      <c r="AX136" s="127">
        <v>0</v>
      </c>
      <c r="AY136" s="127">
        <v>0</v>
      </c>
      <c r="AZ136" s="127">
        <v>0</v>
      </c>
      <c r="BA136" s="127">
        <v>0</v>
      </c>
      <c r="BB136" s="127">
        <f>Planbase100[[#This Row],[05/05/25]]+(1-Planbase100[[#This Row],[05/05/25]])*'Plan 39'!I90</f>
        <v>0</v>
      </c>
      <c r="BC136" s="127">
        <f>Planbase100[[#This Row],[05/05/25]]+(1-Planbase100[[#This Row],[05/05/25]])*'Plan 39'!J90</f>
        <v>0</v>
      </c>
      <c r="BD136" s="127">
        <f>Planbase100[[#This Row],[05/05/25]]+(1-Planbase100[[#This Row],[05/05/25]])*'Plan 39'!K90</f>
        <v>0</v>
      </c>
      <c r="BE136" s="127">
        <f>Planbase100[[#This Row],[05/05/25]]+(1-Planbase100[[#This Row],[05/05/25]])*'Plan 39'!L90</f>
        <v>0</v>
      </c>
      <c r="BF136" s="127">
        <f>Planbase100[[#This Row],[05/05/25]]+(1-Planbase100[[#This Row],[05/05/25]])*'Plan 39'!M90</f>
        <v>0</v>
      </c>
      <c r="BG136" s="127">
        <f>Planbase100[[#This Row],[05/05/25]]+(1-Planbase100[[#This Row],[05/05/25]])*'Plan 39'!N90</f>
        <v>0</v>
      </c>
      <c r="BH136" s="127">
        <f>Planbase100[[#This Row],[05/05/25]]+(1-Planbase100[[#This Row],[05/05/25]])*'Plan 39'!O90</f>
        <v>0</v>
      </c>
      <c r="BI136" s="127">
        <f>Planbase100[[#This Row],[05/05/25]]+(1-Planbase100[[#This Row],[05/05/25]])*'Plan 39'!P90</f>
        <v>0</v>
      </c>
      <c r="BJ136" s="127">
        <f>Planbase100[[#This Row],[05/05/25]]+(1-Planbase100[[#This Row],[05/05/25]])*'Plan 39'!Q90</f>
        <v>0</v>
      </c>
      <c r="BK136" s="127">
        <f>Planbase100[[#This Row],[05/05/25]]+(1-Planbase100[[#This Row],[05/05/25]])*'Plan 39'!R90</f>
        <v>0</v>
      </c>
      <c r="BL136" s="127">
        <f>Planbase100[[#This Row],[05/05/25]]+(1-Planbase100[[#This Row],[05/05/25]])*'Plan 39'!S90</f>
        <v>0</v>
      </c>
      <c r="BM136" s="127">
        <f>Planbase100[[#This Row],[05/05/25]]+(1-Planbase100[[#This Row],[05/05/25]])*'Plan 39'!T90</f>
        <v>0</v>
      </c>
      <c r="BN136" s="127">
        <f>Planbase100[[#This Row],[05/05/25]]+(1-Planbase100[[#This Row],[05/05/25]])*'Plan 39'!U90</f>
        <v>0</v>
      </c>
      <c r="BO136" s="127">
        <f>Planbase100[[#This Row],[05/05/25]]+(1-Planbase100[[#This Row],[05/05/25]])*'Plan 39'!V90</f>
        <v>0</v>
      </c>
      <c r="BP136" s="127">
        <f>Planbase100[[#This Row],[05/05/25]]+(1-Planbase100[[#This Row],[05/05/25]])*'Plan 39'!W90</f>
        <v>0</v>
      </c>
      <c r="BQ136" s="127">
        <f>Planbase100[[#This Row],[05/05/25]]+(1-Planbase100[[#This Row],[05/05/25]])*'Plan 39'!X90</f>
        <v>0</v>
      </c>
      <c r="BR136" s="127">
        <f>Planbase100[[#This Row],[05/05/25]]+(1-Planbase100[[#This Row],[05/05/25]])*'Plan 39'!Y90</f>
        <v>0</v>
      </c>
      <c r="BS136" s="127">
        <f>Planbase100[[#This Row],[05/05/25]]+(1-Planbase100[[#This Row],[05/05/25]])*'Plan 39'!Z90</f>
        <v>0</v>
      </c>
      <c r="BT136" s="127">
        <f>Planbase100[[#This Row],[05/05/25]]+(1-Planbase100[[#This Row],[05/05/25]])*'Plan 39'!AA90</f>
        <v>0</v>
      </c>
      <c r="BU136" s="127">
        <f>Planbase100[[#This Row],[05/05/25]]+(1-Planbase100[[#This Row],[05/05/25]])*'Plan 39'!AB90</f>
        <v>0</v>
      </c>
      <c r="BV136" s="127">
        <f>Planbase100[[#This Row],[05/05/25]]+(1-Planbase100[[#This Row],[05/05/25]])*'Plan 39'!AC90</f>
        <v>0</v>
      </c>
      <c r="BW136" s="127">
        <f>Planbase100[[#This Row],[05/05/25]]+(1-Planbase100[[#This Row],[05/05/25]])*'Plan 39'!AD90</f>
        <v>0</v>
      </c>
      <c r="BX136" s="127">
        <f>Planbase100[[#This Row],[05/05/25]]+(1-Planbase100[[#This Row],[05/05/25]])*'Plan 39'!AE90</f>
        <v>0.125</v>
      </c>
      <c r="BY136" s="127">
        <f>Planbase100[[#This Row],[05/05/25]]+(1-Planbase100[[#This Row],[05/05/25]])*'Plan 39'!AF90</f>
        <v>0.25</v>
      </c>
      <c r="BZ136" s="127">
        <f>Planbase100[[#This Row],[05/05/25]]+(1-Planbase100[[#This Row],[05/05/25]])*'Plan 39'!AG90</f>
        <v>0.375</v>
      </c>
      <c r="CA136" s="127">
        <f>Planbase100[[#This Row],[05/05/25]]+(1-Planbase100[[#This Row],[05/05/25]])*'Plan 39'!AH90</f>
        <v>0.5</v>
      </c>
      <c r="CB136" s="127">
        <f>Planbase100[[#This Row],[05/05/25]]+(1-Planbase100[[#This Row],[05/05/25]])*'Plan 39'!AI90</f>
        <v>0.625</v>
      </c>
      <c r="CC136" s="127">
        <f>Planbase100[[#This Row],[05/05/25]]+(1-Planbase100[[#This Row],[05/05/25]])*'Plan 39'!AJ90</f>
        <v>0.75</v>
      </c>
      <c r="CD136" s="127">
        <f>Planbase100[[#This Row],[05/05/25]]+(1-Planbase100[[#This Row],[05/05/25]])*'Plan 39'!AK90</f>
        <v>0.875</v>
      </c>
      <c r="CE136" s="127">
        <f>Planbase100[[#This Row],[05/05/25]]+(1-Planbase100[[#This Row],[05/05/25]])*'Plan 39'!AL90</f>
        <v>1</v>
      </c>
      <c r="CF136" s="127">
        <f>Planbase100[[#This Row],[05/05/25]]+(1-Planbase100[[#This Row],[05/05/25]])*'Plan 39'!AM90</f>
        <v>1</v>
      </c>
      <c r="CG136" s="127">
        <f>Planbase100[[#This Row],[05/05/25]]+(1-Planbase100[[#This Row],[05/05/25]])*'Plan 39'!AN90</f>
        <v>1</v>
      </c>
      <c r="CH136" s="127">
        <f>Planbase100[[#This Row],[05/05/25]]+(1-Planbase100[[#This Row],[05/05/25]])*'Plan 39'!AO90</f>
        <v>1</v>
      </c>
      <c r="CI136" s="127">
        <f>Planbase100[[#This Row],[05/05/25]]+(1-Planbase100[[#This Row],[05/05/25]])*'Plan 39'!AP90</f>
        <v>1</v>
      </c>
      <c r="CJ136" s="127">
        <f>Planbase100[[#This Row],[05/05/25]]+(1-Planbase100[[#This Row],[05/05/25]])*'Plan 39'!AQ90</f>
        <v>1</v>
      </c>
      <c r="CK136" s="127">
        <f>Planbase100[[#This Row],[05/05/25]]+(1-Planbase100[[#This Row],[05/05/25]])*'Plan 39'!AR90</f>
        <v>1</v>
      </c>
      <c r="CL136" s="127">
        <f>Planbase100[[#This Row],[05/05/25]]+(1-Planbase100[[#This Row],[05/05/25]])*'Plan 39'!AS90</f>
        <v>1</v>
      </c>
      <c r="CM136" s="127">
        <f>Planbase100[[#This Row],[05/05/25]]+(1-Planbase100[[#This Row],[05/05/25]])*'Plan 39'!AT90</f>
        <v>1</v>
      </c>
      <c r="CN136" s="127">
        <f>Planbase100[[#This Row],[05/05/25]]+(1-Planbase100[[#This Row],[05/05/25]])*'Plan 39'!AU90</f>
        <v>1</v>
      </c>
      <c r="CO136" s="127">
        <f>Planbase100[[#This Row],[05/05/25]]+(1-Planbase100[[#This Row],[05/05/25]])*'Plan 39'!AV90</f>
        <v>1</v>
      </c>
      <c r="CP136" s="127">
        <f>Planbase100[[#This Row],[05/05/25]]+(1-Planbase100[[#This Row],[05/05/25]])*'Plan 39'!AW90</f>
        <v>1</v>
      </c>
      <c r="CQ136" s="127">
        <f>Planbase100[[#This Row],[05/05/25]]+(1-Planbase100[[#This Row],[05/05/25]])*'Plan 39'!AX90</f>
        <v>1</v>
      </c>
      <c r="CR136" s="127">
        <f>Planbase100[[#This Row],[05/05/25]]+(1-Planbase100[[#This Row],[05/05/25]])*'Plan 39'!AY90</f>
        <v>1</v>
      </c>
      <c r="CS136" s="127">
        <f>Planbase100[[#This Row],[05/05/25]]+(1-Planbase100[[#This Row],[05/05/25]])*'Plan 39'!AZ90</f>
        <v>1</v>
      </c>
      <c r="CT136" s="127">
        <f>Planbase100[[#This Row],[05/05/25]]+(1-Planbase100[[#This Row],[05/05/25]])*'Plan 39'!BA90</f>
        <v>1</v>
      </c>
      <c r="CU136" s="127">
        <f>Planbase100[[#This Row],[05/05/25]]+(1-Planbase100[[#This Row],[05/05/25]])*'Plan 39'!BB90</f>
        <v>1</v>
      </c>
      <c r="CV136" s="127">
        <f>Planbase100[[#This Row],[05/05/25]]+(1-Planbase100[[#This Row],[05/05/25]])*'Plan 39'!BC90</f>
        <v>1</v>
      </c>
      <c r="CW136" s="127">
        <f>Planbase100[[#This Row],[05/05/25]]+(1-Planbase100[[#This Row],[05/05/25]])*'Plan 39'!BD90</f>
        <v>1</v>
      </c>
      <c r="CX136" s="127">
        <f>Planbase100[[#This Row],[05/05/25]]+(1-Planbase100[[#This Row],[05/05/25]])*'Plan 39'!BE90</f>
        <v>1</v>
      </c>
      <c r="CY136" s="127">
        <f>Planbase100[[#This Row],[05/05/25]]+(1-Planbase100[[#This Row],[05/05/25]])*'Plan 39'!BF90</f>
        <v>1</v>
      </c>
      <c r="CZ136" s="127">
        <f>Planbase100[[#This Row],[05/05/25]]+(1-Planbase100[[#This Row],[05/05/25]])*'Plan 39'!BG90</f>
        <v>1</v>
      </c>
      <c r="DA136" s="127">
        <f>Planbase100[[#This Row],[05/05/25]]+(1-Planbase100[[#This Row],[05/05/25]])*'Plan 39'!BH90</f>
        <v>1</v>
      </c>
      <c r="DB136" s="127">
        <f>Planbase100[[#This Row],[05/05/25]]+(1-Planbase100[[#This Row],[05/05/25]])*'Plan 39'!BI90</f>
        <v>1</v>
      </c>
      <c r="DC136" s="127">
        <f>Planbase100[[#This Row],[05/05/25]]+(1-Planbase100[[#This Row],[05/05/25]])*'Plan 39'!BJ90</f>
        <v>1</v>
      </c>
      <c r="DD136" s="127">
        <f>Planbase100[[#This Row],[05/05/25]]+(1-Planbase100[[#This Row],[05/05/25]])*'Plan 39'!BK90</f>
        <v>1</v>
      </c>
      <c r="DE136" s="127">
        <f>Planbase100[[#This Row],[05/05/25]]+(1-Planbase100[[#This Row],[05/05/25]])*'Plan 39'!BL90</f>
        <v>1</v>
      </c>
      <c r="DF136" s="127">
        <f>Planbase100[[#This Row],[12/05/25]]+(1-Planbase100[[#This Row],[12/05/25]])*'Plan 39'!BM90</f>
        <v>1</v>
      </c>
      <c r="DG136" s="127">
        <f>Planbase100[[#This Row],[19/05/25]]+(1-Planbase100[[#This Row],[19/05/25]])*'Plan 39'!BN90</f>
        <v>1</v>
      </c>
      <c r="DH136" s="127">
        <f>Planbase100[[#This Row],[26/05/25]]+(1-Planbase100[[#This Row],[26/05/25]])*'Plan 39'!BO90</f>
        <v>1</v>
      </c>
      <c r="DI136" s="127">
        <f>Planbase100[[#This Row],[02/06/25]]+(1-Planbase100[[#This Row],[02/06/25]])*'Plan 39'!BP90</f>
        <v>1</v>
      </c>
      <c r="DJ136" s="127">
        <f>Planbase100[[#This Row],[09/06/25]]+(1-Planbase100[[#This Row],[09/06/25]])*'Plan 39'!BQ90</f>
        <v>1</v>
      </c>
      <c r="DK136" s="127">
        <f>Planbase100[[#This Row],[16/06/25]]+(1-Planbase100[[#This Row],[16/06/25]])*'Plan 39'!BR90</f>
        <v>1</v>
      </c>
      <c r="DL136" s="127">
        <f>Planbase100[[#This Row],[23/06/25]]+(1-Planbase100[[#This Row],[23/06/25]])*'Plan 39'!BS90</f>
        <v>1</v>
      </c>
      <c r="DM136" s="127">
        <f>Planbase100[[#This Row],[30/06/25]]+(1-Planbase100[[#This Row],[30/06/25]])*'Plan 39'!BT90</f>
        <v>1</v>
      </c>
      <c r="DN136" s="127">
        <f>Planbase100[[#This Row],[07/07/25]]+(1-Planbase100[[#This Row],[07/07/25]])*'Plan 39'!BU90</f>
        <v>1</v>
      </c>
      <c r="DO136" s="127">
        <f>Planbase100[[#This Row],[14/07/25]]+(1-Planbase100[[#This Row],[14/07/25]])*'Plan 39'!BV90</f>
        <v>1</v>
      </c>
      <c r="DP136" s="127">
        <f>Planbase100[[#This Row],[21/07/25]]+(1-Planbase100[[#This Row],[21/07/25]])*'Plan 39'!BW90</f>
        <v>1</v>
      </c>
      <c r="DQ136" s="127">
        <f>Planbase100[[#This Row],[28/07/25]]+(1-Planbase100[[#This Row],[28/07/25]])*'Plan 39'!BX90</f>
        <v>1</v>
      </c>
      <c r="DR136" s="127">
        <f>Planbase100[[#This Row],[04/08/25]]+(1-Planbase100[[#This Row],[04/08/25]])*'Plan 39'!BY90</f>
        <v>1</v>
      </c>
      <c r="DS136" s="127">
        <f>Planbase100[[#This Row],[11/08/25]]+(1-Planbase100[[#This Row],[11/08/25]])*'Plan 39'!BZ90</f>
        <v>1</v>
      </c>
      <c r="DT136" s="127">
        <f>Planbase100[[#This Row],[18/08/25]]+(1-Planbase100[[#This Row],[18/08/25]])*'Plan 39'!CA90</f>
        <v>1</v>
      </c>
      <c r="DU136" s="127">
        <f>Planbase100[[#This Row],[25/08/25]]+(1-Planbase100[[#This Row],[25/08/25]])*'Plan 39'!CB90</f>
        <v>1</v>
      </c>
      <c r="DV136" s="127">
        <f>Planbase100[[#This Row],[01/09/25]]+(1-Planbase100[[#This Row],[01/09/25]])*'Plan 39'!CC90</f>
        <v>1</v>
      </c>
      <c r="DW136" s="127">
        <f>Planbase100[[#This Row],[08/09/25]]+(1-Planbase100[[#This Row],[08/09/25]])*'Plan 39'!CD90</f>
        <v>1</v>
      </c>
      <c r="DX136" s="127">
        <f>Planbase100[[#This Row],[15/09/25]]+(1-Planbase100[[#This Row],[15/09/25]])*'Plan 39'!CE90</f>
        <v>1</v>
      </c>
      <c r="DY136" s="127">
        <f>Planbase100[[#This Row],[22/09/25]]+(1-Planbase100[[#This Row],[22/09/25]])*'Plan 39'!CF90</f>
        <v>1</v>
      </c>
      <c r="DZ136" s="127">
        <f>Planbase100[[#This Row],[29/09/25]]+(1-Planbase100[[#This Row],[29/09/25]])*'Plan 39'!CG90</f>
        <v>1</v>
      </c>
      <c r="EA136" s="127">
        <f>Planbase100[[#This Row],[06/10/25]]+(1-Planbase100[[#This Row],[06/10/25]])*'Plan 39'!CH90</f>
        <v>1</v>
      </c>
      <c r="EB136" s="127">
        <f>Planbase100[[#This Row],[13/10/25]]+(1-Planbase100[[#This Row],[13/10/25]])*'Plan 39'!CI90</f>
        <v>1</v>
      </c>
      <c r="EC136" s="127">
        <f>Planbase100[[#This Row],[20/10/25]]+(1-Planbase100[[#This Row],[20/10/25]])*'Plan 39'!CJ90</f>
        <v>1</v>
      </c>
      <c r="ED136" s="127">
        <f>Planbase100[[#This Row],[27/10/25]]+(1-Planbase100[[#This Row],[27/10/25]])*'Plan 39'!CK90</f>
        <v>1</v>
      </c>
      <c r="EE136" s="127">
        <f>Planbase100[[#This Row],[03/11/25]]+(1-Planbase100[[#This Row],[03/11/25]])*'Plan 39'!CL90</f>
        <v>1</v>
      </c>
      <c r="EF136" s="127">
        <f>Planbase100[[#This Row],[10/11/25]]+(1-Planbase100[[#This Row],[10/11/25]])*'Plan 39'!CM90</f>
        <v>1</v>
      </c>
      <c r="EG136" s="127">
        <f>Planbase100[[#This Row],[17/11/25]]+(1-Planbase100[[#This Row],[17/11/25]])*'Plan 39'!CN90</f>
        <v>1</v>
      </c>
      <c r="EH136" s="127">
        <f>Planbase100[[#This Row],[24/11/25]]+(1-Planbase100[[#This Row],[24/11/25]])*'Plan 39'!CO90</f>
        <v>1</v>
      </c>
      <c r="EI136" s="127">
        <f>Planbase100[[#This Row],[01/12/25]]+(1-Planbase100[[#This Row],[01/12/25]])*'Plan 39'!CP90</f>
        <v>1</v>
      </c>
    </row>
    <row r="137" spans="2:139" ht="15" hidden="1" outlineLevel="2" collapsed="1" x14ac:dyDescent="0.3">
      <c r="B137" s="22"/>
      <c r="C137" s="23"/>
      <c r="D137" s="23" t="s">
        <v>79</v>
      </c>
      <c r="E137" s="50"/>
      <c r="F137" s="26">
        <f>+SUM(F138:F140)</f>
        <v>55</v>
      </c>
      <c r="G137" s="28">
        <v>0.02</v>
      </c>
      <c r="H137" s="51"/>
      <c r="I137" s="125">
        <f>+SUMPRODUCT($G$138:$G$140,I138:I140)</f>
        <v>0</v>
      </c>
      <c r="J137" s="28">
        <f>+SUMPRODUCT($G$138:$G$140,J138:J140)</f>
        <v>0</v>
      </c>
      <c r="K137" s="28">
        <f t="shared" ref="K137:BB137" si="402">+SUMPRODUCT($G$138:$G$140,K138:K140)</f>
        <v>0</v>
      </c>
      <c r="L137" s="28">
        <f t="shared" si="402"/>
        <v>0</v>
      </c>
      <c r="M137" s="64">
        <f t="shared" si="402"/>
        <v>0</v>
      </c>
      <c r="N137" s="64">
        <f t="shared" si="402"/>
        <v>0</v>
      </c>
      <c r="O137" s="28">
        <f t="shared" si="402"/>
        <v>0</v>
      </c>
      <c r="P137" s="28">
        <f t="shared" si="402"/>
        <v>0</v>
      </c>
      <c r="Q137" s="28">
        <f t="shared" si="402"/>
        <v>0</v>
      </c>
      <c r="R137" s="28">
        <f t="shared" si="402"/>
        <v>0</v>
      </c>
      <c r="S137" s="28">
        <f t="shared" si="402"/>
        <v>0</v>
      </c>
      <c r="T137" s="28">
        <f t="shared" si="402"/>
        <v>0</v>
      </c>
      <c r="U137" s="28">
        <f t="shared" si="402"/>
        <v>0</v>
      </c>
      <c r="V137" s="28">
        <f t="shared" si="402"/>
        <v>0</v>
      </c>
      <c r="W137" s="28">
        <f t="shared" si="402"/>
        <v>0</v>
      </c>
      <c r="X137" s="28">
        <f t="shared" si="402"/>
        <v>0</v>
      </c>
      <c r="Y137" s="28">
        <f t="shared" si="402"/>
        <v>0</v>
      </c>
      <c r="Z137" s="28">
        <f t="shared" si="402"/>
        <v>0</v>
      </c>
      <c r="AA137" s="28">
        <f t="shared" si="402"/>
        <v>0</v>
      </c>
      <c r="AB137" s="28">
        <f t="shared" si="402"/>
        <v>0</v>
      </c>
      <c r="AC137" s="28">
        <f t="shared" si="402"/>
        <v>0</v>
      </c>
      <c r="AD137" s="28">
        <f t="shared" si="402"/>
        <v>0</v>
      </c>
      <c r="AE137" s="28">
        <f t="shared" si="402"/>
        <v>0</v>
      </c>
      <c r="AF137" s="28">
        <f t="shared" si="402"/>
        <v>0</v>
      </c>
      <c r="AG137" s="28">
        <f t="shared" si="402"/>
        <v>0</v>
      </c>
      <c r="AH137" s="28">
        <f t="shared" si="402"/>
        <v>0</v>
      </c>
      <c r="AI137" s="28">
        <f>+SUMPRODUCT($G$138:$G$140,AI138:AI140)</f>
        <v>0</v>
      </c>
      <c r="AJ137" s="28">
        <f>+SUMPRODUCT($G$138:$G$140,AJ138:AJ140)</f>
        <v>0</v>
      </c>
      <c r="AK137" s="28">
        <f t="shared" si="402"/>
        <v>0</v>
      </c>
      <c r="AL137" s="28">
        <f t="shared" si="402"/>
        <v>0</v>
      </c>
      <c r="AM137" s="28">
        <f t="shared" si="402"/>
        <v>0</v>
      </c>
      <c r="AN137" s="28">
        <f t="shared" si="402"/>
        <v>0</v>
      </c>
      <c r="AO137" s="28">
        <f t="shared" si="402"/>
        <v>0</v>
      </c>
      <c r="AP137" s="28">
        <f t="shared" si="402"/>
        <v>0</v>
      </c>
      <c r="AQ137" s="28">
        <f t="shared" si="402"/>
        <v>0</v>
      </c>
      <c r="AR137" s="28">
        <f t="shared" si="402"/>
        <v>0</v>
      </c>
      <c r="AS137" s="28">
        <f t="shared" si="402"/>
        <v>0</v>
      </c>
      <c r="AT137" s="28">
        <f t="shared" si="402"/>
        <v>0</v>
      </c>
      <c r="AU137" s="28">
        <f t="shared" si="402"/>
        <v>0</v>
      </c>
      <c r="AV137" s="28">
        <f t="shared" si="402"/>
        <v>0</v>
      </c>
      <c r="AW137" s="28">
        <f t="shared" si="402"/>
        <v>0</v>
      </c>
      <c r="AX137" s="28">
        <f t="shared" si="402"/>
        <v>0</v>
      </c>
      <c r="AY137" s="28">
        <f t="shared" si="402"/>
        <v>0</v>
      </c>
      <c r="AZ137" s="28">
        <f t="shared" si="402"/>
        <v>0</v>
      </c>
      <c r="BA137" s="28">
        <f t="shared" si="402"/>
        <v>0</v>
      </c>
      <c r="BB137" s="28">
        <f t="shared" si="402"/>
        <v>0</v>
      </c>
      <c r="BC137" s="28">
        <f t="shared" ref="BC137:CE137" si="403">+SUMPRODUCT($G$138:$G$140,BC138:BC140)</f>
        <v>0</v>
      </c>
      <c r="BD137" s="28">
        <f t="shared" si="403"/>
        <v>0</v>
      </c>
      <c r="BE137" s="28">
        <f t="shared" si="403"/>
        <v>0</v>
      </c>
      <c r="BF137" s="28">
        <f t="shared" si="403"/>
        <v>0</v>
      </c>
      <c r="BG137" s="28">
        <f t="shared" si="403"/>
        <v>0</v>
      </c>
      <c r="BH137" s="28">
        <f t="shared" si="403"/>
        <v>0</v>
      </c>
      <c r="BI137" s="28">
        <f t="shared" si="403"/>
        <v>0</v>
      </c>
      <c r="BJ137" s="28">
        <f t="shared" si="403"/>
        <v>0</v>
      </c>
      <c r="BK137" s="28">
        <f t="shared" si="403"/>
        <v>0</v>
      </c>
      <c r="BL137" s="28">
        <f t="shared" si="403"/>
        <v>0</v>
      </c>
      <c r="BM137" s="28">
        <f t="shared" si="403"/>
        <v>0</v>
      </c>
      <c r="BN137" s="28">
        <f t="shared" si="403"/>
        <v>0</v>
      </c>
      <c r="BO137" s="28">
        <f t="shared" si="403"/>
        <v>0</v>
      </c>
      <c r="BP137" s="28">
        <f t="shared" si="403"/>
        <v>0</v>
      </c>
      <c r="BQ137" s="28">
        <f t="shared" si="403"/>
        <v>0</v>
      </c>
      <c r="BR137" s="28">
        <f t="shared" si="403"/>
        <v>0</v>
      </c>
      <c r="BS137" s="28">
        <f t="shared" si="403"/>
        <v>0</v>
      </c>
      <c r="BT137" s="28">
        <f t="shared" si="403"/>
        <v>0</v>
      </c>
      <c r="BU137" s="28">
        <f t="shared" si="403"/>
        <v>0</v>
      </c>
      <c r="BV137" s="28">
        <f t="shared" si="403"/>
        <v>0</v>
      </c>
      <c r="BW137" s="28">
        <f t="shared" si="403"/>
        <v>0</v>
      </c>
      <c r="BX137" s="28">
        <f t="shared" si="403"/>
        <v>0</v>
      </c>
      <c r="BY137" s="28">
        <f t="shared" si="403"/>
        <v>0</v>
      </c>
      <c r="BZ137" s="28">
        <f t="shared" si="403"/>
        <v>0</v>
      </c>
      <c r="CA137" s="28">
        <f t="shared" si="403"/>
        <v>0</v>
      </c>
      <c r="CB137" s="28">
        <f t="shared" si="403"/>
        <v>0</v>
      </c>
      <c r="CC137" s="28">
        <f t="shared" si="403"/>
        <v>0</v>
      </c>
      <c r="CD137" s="28">
        <f t="shared" si="403"/>
        <v>0</v>
      </c>
      <c r="CE137" s="28">
        <f t="shared" si="403"/>
        <v>0</v>
      </c>
      <c r="CF137" s="28">
        <f t="shared" ref="CF137:CI137" si="404">+SUMPRODUCT($G$138:$G$140,CF138:CF140)</f>
        <v>0</v>
      </c>
      <c r="CG137" s="28">
        <f t="shared" si="404"/>
        <v>0</v>
      </c>
      <c r="CH137" s="28">
        <f t="shared" si="404"/>
        <v>0</v>
      </c>
      <c r="CI137" s="28">
        <f t="shared" si="404"/>
        <v>1</v>
      </c>
      <c r="CJ137" s="28">
        <f t="shared" ref="CJ137:CK137" si="405">+SUMPRODUCT($G$138:$G$140,CJ138:CJ140)</f>
        <v>1</v>
      </c>
      <c r="CK137" s="28">
        <f t="shared" si="405"/>
        <v>1</v>
      </c>
      <c r="CL137" s="28">
        <f t="shared" ref="CL137" si="406">+SUMPRODUCT($G$138:$G$140,CL138:CL140)</f>
        <v>1</v>
      </c>
      <c r="CM137" s="28">
        <f t="shared" ref="CM137:CV137" si="407">+SUMPRODUCT($G$138:$G$140,CM138:CM140)</f>
        <v>1</v>
      </c>
      <c r="CN137" s="28">
        <f t="shared" si="407"/>
        <v>1</v>
      </c>
      <c r="CO137" s="28">
        <f t="shared" si="407"/>
        <v>1</v>
      </c>
      <c r="CP137" s="28">
        <f t="shared" si="407"/>
        <v>1</v>
      </c>
      <c r="CQ137" s="28">
        <f t="shared" si="407"/>
        <v>1</v>
      </c>
      <c r="CR137" s="28">
        <f t="shared" si="407"/>
        <v>1</v>
      </c>
      <c r="CS137" s="28">
        <f t="shared" si="407"/>
        <v>1</v>
      </c>
      <c r="CT137" s="28">
        <f t="shared" si="407"/>
        <v>1</v>
      </c>
      <c r="CU137" s="28">
        <f t="shared" si="407"/>
        <v>1</v>
      </c>
      <c r="CV137" s="28">
        <f t="shared" si="407"/>
        <v>1</v>
      </c>
      <c r="CW137" s="28">
        <f t="shared" ref="CW137" si="408">+SUMPRODUCT($G$138:$G$140,CW138:CW140)</f>
        <v>1</v>
      </c>
      <c r="CX137" s="28">
        <f t="shared" ref="CX137:CY137" si="409">+SUMPRODUCT($G$138:$G$140,CX138:CX140)</f>
        <v>1</v>
      </c>
      <c r="CY137" s="28">
        <f t="shared" si="409"/>
        <v>1</v>
      </c>
      <c r="CZ137" s="28">
        <f t="shared" ref="CZ137:DA137" si="410">+SUMPRODUCT($G$138:$G$140,CZ138:CZ140)</f>
        <v>1</v>
      </c>
      <c r="DA137" s="28">
        <f t="shared" si="410"/>
        <v>1</v>
      </c>
      <c r="DB137" s="28">
        <f t="shared" ref="DB137:DC137" si="411">+SUMPRODUCT($G$138:$G$140,DB138:DB140)</f>
        <v>1</v>
      </c>
      <c r="DC137" s="28">
        <f t="shared" si="411"/>
        <v>1</v>
      </c>
      <c r="DD137" s="28">
        <f t="shared" ref="DD137:DE137" si="412">+SUMPRODUCT($G$138:$G$140,DD138:DD140)</f>
        <v>1</v>
      </c>
      <c r="DE137" s="28">
        <f t="shared" si="412"/>
        <v>1</v>
      </c>
      <c r="DF137" s="28">
        <f t="shared" ref="DF137:DJ137" si="413">+SUMPRODUCT($G$138:$G$140,DF138:DF140)</f>
        <v>1</v>
      </c>
      <c r="DG137" s="28">
        <f t="shared" si="413"/>
        <v>1</v>
      </c>
      <c r="DH137" s="28">
        <f t="shared" si="413"/>
        <v>1</v>
      </c>
      <c r="DI137" s="28">
        <f t="shared" si="413"/>
        <v>1</v>
      </c>
      <c r="DJ137" s="28">
        <f t="shared" si="413"/>
        <v>1</v>
      </c>
      <c r="DK137" s="28">
        <f t="shared" ref="DK137:EI137" si="414">+SUMPRODUCT($G$138:$G$140,DK138:DK140)</f>
        <v>1</v>
      </c>
      <c r="DL137" s="28">
        <f t="shared" si="414"/>
        <v>1</v>
      </c>
      <c r="DM137" s="28">
        <f t="shared" si="414"/>
        <v>1</v>
      </c>
      <c r="DN137" s="28">
        <f t="shared" si="414"/>
        <v>1</v>
      </c>
      <c r="DO137" s="28">
        <f t="shared" si="414"/>
        <v>1</v>
      </c>
      <c r="DP137" s="28">
        <f t="shared" si="414"/>
        <v>1</v>
      </c>
      <c r="DQ137" s="28">
        <f t="shared" si="414"/>
        <v>1</v>
      </c>
      <c r="DR137" s="28">
        <f t="shared" si="414"/>
        <v>1</v>
      </c>
      <c r="DS137" s="28">
        <f t="shared" si="414"/>
        <v>1</v>
      </c>
      <c r="DT137" s="28">
        <f t="shared" si="414"/>
        <v>1</v>
      </c>
      <c r="DU137" s="28">
        <f t="shared" si="414"/>
        <v>1</v>
      </c>
      <c r="DV137" s="28">
        <f t="shared" si="414"/>
        <v>1</v>
      </c>
      <c r="DW137" s="28">
        <f t="shared" si="414"/>
        <v>1</v>
      </c>
      <c r="DX137" s="28">
        <f t="shared" si="414"/>
        <v>1</v>
      </c>
      <c r="DY137" s="28">
        <f t="shared" si="414"/>
        <v>1</v>
      </c>
      <c r="DZ137" s="28">
        <f t="shared" si="414"/>
        <v>1</v>
      </c>
      <c r="EA137" s="28">
        <f t="shared" si="414"/>
        <v>1</v>
      </c>
      <c r="EB137" s="28">
        <f t="shared" si="414"/>
        <v>1</v>
      </c>
      <c r="EC137" s="28">
        <f t="shared" si="414"/>
        <v>1</v>
      </c>
      <c r="ED137" s="28">
        <f t="shared" si="414"/>
        <v>1</v>
      </c>
      <c r="EE137" s="28">
        <f t="shared" si="414"/>
        <v>1</v>
      </c>
      <c r="EF137" s="28">
        <f t="shared" si="414"/>
        <v>1</v>
      </c>
      <c r="EG137" s="28">
        <f t="shared" si="414"/>
        <v>1</v>
      </c>
      <c r="EH137" s="28">
        <f t="shared" si="414"/>
        <v>1</v>
      </c>
      <c r="EI137" s="28">
        <f t="shared" si="414"/>
        <v>1</v>
      </c>
    </row>
    <row r="138" spans="2:139" hidden="1" outlineLevel="3" x14ac:dyDescent="0.3">
      <c r="B138" s="29"/>
      <c r="C138" s="30"/>
      <c r="D138" s="30"/>
      <c r="E138" s="52" t="s">
        <v>141</v>
      </c>
      <c r="F138" s="33">
        <v>40</v>
      </c>
      <c r="G138" s="35">
        <v>0.72727272727272729</v>
      </c>
      <c r="H138" s="53"/>
      <c r="I138" s="126">
        <v>0</v>
      </c>
      <c r="J138" s="127">
        <v>0</v>
      </c>
      <c r="K138" s="127">
        <v>0</v>
      </c>
      <c r="L138" s="127">
        <v>0</v>
      </c>
      <c r="M138" s="128">
        <v>0</v>
      </c>
      <c r="N138" s="128">
        <v>0</v>
      </c>
      <c r="O138" s="127">
        <v>0</v>
      </c>
      <c r="P138" s="127">
        <v>0</v>
      </c>
      <c r="Q138" s="127">
        <v>0</v>
      </c>
      <c r="R138" s="127">
        <v>0</v>
      </c>
      <c r="S138" s="127">
        <v>0</v>
      </c>
      <c r="T138" s="127">
        <v>0</v>
      </c>
      <c r="U138" s="127">
        <v>0</v>
      </c>
      <c r="V138" s="127">
        <v>0</v>
      </c>
      <c r="W138" s="127">
        <v>0</v>
      </c>
      <c r="X138" s="127">
        <v>0</v>
      </c>
      <c r="Y138" s="127">
        <v>0</v>
      </c>
      <c r="Z138" s="127">
        <v>0</v>
      </c>
      <c r="AA138" s="127">
        <v>0</v>
      </c>
      <c r="AB138" s="127">
        <v>0</v>
      </c>
      <c r="AC138" s="127">
        <v>0</v>
      </c>
      <c r="AD138" s="127">
        <v>0</v>
      </c>
      <c r="AE138" s="127">
        <v>0</v>
      </c>
      <c r="AF138" s="127">
        <v>0</v>
      </c>
      <c r="AG138" s="127">
        <v>0</v>
      </c>
      <c r="AH138" s="127">
        <v>0</v>
      </c>
      <c r="AI138" s="127">
        <v>0</v>
      </c>
      <c r="AJ138" s="127">
        <v>0</v>
      </c>
      <c r="AK138" s="127">
        <v>0</v>
      </c>
      <c r="AL138" s="127">
        <v>0</v>
      </c>
      <c r="AM138" s="127">
        <v>0</v>
      </c>
      <c r="AN138" s="127">
        <v>0</v>
      </c>
      <c r="AO138" s="127">
        <v>0</v>
      </c>
      <c r="AP138" s="127">
        <v>0</v>
      </c>
      <c r="AQ138" s="127">
        <v>0</v>
      </c>
      <c r="AR138" s="127">
        <v>0</v>
      </c>
      <c r="AS138" s="127">
        <v>0</v>
      </c>
      <c r="AT138" s="127">
        <v>0</v>
      </c>
      <c r="AU138" s="127">
        <v>0</v>
      </c>
      <c r="AV138" s="127">
        <v>0</v>
      </c>
      <c r="AW138" s="127">
        <v>0</v>
      </c>
      <c r="AX138" s="127">
        <v>0</v>
      </c>
      <c r="AY138" s="127">
        <v>0</v>
      </c>
      <c r="AZ138" s="127">
        <v>0</v>
      </c>
      <c r="BA138" s="127">
        <v>0</v>
      </c>
      <c r="BB138" s="137">
        <f>Planbase100[[#This Row],[05/05/25]]+(1-Planbase100[[#This Row],[05/05/25]])*'Plan 39'!I92</f>
        <v>0</v>
      </c>
      <c r="BC138" s="137">
        <f>Planbase100[[#This Row],[05/05/25]]+(1-Planbase100[[#This Row],[05/05/25]])*'Plan 39'!J92</f>
        <v>0</v>
      </c>
      <c r="BD138" s="137">
        <f>Planbase100[[#This Row],[05/05/25]]+(1-Planbase100[[#This Row],[05/05/25]])*'Plan 39'!K92</f>
        <v>0</v>
      </c>
      <c r="BE138" s="137">
        <f>Planbase100[[#This Row],[05/05/25]]+(1-Planbase100[[#This Row],[05/05/25]])*'Plan 39'!L92</f>
        <v>0</v>
      </c>
      <c r="BF138" s="137">
        <f>Planbase100[[#This Row],[05/05/25]]+(1-Planbase100[[#This Row],[05/05/25]])*'Plan 39'!M92</f>
        <v>0</v>
      </c>
      <c r="BG138" s="137">
        <f>Planbase100[[#This Row],[05/05/25]]+(1-Planbase100[[#This Row],[05/05/25]])*'Plan 39'!N92</f>
        <v>0</v>
      </c>
      <c r="BH138" s="137">
        <f>Planbase100[[#This Row],[05/05/25]]+(1-Planbase100[[#This Row],[05/05/25]])*'Plan 39'!O92</f>
        <v>0</v>
      </c>
      <c r="BI138" s="137">
        <f>Planbase100[[#This Row],[05/05/25]]+(1-Planbase100[[#This Row],[05/05/25]])*'Plan 39'!P92</f>
        <v>0</v>
      </c>
      <c r="BJ138" s="137">
        <f>Planbase100[[#This Row],[05/05/25]]+(1-Planbase100[[#This Row],[05/05/25]])*'Plan 39'!Q92</f>
        <v>0</v>
      </c>
      <c r="BK138" s="137">
        <f>Planbase100[[#This Row],[05/05/25]]+(1-Planbase100[[#This Row],[05/05/25]])*'Plan 39'!R92</f>
        <v>0</v>
      </c>
      <c r="BL138" s="137">
        <f>Planbase100[[#This Row],[05/05/25]]+(1-Planbase100[[#This Row],[05/05/25]])*'Plan 39'!S92</f>
        <v>0</v>
      </c>
      <c r="BM138" s="137">
        <f>Planbase100[[#This Row],[05/05/25]]+(1-Planbase100[[#This Row],[05/05/25]])*'Plan 39'!T92</f>
        <v>0</v>
      </c>
      <c r="BN138" s="137">
        <f>Planbase100[[#This Row],[05/05/25]]+(1-Planbase100[[#This Row],[05/05/25]])*'Plan 39'!U92</f>
        <v>0</v>
      </c>
      <c r="BO138" s="137">
        <f>Planbase100[[#This Row],[05/05/25]]+(1-Planbase100[[#This Row],[05/05/25]])*'Plan 39'!V92</f>
        <v>0</v>
      </c>
      <c r="BP138" s="137">
        <f>Planbase100[[#This Row],[05/05/25]]+(1-Planbase100[[#This Row],[05/05/25]])*'Plan 39'!W92</f>
        <v>0</v>
      </c>
      <c r="BQ138" s="137">
        <f>Planbase100[[#This Row],[05/05/25]]+(1-Planbase100[[#This Row],[05/05/25]])*'Plan 39'!X92</f>
        <v>0</v>
      </c>
      <c r="BR138" s="137">
        <f>Planbase100[[#This Row],[05/05/25]]+(1-Planbase100[[#This Row],[05/05/25]])*'Plan 39'!Y92</f>
        <v>0</v>
      </c>
      <c r="BS138" s="137">
        <f>Planbase100[[#This Row],[05/05/25]]+(1-Planbase100[[#This Row],[05/05/25]])*'Plan 39'!Z92</f>
        <v>0</v>
      </c>
      <c r="BT138" s="137">
        <f>Planbase100[[#This Row],[05/05/25]]+(1-Planbase100[[#This Row],[05/05/25]])*'Plan 39'!AA92</f>
        <v>0</v>
      </c>
      <c r="BU138" s="137">
        <f>Planbase100[[#This Row],[05/05/25]]+(1-Planbase100[[#This Row],[05/05/25]])*'Plan 39'!AB92</f>
        <v>0</v>
      </c>
      <c r="BV138" s="137">
        <f>Planbase100[[#This Row],[05/05/25]]+(1-Planbase100[[#This Row],[05/05/25]])*'Plan 39'!AC92</f>
        <v>0</v>
      </c>
      <c r="BW138" s="137">
        <f>Planbase100[[#This Row],[05/05/25]]+(1-Planbase100[[#This Row],[05/05/25]])*'Plan 39'!AD92</f>
        <v>0</v>
      </c>
      <c r="BX138" s="137">
        <f>Planbase100[[#This Row],[05/05/25]]+(1-Planbase100[[#This Row],[05/05/25]])*'Plan 39'!AE92</f>
        <v>0</v>
      </c>
      <c r="BY138" s="137">
        <f>Planbase100[[#This Row],[05/05/25]]+(1-Planbase100[[#This Row],[05/05/25]])*'Plan 39'!AF92</f>
        <v>0</v>
      </c>
      <c r="BZ138" s="137">
        <f>Planbase100[[#This Row],[05/05/25]]+(1-Planbase100[[#This Row],[05/05/25]])*'Plan 39'!AG92</f>
        <v>0</v>
      </c>
      <c r="CA138" s="137">
        <f>Planbase100[[#This Row],[05/05/25]]+(1-Planbase100[[#This Row],[05/05/25]])*'Plan 39'!AH92</f>
        <v>0</v>
      </c>
      <c r="CB138" s="137">
        <f>Planbase100[[#This Row],[05/05/25]]+(1-Planbase100[[#This Row],[05/05/25]])*'Plan 39'!AI92</f>
        <v>0</v>
      </c>
      <c r="CC138" s="137">
        <f>Planbase100[[#This Row],[05/05/25]]+(1-Planbase100[[#This Row],[05/05/25]])*'Plan 39'!AJ92</f>
        <v>0</v>
      </c>
      <c r="CD138" s="137">
        <f>Planbase100[[#This Row],[05/05/25]]+(1-Planbase100[[#This Row],[05/05/25]])*'Plan 39'!AK92</f>
        <v>0</v>
      </c>
      <c r="CE138" s="137">
        <f>Planbase100[[#This Row],[05/05/25]]+(1-Planbase100[[#This Row],[05/05/25]])*'Plan 39'!AL92</f>
        <v>0</v>
      </c>
      <c r="CF138" s="137">
        <f>Planbase100[[#This Row],[05/05/25]]+(1-Planbase100[[#This Row],[05/05/25]])*'Plan 39'!AM92</f>
        <v>0</v>
      </c>
      <c r="CG138" s="127">
        <f>Planbase100[[#This Row],[05/05/25]]+(1-Planbase100[[#This Row],[05/05/25]])*'Plan 39'!AN92</f>
        <v>0</v>
      </c>
      <c r="CH138" s="127">
        <f>Planbase100[[#This Row],[05/05/25]]+(1-Planbase100[[#This Row],[05/05/25]])*'Plan 39'!AO92</f>
        <v>0</v>
      </c>
      <c r="CI138" s="127">
        <f>Planbase100[[#This Row],[05/05/25]]+(1-Planbase100[[#This Row],[05/05/25]])*'Plan 39'!AP92</f>
        <v>1</v>
      </c>
      <c r="CJ138" s="127">
        <f>Planbase100[[#This Row],[05/05/25]]+(1-Planbase100[[#This Row],[05/05/25]])*'Plan 39'!AQ92</f>
        <v>1</v>
      </c>
      <c r="CK138" s="127">
        <f>Planbase100[[#This Row],[05/05/25]]+(1-Planbase100[[#This Row],[05/05/25]])*'Plan 39'!AR92</f>
        <v>1</v>
      </c>
      <c r="CL138" s="127">
        <f>Planbase100[[#This Row],[05/05/25]]+(1-Planbase100[[#This Row],[05/05/25]])*'Plan 39'!AS92</f>
        <v>1</v>
      </c>
      <c r="CM138" s="127">
        <f>Planbase100[[#This Row],[05/05/25]]+(1-Planbase100[[#This Row],[05/05/25]])*'Plan 39'!AT92</f>
        <v>1</v>
      </c>
      <c r="CN138" s="127">
        <f>Planbase100[[#This Row],[05/05/25]]+(1-Planbase100[[#This Row],[05/05/25]])*'Plan 39'!AU92</f>
        <v>1</v>
      </c>
      <c r="CO138" s="127">
        <f>Planbase100[[#This Row],[05/05/25]]+(1-Planbase100[[#This Row],[05/05/25]])*'Plan 39'!AV92</f>
        <v>1</v>
      </c>
      <c r="CP138" s="127">
        <f>Planbase100[[#This Row],[05/05/25]]+(1-Planbase100[[#This Row],[05/05/25]])*'Plan 39'!AW92</f>
        <v>1</v>
      </c>
      <c r="CQ138" s="127">
        <f>Planbase100[[#This Row],[05/05/25]]+(1-Planbase100[[#This Row],[05/05/25]])*'Plan 39'!AX92</f>
        <v>1</v>
      </c>
      <c r="CR138" s="127">
        <f>Planbase100[[#This Row],[05/05/25]]+(1-Planbase100[[#This Row],[05/05/25]])*'Plan 39'!AY92</f>
        <v>1</v>
      </c>
      <c r="CS138" s="127">
        <f>Planbase100[[#This Row],[05/05/25]]+(1-Planbase100[[#This Row],[05/05/25]])*'Plan 39'!AZ92</f>
        <v>1</v>
      </c>
      <c r="CT138" s="127">
        <f>Planbase100[[#This Row],[05/05/25]]+(1-Planbase100[[#This Row],[05/05/25]])*'Plan 39'!BA92</f>
        <v>1</v>
      </c>
      <c r="CU138" s="127">
        <f>Planbase100[[#This Row],[05/05/25]]+(1-Planbase100[[#This Row],[05/05/25]])*'Plan 39'!BB92</f>
        <v>1</v>
      </c>
      <c r="CV138" s="127">
        <f>Planbase100[[#This Row],[05/05/25]]+(1-Planbase100[[#This Row],[05/05/25]])*'Plan 39'!BC92</f>
        <v>1</v>
      </c>
      <c r="CW138" s="127">
        <f>Planbase100[[#This Row],[05/05/25]]+(1-Planbase100[[#This Row],[05/05/25]])*'Plan 39'!BD92</f>
        <v>1</v>
      </c>
      <c r="CX138" s="127">
        <f>Planbase100[[#This Row],[05/05/25]]+(1-Planbase100[[#This Row],[05/05/25]])*'Plan 39'!BE92</f>
        <v>1</v>
      </c>
      <c r="CY138" s="127">
        <f>Planbase100[[#This Row],[05/05/25]]+(1-Planbase100[[#This Row],[05/05/25]])*'Plan 39'!BF92</f>
        <v>1</v>
      </c>
      <c r="CZ138" s="127">
        <f>Planbase100[[#This Row],[05/05/25]]+(1-Planbase100[[#This Row],[05/05/25]])*'Plan 39'!BG92</f>
        <v>1</v>
      </c>
      <c r="DA138" s="127">
        <f>Planbase100[[#This Row],[05/05/25]]+(1-Planbase100[[#This Row],[05/05/25]])*'Plan 39'!BH92</f>
        <v>1</v>
      </c>
      <c r="DB138" s="127">
        <f>Planbase100[[#This Row],[05/05/25]]+(1-Planbase100[[#This Row],[05/05/25]])*'Plan 39'!BI92</f>
        <v>1</v>
      </c>
      <c r="DC138" s="127">
        <f>Planbase100[[#This Row],[05/05/25]]+(1-Planbase100[[#This Row],[05/05/25]])*'Plan 39'!BJ92</f>
        <v>1</v>
      </c>
      <c r="DD138" s="127">
        <f>Planbase100[[#This Row],[05/05/25]]+(1-Planbase100[[#This Row],[05/05/25]])*'Plan 39'!BK92</f>
        <v>1</v>
      </c>
      <c r="DE138" s="127">
        <f>Planbase100[[#This Row],[05/05/25]]+(1-Planbase100[[#This Row],[05/05/25]])*'Plan 39'!BL92</f>
        <v>1</v>
      </c>
      <c r="DF138" s="127">
        <f>Planbase100[[#This Row],[05/05/25]]+(1-Planbase100[[#This Row],[05/05/25]])*'Plan 39'!BM92</f>
        <v>1</v>
      </c>
      <c r="DG138" s="127">
        <f>Planbase100[[#This Row],[05/05/25]]+(1-Planbase100[[#This Row],[05/05/25]])*'Plan 39'!BN92</f>
        <v>1</v>
      </c>
      <c r="DH138" s="127">
        <f>Planbase100[[#This Row],[05/05/25]]+(1-Planbase100[[#This Row],[05/05/25]])*'Plan 39'!BO92</f>
        <v>1</v>
      </c>
      <c r="DI138" s="127">
        <f>Planbase100[[#This Row],[05/05/25]]+(1-Planbase100[[#This Row],[05/05/25]])*'Plan 39'!BP92</f>
        <v>1</v>
      </c>
      <c r="DJ138" s="127">
        <f>Planbase100[[#This Row],[05/05/25]]+(1-Planbase100[[#This Row],[05/05/25]])*'Plan 39'!BQ92</f>
        <v>1</v>
      </c>
      <c r="DK138" s="127">
        <f>Planbase100[[#This Row],[05/05/25]]+(1-Planbase100[[#This Row],[05/05/25]])*'Plan 39'!BR92</f>
        <v>1</v>
      </c>
      <c r="DL138" s="127">
        <f>Planbase100[[#This Row],[05/05/25]]+(1-Planbase100[[#This Row],[05/05/25]])*'Plan 39'!BS92</f>
        <v>1</v>
      </c>
      <c r="DM138" s="127">
        <f>Planbase100[[#This Row],[05/05/25]]+(1-Planbase100[[#This Row],[05/05/25]])*'Plan 39'!BT92</f>
        <v>1</v>
      </c>
      <c r="DN138" s="127">
        <f>Planbase100[[#This Row],[05/05/25]]+(1-Planbase100[[#This Row],[05/05/25]])*'Plan 39'!BU92</f>
        <v>1</v>
      </c>
      <c r="DO138" s="127">
        <f>Planbase100[[#This Row],[05/05/25]]+(1-Planbase100[[#This Row],[05/05/25]])*'Plan 39'!BV92</f>
        <v>1</v>
      </c>
      <c r="DP138" s="127">
        <f>Planbase100[[#This Row],[05/05/25]]+(1-Planbase100[[#This Row],[05/05/25]])*'Plan 39'!BW92</f>
        <v>1</v>
      </c>
      <c r="DQ138" s="127">
        <f>Planbase100[[#This Row],[05/05/25]]+(1-Planbase100[[#This Row],[05/05/25]])*'Plan 39'!BX92</f>
        <v>1</v>
      </c>
      <c r="DR138" s="127">
        <f>Planbase100[[#This Row],[05/05/25]]+(1-Planbase100[[#This Row],[05/05/25]])*'Plan 39'!BY92</f>
        <v>1</v>
      </c>
      <c r="DS138" s="127">
        <f>Planbase100[[#This Row],[05/05/25]]+(1-Planbase100[[#This Row],[05/05/25]])*'Plan 39'!BZ92</f>
        <v>1</v>
      </c>
      <c r="DT138" s="127">
        <f>Planbase100[[#This Row],[05/05/25]]+(1-Planbase100[[#This Row],[05/05/25]])*'Plan 39'!CA92</f>
        <v>1</v>
      </c>
      <c r="DU138" s="127">
        <f>Planbase100[[#This Row],[05/05/25]]+(1-Planbase100[[#This Row],[05/05/25]])*'Plan 39'!CB92</f>
        <v>1</v>
      </c>
      <c r="DV138" s="127">
        <f>Planbase100[[#This Row],[05/05/25]]+(1-Planbase100[[#This Row],[05/05/25]])*'Plan 39'!CC92</f>
        <v>1</v>
      </c>
      <c r="DW138" s="127">
        <f>Planbase100[[#This Row],[05/05/25]]+(1-Planbase100[[#This Row],[05/05/25]])*'Plan 39'!CD92</f>
        <v>1</v>
      </c>
      <c r="DX138" s="127">
        <f>Planbase100[[#This Row],[05/05/25]]+(1-Planbase100[[#This Row],[05/05/25]])*'Plan 39'!CE92</f>
        <v>1</v>
      </c>
      <c r="DY138" s="127">
        <f>Planbase100[[#This Row],[05/05/25]]+(1-Planbase100[[#This Row],[05/05/25]])*'Plan 39'!CF92</f>
        <v>1</v>
      </c>
      <c r="DZ138" s="127">
        <f>Planbase100[[#This Row],[05/05/25]]+(1-Planbase100[[#This Row],[05/05/25]])*'Plan 39'!CG92</f>
        <v>1</v>
      </c>
      <c r="EA138" s="127">
        <f>Planbase100[[#This Row],[05/05/25]]+(1-Planbase100[[#This Row],[05/05/25]])*'Plan 39'!CH92</f>
        <v>1</v>
      </c>
      <c r="EB138" s="127">
        <f>Planbase100[[#This Row],[05/05/25]]+(1-Planbase100[[#This Row],[05/05/25]])*'Plan 39'!CI92</f>
        <v>1</v>
      </c>
      <c r="EC138" s="127">
        <f>Planbase100[[#This Row],[05/05/25]]+(1-Planbase100[[#This Row],[05/05/25]])*'Plan 39'!CJ92</f>
        <v>1</v>
      </c>
      <c r="ED138" s="127">
        <f>Planbase100[[#This Row],[05/05/25]]+(1-Planbase100[[#This Row],[05/05/25]])*'Plan 39'!CK92</f>
        <v>1</v>
      </c>
      <c r="EE138" s="127">
        <f>Planbase100[[#This Row],[05/05/25]]+(1-Planbase100[[#This Row],[05/05/25]])*'Plan 39'!CL92</f>
        <v>1</v>
      </c>
      <c r="EF138" s="127">
        <f>Planbase100[[#This Row],[05/05/25]]+(1-Planbase100[[#This Row],[05/05/25]])*'Plan 39'!CM92</f>
        <v>1</v>
      </c>
      <c r="EG138" s="127">
        <f>Planbase100[[#This Row],[05/05/25]]+(1-Planbase100[[#This Row],[05/05/25]])*'Plan 39'!CN92</f>
        <v>1</v>
      </c>
      <c r="EH138" s="127">
        <f>Planbase100[[#This Row],[05/05/25]]+(1-Planbase100[[#This Row],[05/05/25]])*'Plan 39'!CO92</f>
        <v>1</v>
      </c>
      <c r="EI138" s="127">
        <f>Planbase100[[#This Row],[05/05/25]]+(1-Planbase100[[#This Row],[05/05/25]])*'Plan 39'!CP92</f>
        <v>1</v>
      </c>
    </row>
    <row r="139" spans="2:139" hidden="1" outlineLevel="3" x14ac:dyDescent="0.3">
      <c r="B139" s="29"/>
      <c r="C139" s="30"/>
      <c r="D139" s="30"/>
      <c r="E139" s="52" t="s">
        <v>81</v>
      </c>
      <c r="F139" s="33">
        <v>15</v>
      </c>
      <c r="G139" s="35">
        <v>0.27272727272727271</v>
      </c>
      <c r="H139" s="53"/>
      <c r="I139" s="126">
        <v>0</v>
      </c>
      <c r="J139" s="127">
        <v>0</v>
      </c>
      <c r="K139" s="127">
        <v>0</v>
      </c>
      <c r="L139" s="127">
        <v>0</v>
      </c>
      <c r="M139" s="128">
        <v>0</v>
      </c>
      <c r="N139" s="128">
        <v>0</v>
      </c>
      <c r="O139" s="127">
        <v>0</v>
      </c>
      <c r="P139" s="127">
        <v>0</v>
      </c>
      <c r="Q139" s="127">
        <v>0</v>
      </c>
      <c r="R139" s="127">
        <v>0</v>
      </c>
      <c r="S139" s="127">
        <v>0</v>
      </c>
      <c r="T139" s="127">
        <v>0</v>
      </c>
      <c r="U139" s="127">
        <v>0</v>
      </c>
      <c r="V139" s="127">
        <v>0</v>
      </c>
      <c r="W139" s="127">
        <v>0</v>
      </c>
      <c r="X139" s="127">
        <v>0</v>
      </c>
      <c r="Y139" s="127">
        <v>0</v>
      </c>
      <c r="Z139" s="127">
        <v>0</v>
      </c>
      <c r="AA139" s="127">
        <v>0</v>
      </c>
      <c r="AB139" s="127">
        <v>0</v>
      </c>
      <c r="AC139" s="127">
        <v>0</v>
      </c>
      <c r="AD139" s="127">
        <v>0</v>
      </c>
      <c r="AE139" s="127">
        <v>0</v>
      </c>
      <c r="AF139" s="127">
        <v>0</v>
      </c>
      <c r="AG139" s="127">
        <v>0</v>
      </c>
      <c r="AH139" s="127">
        <v>0</v>
      </c>
      <c r="AI139" s="127">
        <v>0</v>
      </c>
      <c r="AJ139" s="127">
        <v>0</v>
      </c>
      <c r="AK139" s="127">
        <v>0</v>
      </c>
      <c r="AL139" s="127">
        <v>0</v>
      </c>
      <c r="AM139" s="127">
        <v>0</v>
      </c>
      <c r="AN139" s="127">
        <v>0</v>
      </c>
      <c r="AO139" s="127">
        <v>0</v>
      </c>
      <c r="AP139" s="127">
        <v>0</v>
      </c>
      <c r="AQ139" s="127">
        <v>0</v>
      </c>
      <c r="AR139" s="127">
        <v>0</v>
      </c>
      <c r="AS139" s="127">
        <v>0</v>
      </c>
      <c r="AT139" s="127">
        <v>0</v>
      </c>
      <c r="AU139" s="127">
        <v>0</v>
      </c>
      <c r="AV139" s="127">
        <v>0</v>
      </c>
      <c r="AW139" s="127">
        <v>0</v>
      </c>
      <c r="AX139" s="127">
        <v>0</v>
      </c>
      <c r="AY139" s="127">
        <v>0</v>
      </c>
      <c r="AZ139" s="127">
        <v>0</v>
      </c>
      <c r="BA139" s="127">
        <v>0</v>
      </c>
      <c r="BB139" s="137">
        <f>Planbase100[[#This Row],[05/05/25]]+(1-Planbase100[[#This Row],[05/05/25]])*'Plan 39'!I92</f>
        <v>0</v>
      </c>
      <c r="BC139" s="137">
        <f>Planbase100[[#This Row],[05/05/25]]+(1-Planbase100[[#This Row],[05/05/25]])*'Plan 39'!J92</f>
        <v>0</v>
      </c>
      <c r="BD139" s="137">
        <f>Planbase100[[#This Row],[05/05/25]]+(1-Planbase100[[#This Row],[05/05/25]])*'Plan 39'!K92</f>
        <v>0</v>
      </c>
      <c r="BE139" s="137">
        <f>Planbase100[[#This Row],[05/05/25]]+(1-Planbase100[[#This Row],[05/05/25]])*'Plan 39'!L92</f>
        <v>0</v>
      </c>
      <c r="BF139" s="137">
        <f>Planbase100[[#This Row],[05/05/25]]+(1-Planbase100[[#This Row],[05/05/25]])*'Plan 39'!M92</f>
        <v>0</v>
      </c>
      <c r="BG139" s="137">
        <f>Planbase100[[#This Row],[05/05/25]]+(1-Planbase100[[#This Row],[05/05/25]])*'Plan 39'!N92</f>
        <v>0</v>
      </c>
      <c r="BH139" s="137">
        <f>Planbase100[[#This Row],[05/05/25]]+(1-Planbase100[[#This Row],[05/05/25]])*'Plan 39'!O92</f>
        <v>0</v>
      </c>
      <c r="BI139" s="137">
        <f>Planbase100[[#This Row],[05/05/25]]+(1-Planbase100[[#This Row],[05/05/25]])*'Plan 39'!P92</f>
        <v>0</v>
      </c>
      <c r="BJ139" s="137">
        <f>Planbase100[[#This Row],[05/05/25]]+(1-Planbase100[[#This Row],[05/05/25]])*'Plan 39'!Q92</f>
        <v>0</v>
      </c>
      <c r="BK139" s="137">
        <f>Planbase100[[#This Row],[05/05/25]]+(1-Planbase100[[#This Row],[05/05/25]])*'Plan 39'!R92</f>
        <v>0</v>
      </c>
      <c r="BL139" s="137">
        <f>Planbase100[[#This Row],[05/05/25]]+(1-Planbase100[[#This Row],[05/05/25]])*'Plan 39'!S92</f>
        <v>0</v>
      </c>
      <c r="BM139" s="137">
        <f>Planbase100[[#This Row],[05/05/25]]+(1-Planbase100[[#This Row],[05/05/25]])*'Plan 39'!T92</f>
        <v>0</v>
      </c>
      <c r="BN139" s="137">
        <f>Planbase100[[#This Row],[05/05/25]]+(1-Planbase100[[#This Row],[05/05/25]])*'Plan 39'!U92</f>
        <v>0</v>
      </c>
      <c r="BO139" s="137">
        <f>Planbase100[[#This Row],[05/05/25]]+(1-Planbase100[[#This Row],[05/05/25]])*'Plan 39'!V92</f>
        <v>0</v>
      </c>
      <c r="BP139" s="137">
        <f>Planbase100[[#This Row],[05/05/25]]+(1-Planbase100[[#This Row],[05/05/25]])*'Plan 39'!W92</f>
        <v>0</v>
      </c>
      <c r="BQ139" s="137">
        <f>Planbase100[[#This Row],[05/05/25]]+(1-Planbase100[[#This Row],[05/05/25]])*'Plan 39'!X92</f>
        <v>0</v>
      </c>
      <c r="BR139" s="137">
        <f>Planbase100[[#This Row],[05/05/25]]+(1-Planbase100[[#This Row],[05/05/25]])*'Plan 39'!Y92</f>
        <v>0</v>
      </c>
      <c r="BS139" s="137">
        <f>Planbase100[[#This Row],[05/05/25]]+(1-Planbase100[[#This Row],[05/05/25]])*'Plan 39'!Z92</f>
        <v>0</v>
      </c>
      <c r="BT139" s="137">
        <f>Planbase100[[#This Row],[05/05/25]]+(1-Planbase100[[#This Row],[05/05/25]])*'Plan 39'!AA92</f>
        <v>0</v>
      </c>
      <c r="BU139" s="137">
        <f>Planbase100[[#This Row],[05/05/25]]+(1-Planbase100[[#This Row],[05/05/25]])*'Plan 39'!AB92</f>
        <v>0</v>
      </c>
      <c r="BV139" s="137">
        <f>Planbase100[[#This Row],[05/05/25]]+(1-Planbase100[[#This Row],[05/05/25]])*'Plan 39'!AC92</f>
        <v>0</v>
      </c>
      <c r="BW139" s="137">
        <f>Planbase100[[#This Row],[05/05/25]]+(1-Planbase100[[#This Row],[05/05/25]])*'Plan 39'!AD92</f>
        <v>0</v>
      </c>
      <c r="BX139" s="137">
        <f>Planbase100[[#This Row],[05/05/25]]+(1-Planbase100[[#This Row],[05/05/25]])*'Plan 39'!AE92</f>
        <v>0</v>
      </c>
      <c r="BY139" s="137">
        <f>Planbase100[[#This Row],[05/05/25]]+(1-Planbase100[[#This Row],[05/05/25]])*'Plan 39'!AF92</f>
        <v>0</v>
      </c>
      <c r="BZ139" s="137">
        <f>Planbase100[[#This Row],[05/05/25]]+(1-Planbase100[[#This Row],[05/05/25]])*'Plan 39'!AG92</f>
        <v>0</v>
      </c>
      <c r="CA139" s="137">
        <f>Planbase100[[#This Row],[05/05/25]]+(1-Planbase100[[#This Row],[05/05/25]])*'Plan 39'!AH92</f>
        <v>0</v>
      </c>
      <c r="CB139" s="137">
        <f>Planbase100[[#This Row],[05/05/25]]+(1-Planbase100[[#This Row],[05/05/25]])*'Plan 39'!AI92</f>
        <v>0</v>
      </c>
      <c r="CC139" s="137">
        <f>Planbase100[[#This Row],[05/05/25]]+(1-Planbase100[[#This Row],[05/05/25]])*'Plan 39'!AJ92</f>
        <v>0</v>
      </c>
      <c r="CD139" s="137">
        <f>Planbase100[[#This Row],[05/05/25]]+(1-Planbase100[[#This Row],[05/05/25]])*'Plan 39'!AK92</f>
        <v>0</v>
      </c>
      <c r="CE139" s="137">
        <f>Planbase100[[#This Row],[05/05/25]]+(1-Planbase100[[#This Row],[05/05/25]])*'Plan 39'!AL92</f>
        <v>0</v>
      </c>
      <c r="CF139" s="137">
        <f>Planbase100[[#This Row],[05/05/25]]+(1-Planbase100[[#This Row],[05/05/25]])*'Plan 39'!AM92</f>
        <v>0</v>
      </c>
      <c r="CG139" s="127">
        <f>Planbase100[[#This Row],[05/05/25]]+(1-Planbase100[[#This Row],[05/05/25]])*'Plan 39'!AN92</f>
        <v>0</v>
      </c>
      <c r="CH139" s="127">
        <f>Planbase100[[#This Row],[05/05/25]]+(1-Planbase100[[#This Row],[05/05/25]])*'Plan 39'!AO92</f>
        <v>0</v>
      </c>
      <c r="CI139" s="127">
        <f>Planbase100[[#This Row],[05/05/25]]+(1-Planbase100[[#This Row],[05/05/25]])*'Plan 39'!AP92</f>
        <v>1</v>
      </c>
      <c r="CJ139" s="127">
        <f>Planbase100[[#This Row],[05/05/25]]+(1-Planbase100[[#This Row],[05/05/25]])*'Plan 39'!AQ92</f>
        <v>1</v>
      </c>
      <c r="CK139" s="127">
        <f>Planbase100[[#This Row],[05/05/25]]+(1-Planbase100[[#This Row],[05/05/25]])*'Plan 39'!AR92</f>
        <v>1</v>
      </c>
      <c r="CL139" s="127">
        <f>Planbase100[[#This Row],[05/05/25]]+(1-Planbase100[[#This Row],[05/05/25]])*'Plan 39'!AS92</f>
        <v>1</v>
      </c>
      <c r="CM139" s="127">
        <f>Planbase100[[#This Row],[05/05/25]]+(1-Planbase100[[#This Row],[05/05/25]])*'Plan 39'!AT92</f>
        <v>1</v>
      </c>
      <c r="CN139" s="127">
        <f>Planbase100[[#This Row],[05/05/25]]+(1-Planbase100[[#This Row],[05/05/25]])*'Plan 39'!AU92</f>
        <v>1</v>
      </c>
      <c r="CO139" s="127">
        <f>Planbase100[[#This Row],[05/05/25]]+(1-Planbase100[[#This Row],[05/05/25]])*'Plan 39'!AV92</f>
        <v>1</v>
      </c>
      <c r="CP139" s="127">
        <f>Planbase100[[#This Row],[05/05/25]]+(1-Planbase100[[#This Row],[05/05/25]])*'Plan 39'!AW92</f>
        <v>1</v>
      </c>
      <c r="CQ139" s="127">
        <f>Planbase100[[#This Row],[05/05/25]]+(1-Planbase100[[#This Row],[05/05/25]])*'Plan 39'!AX92</f>
        <v>1</v>
      </c>
      <c r="CR139" s="127">
        <f>Planbase100[[#This Row],[05/05/25]]+(1-Planbase100[[#This Row],[05/05/25]])*'Plan 39'!AY92</f>
        <v>1</v>
      </c>
      <c r="CS139" s="127">
        <f>Planbase100[[#This Row],[05/05/25]]+(1-Planbase100[[#This Row],[05/05/25]])*'Plan 39'!AZ92</f>
        <v>1</v>
      </c>
      <c r="CT139" s="127">
        <f>Planbase100[[#This Row],[05/05/25]]+(1-Planbase100[[#This Row],[05/05/25]])*'Plan 39'!BA92</f>
        <v>1</v>
      </c>
      <c r="CU139" s="127">
        <f>Planbase100[[#This Row],[05/05/25]]+(1-Planbase100[[#This Row],[05/05/25]])*'Plan 39'!BB92</f>
        <v>1</v>
      </c>
      <c r="CV139" s="127">
        <f>Planbase100[[#This Row],[05/05/25]]+(1-Planbase100[[#This Row],[05/05/25]])*'Plan 39'!BC92</f>
        <v>1</v>
      </c>
      <c r="CW139" s="127">
        <f>Planbase100[[#This Row],[05/05/25]]+(1-Planbase100[[#This Row],[05/05/25]])*'Plan 39'!BD92</f>
        <v>1</v>
      </c>
      <c r="CX139" s="127">
        <f>Planbase100[[#This Row],[05/05/25]]+(1-Planbase100[[#This Row],[05/05/25]])*'Plan 39'!BE92</f>
        <v>1</v>
      </c>
      <c r="CY139" s="127">
        <f>Planbase100[[#This Row],[05/05/25]]+(1-Planbase100[[#This Row],[05/05/25]])*'Plan 39'!BF92</f>
        <v>1</v>
      </c>
      <c r="CZ139" s="127">
        <f>Planbase100[[#This Row],[05/05/25]]+(1-Planbase100[[#This Row],[05/05/25]])*'Plan 39'!BG92</f>
        <v>1</v>
      </c>
      <c r="DA139" s="127">
        <f>Planbase100[[#This Row],[05/05/25]]+(1-Planbase100[[#This Row],[05/05/25]])*'Plan 39'!BH92</f>
        <v>1</v>
      </c>
      <c r="DB139" s="127">
        <f>Planbase100[[#This Row],[05/05/25]]+(1-Planbase100[[#This Row],[05/05/25]])*'Plan 39'!BI92</f>
        <v>1</v>
      </c>
      <c r="DC139" s="127">
        <f>Planbase100[[#This Row],[05/05/25]]+(1-Planbase100[[#This Row],[05/05/25]])*'Plan 39'!BJ92</f>
        <v>1</v>
      </c>
      <c r="DD139" s="127">
        <f>Planbase100[[#This Row],[05/05/25]]+(1-Planbase100[[#This Row],[05/05/25]])*'Plan 39'!BK92</f>
        <v>1</v>
      </c>
      <c r="DE139" s="127">
        <f>Planbase100[[#This Row],[05/05/25]]+(1-Planbase100[[#This Row],[05/05/25]])*'Plan 39'!BL92</f>
        <v>1</v>
      </c>
      <c r="DF139" s="127">
        <f>Planbase100[[#This Row],[05/05/25]]+(1-Planbase100[[#This Row],[05/05/25]])*'Plan 39'!BM92</f>
        <v>1</v>
      </c>
      <c r="DG139" s="127">
        <f>Planbase100[[#This Row],[05/05/25]]+(1-Planbase100[[#This Row],[05/05/25]])*'Plan 39'!BN92</f>
        <v>1</v>
      </c>
      <c r="DH139" s="127">
        <f>Planbase100[[#This Row],[05/05/25]]+(1-Planbase100[[#This Row],[05/05/25]])*'Plan 39'!BO92</f>
        <v>1</v>
      </c>
      <c r="DI139" s="127">
        <f>Planbase100[[#This Row],[05/05/25]]+(1-Planbase100[[#This Row],[05/05/25]])*'Plan 39'!BP92</f>
        <v>1</v>
      </c>
      <c r="DJ139" s="127">
        <f>Planbase100[[#This Row],[05/05/25]]+(1-Planbase100[[#This Row],[05/05/25]])*'Plan 39'!BQ92</f>
        <v>1</v>
      </c>
      <c r="DK139" s="127">
        <f>Planbase100[[#This Row],[05/05/25]]+(1-Planbase100[[#This Row],[05/05/25]])*'Plan 39'!BR92</f>
        <v>1</v>
      </c>
      <c r="DL139" s="127">
        <f>Planbase100[[#This Row],[05/05/25]]+(1-Planbase100[[#This Row],[05/05/25]])*'Plan 39'!BS92</f>
        <v>1</v>
      </c>
      <c r="DM139" s="127">
        <f>Planbase100[[#This Row],[05/05/25]]+(1-Planbase100[[#This Row],[05/05/25]])*'Plan 39'!BT92</f>
        <v>1</v>
      </c>
      <c r="DN139" s="127">
        <f>Planbase100[[#This Row],[05/05/25]]+(1-Planbase100[[#This Row],[05/05/25]])*'Plan 39'!BU92</f>
        <v>1</v>
      </c>
      <c r="DO139" s="127">
        <f>Planbase100[[#This Row],[05/05/25]]+(1-Planbase100[[#This Row],[05/05/25]])*'Plan 39'!BV92</f>
        <v>1</v>
      </c>
      <c r="DP139" s="127">
        <f>Planbase100[[#This Row],[05/05/25]]+(1-Planbase100[[#This Row],[05/05/25]])*'Plan 39'!BW92</f>
        <v>1</v>
      </c>
      <c r="DQ139" s="127">
        <f>Planbase100[[#This Row],[05/05/25]]+(1-Planbase100[[#This Row],[05/05/25]])*'Plan 39'!BX92</f>
        <v>1</v>
      </c>
      <c r="DR139" s="127">
        <f>Planbase100[[#This Row],[05/05/25]]+(1-Planbase100[[#This Row],[05/05/25]])*'Plan 39'!BY92</f>
        <v>1</v>
      </c>
      <c r="DS139" s="127">
        <f>Planbase100[[#This Row],[05/05/25]]+(1-Planbase100[[#This Row],[05/05/25]])*'Plan 39'!BZ92</f>
        <v>1</v>
      </c>
      <c r="DT139" s="127">
        <f>Planbase100[[#This Row],[05/05/25]]+(1-Planbase100[[#This Row],[05/05/25]])*'Plan 39'!CA92</f>
        <v>1</v>
      </c>
      <c r="DU139" s="127">
        <f>Planbase100[[#This Row],[05/05/25]]+(1-Planbase100[[#This Row],[05/05/25]])*'Plan 39'!CB92</f>
        <v>1</v>
      </c>
      <c r="DV139" s="127">
        <f>Planbase100[[#This Row],[05/05/25]]+(1-Planbase100[[#This Row],[05/05/25]])*'Plan 39'!CC92</f>
        <v>1</v>
      </c>
      <c r="DW139" s="127">
        <f>Planbase100[[#This Row],[05/05/25]]+(1-Planbase100[[#This Row],[05/05/25]])*'Plan 39'!CD92</f>
        <v>1</v>
      </c>
      <c r="DX139" s="127">
        <f>Planbase100[[#This Row],[05/05/25]]+(1-Planbase100[[#This Row],[05/05/25]])*'Plan 39'!CE92</f>
        <v>1</v>
      </c>
      <c r="DY139" s="127">
        <f>Planbase100[[#This Row],[05/05/25]]+(1-Planbase100[[#This Row],[05/05/25]])*'Plan 39'!CF92</f>
        <v>1</v>
      </c>
      <c r="DZ139" s="127">
        <f>Planbase100[[#This Row],[05/05/25]]+(1-Planbase100[[#This Row],[05/05/25]])*'Plan 39'!CG92</f>
        <v>1</v>
      </c>
      <c r="EA139" s="127">
        <f>Planbase100[[#This Row],[05/05/25]]+(1-Planbase100[[#This Row],[05/05/25]])*'Plan 39'!CH92</f>
        <v>1</v>
      </c>
      <c r="EB139" s="127">
        <f>Planbase100[[#This Row],[05/05/25]]+(1-Planbase100[[#This Row],[05/05/25]])*'Plan 39'!CI92</f>
        <v>1</v>
      </c>
      <c r="EC139" s="127">
        <f>Planbase100[[#This Row],[05/05/25]]+(1-Planbase100[[#This Row],[05/05/25]])*'Plan 39'!CJ92</f>
        <v>1</v>
      </c>
      <c r="ED139" s="127">
        <f>Planbase100[[#This Row],[05/05/25]]+(1-Planbase100[[#This Row],[05/05/25]])*'Plan 39'!CK92</f>
        <v>1</v>
      </c>
      <c r="EE139" s="127">
        <f>Planbase100[[#This Row],[05/05/25]]+(1-Planbase100[[#This Row],[05/05/25]])*'Plan 39'!CL92</f>
        <v>1</v>
      </c>
      <c r="EF139" s="127">
        <f>Planbase100[[#This Row],[05/05/25]]+(1-Planbase100[[#This Row],[05/05/25]])*'Plan 39'!CM92</f>
        <v>1</v>
      </c>
      <c r="EG139" s="127">
        <f>Planbase100[[#This Row],[05/05/25]]+(1-Planbase100[[#This Row],[05/05/25]])*'Plan 39'!CN92</f>
        <v>1</v>
      </c>
      <c r="EH139" s="127">
        <f>Planbase100[[#This Row],[05/05/25]]+(1-Planbase100[[#This Row],[05/05/25]])*'Plan 39'!CO92</f>
        <v>1</v>
      </c>
      <c r="EI139" s="127">
        <f>Planbase100[[#This Row],[05/05/25]]+(1-Planbase100[[#This Row],[05/05/25]])*'Plan 39'!CP92</f>
        <v>1</v>
      </c>
    </row>
    <row r="140" spans="2:139" hidden="1" outlineLevel="3" x14ac:dyDescent="0.3">
      <c r="B140" s="56"/>
      <c r="C140" s="57"/>
      <c r="D140" s="57"/>
      <c r="E140" s="58" t="s">
        <v>82</v>
      </c>
      <c r="F140" s="41">
        <v>0</v>
      </c>
      <c r="G140" s="42">
        <v>1E-119</v>
      </c>
      <c r="H140" s="53"/>
      <c r="I140" s="136">
        <v>0</v>
      </c>
      <c r="J140" s="137">
        <v>0</v>
      </c>
      <c r="K140" s="137">
        <v>0</v>
      </c>
      <c r="L140" s="137">
        <v>0</v>
      </c>
      <c r="M140" s="138">
        <v>0</v>
      </c>
      <c r="N140" s="138">
        <v>0</v>
      </c>
      <c r="O140" s="137">
        <v>0</v>
      </c>
      <c r="P140" s="137">
        <v>0</v>
      </c>
      <c r="Q140" s="137">
        <v>0</v>
      </c>
      <c r="R140" s="137">
        <v>0</v>
      </c>
      <c r="S140" s="137">
        <v>0</v>
      </c>
      <c r="T140" s="137">
        <v>0</v>
      </c>
      <c r="U140" s="137">
        <v>0</v>
      </c>
      <c r="V140" s="137">
        <v>0</v>
      </c>
      <c r="W140" s="137">
        <v>0</v>
      </c>
      <c r="X140" s="137">
        <v>0</v>
      </c>
      <c r="Y140" s="137">
        <v>0</v>
      </c>
      <c r="Z140" s="137">
        <v>0</v>
      </c>
      <c r="AA140" s="137">
        <v>0</v>
      </c>
      <c r="AB140" s="137">
        <v>0</v>
      </c>
      <c r="AC140" s="137">
        <v>0</v>
      </c>
      <c r="AD140" s="137">
        <v>0</v>
      </c>
      <c r="AE140" s="137">
        <v>0</v>
      </c>
      <c r="AF140" s="137">
        <v>0</v>
      </c>
      <c r="AG140" s="137">
        <v>0</v>
      </c>
      <c r="AH140" s="137">
        <v>0</v>
      </c>
      <c r="AI140" s="137">
        <v>0</v>
      </c>
      <c r="AJ140" s="137">
        <v>0</v>
      </c>
      <c r="AK140" s="137">
        <v>0</v>
      </c>
      <c r="AL140" s="137">
        <v>0</v>
      </c>
      <c r="AM140" s="137">
        <v>0</v>
      </c>
      <c r="AN140" s="137">
        <v>0</v>
      </c>
      <c r="AO140" s="137">
        <v>0</v>
      </c>
      <c r="AP140" s="137">
        <v>0</v>
      </c>
      <c r="AQ140" s="137">
        <v>0</v>
      </c>
      <c r="AR140" s="137">
        <v>0</v>
      </c>
      <c r="AS140" s="137">
        <v>0</v>
      </c>
      <c r="AT140" s="137">
        <v>0</v>
      </c>
      <c r="AU140" s="137">
        <v>0</v>
      </c>
      <c r="AV140" s="137">
        <v>0</v>
      </c>
      <c r="AW140" s="137">
        <v>0</v>
      </c>
      <c r="AX140" s="137">
        <v>0</v>
      </c>
      <c r="AY140" s="137">
        <v>0</v>
      </c>
      <c r="AZ140" s="137">
        <v>0</v>
      </c>
      <c r="BA140" s="137">
        <v>0</v>
      </c>
      <c r="BB140" s="137">
        <f>Planbase100[[#This Row],[05/05/25]]+(1-Planbase100[[#This Row],[05/05/25]])*'Plan 39'!I92</f>
        <v>0</v>
      </c>
      <c r="BC140" s="137">
        <f>Planbase100[[#This Row],[05/05/25]]+(1-Planbase100[[#This Row],[05/05/25]])*'Plan 39'!J92</f>
        <v>0</v>
      </c>
      <c r="BD140" s="137">
        <f>Planbase100[[#This Row],[05/05/25]]+(1-Planbase100[[#This Row],[05/05/25]])*'Plan 39'!K92</f>
        <v>0</v>
      </c>
      <c r="BE140" s="137">
        <f>Planbase100[[#This Row],[05/05/25]]+(1-Planbase100[[#This Row],[05/05/25]])*'Plan 39'!L92</f>
        <v>0</v>
      </c>
      <c r="BF140" s="137">
        <f>Planbase100[[#This Row],[05/05/25]]+(1-Planbase100[[#This Row],[05/05/25]])*'Plan 39'!M92</f>
        <v>0</v>
      </c>
      <c r="BG140" s="137">
        <f>Planbase100[[#This Row],[05/05/25]]+(1-Planbase100[[#This Row],[05/05/25]])*'Plan 39'!N92</f>
        <v>0</v>
      </c>
      <c r="BH140" s="137">
        <f>Planbase100[[#This Row],[05/05/25]]+(1-Planbase100[[#This Row],[05/05/25]])*'Plan 39'!O92</f>
        <v>0</v>
      </c>
      <c r="BI140" s="137">
        <f>Planbase100[[#This Row],[05/05/25]]+(1-Planbase100[[#This Row],[05/05/25]])*'Plan 39'!P92</f>
        <v>0</v>
      </c>
      <c r="BJ140" s="137">
        <f>Planbase100[[#This Row],[05/05/25]]+(1-Planbase100[[#This Row],[05/05/25]])*'Plan 39'!Q92</f>
        <v>0</v>
      </c>
      <c r="BK140" s="137">
        <f>Planbase100[[#This Row],[05/05/25]]+(1-Planbase100[[#This Row],[05/05/25]])*'Plan 39'!R92</f>
        <v>0</v>
      </c>
      <c r="BL140" s="137">
        <f>Planbase100[[#This Row],[05/05/25]]+(1-Planbase100[[#This Row],[05/05/25]])*'Plan 39'!S92</f>
        <v>0</v>
      </c>
      <c r="BM140" s="137">
        <f>Planbase100[[#This Row],[05/05/25]]+(1-Planbase100[[#This Row],[05/05/25]])*'Plan 39'!T92</f>
        <v>0</v>
      </c>
      <c r="BN140" s="137">
        <f>Planbase100[[#This Row],[05/05/25]]+(1-Planbase100[[#This Row],[05/05/25]])*'Plan 39'!U92</f>
        <v>0</v>
      </c>
      <c r="BO140" s="137">
        <f>Planbase100[[#This Row],[05/05/25]]+(1-Planbase100[[#This Row],[05/05/25]])*'Plan 39'!V92</f>
        <v>0</v>
      </c>
      <c r="BP140" s="137">
        <f>Planbase100[[#This Row],[05/05/25]]+(1-Planbase100[[#This Row],[05/05/25]])*'Plan 39'!W92</f>
        <v>0</v>
      </c>
      <c r="BQ140" s="137">
        <f>Planbase100[[#This Row],[05/05/25]]+(1-Planbase100[[#This Row],[05/05/25]])*'Plan 39'!X92</f>
        <v>0</v>
      </c>
      <c r="BR140" s="137">
        <f>Planbase100[[#This Row],[05/05/25]]+(1-Planbase100[[#This Row],[05/05/25]])*'Plan 39'!Y92</f>
        <v>0</v>
      </c>
      <c r="BS140" s="137">
        <f>Planbase100[[#This Row],[05/05/25]]+(1-Planbase100[[#This Row],[05/05/25]])*'Plan 39'!Z92</f>
        <v>0</v>
      </c>
      <c r="BT140" s="137">
        <f>Planbase100[[#This Row],[05/05/25]]+(1-Planbase100[[#This Row],[05/05/25]])*'Plan 39'!AA92</f>
        <v>0</v>
      </c>
      <c r="BU140" s="137">
        <f>Planbase100[[#This Row],[05/05/25]]+(1-Planbase100[[#This Row],[05/05/25]])*'Plan 39'!AB92</f>
        <v>0</v>
      </c>
      <c r="BV140" s="137">
        <f>Planbase100[[#This Row],[05/05/25]]+(1-Planbase100[[#This Row],[05/05/25]])*'Plan 39'!AC92</f>
        <v>0</v>
      </c>
      <c r="BW140" s="137">
        <f>Planbase100[[#This Row],[05/05/25]]+(1-Planbase100[[#This Row],[05/05/25]])*'Plan 39'!AD92</f>
        <v>0</v>
      </c>
      <c r="BX140" s="137">
        <f>Planbase100[[#This Row],[05/05/25]]+(1-Planbase100[[#This Row],[05/05/25]])*'Plan 39'!AE92</f>
        <v>0</v>
      </c>
      <c r="BY140" s="137">
        <f>Planbase100[[#This Row],[05/05/25]]+(1-Planbase100[[#This Row],[05/05/25]])*'Plan 39'!AF92</f>
        <v>0</v>
      </c>
      <c r="BZ140" s="137">
        <f>Planbase100[[#This Row],[05/05/25]]+(1-Planbase100[[#This Row],[05/05/25]])*'Plan 39'!AG92</f>
        <v>0</v>
      </c>
      <c r="CA140" s="137">
        <f>Planbase100[[#This Row],[05/05/25]]+(1-Planbase100[[#This Row],[05/05/25]])*'Plan 39'!AH92</f>
        <v>0</v>
      </c>
      <c r="CB140" s="137">
        <f>Planbase100[[#This Row],[05/05/25]]+(1-Planbase100[[#This Row],[05/05/25]])*'Plan 39'!AI92</f>
        <v>0</v>
      </c>
      <c r="CC140" s="137">
        <f>Planbase100[[#This Row],[05/05/25]]+(1-Planbase100[[#This Row],[05/05/25]])*'Plan 39'!AJ92</f>
        <v>0</v>
      </c>
      <c r="CD140" s="137">
        <f>Planbase100[[#This Row],[05/05/25]]+(1-Planbase100[[#This Row],[05/05/25]])*'Plan 39'!AK92</f>
        <v>0</v>
      </c>
      <c r="CE140" s="137">
        <f>Planbase100[[#This Row],[05/05/25]]+(1-Planbase100[[#This Row],[05/05/25]])*'Plan 39'!AL92</f>
        <v>0</v>
      </c>
      <c r="CF140" s="137">
        <f>Planbase100[[#This Row],[05/05/25]]+(1-Planbase100[[#This Row],[05/05/25]])*'Plan 39'!AM92</f>
        <v>0</v>
      </c>
      <c r="CG140" s="173">
        <f>Planbase100[[#This Row],[05/05/25]]+(1-Planbase100[[#This Row],[05/05/25]])*'Plan 39'!AN92</f>
        <v>0</v>
      </c>
      <c r="CH140" s="173">
        <f>Planbase100[[#This Row],[05/05/25]]+(1-Planbase100[[#This Row],[05/05/25]])*'Plan 39'!AO92</f>
        <v>0</v>
      </c>
      <c r="CI140" s="173">
        <f>Planbase100[[#This Row],[05/05/25]]+(1-Planbase100[[#This Row],[05/05/25]])*'Plan 39'!AP92</f>
        <v>1</v>
      </c>
      <c r="CJ140" s="173">
        <f>Planbase100[[#This Row],[05/05/25]]+(1-Planbase100[[#This Row],[05/05/25]])*'Plan 39'!AQ92</f>
        <v>1</v>
      </c>
      <c r="CK140" s="173">
        <f>Planbase100[[#This Row],[05/05/25]]+(1-Planbase100[[#This Row],[05/05/25]])*'Plan 39'!AR92</f>
        <v>1</v>
      </c>
      <c r="CL140" s="173">
        <f>Planbase100[[#This Row],[05/05/25]]+(1-Planbase100[[#This Row],[05/05/25]])*'Plan 39'!AS92</f>
        <v>1</v>
      </c>
      <c r="CM140" s="173">
        <f>Planbase100[[#This Row],[05/05/25]]+(1-Planbase100[[#This Row],[05/05/25]])*'Plan 39'!AT92</f>
        <v>1</v>
      </c>
      <c r="CN140" s="173">
        <f>Planbase100[[#This Row],[05/05/25]]+(1-Planbase100[[#This Row],[05/05/25]])*'Plan 39'!AU92</f>
        <v>1</v>
      </c>
      <c r="CO140" s="173">
        <f>Planbase100[[#This Row],[05/05/25]]+(1-Planbase100[[#This Row],[05/05/25]])*'Plan 39'!AV92</f>
        <v>1</v>
      </c>
      <c r="CP140" s="173">
        <f>Planbase100[[#This Row],[05/05/25]]+(1-Planbase100[[#This Row],[05/05/25]])*'Plan 39'!AW92</f>
        <v>1</v>
      </c>
      <c r="CQ140" s="173">
        <f>Planbase100[[#This Row],[05/05/25]]+(1-Planbase100[[#This Row],[05/05/25]])*'Plan 39'!AX92</f>
        <v>1</v>
      </c>
      <c r="CR140" s="173">
        <f>Planbase100[[#This Row],[05/05/25]]+(1-Planbase100[[#This Row],[05/05/25]])*'Plan 39'!AY92</f>
        <v>1</v>
      </c>
      <c r="CS140" s="173">
        <f>Planbase100[[#This Row],[05/05/25]]+(1-Planbase100[[#This Row],[05/05/25]])*'Plan 39'!AZ92</f>
        <v>1</v>
      </c>
      <c r="CT140" s="173">
        <f>Planbase100[[#This Row],[05/05/25]]+(1-Planbase100[[#This Row],[05/05/25]])*'Plan 39'!BA92</f>
        <v>1</v>
      </c>
      <c r="CU140" s="173">
        <f>Planbase100[[#This Row],[05/05/25]]+(1-Planbase100[[#This Row],[05/05/25]])*'Plan 39'!BB92</f>
        <v>1</v>
      </c>
      <c r="CV140" s="173">
        <f>Planbase100[[#This Row],[05/05/25]]+(1-Planbase100[[#This Row],[05/05/25]])*'Plan 39'!BC92</f>
        <v>1</v>
      </c>
      <c r="CW140" s="173">
        <f>Planbase100[[#This Row],[05/05/25]]+(1-Planbase100[[#This Row],[05/05/25]])*'Plan 39'!BD92</f>
        <v>1</v>
      </c>
      <c r="CX140" s="173">
        <f>Planbase100[[#This Row],[05/05/25]]+(1-Planbase100[[#This Row],[05/05/25]])*'Plan 39'!BE92</f>
        <v>1</v>
      </c>
      <c r="CY140" s="173">
        <f>Planbase100[[#This Row],[05/05/25]]+(1-Planbase100[[#This Row],[05/05/25]])*'Plan 39'!BF92</f>
        <v>1</v>
      </c>
      <c r="CZ140" s="173">
        <f>Planbase100[[#This Row],[05/05/25]]+(1-Planbase100[[#This Row],[05/05/25]])*'Plan 39'!BG92</f>
        <v>1</v>
      </c>
      <c r="DA140" s="173">
        <f>Planbase100[[#This Row],[05/05/25]]+(1-Planbase100[[#This Row],[05/05/25]])*'Plan 39'!BH92</f>
        <v>1</v>
      </c>
      <c r="DB140" s="173">
        <f>Planbase100[[#This Row],[05/05/25]]+(1-Planbase100[[#This Row],[05/05/25]])*'Plan 39'!BI92</f>
        <v>1</v>
      </c>
      <c r="DC140" s="173">
        <f>Planbase100[[#This Row],[05/05/25]]+(1-Planbase100[[#This Row],[05/05/25]])*'Plan 39'!BJ92</f>
        <v>1</v>
      </c>
      <c r="DD140" s="173">
        <f>Planbase100[[#This Row],[05/05/25]]+(1-Planbase100[[#This Row],[05/05/25]])*'Plan 39'!BK92</f>
        <v>1</v>
      </c>
      <c r="DE140" s="173">
        <f>Planbase100[[#This Row],[05/05/25]]+(1-Planbase100[[#This Row],[05/05/25]])*'Plan 39'!BL92</f>
        <v>1</v>
      </c>
      <c r="DF140" s="173">
        <f>Planbase100[[#This Row],[05/05/25]]+(1-Planbase100[[#This Row],[05/05/25]])*'Plan 39'!BM92</f>
        <v>1</v>
      </c>
      <c r="DG140" s="173">
        <f>Planbase100[[#This Row],[05/05/25]]+(1-Planbase100[[#This Row],[05/05/25]])*'Plan 39'!BN92</f>
        <v>1</v>
      </c>
      <c r="DH140" s="173">
        <f>Planbase100[[#This Row],[05/05/25]]+(1-Planbase100[[#This Row],[05/05/25]])*'Plan 39'!BO92</f>
        <v>1</v>
      </c>
      <c r="DI140" s="173">
        <f>Planbase100[[#This Row],[05/05/25]]+(1-Planbase100[[#This Row],[05/05/25]])*'Plan 39'!BP92</f>
        <v>1</v>
      </c>
      <c r="DJ140" s="173">
        <f>Planbase100[[#This Row],[05/05/25]]+(1-Planbase100[[#This Row],[05/05/25]])*'Plan 39'!BQ92</f>
        <v>1</v>
      </c>
      <c r="DK140" s="173">
        <f>Planbase100[[#This Row],[05/05/25]]+(1-Planbase100[[#This Row],[05/05/25]])*'Plan 39'!BR92</f>
        <v>1</v>
      </c>
      <c r="DL140" s="173">
        <f>Planbase100[[#This Row],[05/05/25]]+(1-Planbase100[[#This Row],[05/05/25]])*'Plan 39'!BS92</f>
        <v>1</v>
      </c>
      <c r="DM140" s="173">
        <f>Planbase100[[#This Row],[05/05/25]]+(1-Planbase100[[#This Row],[05/05/25]])*'Plan 39'!BT92</f>
        <v>1</v>
      </c>
      <c r="DN140" s="173">
        <f>Planbase100[[#This Row],[05/05/25]]+(1-Planbase100[[#This Row],[05/05/25]])*'Plan 39'!BU92</f>
        <v>1</v>
      </c>
      <c r="DO140" s="173">
        <f>Planbase100[[#This Row],[05/05/25]]+(1-Planbase100[[#This Row],[05/05/25]])*'Plan 39'!BV92</f>
        <v>1</v>
      </c>
      <c r="DP140" s="173">
        <f>Planbase100[[#This Row],[05/05/25]]+(1-Planbase100[[#This Row],[05/05/25]])*'Plan 39'!BW92</f>
        <v>1</v>
      </c>
      <c r="DQ140" s="173">
        <f>Planbase100[[#This Row],[05/05/25]]+(1-Planbase100[[#This Row],[05/05/25]])*'Plan 39'!BX92</f>
        <v>1</v>
      </c>
      <c r="DR140" s="173">
        <f>Planbase100[[#This Row],[05/05/25]]+(1-Planbase100[[#This Row],[05/05/25]])*'Plan 39'!BY92</f>
        <v>1</v>
      </c>
      <c r="DS140" s="173">
        <f>Planbase100[[#This Row],[05/05/25]]+(1-Planbase100[[#This Row],[05/05/25]])*'Plan 39'!BZ92</f>
        <v>1</v>
      </c>
      <c r="DT140" s="173">
        <f>Planbase100[[#This Row],[05/05/25]]+(1-Planbase100[[#This Row],[05/05/25]])*'Plan 39'!CA92</f>
        <v>1</v>
      </c>
      <c r="DU140" s="173">
        <f>Planbase100[[#This Row],[05/05/25]]+(1-Planbase100[[#This Row],[05/05/25]])*'Plan 39'!CB92</f>
        <v>1</v>
      </c>
      <c r="DV140" s="173">
        <f>Planbase100[[#This Row],[05/05/25]]+(1-Planbase100[[#This Row],[05/05/25]])*'Plan 39'!CC92</f>
        <v>1</v>
      </c>
      <c r="DW140" s="173">
        <f>Planbase100[[#This Row],[05/05/25]]+(1-Planbase100[[#This Row],[05/05/25]])*'Plan 39'!CD92</f>
        <v>1</v>
      </c>
      <c r="DX140" s="173">
        <f>Planbase100[[#This Row],[05/05/25]]+(1-Planbase100[[#This Row],[05/05/25]])*'Plan 39'!CE92</f>
        <v>1</v>
      </c>
      <c r="DY140" s="173">
        <f>Planbase100[[#This Row],[05/05/25]]+(1-Planbase100[[#This Row],[05/05/25]])*'Plan 39'!CF92</f>
        <v>1</v>
      </c>
      <c r="DZ140" s="173">
        <f>Planbase100[[#This Row],[05/05/25]]+(1-Planbase100[[#This Row],[05/05/25]])*'Plan 39'!CG92</f>
        <v>1</v>
      </c>
      <c r="EA140" s="173">
        <f>Planbase100[[#This Row],[05/05/25]]+(1-Planbase100[[#This Row],[05/05/25]])*'Plan 39'!CH92</f>
        <v>1</v>
      </c>
      <c r="EB140" s="173">
        <f>Planbase100[[#This Row],[05/05/25]]+(1-Planbase100[[#This Row],[05/05/25]])*'Plan 39'!CI92</f>
        <v>1</v>
      </c>
      <c r="EC140" s="173">
        <f>Planbase100[[#This Row],[05/05/25]]+(1-Planbase100[[#This Row],[05/05/25]])*'Plan 39'!CJ92</f>
        <v>1</v>
      </c>
      <c r="ED140" s="173">
        <f>Planbase100[[#This Row],[05/05/25]]+(1-Planbase100[[#This Row],[05/05/25]])*'Plan 39'!CK92</f>
        <v>1</v>
      </c>
      <c r="EE140" s="173">
        <f>Planbase100[[#This Row],[05/05/25]]+(1-Planbase100[[#This Row],[05/05/25]])*'Plan 39'!CL92</f>
        <v>1</v>
      </c>
      <c r="EF140" s="173">
        <f>Planbase100[[#This Row],[05/05/25]]+(1-Planbase100[[#This Row],[05/05/25]])*'Plan 39'!CM92</f>
        <v>1</v>
      </c>
      <c r="EG140" s="173">
        <f>Planbase100[[#This Row],[05/05/25]]+(1-Planbase100[[#This Row],[05/05/25]])*'Plan 39'!CN92</f>
        <v>1</v>
      </c>
      <c r="EH140" s="173">
        <f>Planbase100[[#This Row],[05/05/25]]+(1-Planbase100[[#This Row],[05/05/25]])*'Plan 39'!CO92</f>
        <v>1</v>
      </c>
      <c r="EI140" s="173">
        <f>Planbase100[[#This Row],[05/05/25]]+(1-Planbase100[[#This Row],[05/05/25]])*'Plan 39'!CP92</f>
        <v>1</v>
      </c>
    </row>
    <row r="141" spans="2:139" x14ac:dyDescent="0.3">
      <c r="I141" s="39"/>
    </row>
    <row r="142" spans="2:139" collapsed="1" x14ac:dyDescent="0.3">
      <c r="B142" s="446" t="s">
        <v>448</v>
      </c>
      <c r="C142" s="446"/>
      <c r="D142" s="446"/>
      <c r="E142" s="446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  <c r="AA142" s="325"/>
      <c r="AB142" s="325"/>
      <c r="AC142" s="325"/>
      <c r="AD142" s="325"/>
      <c r="AE142" s="325"/>
      <c r="AF142" s="325"/>
      <c r="AG142" s="325"/>
      <c r="AH142" s="325"/>
      <c r="AI142" s="325"/>
      <c r="AJ142" s="325"/>
      <c r="AK142" s="325"/>
      <c r="AL142" s="325"/>
      <c r="AM142" s="325"/>
      <c r="AN142" s="325"/>
      <c r="AO142" s="325"/>
      <c r="AP142" s="325"/>
      <c r="AQ142" s="325"/>
      <c r="AR142" s="325"/>
      <c r="AS142" s="325"/>
      <c r="AT142" s="325"/>
      <c r="AU142" s="325"/>
      <c r="AV142" s="325"/>
      <c r="AW142" s="325"/>
      <c r="AX142" s="325"/>
      <c r="AY142" s="325"/>
      <c r="AZ142" s="325"/>
      <c r="BA142" s="325"/>
      <c r="BB142" s="325"/>
      <c r="BC142" s="325"/>
      <c r="BD142" s="325"/>
      <c r="BE142" s="325"/>
      <c r="BF142" s="325"/>
      <c r="BG142" s="325"/>
      <c r="BH142" s="325"/>
      <c r="BI142" s="325"/>
      <c r="BJ142" s="325"/>
      <c r="BK142" s="325"/>
      <c r="BL142" s="325"/>
      <c r="BM142" s="325"/>
      <c r="BN142" s="325"/>
      <c r="BO142" s="325"/>
      <c r="BP142" s="325"/>
      <c r="BQ142" s="325"/>
      <c r="BR142" s="325"/>
      <c r="BS142" s="325"/>
      <c r="BT142" s="325"/>
      <c r="BU142" s="325"/>
      <c r="BV142" s="325"/>
      <c r="BW142" s="325"/>
      <c r="BX142" s="325"/>
      <c r="BY142" s="325"/>
      <c r="BZ142" s="325"/>
      <c r="CA142" s="325"/>
      <c r="CB142" s="325"/>
      <c r="CC142" s="325"/>
      <c r="CD142" s="325"/>
      <c r="CE142" s="325"/>
      <c r="CF142" s="325"/>
      <c r="CG142" s="325"/>
      <c r="CH142" s="325"/>
      <c r="CI142" s="325"/>
      <c r="CJ142" s="325"/>
      <c r="CK142" s="325"/>
      <c r="CL142" s="325"/>
      <c r="CM142" s="325"/>
      <c r="CN142" s="325"/>
      <c r="CO142" s="325"/>
      <c r="CP142" s="325"/>
      <c r="CQ142" s="325"/>
      <c r="CR142" s="325"/>
      <c r="CS142" s="325"/>
      <c r="CT142" s="325"/>
      <c r="CU142" s="325"/>
      <c r="CV142" s="325"/>
      <c r="CW142" s="325"/>
      <c r="CX142" s="325"/>
      <c r="CY142" s="325"/>
      <c r="CZ142" s="325"/>
      <c r="DA142" s="325"/>
      <c r="DB142" s="325"/>
      <c r="DC142" s="325"/>
      <c r="DD142" s="325"/>
      <c r="DE142" s="325"/>
      <c r="DF142" s="325"/>
      <c r="DG142" s="325"/>
      <c r="DH142" s="325"/>
      <c r="DI142" s="325"/>
      <c r="DJ142" s="325"/>
      <c r="DK142" s="325"/>
      <c r="DL142" s="325"/>
      <c r="DM142" s="325"/>
      <c r="DN142" s="325"/>
      <c r="DO142" s="325"/>
      <c r="DP142" s="325"/>
      <c r="DQ142" s="325"/>
      <c r="DR142" s="325"/>
      <c r="DS142" s="325"/>
      <c r="DT142" s="325"/>
      <c r="DU142" s="325"/>
      <c r="DV142" s="325"/>
      <c r="DW142" s="325"/>
      <c r="DX142" s="325"/>
      <c r="DY142" s="325"/>
      <c r="DZ142" s="325"/>
      <c r="EA142" s="325"/>
      <c r="EB142" s="325"/>
      <c r="EC142" s="325"/>
      <c r="ED142" s="325"/>
      <c r="EE142" s="325"/>
      <c r="EF142" s="325"/>
      <c r="EG142" s="325"/>
      <c r="EH142" s="325"/>
      <c r="EI142" s="325"/>
    </row>
    <row r="143" spans="2:139" hidden="1" outlineLevel="1" x14ac:dyDescent="0.3">
      <c r="B143" s="317" t="s">
        <v>441</v>
      </c>
      <c r="C143" s="317"/>
      <c r="D143" s="317"/>
      <c r="E143" s="317"/>
      <c r="F143" s="317"/>
      <c r="G143" s="317"/>
      <c r="H143" s="317"/>
      <c r="I143" s="335">
        <f t="shared" ref="I143:AN143" si="415">IF(MOD(I4-$I$4,14)=0, I5, "")</f>
        <v>8.7813632965295718E-5</v>
      </c>
      <c r="J143" s="335" t="str">
        <f t="shared" si="415"/>
        <v/>
      </c>
      <c r="K143" s="335">
        <f t="shared" si="415"/>
        <v>1.3453056290573008E-3</v>
      </c>
      <c r="L143" s="335" t="str">
        <f t="shared" si="415"/>
        <v/>
      </c>
      <c r="M143" s="335">
        <f t="shared" si="415"/>
        <v>4.1585334948187752E-3</v>
      </c>
      <c r="N143" s="335" t="str">
        <f t="shared" si="415"/>
        <v/>
      </c>
      <c r="O143" s="335">
        <f t="shared" si="415"/>
        <v>1.8234166299858048E-2</v>
      </c>
      <c r="P143" s="335" t="str">
        <f t="shared" si="415"/>
        <v/>
      </c>
      <c r="Q143" s="335">
        <f t="shared" si="415"/>
        <v>6.4491758140071215E-2</v>
      </c>
      <c r="R143" s="335" t="str">
        <f t="shared" si="415"/>
        <v/>
      </c>
      <c r="S143" s="335">
        <f t="shared" si="415"/>
        <v>0.1146234467659399</v>
      </c>
      <c r="T143" s="335" t="str">
        <f t="shared" si="415"/>
        <v/>
      </c>
      <c r="U143" s="335">
        <f t="shared" si="415"/>
        <v>0.13918839051965826</v>
      </c>
      <c r="V143" s="335" t="str">
        <f t="shared" si="415"/>
        <v/>
      </c>
      <c r="W143" s="335">
        <f t="shared" si="415"/>
        <v>0.16313526936210079</v>
      </c>
      <c r="X143" s="335" t="str">
        <f t="shared" si="415"/>
        <v/>
      </c>
      <c r="Y143" s="335">
        <f t="shared" si="415"/>
        <v>0.20244558590632325</v>
      </c>
      <c r="Z143" s="335" t="str">
        <f t="shared" si="415"/>
        <v/>
      </c>
      <c r="AA143" s="335">
        <f t="shared" si="415"/>
        <v>0.26643267561223716</v>
      </c>
      <c r="AB143" s="335" t="str">
        <f t="shared" si="415"/>
        <v/>
      </c>
      <c r="AC143" s="335">
        <f t="shared" si="415"/>
        <v>0.3129128908072582</v>
      </c>
      <c r="AD143" s="335" t="str">
        <f t="shared" si="415"/>
        <v/>
      </c>
      <c r="AE143" s="335">
        <f t="shared" si="415"/>
        <v>0.35521971985243211</v>
      </c>
      <c r="AF143" s="335" t="str">
        <f t="shared" si="415"/>
        <v/>
      </c>
      <c r="AG143" s="335">
        <f t="shared" si="415"/>
        <v>0.39055046494770779</v>
      </c>
      <c r="AH143" s="335" t="str">
        <f t="shared" si="415"/>
        <v/>
      </c>
      <c r="AI143" s="335">
        <f t="shared" si="415"/>
        <v>0.40022233281096736</v>
      </c>
      <c r="AJ143" s="335" t="str">
        <f t="shared" si="415"/>
        <v/>
      </c>
      <c r="AK143" s="335">
        <f t="shared" si="415"/>
        <v>0.40517273761708056</v>
      </c>
      <c r="AL143" s="335" t="str">
        <f t="shared" si="415"/>
        <v/>
      </c>
      <c r="AM143" s="335">
        <f t="shared" si="415"/>
        <v>0.42172392947076015</v>
      </c>
      <c r="AN143" s="335" t="str">
        <f t="shared" si="415"/>
        <v/>
      </c>
      <c r="AO143" s="335">
        <f t="shared" ref="AO143:BT143" si="416">IF(MOD(AO4-$I$4,14)=0, AO5, "")</f>
        <v>0.44850107513083781</v>
      </c>
      <c r="AP143" s="335" t="str">
        <f t="shared" si="416"/>
        <v/>
      </c>
      <c r="AQ143" s="335">
        <f t="shared" si="416"/>
        <v>0.48557969288829339</v>
      </c>
      <c r="AR143" s="335" t="str">
        <f t="shared" si="416"/>
        <v/>
      </c>
      <c r="AS143" s="335">
        <f t="shared" si="416"/>
        <v>0.50402420656869551</v>
      </c>
      <c r="AT143" s="335" t="str">
        <f t="shared" si="416"/>
        <v/>
      </c>
      <c r="AU143" s="335">
        <f t="shared" si="416"/>
        <v>0.53319567765529641</v>
      </c>
      <c r="AV143" s="335" t="str">
        <f t="shared" si="416"/>
        <v/>
      </c>
      <c r="AW143" s="335">
        <f t="shared" si="416"/>
        <v>0.55384079721710877</v>
      </c>
      <c r="AX143" s="335" t="str">
        <f t="shared" si="416"/>
        <v/>
      </c>
      <c r="AY143" s="335">
        <f t="shared" si="416"/>
        <v>0.5678734066993717</v>
      </c>
      <c r="AZ143" s="335" t="str">
        <f t="shared" si="416"/>
        <v/>
      </c>
      <c r="BA143" s="335">
        <f t="shared" si="416"/>
        <v>0.59171744695428674</v>
      </c>
      <c r="BB143" s="335" t="str">
        <f t="shared" si="416"/>
        <v/>
      </c>
      <c r="BC143" s="335">
        <f t="shared" si="416"/>
        <v>0.60399272726556053</v>
      </c>
      <c r="BD143" s="335" t="str">
        <f t="shared" si="416"/>
        <v/>
      </c>
      <c r="BE143" s="335">
        <f t="shared" si="416"/>
        <v>0.62059980576921137</v>
      </c>
      <c r="BF143" s="335" t="str">
        <f t="shared" si="416"/>
        <v/>
      </c>
      <c r="BG143" s="335">
        <f t="shared" si="416"/>
        <v>0.63879943816024209</v>
      </c>
      <c r="BH143" s="335" t="str">
        <f t="shared" si="416"/>
        <v/>
      </c>
      <c r="BI143" s="335">
        <f t="shared" si="416"/>
        <v>0.65394168971494349</v>
      </c>
      <c r="BJ143" s="335" t="str">
        <f t="shared" si="416"/>
        <v/>
      </c>
      <c r="BK143" s="335">
        <f t="shared" si="416"/>
        <v>0.67052045482174694</v>
      </c>
      <c r="BL143" s="335" t="str">
        <f t="shared" si="416"/>
        <v/>
      </c>
      <c r="BM143" s="335">
        <f t="shared" si="416"/>
        <v>0.68857823412373698</v>
      </c>
      <c r="BN143" s="335" t="str">
        <f t="shared" si="416"/>
        <v/>
      </c>
      <c r="BO143" s="335">
        <f t="shared" si="416"/>
        <v>0.70682330581369746</v>
      </c>
      <c r="BP143" s="335" t="str">
        <f t="shared" si="416"/>
        <v/>
      </c>
      <c r="BQ143" s="335">
        <f t="shared" si="416"/>
        <v>0.7282931852009088</v>
      </c>
      <c r="BR143" s="335" t="str">
        <f t="shared" si="416"/>
        <v/>
      </c>
      <c r="BS143" s="335">
        <f t="shared" si="416"/>
        <v>0.75438991044151926</v>
      </c>
      <c r="BT143" s="335" t="str">
        <f t="shared" si="416"/>
        <v/>
      </c>
      <c r="BU143" s="335">
        <f t="shared" ref="BU143:DE143" si="417">IF(MOD(BU4-$I$4,14)=0, BU5, "")</f>
        <v>0.78655528575921563</v>
      </c>
      <c r="BV143" s="335" t="str">
        <f t="shared" si="417"/>
        <v/>
      </c>
      <c r="BW143" s="335">
        <f t="shared" si="417"/>
        <v>0.82645788965959466</v>
      </c>
      <c r="BX143" s="335" t="str">
        <f t="shared" si="417"/>
        <v/>
      </c>
      <c r="BY143" s="335">
        <f t="shared" si="417"/>
        <v>0.87029231351431213</v>
      </c>
      <c r="BZ143" s="335" t="str">
        <f t="shared" si="417"/>
        <v/>
      </c>
      <c r="CA143" s="335">
        <f t="shared" si="417"/>
        <v>0.91469055529594789</v>
      </c>
      <c r="CB143" s="335" t="str">
        <f t="shared" si="417"/>
        <v/>
      </c>
      <c r="CC143" s="335">
        <f t="shared" si="417"/>
        <v>0.94705739830421887</v>
      </c>
      <c r="CD143" s="335" t="str">
        <f t="shared" si="417"/>
        <v/>
      </c>
      <c r="CE143" s="335">
        <f t="shared" si="417"/>
        <v>0.96620757018969616</v>
      </c>
      <c r="CF143" s="335" t="str">
        <f t="shared" si="417"/>
        <v/>
      </c>
      <c r="CG143" s="335">
        <f t="shared" si="417"/>
        <v>0.98882308336905866</v>
      </c>
      <c r="CH143" s="335" t="str">
        <f t="shared" si="417"/>
        <v/>
      </c>
      <c r="CI143" s="335">
        <f t="shared" si="417"/>
        <v>0.99999999999999978</v>
      </c>
      <c r="CJ143" s="335" t="str">
        <f t="shared" si="417"/>
        <v/>
      </c>
      <c r="CK143" s="335">
        <f t="shared" si="417"/>
        <v>0.99999999999999978</v>
      </c>
      <c r="CL143" s="335" t="str">
        <f t="shared" si="417"/>
        <v/>
      </c>
      <c r="CM143" s="335">
        <f t="shared" si="417"/>
        <v>0.99999999999999978</v>
      </c>
      <c r="CN143" s="335" t="str">
        <f t="shared" si="417"/>
        <v/>
      </c>
      <c r="CO143" s="335">
        <f t="shared" si="417"/>
        <v>0.99999999999999978</v>
      </c>
      <c r="CP143" s="335" t="str">
        <f t="shared" si="417"/>
        <v/>
      </c>
      <c r="CQ143" s="335">
        <f t="shared" si="417"/>
        <v>0.99999999999999978</v>
      </c>
      <c r="CR143" s="335" t="str">
        <f t="shared" si="417"/>
        <v/>
      </c>
      <c r="CS143" s="335">
        <f t="shared" si="417"/>
        <v>0.99999999999999978</v>
      </c>
      <c r="CT143" s="335" t="str">
        <f t="shared" si="417"/>
        <v/>
      </c>
      <c r="CU143" s="335">
        <f t="shared" si="417"/>
        <v>0.99999999999999978</v>
      </c>
      <c r="CV143" s="335" t="str">
        <f t="shared" si="417"/>
        <v/>
      </c>
      <c r="CW143" s="335">
        <f t="shared" si="417"/>
        <v>0.99999999999999978</v>
      </c>
      <c r="CX143" s="335" t="str">
        <f t="shared" si="417"/>
        <v/>
      </c>
      <c r="CY143" s="335">
        <f t="shared" si="417"/>
        <v>0.99999999999999978</v>
      </c>
      <c r="CZ143" s="335" t="str">
        <f t="shared" si="417"/>
        <v/>
      </c>
      <c r="DA143" s="335">
        <f t="shared" si="417"/>
        <v>0.99999999999999978</v>
      </c>
      <c r="DB143" s="335" t="str">
        <f t="shared" si="417"/>
        <v/>
      </c>
      <c r="DC143" s="335">
        <f t="shared" si="417"/>
        <v>0.99999999999999978</v>
      </c>
      <c r="DD143" s="335" t="str">
        <f t="shared" si="417"/>
        <v/>
      </c>
      <c r="DE143" s="335">
        <f t="shared" si="417"/>
        <v>0.99999999999999978</v>
      </c>
      <c r="DF143" s="335" t="str">
        <f t="shared" ref="DF143:EI143" si="418">IF(MOD(DF4-$I$4,14)=0, DF5, "")</f>
        <v/>
      </c>
      <c r="DG143" s="335">
        <f t="shared" si="418"/>
        <v>0.99999999999999978</v>
      </c>
      <c r="DH143" s="335" t="str">
        <f t="shared" si="418"/>
        <v/>
      </c>
      <c r="DI143" s="335">
        <f t="shared" si="418"/>
        <v>0.99999999999999978</v>
      </c>
      <c r="DJ143" s="335" t="str">
        <f t="shared" si="418"/>
        <v/>
      </c>
      <c r="DK143" s="335">
        <f t="shared" si="418"/>
        <v>0.99999999999999978</v>
      </c>
      <c r="DL143" s="335" t="str">
        <f t="shared" si="418"/>
        <v/>
      </c>
      <c r="DM143" s="335">
        <f t="shared" si="418"/>
        <v>0.99999999999999978</v>
      </c>
      <c r="DN143" s="335" t="str">
        <f t="shared" si="418"/>
        <v/>
      </c>
      <c r="DO143" s="335">
        <f t="shared" si="418"/>
        <v>0.99999999999999978</v>
      </c>
      <c r="DP143" s="335" t="str">
        <f t="shared" si="418"/>
        <v/>
      </c>
      <c r="DQ143" s="335">
        <f t="shared" si="418"/>
        <v>0.99999999999999978</v>
      </c>
      <c r="DR143" s="335" t="str">
        <f t="shared" si="418"/>
        <v/>
      </c>
      <c r="DS143" s="335">
        <f t="shared" si="418"/>
        <v>0.99999999999999978</v>
      </c>
      <c r="DT143" s="335" t="str">
        <f t="shared" si="418"/>
        <v/>
      </c>
      <c r="DU143" s="335">
        <f t="shared" si="418"/>
        <v>0.99999999999999978</v>
      </c>
      <c r="DV143" s="335" t="str">
        <f t="shared" si="418"/>
        <v/>
      </c>
      <c r="DW143" s="335">
        <f t="shared" si="418"/>
        <v>0.99999999999999978</v>
      </c>
      <c r="DX143" s="335" t="str">
        <f t="shared" si="418"/>
        <v/>
      </c>
      <c r="DY143" s="335">
        <f t="shared" si="418"/>
        <v>0.99999999999999978</v>
      </c>
      <c r="DZ143" s="335" t="str">
        <f t="shared" si="418"/>
        <v/>
      </c>
      <c r="EA143" s="335">
        <f t="shared" si="418"/>
        <v>0.99999999999999978</v>
      </c>
      <c r="EB143" s="335" t="str">
        <f t="shared" si="418"/>
        <v/>
      </c>
      <c r="EC143" s="335">
        <f t="shared" si="418"/>
        <v>0.99999999999999978</v>
      </c>
      <c r="ED143" s="335" t="str">
        <f t="shared" si="418"/>
        <v/>
      </c>
      <c r="EE143" s="335">
        <f t="shared" si="418"/>
        <v>0.99999999999999978</v>
      </c>
      <c r="EF143" s="335" t="str">
        <f t="shared" si="418"/>
        <v/>
      </c>
      <c r="EG143" s="335">
        <f t="shared" si="418"/>
        <v>0.99999999999999978</v>
      </c>
      <c r="EH143" s="335" t="str">
        <f t="shared" si="418"/>
        <v/>
      </c>
      <c r="EI143" s="335">
        <f t="shared" si="418"/>
        <v>0.99999999999999978</v>
      </c>
    </row>
    <row r="144" spans="2:139" hidden="1" outlineLevel="1" x14ac:dyDescent="0.3">
      <c r="B144" s="317" t="s">
        <v>442</v>
      </c>
      <c r="C144" s="317"/>
      <c r="D144" s="317"/>
      <c r="E144" s="317"/>
      <c r="F144" s="317"/>
      <c r="G144" s="317"/>
      <c r="H144" s="317"/>
      <c r="I144" s="335">
        <f t="shared" ref="I144:AN144" si="419">IF(MOD(I4-$I$4,28)=0, I5, "")</f>
        <v>8.7813632965295718E-5</v>
      </c>
      <c r="J144" s="335" t="str">
        <f t="shared" si="419"/>
        <v/>
      </c>
      <c r="K144" s="335" t="str">
        <f t="shared" si="419"/>
        <v/>
      </c>
      <c r="L144" s="335" t="str">
        <f t="shared" si="419"/>
        <v/>
      </c>
      <c r="M144" s="335">
        <f t="shared" si="419"/>
        <v>4.1585334948187752E-3</v>
      </c>
      <c r="N144" s="335" t="str">
        <f t="shared" si="419"/>
        <v/>
      </c>
      <c r="O144" s="335" t="str">
        <f t="shared" si="419"/>
        <v/>
      </c>
      <c r="P144" s="335" t="str">
        <f t="shared" si="419"/>
        <v/>
      </c>
      <c r="Q144" s="335">
        <f t="shared" si="419"/>
        <v>6.4491758140071215E-2</v>
      </c>
      <c r="R144" s="335" t="str">
        <f t="shared" si="419"/>
        <v/>
      </c>
      <c r="S144" s="335" t="str">
        <f t="shared" si="419"/>
        <v/>
      </c>
      <c r="T144" s="335" t="str">
        <f t="shared" si="419"/>
        <v/>
      </c>
      <c r="U144" s="335">
        <f t="shared" si="419"/>
        <v>0.13918839051965826</v>
      </c>
      <c r="V144" s="335" t="str">
        <f t="shared" si="419"/>
        <v/>
      </c>
      <c r="W144" s="335" t="str">
        <f t="shared" si="419"/>
        <v/>
      </c>
      <c r="X144" s="335" t="str">
        <f t="shared" si="419"/>
        <v/>
      </c>
      <c r="Y144" s="335">
        <f t="shared" si="419"/>
        <v>0.20244558590632325</v>
      </c>
      <c r="Z144" s="335" t="str">
        <f t="shared" si="419"/>
        <v/>
      </c>
      <c r="AA144" s="335" t="str">
        <f t="shared" si="419"/>
        <v/>
      </c>
      <c r="AB144" s="335" t="str">
        <f t="shared" si="419"/>
        <v/>
      </c>
      <c r="AC144" s="335">
        <f t="shared" si="419"/>
        <v>0.3129128908072582</v>
      </c>
      <c r="AD144" s="335" t="str">
        <f t="shared" si="419"/>
        <v/>
      </c>
      <c r="AE144" s="335" t="str">
        <f t="shared" si="419"/>
        <v/>
      </c>
      <c r="AF144" s="335" t="str">
        <f t="shared" si="419"/>
        <v/>
      </c>
      <c r="AG144" s="335">
        <f t="shared" si="419"/>
        <v>0.39055046494770779</v>
      </c>
      <c r="AH144" s="335" t="str">
        <f t="shared" si="419"/>
        <v/>
      </c>
      <c r="AI144" s="335" t="str">
        <f t="shared" si="419"/>
        <v/>
      </c>
      <c r="AJ144" s="335" t="str">
        <f t="shared" si="419"/>
        <v/>
      </c>
      <c r="AK144" s="335">
        <f t="shared" si="419"/>
        <v>0.40517273761708056</v>
      </c>
      <c r="AL144" s="335" t="str">
        <f t="shared" si="419"/>
        <v/>
      </c>
      <c r="AM144" s="335" t="str">
        <f t="shared" si="419"/>
        <v/>
      </c>
      <c r="AN144" s="335" t="str">
        <f t="shared" si="419"/>
        <v/>
      </c>
      <c r="AO144" s="335">
        <f t="shared" ref="AO144:BT144" si="420">IF(MOD(AO4-$I$4,28)=0, AO5, "")</f>
        <v>0.44850107513083781</v>
      </c>
      <c r="AP144" s="335" t="str">
        <f t="shared" si="420"/>
        <v/>
      </c>
      <c r="AQ144" s="335" t="str">
        <f t="shared" si="420"/>
        <v/>
      </c>
      <c r="AR144" s="335" t="str">
        <f t="shared" si="420"/>
        <v/>
      </c>
      <c r="AS144" s="335">
        <f t="shared" si="420"/>
        <v>0.50402420656869551</v>
      </c>
      <c r="AT144" s="335" t="str">
        <f t="shared" si="420"/>
        <v/>
      </c>
      <c r="AU144" s="335" t="str">
        <f t="shared" si="420"/>
        <v/>
      </c>
      <c r="AV144" s="335" t="str">
        <f t="shared" si="420"/>
        <v/>
      </c>
      <c r="AW144" s="335">
        <f t="shared" si="420"/>
        <v>0.55384079721710877</v>
      </c>
      <c r="AX144" s="335" t="str">
        <f t="shared" si="420"/>
        <v/>
      </c>
      <c r="AY144" s="335" t="str">
        <f t="shared" si="420"/>
        <v/>
      </c>
      <c r="AZ144" s="335" t="str">
        <f t="shared" si="420"/>
        <v/>
      </c>
      <c r="BA144" s="335">
        <f t="shared" si="420"/>
        <v>0.59171744695428674</v>
      </c>
      <c r="BB144" s="335" t="str">
        <f t="shared" si="420"/>
        <v/>
      </c>
      <c r="BC144" s="335" t="str">
        <f t="shared" si="420"/>
        <v/>
      </c>
      <c r="BD144" s="335" t="str">
        <f t="shared" si="420"/>
        <v/>
      </c>
      <c r="BE144" s="335">
        <f t="shared" si="420"/>
        <v>0.62059980576921137</v>
      </c>
      <c r="BF144" s="335" t="str">
        <f t="shared" si="420"/>
        <v/>
      </c>
      <c r="BG144" s="335" t="str">
        <f t="shared" si="420"/>
        <v/>
      </c>
      <c r="BH144" s="335" t="str">
        <f t="shared" si="420"/>
        <v/>
      </c>
      <c r="BI144" s="335">
        <f t="shared" si="420"/>
        <v>0.65394168971494349</v>
      </c>
      <c r="BJ144" s="335" t="str">
        <f t="shared" si="420"/>
        <v/>
      </c>
      <c r="BK144" s="335" t="str">
        <f t="shared" si="420"/>
        <v/>
      </c>
      <c r="BL144" s="335" t="str">
        <f t="shared" si="420"/>
        <v/>
      </c>
      <c r="BM144" s="335">
        <f t="shared" si="420"/>
        <v>0.68857823412373698</v>
      </c>
      <c r="BN144" s="335" t="str">
        <f t="shared" si="420"/>
        <v/>
      </c>
      <c r="BO144" s="335" t="str">
        <f t="shared" si="420"/>
        <v/>
      </c>
      <c r="BP144" s="335" t="str">
        <f t="shared" si="420"/>
        <v/>
      </c>
      <c r="BQ144" s="335">
        <f t="shared" si="420"/>
        <v>0.7282931852009088</v>
      </c>
      <c r="BR144" s="335" t="str">
        <f t="shared" si="420"/>
        <v/>
      </c>
      <c r="BS144" s="335" t="str">
        <f t="shared" si="420"/>
        <v/>
      </c>
      <c r="BT144" s="335" t="str">
        <f t="shared" si="420"/>
        <v/>
      </c>
      <c r="BU144" s="335">
        <f t="shared" ref="BU144:DE144" si="421">IF(MOD(BU4-$I$4,28)=0, BU5, "")</f>
        <v>0.78655528575921563</v>
      </c>
      <c r="BV144" s="335" t="str">
        <f t="shared" si="421"/>
        <v/>
      </c>
      <c r="BW144" s="335" t="str">
        <f t="shared" si="421"/>
        <v/>
      </c>
      <c r="BX144" s="335" t="str">
        <f t="shared" si="421"/>
        <v/>
      </c>
      <c r="BY144" s="335">
        <f t="shared" si="421"/>
        <v>0.87029231351431213</v>
      </c>
      <c r="BZ144" s="335" t="str">
        <f t="shared" si="421"/>
        <v/>
      </c>
      <c r="CA144" s="335" t="str">
        <f t="shared" si="421"/>
        <v/>
      </c>
      <c r="CB144" s="335" t="str">
        <f t="shared" si="421"/>
        <v/>
      </c>
      <c r="CC144" s="335">
        <f t="shared" si="421"/>
        <v>0.94705739830421887</v>
      </c>
      <c r="CD144" s="335" t="str">
        <f t="shared" si="421"/>
        <v/>
      </c>
      <c r="CE144" s="335" t="str">
        <f t="shared" si="421"/>
        <v/>
      </c>
      <c r="CF144" s="335" t="str">
        <f t="shared" si="421"/>
        <v/>
      </c>
      <c r="CG144" s="335">
        <f t="shared" si="421"/>
        <v>0.98882308336905866</v>
      </c>
      <c r="CH144" s="335" t="str">
        <f t="shared" si="421"/>
        <v/>
      </c>
      <c r="CI144" s="335" t="str">
        <f t="shared" si="421"/>
        <v/>
      </c>
      <c r="CJ144" s="335" t="str">
        <f t="shared" si="421"/>
        <v/>
      </c>
      <c r="CK144" s="335">
        <f t="shared" si="421"/>
        <v>0.99999999999999978</v>
      </c>
      <c r="CL144" s="335" t="str">
        <f t="shared" si="421"/>
        <v/>
      </c>
      <c r="CM144" s="335" t="str">
        <f t="shared" si="421"/>
        <v/>
      </c>
      <c r="CN144" s="335" t="str">
        <f t="shared" si="421"/>
        <v/>
      </c>
      <c r="CO144" s="335">
        <f t="shared" si="421"/>
        <v>0.99999999999999978</v>
      </c>
      <c r="CP144" s="335" t="str">
        <f t="shared" si="421"/>
        <v/>
      </c>
      <c r="CQ144" s="335" t="str">
        <f t="shared" si="421"/>
        <v/>
      </c>
      <c r="CR144" s="335" t="str">
        <f t="shared" si="421"/>
        <v/>
      </c>
      <c r="CS144" s="335">
        <f t="shared" si="421"/>
        <v>0.99999999999999978</v>
      </c>
      <c r="CT144" s="335" t="str">
        <f t="shared" si="421"/>
        <v/>
      </c>
      <c r="CU144" s="335" t="str">
        <f t="shared" si="421"/>
        <v/>
      </c>
      <c r="CV144" s="335" t="str">
        <f t="shared" si="421"/>
        <v/>
      </c>
      <c r="CW144" s="335">
        <f t="shared" si="421"/>
        <v>0.99999999999999978</v>
      </c>
      <c r="CX144" s="335" t="str">
        <f t="shared" si="421"/>
        <v/>
      </c>
      <c r="CY144" s="335" t="str">
        <f t="shared" si="421"/>
        <v/>
      </c>
      <c r="CZ144" s="335" t="str">
        <f t="shared" si="421"/>
        <v/>
      </c>
      <c r="DA144" s="335">
        <f t="shared" si="421"/>
        <v>0.99999999999999978</v>
      </c>
      <c r="DB144" s="335" t="str">
        <f t="shared" si="421"/>
        <v/>
      </c>
      <c r="DC144" s="335" t="str">
        <f t="shared" si="421"/>
        <v/>
      </c>
      <c r="DD144" s="335" t="str">
        <f t="shared" si="421"/>
        <v/>
      </c>
      <c r="DE144" s="335">
        <f t="shared" si="421"/>
        <v>0.99999999999999978</v>
      </c>
      <c r="DF144" s="335" t="str">
        <f t="shared" ref="DF144:EI144" si="422">IF(MOD(DF4-$I$4,28)=0, DF5, "")</f>
        <v/>
      </c>
      <c r="DG144" s="335" t="str">
        <f t="shared" si="422"/>
        <v/>
      </c>
      <c r="DH144" s="335" t="str">
        <f t="shared" si="422"/>
        <v/>
      </c>
      <c r="DI144" s="335">
        <f t="shared" si="422"/>
        <v>0.99999999999999978</v>
      </c>
      <c r="DJ144" s="335" t="str">
        <f t="shared" si="422"/>
        <v/>
      </c>
      <c r="DK144" s="335" t="str">
        <f t="shared" si="422"/>
        <v/>
      </c>
      <c r="DL144" s="335" t="str">
        <f t="shared" si="422"/>
        <v/>
      </c>
      <c r="DM144" s="335">
        <f t="shared" si="422"/>
        <v>0.99999999999999978</v>
      </c>
      <c r="DN144" s="335" t="str">
        <f t="shared" si="422"/>
        <v/>
      </c>
      <c r="DO144" s="335" t="str">
        <f t="shared" si="422"/>
        <v/>
      </c>
      <c r="DP144" s="335" t="str">
        <f t="shared" si="422"/>
        <v/>
      </c>
      <c r="DQ144" s="335">
        <f t="shared" si="422"/>
        <v>0.99999999999999978</v>
      </c>
      <c r="DR144" s="335" t="str">
        <f t="shared" si="422"/>
        <v/>
      </c>
      <c r="DS144" s="335" t="str">
        <f t="shared" si="422"/>
        <v/>
      </c>
      <c r="DT144" s="335" t="str">
        <f t="shared" si="422"/>
        <v/>
      </c>
      <c r="DU144" s="335">
        <f t="shared" si="422"/>
        <v>0.99999999999999978</v>
      </c>
      <c r="DV144" s="335" t="str">
        <f t="shared" si="422"/>
        <v/>
      </c>
      <c r="DW144" s="335" t="str">
        <f t="shared" si="422"/>
        <v/>
      </c>
      <c r="DX144" s="335" t="str">
        <f t="shared" si="422"/>
        <v/>
      </c>
      <c r="DY144" s="335">
        <f t="shared" si="422"/>
        <v>0.99999999999999978</v>
      </c>
      <c r="DZ144" s="335" t="str">
        <f t="shared" si="422"/>
        <v/>
      </c>
      <c r="EA144" s="335" t="str">
        <f t="shared" si="422"/>
        <v/>
      </c>
      <c r="EB144" s="335" t="str">
        <f t="shared" si="422"/>
        <v/>
      </c>
      <c r="EC144" s="335">
        <f t="shared" si="422"/>
        <v>0.99999999999999978</v>
      </c>
      <c r="ED144" s="335" t="str">
        <f t="shared" si="422"/>
        <v/>
      </c>
      <c r="EE144" s="335" t="str">
        <f t="shared" si="422"/>
        <v/>
      </c>
      <c r="EF144" s="335" t="str">
        <f t="shared" si="422"/>
        <v/>
      </c>
      <c r="EG144" s="335">
        <f t="shared" si="422"/>
        <v>0.99999999999999978</v>
      </c>
      <c r="EH144" s="335" t="str">
        <f t="shared" si="422"/>
        <v/>
      </c>
      <c r="EI144" s="335" t="str">
        <f t="shared" si="422"/>
        <v/>
      </c>
    </row>
  </sheetData>
  <mergeCells count="3">
    <mergeCell ref="F2:G2"/>
    <mergeCell ref="F3:G3"/>
    <mergeCell ref="B142:E142"/>
  </mergeCells>
  <phoneticPr fontId="19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5BA3-FDDB-4D81-8C50-A34809585C89}">
  <sheetPr>
    <tabColor theme="7" tint="0.79998168889431442"/>
    <outlinePr summaryBelow="0"/>
  </sheetPr>
  <dimension ref="B1:DE118"/>
  <sheetViews>
    <sheetView showGridLines="0" topLeftCell="A46" zoomScale="90" zoomScaleNormal="90" workbookViewId="0">
      <pane xSplit="156" topLeftCell="FA1" activePane="topRight" state="frozen"/>
      <selection activeCell="A2" sqref="A2"/>
      <selection pane="topRight" activeCell="H98" sqref="H98:CP98"/>
    </sheetView>
  </sheetViews>
  <sheetFormatPr baseColWidth="10" defaultColWidth="11.5546875" defaultRowHeight="16.8" outlineLevelRow="2" outlineLevelCol="1" x14ac:dyDescent="0.4"/>
  <cols>
    <col min="1" max="4" width="2.6640625" style="67" customWidth="1"/>
    <col min="5" max="5" width="88.44140625" style="67" customWidth="1"/>
    <col min="6" max="6" width="15.33203125" style="68" customWidth="1"/>
    <col min="7" max="7" width="11.88671875" style="67" hidden="1" customWidth="1"/>
    <col min="8" max="42" width="13.33203125" style="67" customWidth="1" outlineLevel="1"/>
    <col min="43" max="63" width="13.33203125" style="67" customWidth="1"/>
    <col min="64" max="64" width="12.5546875" style="67" customWidth="1"/>
    <col min="65" max="65" width="11.5546875" style="356"/>
    <col min="66" max="16384" width="11.5546875" style="67"/>
  </cols>
  <sheetData>
    <row r="1" spans="2:94" ht="16.95" hidden="1" customHeight="1" x14ac:dyDescent="0.4">
      <c r="F1" s="268" t="s">
        <v>356</v>
      </c>
      <c r="L1" s="238">
        <f>L6-H6</f>
        <v>0.17883461778899412</v>
      </c>
      <c r="M1" s="238">
        <f t="shared" ref="M1:AG1" si="0">M6-I6</f>
        <v>0.14499455814078782</v>
      </c>
      <c r="N1" s="238">
        <f t="shared" si="0"/>
        <v>0.21097701809289574</v>
      </c>
      <c r="O1" s="238">
        <f t="shared" si="0"/>
        <v>0.22291635201617421</v>
      </c>
      <c r="P1" s="238">
        <f t="shared" si="0"/>
        <v>0.20775013168274076</v>
      </c>
      <c r="Q1" s="238">
        <f t="shared" si="0"/>
        <v>0.20513379461714143</v>
      </c>
      <c r="R1" s="238">
        <f t="shared" si="0"/>
        <v>0.11646176434230165</v>
      </c>
      <c r="S1" s="238">
        <f t="shared" si="0"/>
        <v>8.9518516139028947E-2</v>
      </c>
      <c r="T1" s="238">
        <f t="shared" si="0"/>
        <v>7.8747503930838847E-2</v>
      </c>
      <c r="U1" s="238">
        <f t="shared" si="0"/>
        <v>5.9157546220275636E-2</v>
      </c>
      <c r="V1" s="238">
        <f t="shared" si="0"/>
        <v>6.7714720924365202E-2</v>
      </c>
      <c r="W1" s="238">
        <f t="shared" si="0"/>
        <v>7.2765654425820392E-2</v>
      </c>
      <c r="X1" s="238">
        <f t="shared" si="0"/>
        <v>7.4977819921572209E-2</v>
      </c>
      <c r="Y1" s="238">
        <f t="shared" si="0"/>
        <v>7.9848883868507081E-2</v>
      </c>
      <c r="Z1" s="238">
        <f t="shared" si="0"/>
        <v>7.4970204865344892E-2</v>
      </c>
      <c r="AA1" s="238">
        <f t="shared" si="0"/>
        <v>7.3907508289027035E-2</v>
      </c>
      <c r="AB1" s="238">
        <f t="shared" si="0"/>
        <v>7.006199686482506E-2</v>
      </c>
      <c r="AC1" s="238">
        <f t="shared" si="0"/>
        <v>7.6635860299339331E-2</v>
      </c>
      <c r="AD1" s="238">
        <f t="shared" si="0"/>
        <v>7.3266165770104807E-2</v>
      </c>
      <c r="AE1" s="238">
        <f t="shared" si="0"/>
        <v>5.7015458818637899E-2</v>
      </c>
      <c r="AF1" s="238">
        <f t="shared" si="0"/>
        <v>4.9608986021316692E-2</v>
      </c>
      <c r="AG1" s="238">
        <f t="shared" si="0"/>
        <v>3.5874759665885603E-2</v>
      </c>
      <c r="AH1" s="238">
        <f t="shared" ref="AH1:AU1" si="1">AH6-AC6</f>
        <v>3.7107166638420397E-2</v>
      </c>
      <c r="AI1" s="238">
        <f t="shared" si="1"/>
        <v>3.9628482293302403E-2</v>
      </c>
      <c r="AJ1" s="238">
        <f t="shared" si="1"/>
        <v>5.6810133151941944E-2</v>
      </c>
      <c r="AK1" s="238">
        <f t="shared" si="1"/>
        <v>4.7975699550656725E-2</v>
      </c>
      <c r="AL1" s="238">
        <f t="shared" si="1"/>
        <v>5.2190088604127771E-2</v>
      </c>
      <c r="AM1" s="238">
        <f t="shared" si="1"/>
        <v>5.429191284890833E-2</v>
      </c>
      <c r="AN1" s="238">
        <f t="shared" si="1"/>
        <v>3.9505513507708145E-2</v>
      </c>
      <c r="AO1" s="238">
        <f t="shared" si="1"/>
        <v>2.2196444798439852E-2</v>
      </c>
      <c r="AP1" s="238">
        <f t="shared" si="1"/>
        <v>1.9363677958449288E-2</v>
      </c>
      <c r="AQ1" s="238">
        <f t="shared" si="1"/>
        <v>9.4628031157046877E-3</v>
      </c>
      <c r="AR1" s="238">
        <f t="shared" si="1"/>
        <v>6.1647767423104183E-3</v>
      </c>
      <c r="AS1" s="238">
        <f t="shared" si="1"/>
        <v>2.5498462674532485E-3</v>
      </c>
      <c r="AT1" s="238">
        <f t="shared" si="1"/>
        <v>3.0802423480750241E-3</v>
      </c>
      <c r="AU1" s="238">
        <f t="shared" si="1"/>
        <v>3.5703702403190318E-3</v>
      </c>
      <c r="AV1" s="238">
        <f t="shared" ref="AV1" si="2">AV6-AQ6</f>
        <v>3.4979605524767532E-3</v>
      </c>
      <c r="AW1" s="238">
        <f t="shared" ref="AW1" si="3">AW6-AR6</f>
        <v>4.535832744883006E-3</v>
      </c>
      <c r="AX1" s="238">
        <f t="shared" ref="AX1" si="4">AX6-AS6</f>
        <v>4.535832744883006E-3</v>
      </c>
      <c r="AY1" s="238">
        <f t="shared" ref="AY1" si="5">AY6-AT6</f>
        <v>8.1604045624336097E-3</v>
      </c>
      <c r="AZ1" s="238">
        <f t="shared" ref="AZ1" si="6">AZ6-AU6</f>
        <v>9.7296425957513755E-3</v>
      </c>
      <c r="BA1" s="238">
        <f t="shared" ref="BA1" si="7">BA6-AV6</f>
        <v>1.3590147706633693E-2</v>
      </c>
      <c r="BB1" s="238">
        <f t="shared" ref="BB1" si="8">BB6-AW6</f>
        <v>1.6786939397149481E-2</v>
      </c>
      <c r="BC1" s="238">
        <f t="shared" ref="BC1:BL1" si="9">BC6-AX6</f>
        <v>1.8237228607817735E-2</v>
      </c>
      <c r="BD1" s="238">
        <f t="shared" si="9"/>
        <v>1.2365125852378367E-2</v>
      </c>
      <c r="BE1" s="238">
        <f t="shared" si="9"/>
        <v>1.4206163132844951E-2</v>
      </c>
      <c r="BF1" s="238">
        <f t="shared" si="9"/>
        <v>1.2760957705306275E-2</v>
      </c>
      <c r="BG1" s="238">
        <f t="shared" si="9"/>
        <v>9.736283413247282E-3</v>
      </c>
      <c r="BH1" s="238">
        <f t="shared" si="9"/>
        <v>9.050534160372159E-3</v>
      </c>
      <c r="BI1" s="238">
        <f t="shared" si="9"/>
        <v>9.6539370374320033E-3</v>
      </c>
      <c r="BJ1" s="238">
        <f t="shared" si="9"/>
        <v>6.0682876518636242E-3</v>
      </c>
      <c r="BK1" s="238">
        <f t="shared" si="9"/>
        <v>4.1357136266556571E-3</v>
      </c>
      <c r="BL1" s="238">
        <f t="shared" si="9"/>
        <v>2.1811279386234617E-2</v>
      </c>
    </row>
    <row r="2" spans="2:94" x14ac:dyDescent="0.4">
      <c r="E2" s="363"/>
      <c r="F2" s="268" t="s">
        <v>503</v>
      </c>
      <c r="H2" s="238"/>
      <c r="I2" s="238">
        <f t="shared" ref="I2:AU2" si="10">I6-G6</f>
        <v>6.4094548875466603E-2</v>
      </c>
      <c r="J2" s="238">
        <f t="shared" si="10"/>
        <v>0.10235533218768098</v>
      </c>
      <c r="K2" s="238">
        <f t="shared" si="10"/>
        <v>6.7371720326433918E-2</v>
      </c>
      <c r="L2" s="238">
        <f t="shared" si="10"/>
        <v>7.6479285601313146E-2</v>
      </c>
      <c r="M2" s="238">
        <f t="shared" si="10"/>
        <v>7.7622837814353918E-2</v>
      </c>
      <c r="N2" s="238">
        <f t="shared" si="10"/>
        <v>0.13449773249158259</v>
      </c>
      <c r="O2" s="238">
        <f t="shared" si="10"/>
        <v>0.1452935142018203</v>
      </c>
      <c r="P2" s="238">
        <f t="shared" si="10"/>
        <v>7.3252399191158168E-2</v>
      </c>
      <c r="Q2" s="238">
        <f t="shared" si="10"/>
        <v>5.9840280415321134E-2</v>
      </c>
      <c r="R2" s="238">
        <f t="shared" si="10"/>
        <v>4.3209365151143486E-2</v>
      </c>
      <c r="S2" s="238">
        <f t="shared" si="10"/>
        <v>2.9678235723707813E-2</v>
      </c>
      <c r="T2" s="238">
        <f t="shared" si="10"/>
        <v>3.5538138779695361E-2</v>
      </c>
      <c r="U2" s="238">
        <f t="shared" si="10"/>
        <v>2.9479310496567823E-2</v>
      </c>
      <c r="V2" s="238">
        <f t="shared" si="10"/>
        <v>3.2176582144669841E-2</v>
      </c>
      <c r="W2" s="238">
        <f t="shared" si="10"/>
        <v>4.3286343929252569E-2</v>
      </c>
      <c r="X2" s="238">
        <f t="shared" si="10"/>
        <v>4.2801237776902368E-2</v>
      </c>
      <c r="Y2" s="238">
        <f t="shared" si="10"/>
        <v>3.6562539939254513E-2</v>
      </c>
      <c r="Z2" s="238">
        <f t="shared" si="10"/>
        <v>3.2168967088442524E-2</v>
      </c>
      <c r="AA2" s="238">
        <f t="shared" si="10"/>
        <v>3.7344968349772523E-2</v>
      </c>
      <c r="AB2" s="238">
        <f t="shared" si="10"/>
        <v>3.7893029776382536E-2</v>
      </c>
      <c r="AC2" s="238">
        <f t="shared" si="10"/>
        <v>3.9290891949566809E-2</v>
      </c>
      <c r="AD2" s="238">
        <f t="shared" si="10"/>
        <v>3.5373135993722271E-2</v>
      </c>
      <c r="AE2" s="238">
        <f t="shared" si="10"/>
        <v>1.772456686907109E-2</v>
      </c>
      <c r="AF2" s="238">
        <f t="shared" si="10"/>
        <v>1.4235850027594421E-2</v>
      </c>
      <c r="AG2" s="238">
        <f t="shared" si="10"/>
        <v>1.8150192796814513E-2</v>
      </c>
      <c r="AH2" s="238">
        <f t="shared" si="10"/>
        <v>6.9913024496506271E-3</v>
      </c>
      <c r="AI2" s="238">
        <f t="shared" si="10"/>
        <v>1.9633736788592149E-2</v>
      </c>
      <c r="AJ2" s="238">
        <f t="shared" si="10"/>
        <v>3.7427533382592637E-2</v>
      </c>
      <c r="AK2" s="238">
        <f t="shared" si="10"/>
        <v>2.2583067284948743E-2</v>
      </c>
      <c r="AL2" s="238">
        <f t="shared" si="10"/>
        <v>1.353014824900034E-2</v>
      </c>
      <c r="AM2" s="238">
        <f t="shared" si="10"/>
        <v>1.3307515747902232E-2</v>
      </c>
      <c r="AN2" s="238">
        <f t="shared" si="10"/>
        <v>6.949161692172523E-3</v>
      </c>
      <c r="AO2" s="238">
        <f t="shared" si="10"/>
        <v>5.3320653321241585E-3</v>
      </c>
      <c r="AP2" s="238">
        <f t="shared" si="10"/>
        <v>2.4412317356898861E-3</v>
      </c>
      <c r="AQ2" s="271">
        <f t="shared" si="10"/>
        <v>7.9650656626517602E-4</v>
      </c>
      <c r="AR2" s="271">
        <f t="shared" si="10"/>
        <v>1.0861453176336244E-4</v>
      </c>
      <c r="AS2" s="271">
        <f t="shared" si="10"/>
        <v>3.6204843921083807E-5</v>
      </c>
      <c r="AT2" s="271">
        <f t="shared" si="10"/>
        <v>2.2475309378887642E-3</v>
      </c>
      <c r="AU2" s="271">
        <f t="shared" si="10"/>
        <v>3.4617557085556694E-3</v>
      </c>
      <c r="AV2" s="271">
        <f t="shared" ref="AV2" si="11">AV6-AT6</f>
        <v>1.2142247706669052E-3</v>
      </c>
      <c r="AW2" s="271">
        <f t="shared" ref="AW2" si="12">AW6-AU6</f>
        <v>1.0740770363273366E-3</v>
      </c>
      <c r="AX2" s="271">
        <f t="shared" ref="AX2" si="13">AX6-AV6</f>
        <v>1.0740770363273366E-3</v>
      </c>
      <c r="AY2" s="271">
        <f t="shared" ref="AY2" si="14">AY6-AW6</f>
        <v>5.8721027554393679E-3</v>
      </c>
      <c r="AZ2" s="271">
        <f t="shared" ref="AZ2" si="15">AZ6-AX6</f>
        <v>8.6555655594240388E-3</v>
      </c>
      <c r="BA2" s="271">
        <f t="shared" ref="BA2" si="16">BA6-AY6</f>
        <v>6.6439679148669883E-3</v>
      </c>
      <c r="BB2" s="271">
        <f t="shared" ref="BB2" si="17">BB6-AZ6</f>
        <v>8.1313738377254419E-3</v>
      </c>
      <c r="BC2" s="271">
        <f t="shared" ref="BC2:BL2" si="18">BC6-BA6</f>
        <v>5.7211579375113786E-3</v>
      </c>
      <c r="BD2" s="271">
        <f t="shared" si="18"/>
        <v>1.4502892106682541E-3</v>
      </c>
      <c r="BE2" s="271">
        <f t="shared" si="18"/>
        <v>4.6245000844512552E-3</v>
      </c>
      <c r="BF2" s="271">
        <f t="shared" si="18"/>
        <v>7.0397997677948965E-3</v>
      </c>
      <c r="BG2" s="271">
        <f t="shared" si="18"/>
        <v>3.6614941181277727E-3</v>
      </c>
      <c r="BH2" s="271">
        <f t="shared" si="18"/>
        <v>2.0107343925772625E-3</v>
      </c>
      <c r="BI2" s="271">
        <f t="shared" si="18"/>
        <v>1.3679428348529754E-3</v>
      </c>
      <c r="BJ2" s="271">
        <f t="shared" si="18"/>
        <v>1.6422535759427204E-3</v>
      </c>
      <c r="BK2" s="271">
        <f t="shared" si="18"/>
        <v>1.5215763570185503E-3</v>
      </c>
      <c r="BL2" s="271">
        <f t="shared" si="18"/>
        <v>1.9404485852498765E-2</v>
      </c>
      <c r="BM2" s="271">
        <f t="shared" ref="BM2" si="19">BM6-BK6</f>
        <v>1.9404485852498876E-2</v>
      </c>
      <c r="BN2" s="271">
        <f t="shared" ref="BN2" si="20">BN6-BL6</f>
        <v>8.4477130027416081E-4</v>
      </c>
      <c r="BO2" s="271">
        <f t="shared" ref="BO2" si="21">BO6-BM6</f>
        <v>1.9077223809984556E-3</v>
      </c>
      <c r="BP2" s="271">
        <f t="shared" ref="BP2" si="22">BP6-BN6</f>
        <v>2.8612478086063042E-3</v>
      </c>
      <c r="BQ2" s="271">
        <f t="shared" ref="BQ2" si="23">BQ6-BO6</f>
        <v>-5.5260782980648626E-2</v>
      </c>
      <c r="BR2" s="271">
        <f t="shared" ref="BR2" si="24">BR6-BP6</f>
        <v>-5.657635405039485E-2</v>
      </c>
      <c r="BS2" s="271">
        <f t="shared" ref="BS2" si="25">BS6-BQ6</f>
        <v>0</v>
      </c>
      <c r="BT2" s="271">
        <f t="shared" ref="BT2" si="26">BT6-BR6</f>
        <v>0</v>
      </c>
      <c r="BU2" s="271">
        <f t="shared" ref="BU2" si="27">BU6-BS6</f>
        <v>0</v>
      </c>
      <c r="BV2" s="271">
        <f t="shared" ref="BV2" si="28">BV6-BT6</f>
        <v>0</v>
      </c>
      <c r="BW2" s="271">
        <f t="shared" ref="BW2" si="29">BW6-BU6</f>
        <v>0</v>
      </c>
      <c r="BX2" s="271">
        <f t="shared" ref="BX2" si="30">BX6-BV6</f>
        <v>0</v>
      </c>
      <c r="BY2" s="271">
        <f t="shared" ref="BY2" si="31">BY6-BW6</f>
        <v>0</v>
      </c>
      <c r="BZ2" s="271">
        <f t="shared" ref="BZ2" si="32">BZ6-BX6</f>
        <v>0</v>
      </c>
      <c r="CA2" s="271">
        <f t="shared" ref="CA2" si="33">CA6-BY6</f>
        <v>0</v>
      </c>
      <c r="CB2" s="271">
        <f t="shared" ref="CB2" si="34">CB6-BZ6</f>
        <v>0</v>
      </c>
      <c r="CC2" s="271">
        <f t="shared" ref="CC2" si="35">CC6-CA6</f>
        <v>0</v>
      </c>
      <c r="CD2" s="271">
        <f t="shared" ref="CD2" si="36">CD6-CB6</f>
        <v>0</v>
      </c>
      <c r="CE2" s="271">
        <f t="shared" ref="CE2" si="37">CE6-CC6</f>
        <v>0</v>
      </c>
      <c r="CF2" s="271">
        <f t="shared" ref="CF2" si="38">CF6-CD6</f>
        <v>0</v>
      </c>
      <c r="CG2" s="271">
        <f t="shared" ref="CG2" si="39">CG6-CE6</f>
        <v>0</v>
      </c>
      <c r="CH2" s="271">
        <f t="shared" ref="CH2" si="40">CH6-CF6</f>
        <v>0</v>
      </c>
      <c r="CI2" s="271">
        <f t="shared" ref="CI2" si="41">CI6-CG6</f>
        <v>0</v>
      </c>
      <c r="CJ2" s="271">
        <f t="shared" ref="CJ2" si="42">CJ6-CH6</f>
        <v>0</v>
      </c>
      <c r="CK2" s="271">
        <f t="shared" ref="CK2" si="43">CK6-CI6</f>
        <v>0</v>
      </c>
      <c r="CL2" s="271">
        <f t="shared" ref="CL2" si="44">CL6-CJ6</f>
        <v>0</v>
      </c>
      <c r="CM2" s="271">
        <f t="shared" ref="CM2" si="45">CM6-CK6</f>
        <v>0</v>
      </c>
      <c r="CN2" s="271">
        <f t="shared" ref="CN2" si="46">CN6-CL6</f>
        <v>0</v>
      </c>
      <c r="CO2" s="271">
        <f t="shared" ref="CO2" si="47">CO6-CM6</f>
        <v>0</v>
      </c>
      <c r="CP2" s="271">
        <f t="shared" ref="CP2" si="48">CP6-CN6</f>
        <v>3.346584908901562E-2</v>
      </c>
    </row>
    <row r="3" spans="2:94" x14ac:dyDescent="0.4">
      <c r="E3" s="364"/>
      <c r="F3" s="268" t="s">
        <v>504</v>
      </c>
      <c r="H3" s="238"/>
      <c r="I3" s="238">
        <f>I6-H6</f>
        <v>6.4094548875466603E-2</v>
      </c>
      <c r="J3" s="238">
        <f t="shared" ref="J3:AU3" si="49">J6-I6</f>
        <v>3.8260783312214372E-2</v>
      </c>
      <c r="K3" s="238">
        <f t="shared" si="49"/>
        <v>2.9110937014219546E-2</v>
      </c>
      <c r="L3" s="238">
        <f t="shared" si="49"/>
        <v>4.7368348587093601E-2</v>
      </c>
      <c r="M3" s="238">
        <f t="shared" si="49"/>
        <v>3.0254489227260317E-2</v>
      </c>
      <c r="N3" s="238">
        <f t="shared" si="49"/>
        <v>0.10424324326432227</v>
      </c>
      <c r="O3" s="238">
        <f t="shared" si="49"/>
        <v>4.1050270937498023E-2</v>
      </c>
      <c r="P3" s="238">
        <f t="shared" si="49"/>
        <v>3.2202128253660145E-2</v>
      </c>
      <c r="Q3" s="238">
        <f t="shared" si="49"/>
        <v>2.7638152161660989E-2</v>
      </c>
      <c r="R3" s="238">
        <f t="shared" si="49"/>
        <v>1.5571212989482497E-2</v>
      </c>
      <c r="S3" s="238">
        <f t="shared" si="49"/>
        <v>1.4107022734225316E-2</v>
      </c>
      <c r="T3" s="238">
        <f t="shared" si="49"/>
        <v>2.1431116045470044E-2</v>
      </c>
      <c r="U3" s="238">
        <f t="shared" si="49"/>
        <v>8.0481944510977788E-3</v>
      </c>
      <c r="V3" s="238">
        <f t="shared" si="49"/>
        <v>2.4128387693572062E-2</v>
      </c>
      <c r="W3" s="238">
        <f t="shared" si="49"/>
        <v>1.9157956235680507E-2</v>
      </c>
      <c r="X3" s="238">
        <f t="shared" si="49"/>
        <v>2.3643281541221861E-2</v>
      </c>
      <c r="Y3" s="238">
        <f t="shared" si="49"/>
        <v>1.2919258398032651E-2</v>
      </c>
      <c r="Z3" s="238">
        <f t="shared" si="49"/>
        <v>1.9249708690409872E-2</v>
      </c>
      <c r="AA3" s="238">
        <f t="shared" si="49"/>
        <v>1.809525965936265E-2</v>
      </c>
      <c r="AB3" s="238">
        <f t="shared" si="49"/>
        <v>1.9797770117019886E-2</v>
      </c>
      <c r="AC3" s="238">
        <f t="shared" si="49"/>
        <v>1.9493121832546922E-2</v>
      </c>
      <c r="AD3" s="238">
        <f t="shared" si="49"/>
        <v>1.5880014161175349E-2</v>
      </c>
      <c r="AE3" s="238">
        <f t="shared" si="49"/>
        <v>1.8445527078957413E-3</v>
      </c>
      <c r="AF3" s="238">
        <f t="shared" si="49"/>
        <v>1.239129731969868E-2</v>
      </c>
      <c r="AG3" s="238">
        <f t="shared" si="49"/>
        <v>5.7588954771158329E-3</v>
      </c>
      <c r="AH3" s="238">
        <f t="shared" si="49"/>
        <v>1.2324069725347941E-3</v>
      </c>
      <c r="AI3" s="238">
        <f t="shared" si="49"/>
        <v>1.8401329816057355E-2</v>
      </c>
      <c r="AJ3" s="238">
        <f t="shared" si="49"/>
        <v>1.9026203566535282E-2</v>
      </c>
      <c r="AK3" s="238">
        <f t="shared" si="49"/>
        <v>3.5568637184134611E-3</v>
      </c>
      <c r="AL3" s="238">
        <f t="shared" si="49"/>
        <v>9.9732845305868789E-3</v>
      </c>
      <c r="AM3" s="238">
        <f t="shared" si="49"/>
        <v>3.3342312173153532E-3</v>
      </c>
      <c r="AN3" s="238">
        <f t="shared" si="49"/>
        <v>3.6149304748571698E-3</v>
      </c>
      <c r="AO3" s="238">
        <f t="shared" si="49"/>
        <v>1.7171348572669887E-3</v>
      </c>
      <c r="AP3" s="238">
        <f t="shared" si="49"/>
        <v>7.2409687842289738E-4</v>
      </c>
      <c r="AQ3" s="271">
        <f t="shared" si="49"/>
        <v>7.2409687842278636E-5</v>
      </c>
      <c r="AR3" s="271">
        <f t="shared" si="49"/>
        <v>3.6204843921083807E-5</v>
      </c>
      <c r="AS3" s="271">
        <f t="shared" si="49"/>
        <v>0</v>
      </c>
      <c r="AT3" s="271">
        <f t="shared" si="49"/>
        <v>2.2475309378887642E-3</v>
      </c>
      <c r="AU3" s="271">
        <f t="shared" si="49"/>
        <v>1.2142247706669052E-3</v>
      </c>
      <c r="AV3" s="271">
        <f t="shared" ref="AV3" si="50">AV6-AU6</f>
        <v>0</v>
      </c>
      <c r="AW3" s="271">
        <f t="shared" ref="AW3" si="51">AW6-AV6</f>
        <v>1.0740770363273366E-3</v>
      </c>
      <c r="AX3" s="271">
        <f t="shared" ref="AX3" si="52">AX6-AW6</f>
        <v>0</v>
      </c>
      <c r="AY3" s="271">
        <f t="shared" ref="AY3" si="53">AY6-AX6</f>
        <v>5.8721027554393679E-3</v>
      </c>
      <c r="AZ3" s="271">
        <f t="shared" ref="AZ3" si="54">AZ6-AY6</f>
        <v>2.7834628039846709E-3</v>
      </c>
      <c r="BA3" s="271">
        <f t="shared" ref="BA3" si="55">BA6-AZ6</f>
        <v>3.8605051108823174E-3</v>
      </c>
      <c r="BB3" s="271">
        <f t="shared" ref="BB3" si="56">BB6-BA6</f>
        <v>4.2708687268431245E-3</v>
      </c>
      <c r="BC3" s="271">
        <f t="shared" ref="BC3:BL3" si="57">BC6-BB6</f>
        <v>1.4502892106682541E-3</v>
      </c>
      <c r="BD3" s="271">
        <f t="shared" si="57"/>
        <v>0</v>
      </c>
      <c r="BE3" s="271">
        <f t="shared" si="57"/>
        <v>4.6245000844512552E-3</v>
      </c>
      <c r="BF3" s="271">
        <f t="shared" si="57"/>
        <v>2.4152996833436413E-3</v>
      </c>
      <c r="BG3" s="271">
        <f t="shared" si="57"/>
        <v>1.2461944347841314E-3</v>
      </c>
      <c r="BH3" s="271">
        <f t="shared" si="57"/>
        <v>7.6453995779313111E-4</v>
      </c>
      <c r="BI3" s="271">
        <f t="shared" si="57"/>
        <v>6.034028770598443E-4</v>
      </c>
      <c r="BJ3" s="271">
        <f t="shared" si="57"/>
        <v>1.0388506988828761E-3</v>
      </c>
      <c r="BK3" s="271">
        <f t="shared" si="57"/>
        <v>4.8272565813567425E-4</v>
      </c>
      <c r="BL3" s="271">
        <f t="shared" si="57"/>
        <v>1.8921760194363091E-2</v>
      </c>
      <c r="BM3" s="271">
        <f t="shared" ref="BM3" si="58">BM6-BL6</f>
        <v>4.8272565813578527E-4</v>
      </c>
      <c r="BN3" s="271">
        <f t="shared" ref="BN3" si="59">BN6-BM6</f>
        <v>3.6204564213837553E-4</v>
      </c>
      <c r="BO3" s="271">
        <f t="shared" ref="BO3" si="60">BO6-BN6</f>
        <v>1.5456767388600801E-3</v>
      </c>
      <c r="BP3" s="271">
        <f t="shared" ref="BP3" si="61">BP6-BO6</f>
        <v>1.3155710697462242E-3</v>
      </c>
      <c r="BQ3" s="271">
        <f t="shared" ref="BQ3" si="62">BQ6-BP6</f>
        <v>-5.657635405039485E-2</v>
      </c>
      <c r="BR3" s="271">
        <f t="shared" ref="BR3" si="63">BR6-BQ6</f>
        <v>0</v>
      </c>
      <c r="BS3" s="271">
        <f t="shared" ref="BS3" si="64">BS6-BR6</f>
        <v>0</v>
      </c>
      <c r="BT3" s="271">
        <f t="shared" ref="BT3" si="65">BT6-BS6</f>
        <v>0</v>
      </c>
      <c r="BU3" s="271">
        <f t="shared" ref="BU3" si="66">BU6-BT6</f>
        <v>0</v>
      </c>
      <c r="BV3" s="271">
        <f t="shared" ref="BV3" si="67">BV6-BU6</f>
        <v>0</v>
      </c>
      <c r="BW3" s="271">
        <f t="shared" ref="BW3" si="68">BW6-BV6</f>
        <v>0</v>
      </c>
      <c r="BX3" s="271">
        <f t="shared" ref="BX3" si="69">BX6-BW6</f>
        <v>0</v>
      </c>
      <c r="BY3" s="271">
        <f t="shared" ref="BY3" si="70">BY6-BX6</f>
        <v>0</v>
      </c>
      <c r="BZ3" s="271">
        <f t="shared" ref="BZ3" si="71">BZ6-BY6</f>
        <v>0</v>
      </c>
      <c r="CA3" s="271">
        <f t="shared" ref="CA3" si="72">CA6-BZ6</f>
        <v>0</v>
      </c>
      <c r="CB3" s="271">
        <f t="shared" ref="CB3" si="73">CB6-CA6</f>
        <v>0</v>
      </c>
      <c r="CC3" s="271">
        <f t="shared" ref="CC3" si="74">CC6-CB6</f>
        <v>0</v>
      </c>
      <c r="CD3" s="271">
        <f t="shared" ref="CD3" si="75">CD6-CC6</f>
        <v>0</v>
      </c>
      <c r="CE3" s="271">
        <f t="shared" ref="CE3" si="76">CE6-CD6</f>
        <v>0</v>
      </c>
      <c r="CF3" s="271">
        <f t="shared" ref="CF3" si="77">CF6-CE6</f>
        <v>0</v>
      </c>
      <c r="CG3" s="271">
        <f t="shared" ref="CG3" si="78">CG6-CF6</f>
        <v>0</v>
      </c>
      <c r="CH3" s="271">
        <f t="shared" ref="CH3" si="79">CH6-CG6</f>
        <v>0</v>
      </c>
      <c r="CI3" s="271">
        <f t="shared" ref="CI3" si="80">CI6-CH6</f>
        <v>0</v>
      </c>
      <c r="CJ3" s="271">
        <f t="shared" ref="CJ3" si="81">CJ6-CI6</f>
        <v>0</v>
      </c>
      <c r="CK3" s="271">
        <f t="shared" ref="CK3" si="82">CK6-CJ6</f>
        <v>0</v>
      </c>
      <c r="CL3" s="271">
        <f t="shared" ref="CL3" si="83">CL6-CK6</f>
        <v>0</v>
      </c>
      <c r="CM3" s="271">
        <f t="shared" ref="CM3" si="84">CM6-CL6</f>
        <v>0</v>
      </c>
      <c r="CN3" s="271">
        <f t="shared" ref="CN3" si="85">CN6-CM6</f>
        <v>0</v>
      </c>
      <c r="CO3" s="271">
        <f t="shared" ref="CO3" si="86">CO6-CN6</f>
        <v>0</v>
      </c>
      <c r="CP3" s="271">
        <f t="shared" ref="CP3" si="87">CP6-CO6</f>
        <v>3.346584908901562E-2</v>
      </c>
    </row>
    <row r="4" spans="2:94" x14ac:dyDescent="0.4">
      <c r="H4" s="237">
        <v>45782</v>
      </c>
      <c r="I4" s="237">
        <f>H4+7</f>
        <v>45789</v>
      </c>
      <c r="J4" s="237">
        <f t="shared" ref="J4:AU4" si="88">I4+7</f>
        <v>45796</v>
      </c>
      <c r="K4" s="237">
        <f t="shared" si="88"/>
        <v>45803</v>
      </c>
      <c r="L4" s="237">
        <f t="shared" si="88"/>
        <v>45810</v>
      </c>
      <c r="M4" s="237">
        <f t="shared" si="88"/>
        <v>45817</v>
      </c>
      <c r="N4" s="237">
        <f t="shared" si="88"/>
        <v>45824</v>
      </c>
      <c r="O4" s="237">
        <f t="shared" si="88"/>
        <v>45831</v>
      </c>
      <c r="P4" s="237">
        <f t="shared" si="88"/>
        <v>45838</v>
      </c>
      <c r="Q4" s="237">
        <f t="shared" si="88"/>
        <v>45845</v>
      </c>
      <c r="R4" s="237">
        <f t="shared" si="88"/>
        <v>45852</v>
      </c>
      <c r="S4" s="237">
        <f t="shared" si="88"/>
        <v>45859</v>
      </c>
      <c r="T4" s="237">
        <f t="shared" si="88"/>
        <v>45866</v>
      </c>
      <c r="U4" s="237">
        <f t="shared" si="88"/>
        <v>45873</v>
      </c>
      <c r="V4" s="237">
        <f t="shared" si="88"/>
        <v>45880</v>
      </c>
      <c r="W4" s="237">
        <f t="shared" si="88"/>
        <v>45887</v>
      </c>
      <c r="X4" s="237">
        <f t="shared" si="88"/>
        <v>45894</v>
      </c>
      <c r="Y4" s="237">
        <f t="shared" si="88"/>
        <v>45901</v>
      </c>
      <c r="Z4" s="237">
        <f t="shared" si="88"/>
        <v>45908</v>
      </c>
      <c r="AA4" s="237">
        <f t="shared" si="88"/>
        <v>45915</v>
      </c>
      <c r="AB4" s="237">
        <f t="shared" si="88"/>
        <v>45922</v>
      </c>
      <c r="AC4" s="237">
        <f t="shared" si="88"/>
        <v>45929</v>
      </c>
      <c r="AD4" s="237">
        <f t="shared" si="88"/>
        <v>45936</v>
      </c>
      <c r="AE4" s="237">
        <f t="shared" si="88"/>
        <v>45943</v>
      </c>
      <c r="AF4" s="237">
        <f t="shared" si="88"/>
        <v>45950</v>
      </c>
      <c r="AG4" s="237">
        <f t="shared" si="88"/>
        <v>45957</v>
      </c>
      <c r="AH4" s="237">
        <f t="shared" si="88"/>
        <v>45964</v>
      </c>
      <c r="AI4" s="237">
        <f t="shared" si="88"/>
        <v>45971</v>
      </c>
      <c r="AJ4" s="237">
        <f t="shared" si="88"/>
        <v>45978</v>
      </c>
      <c r="AK4" s="237">
        <f t="shared" si="88"/>
        <v>45985</v>
      </c>
      <c r="AL4" s="237">
        <f t="shared" si="88"/>
        <v>45992</v>
      </c>
      <c r="AM4" s="237">
        <f t="shared" si="88"/>
        <v>45999</v>
      </c>
      <c r="AN4" s="237">
        <f t="shared" si="88"/>
        <v>46006</v>
      </c>
      <c r="AO4" s="237">
        <f t="shared" si="88"/>
        <v>46013</v>
      </c>
      <c r="AP4" s="237">
        <f t="shared" si="88"/>
        <v>46020</v>
      </c>
      <c r="AQ4" s="237">
        <f t="shared" si="88"/>
        <v>46027</v>
      </c>
      <c r="AR4" s="237">
        <f t="shared" si="88"/>
        <v>46034</v>
      </c>
      <c r="AS4" s="237">
        <f t="shared" si="88"/>
        <v>46041</v>
      </c>
      <c r="AT4" s="237">
        <f t="shared" si="88"/>
        <v>46048</v>
      </c>
      <c r="AU4" s="237">
        <f t="shared" si="88"/>
        <v>46055</v>
      </c>
      <c r="AV4" s="237">
        <f t="shared" ref="AV4" si="89">AU4+7</f>
        <v>46062</v>
      </c>
      <c r="AW4" s="237">
        <f t="shared" ref="AW4" si="90">AV4+7</f>
        <v>46069</v>
      </c>
      <c r="AX4" s="237">
        <f t="shared" ref="AX4" si="91">AW4+7</f>
        <v>46076</v>
      </c>
      <c r="AY4" s="237">
        <f t="shared" ref="AY4" si="92">AX4+7</f>
        <v>46083</v>
      </c>
      <c r="AZ4" s="237">
        <f t="shared" ref="AZ4" si="93">AY4+7</f>
        <v>46090</v>
      </c>
      <c r="BA4" s="237">
        <f t="shared" ref="BA4" si="94">AZ4+7</f>
        <v>46097</v>
      </c>
      <c r="BB4" s="237">
        <f t="shared" ref="BB4" si="95">BA4+7</f>
        <v>46104</v>
      </c>
      <c r="BC4" s="237">
        <f t="shared" ref="BC4:BL4" si="96">BB4+7</f>
        <v>46111</v>
      </c>
      <c r="BD4" s="237">
        <f t="shared" si="96"/>
        <v>46118</v>
      </c>
      <c r="BE4" s="237">
        <f t="shared" si="96"/>
        <v>46125</v>
      </c>
      <c r="BF4" s="237">
        <f t="shared" si="96"/>
        <v>46132</v>
      </c>
      <c r="BG4" s="274">
        <f t="shared" si="96"/>
        <v>46139</v>
      </c>
      <c r="BH4" s="274">
        <f t="shared" si="96"/>
        <v>46146</v>
      </c>
      <c r="BI4" s="274">
        <f t="shared" si="96"/>
        <v>46153</v>
      </c>
      <c r="BJ4" s="237">
        <f t="shared" si="96"/>
        <v>46160</v>
      </c>
      <c r="BK4" s="237">
        <f t="shared" si="96"/>
        <v>46167</v>
      </c>
      <c r="BL4" s="274">
        <f t="shared" si="96"/>
        <v>46174</v>
      </c>
      <c r="BM4" s="274">
        <f t="shared" ref="BM4" si="97">BL4+7</f>
        <v>46181</v>
      </c>
      <c r="BN4" s="274">
        <f t="shared" ref="BN4" si="98">BM4+7</f>
        <v>46188</v>
      </c>
      <c r="BO4" s="372">
        <f t="shared" ref="BO4" si="99">BN4+7</f>
        <v>46195</v>
      </c>
      <c r="BP4" s="371">
        <f t="shared" ref="BP4" si="100">BO4+7</f>
        <v>46202</v>
      </c>
      <c r="BQ4" s="237">
        <f t="shared" ref="BQ4" si="101">BP4+7</f>
        <v>46209</v>
      </c>
      <c r="BR4" s="237">
        <f t="shared" ref="BR4" si="102">BQ4+7</f>
        <v>46216</v>
      </c>
      <c r="BS4" s="237">
        <f t="shared" ref="BS4" si="103">BR4+7</f>
        <v>46223</v>
      </c>
      <c r="BT4" s="237">
        <f t="shared" ref="BT4" si="104">BS4+7</f>
        <v>46230</v>
      </c>
      <c r="BU4" s="237">
        <f t="shared" ref="BU4" si="105">BT4+7</f>
        <v>46237</v>
      </c>
      <c r="BV4" s="237">
        <f t="shared" ref="BV4" si="106">BU4+7</f>
        <v>46244</v>
      </c>
      <c r="BW4" s="237">
        <f t="shared" ref="BW4" si="107">BV4+7</f>
        <v>46251</v>
      </c>
      <c r="BX4" s="237">
        <f t="shared" ref="BX4" si="108">BW4+7</f>
        <v>46258</v>
      </c>
      <c r="BY4" s="237">
        <f t="shared" ref="BY4" si="109">BX4+7</f>
        <v>46265</v>
      </c>
      <c r="BZ4" s="237">
        <f t="shared" ref="BZ4" si="110">BY4+7</f>
        <v>46272</v>
      </c>
      <c r="CA4" s="237">
        <f t="shared" ref="CA4" si="111">BZ4+7</f>
        <v>46279</v>
      </c>
      <c r="CB4" s="237">
        <f t="shared" ref="CB4" si="112">CA4+7</f>
        <v>46286</v>
      </c>
      <c r="CC4" s="237">
        <f t="shared" ref="CC4" si="113">CB4+7</f>
        <v>46293</v>
      </c>
      <c r="CD4" s="237">
        <f t="shared" ref="CD4" si="114">CC4+7</f>
        <v>46300</v>
      </c>
      <c r="CE4" s="237">
        <f t="shared" ref="CE4" si="115">CD4+7</f>
        <v>46307</v>
      </c>
      <c r="CF4" s="237">
        <f t="shared" ref="CF4" si="116">CE4+7</f>
        <v>46314</v>
      </c>
      <c r="CG4" s="237">
        <f t="shared" ref="CG4" si="117">CF4+7</f>
        <v>46321</v>
      </c>
      <c r="CH4" s="237">
        <f t="shared" ref="CH4" si="118">CG4+7</f>
        <v>46328</v>
      </c>
      <c r="CI4" s="237">
        <f t="shared" ref="CI4" si="119">CH4+7</f>
        <v>46335</v>
      </c>
      <c r="CJ4" s="237">
        <f t="shared" ref="CJ4" si="120">CI4+7</f>
        <v>46342</v>
      </c>
      <c r="CK4" s="237">
        <f t="shared" ref="CK4" si="121">CJ4+7</f>
        <v>46349</v>
      </c>
      <c r="CL4" s="237">
        <f t="shared" ref="CL4" si="122">CK4+7</f>
        <v>46356</v>
      </c>
      <c r="CM4" s="237">
        <f t="shared" ref="CM4" si="123">CL4+7</f>
        <v>46363</v>
      </c>
      <c r="CN4" s="237">
        <f t="shared" ref="CN4" si="124">CM4+7</f>
        <v>46370</v>
      </c>
      <c r="CO4" s="237">
        <f t="shared" ref="CO4" si="125">CN4+7</f>
        <v>46377</v>
      </c>
      <c r="CP4" s="237">
        <f t="shared" ref="CP4" si="126">CO4+7</f>
        <v>46384</v>
      </c>
    </row>
    <row r="5" spans="2:94" x14ac:dyDescent="0.4">
      <c r="B5" s="79" t="s">
        <v>0</v>
      </c>
      <c r="C5" s="80" t="s">
        <v>1</v>
      </c>
      <c r="D5" s="80" t="s">
        <v>2</v>
      </c>
      <c r="E5" s="80" t="s">
        <v>3</v>
      </c>
      <c r="F5" s="81" t="s">
        <v>191</v>
      </c>
      <c r="G5" s="67" t="s">
        <v>193</v>
      </c>
      <c r="H5" s="261" t="s">
        <v>299</v>
      </c>
      <c r="I5" s="261" t="s">
        <v>300</v>
      </c>
      <c r="J5" s="261" t="s">
        <v>301</v>
      </c>
      <c r="K5" s="261" t="s">
        <v>302</v>
      </c>
      <c r="L5" s="261" t="s">
        <v>303</v>
      </c>
      <c r="M5" s="261" t="s">
        <v>304</v>
      </c>
      <c r="N5" s="261" t="s">
        <v>305</v>
      </c>
      <c r="O5" s="261" t="s">
        <v>306</v>
      </c>
      <c r="P5" s="261" t="s">
        <v>307</v>
      </c>
      <c r="Q5" s="261" t="s">
        <v>308</v>
      </c>
      <c r="R5" s="261" t="s">
        <v>309</v>
      </c>
      <c r="S5" s="261" t="s">
        <v>310</v>
      </c>
      <c r="T5" s="261" t="s">
        <v>311</v>
      </c>
      <c r="U5" s="261" t="s">
        <v>312</v>
      </c>
      <c r="V5" s="261" t="s">
        <v>313</v>
      </c>
      <c r="W5" s="261" t="s">
        <v>314</v>
      </c>
      <c r="X5" s="261" t="s">
        <v>315</v>
      </c>
      <c r="Y5" s="261" t="s">
        <v>316</v>
      </c>
      <c r="Z5" s="261" t="s">
        <v>317</v>
      </c>
      <c r="AA5" s="261" t="s">
        <v>318</v>
      </c>
      <c r="AB5" s="261" t="s">
        <v>319</v>
      </c>
      <c r="AC5" s="261" t="s">
        <v>320</v>
      </c>
      <c r="AD5" s="261" t="s">
        <v>321</v>
      </c>
      <c r="AE5" s="261" t="s">
        <v>322</v>
      </c>
      <c r="AF5" s="261" t="s">
        <v>323</v>
      </c>
      <c r="AG5" s="261" t="s">
        <v>324</v>
      </c>
      <c r="AH5" s="261" t="s">
        <v>325</v>
      </c>
      <c r="AI5" s="261" t="s">
        <v>326</v>
      </c>
      <c r="AJ5" s="261" t="s">
        <v>327</v>
      </c>
      <c r="AK5" s="261" t="s">
        <v>328</v>
      </c>
      <c r="AL5" s="261" t="s">
        <v>329</v>
      </c>
      <c r="AM5" s="261" t="s">
        <v>330</v>
      </c>
      <c r="AN5" s="261" t="s">
        <v>333</v>
      </c>
      <c r="AO5" s="261" t="s">
        <v>334</v>
      </c>
      <c r="AP5" s="261" t="s">
        <v>335</v>
      </c>
      <c r="AQ5" s="261" t="s">
        <v>358</v>
      </c>
      <c r="AR5" s="261" t="s">
        <v>359</v>
      </c>
      <c r="AS5" s="261" t="s">
        <v>361</v>
      </c>
      <c r="AT5" s="261" t="s">
        <v>374</v>
      </c>
      <c r="AU5" s="261" t="s">
        <v>375</v>
      </c>
      <c r="AV5" s="261" t="s">
        <v>376</v>
      </c>
      <c r="AW5" s="261" t="s">
        <v>377</v>
      </c>
      <c r="AX5" s="261" t="s">
        <v>378</v>
      </c>
      <c r="AY5" s="261" t="s">
        <v>379</v>
      </c>
      <c r="AZ5" s="261" t="s">
        <v>380</v>
      </c>
      <c r="BA5" s="261" t="s">
        <v>381</v>
      </c>
      <c r="BB5" s="261" t="s">
        <v>382</v>
      </c>
      <c r="BC5" s="261" t="s">
        <v>383</v>
      </c>
      <c r="BD5" s="261" t="s">
        <v>385</v>
      </c>
      <c r="BE5" s="261" t="s">
        <v>388</v>
      </c>
      <c r="BF5" s="261" t="s">
        <v>389</v>
      </c>
      <c r="BG5" s="261" t="s">
        <v>390</v>
      </c>
      <c r="BH5" s="261" t="s">
        <v>391</v>
      </c>
      <c r="BI5" s="261" t="s">
        <v>387</v>
      </c>
      <c r="BJ5" s="261" t="s">
        <v>392</v>
      </c>
      <c r="BK5" s="261" t="s">
        <v>393</v>
      </c>
      <c r="BL5" s="261" t="s">
        <v>394</v>
      </c>
      <c r="BM5" s="261" t="s">
        <v>406</v>
      </c>
      <c r="BN5" s="273" t="s">
        <v>407</v>
      </c>
      <c r="BO5" s="273" t="s">
        <v>408</v>
      </c>
      <c r="BP5" s="273" t="s">
        <v>409</v>
      </c>
      <c r="BQ5" s="273" t="s">
        <v>410</v>
      </c>
      <c r="BR5" s="273" t="s">
        <v>411</v>
      </c>
      <c r="BS5" s="273" t="s">
        <v>412</v>
      </c>
      <c r="BT5" s="273" t="s">
        <v>413</v>
      </c>
      <c r="BU5" s="273" t="s">
        <v>414</v>
      </c>
      <c r="BV5" s="273" t="s">
        <v>415</v>
      </c>
      <c r="BW5" s="273" t="s">
        <v>416</v>
      </c>
      <c r="BX5" s="273" t="s">
        <v>417</v>
      </c>
      <c r="BY5" s="273" t="s">
        <v>418</v>
      </c>
      <c r="BZ5" s="273" t="s">
        <v>419</v>
      </c>
      <c r="CA5" s="273" t="s">
        <v>420</v>
      </c>
      <c r="CB5" s="273" t="s">
        <v>421</v>
      </c>
      <c r="CC5" s="273" t="s">
        <v>422</v>
      </c>
      <c r="CD5" s="273" t="s">
        <v>423</v>
      </c>
      <c r="CE5" s="273" t="s">
        <v>424</v>
      </c>
      <c r="CF5" s="273" t="s">
        <v>425</v>
      </c>
      <c r="CG5" s="273" t="s">
        <v>426</v>
      </c>
      <c r="CH5" s="273" t="s">
        <v>427</v>
      </c>
      <c r="CI5" s="273" t="s">
        <v>428</v>
      </c>
      <c r="CJ5" s="273" t="s">
        <v>429</v>
      </c>
      <c r="CK5" s="273" t="s">
        <v>430</v>
      </c>
      <c r="CL5" s="273" t="s">
        <v>431</v>
      </c>
      <c r="CM5" s="273" t="s">
        <v>432</v>
      </c>
      <c r="CN5" s="273" t="s">
        <v>433</v>
      </c>
      <c r="CO5" s="273" t="s">
        <v>434</v>
      </c>
      <c r="CP5" s="273" t="s">
        <v>435</v>
      </c>
    </row>
    <row r="6" spans="2:94" x14ac:dyDescent="0.4">
      <c r="B6" s="82" t="s">
        <v>11</v>
      </c>
      <c r="C6" s="83"/>
      <c r="D6" s="83"/>
      <c r="E6" s="83"/>
      <c r="F6" s="84">
        <f>'EDT Nueva'!F5</f>
        <v>1</v>
      </c>
      <c r="H6" s="84">
        <f>H7*$F$7+H46*$F$46</f>
        <v>0</v>
      </c>
      <c r="I6" s="84">
        <f t="shared" ref="I6:J6" si="127">I7*$F$7+I46*$F$46</f>
        <v>6.4094548875466603E-2</v>
      </c>
      <c r="J6" s="84">
        <f t="shared" si="127"/>
        <v>0.10235533218768098</v>
      </c>
      <c r="K6" s="84">
        <f t="shared" ref="K6:L6" si="128">K7*$F$7+K46*$F$46</f>
        <v>0.13146626920190052</v>
      </c>
      <c r="L6" s="84">
        <f t="shared" si="128"/>
        <v>0.17883461778899412</v>
      </c>
      <c r="M6" s="84">
        <f t="shared" ref="M6" si="129">M7*$F$7+M46*$F$46</f>
        <v>0.20908910701625444</v>
      </c>
      <c r="N6" s="84">
        <f t="shared" ref="N6:O6" si="130">N7*$F$7+N46*$F$46</f>
        <v>0.31333235028057671</v>
      </c>
      <c r="O6" s="84">
        <f t="shared" si="130"/>
        <v>0.35438262121807473</v>
      </c>
      <c r="P6" s="84">
        <f t="shared" ref="P6:Q6" si="131">P7*$F$7+P46*$F$46</f>
        <v>0.38658474947173488</v>
      </c>
      <c r="Q6" s="84">
        <f t="shared" si="131"/>
        <v>0.41422290163339587</v>
      </c>
      <c r="R6" s="84">
        <f t="shared" ref="R6:U6" si="132">R7*$F$7+R46*$F$46</f>
        <v>0.42979411462287836</v>
      </c>
      <c r="S6" s="84">
        <f t="shared" si="132"/>
        <v>0.44390113735710368</v>
      </c>
      <c r="T6" s="84">
        <f t="shared" si="132"/>
        <v>0.46533225340257373</v>
      </c>
      <c r="U6" s="84">
        <f t="shared" si="132"/>
        <v>0.4733804478536715</v>
      </c>
      <c r="V6" s="84">
        <f t="shared" ref="V6:W6" si="133">V7*$F$7+V46*$F$46</f>
        <v>0.49750883554724357</v>
      </c>
      <c r="W6" s="84">
        <f t="shared" si="133"/>
        <v>0.51666679178292407</v>
      </c>
      <c r="X6" s="84">
        <f t="shared" ref="X6:Y6" si="134">X7*$F$7+X46*$F$46</f>
        <v>0.54031007332414593</v>
      </c>
      <c r="Y6" s="84">
        <f t="shared" si="134"/>
        <v>0.55322933172217859</v>
      </c>
      <c r="Z6" s="84">
        <f t="shared" ref="Z6:AA6" si="135">Z7*$F$7+Z46*$F$46</f>
        <v>0.57247904041258846</v>
      </c>
      <c r="AA6" s="84">
        <f t="shared" si="135"/>
        <v>0.59057430007195111</v>
      </c>
      <c r="AB6" s="84">
        <f t="shared" ref="AB6:AC6" si="136">AB7*$F$7+AB46*$F$46</f>
        <v>0.61037207018897099</v>
      </c>
      <c r="AC6" s="84">
        <f t="shared" si="136"/>
        <v>0.62986519202151792</v>
      </c>
      <c r="AD6" s="84">
        <f t="shared" ref="AD6:AE6" si="137">AD7*$F$7+AD46*$F$46</f>
        <v>0.64574520618269327</v>
      </c>
      <c r="AE6" s="84">
        <f t="shared" si="137"/>
        <v>0.64758975889058901</v>
      </c>
      <c r="AF6" s="84">
        <f t="shared" ref="AF6:AG6" si="138">AF7*$F$7+AF46*$F$46</f>
        <v>0.65998105621028769</v>
      </c>
      <c r="AG6" s="84">
        <f t="shared" si="138"/>
        <v>0.66573995168740352</v>
      </c>
      <c r="AH6" s="84">
        <f t="shared" ref="AH6:AI6" si="139">AH7*$F$7+AH46*$F$46</f>
        <v>0.66697235865993831</v>
      </c>
      <c r="AI6" s="84">
        <f t="shared" si="139"/>
        <v>0.68537368847599567</v>
      </c>
      <c r="AJ6" s="84">
        <f>AJ7*$F$7+AJ46*$F$46</f>
        <v>0.70439989204253095</v>
      </c>
      <c r="AK6" s="84">
        <f t="shared" ref="AK6" si="140">AK7*$F$7+AK46*$F$46</f>
        <v>0.70795675576094441</v>
      </c>
      <c r="AL6" s="84">
        <f t="shared" ref="AL6:AM6" si="141">AL7*$F$7+AL46*$F$46</f>
        <v>0.71793004029153129</v>
      </c>
      <c r="AM6" s="84">
        <f t="shared" si="141"/>
        <v>0.72126427150884664</v>
      </c>
      <c r="AN6" s="84">
        <f t="shared" ref="AN6" si="142">AN7*$F$7+AN46*$F$46</f>
        <v>0.72487920198370381</v>
      </c>
      <c r="AO6" s="84">
        <f t="shared" ref="AO6" si="143">AO7*$F$7+AO46*$F$46</f>
        <v>0.7265963368409708</v>
      </c>
      <c r="AP6" s="84">
        <f t="shared" ref="AP6" si="144">AP7*$F$7+AP46*$F$46</f>
        <v>0.7273204337193937</v>
      </c>
      <c r="AQ6" s="84">
        <f t="shared" ref="AQ6:AR6" si="145">AQ7*$F$7+AQ46*$F$46</f>
        <v>0.72739284340723598</v>
      </c>
      <c r="AR6" s="84">
        <f t="shared" si="145"/>
        <v>0.72742904825115706</v>
      </c>
      <c r="AS6" s="84">
        <f t="shared" ref="AS6" si="146">AS7*$F$7+AS46*$F$46</f>
        <v>0.72742904825115706</v>
      </c>
      <c r="AT6" s="84">
        <f t="shared" ref="AT6:BC6" si="147">AT7*$F$7+AT46*$F$46</f>
        <v>0.72967657918904583</v>
      </c>
      <c r="AU6" s="84">
        <f t="shared" si="147"/>
        <v>0.73089080395971273</v>
      </c>
      <c r="AV6" s="84">
        <f t="shared" si="147"/>
        <v>0.73089080395971273</v>
      </c>
      <c r="AW6" s="84">
        <f t="shared" si="147"/>
        <v>0.73196488099604007</v>
      </c>
      <c r="AX6" s="84">
        <f t="shared" si="147"/>
        <v>0.73196488099604007</v>
      </c>
      <c r="AY6" s="84">
        <f t="shared" si="147"/>
        <v>0.73783698375147944</v>
      </c>
      <c r="AZ6" s="84">
        <f t="shared" si="147"/>
        <v>0.74062044655546411</v>
      </c>
      <c r="BA6" s="84">
        <f t="shared" si="147"/>
        <v>0.74448095166634642</v>
      </c>
      <c r="BB6" s="84">
        <f t="shared" si="147"/>
        <v>0.74875182039318955</v>
      </c>
      <c r="BC6" s="84">
        <f t="shared" si="147"/>
        <v>0.7502021096038578</v>
      </c>
      <c r="BD6" s="84">
        <f t="shared" ref="BD6:BE6" si="148">BD7*$F$7+BD46*$F$46</f>
        <v>0.7502021096038578</v>
      </c>
      <c r="BE6" s="84">
        <f t="shared" si="148"/>
        <v>0.75482660968830906</v>
      </c>
      <c r="BF6" s="84">
        <f t="shared" ref="BF6:BG6" si="149">BF7*$F$7+BF46*$F$46</f>
        <v>0.7572419093716527</v>
      </c>
      <c r="BG6" s="84">
        <f t="shared" si="149"/>
        <v>0.75848810380643683</v>
      </c>
      <c r="BH6" s="84">
        <f t="shared" ref="BH6:BI6" si="150">BH7*$F$7+BH46*$F$46</f>
        <v>0.75925264376422996</v>
      </c>
      <c r="BI6" s="84">
        <f t="shared" si="150"/>
        <v>0.75985604664128981</v>
      </c>
      <c r="BJ6" s="84">
        <f t="shared" ref="BJ6:BK6" si="151">BJ7*$F$7+BJ46*$F$46</f>
        <v>0.76089489734017268</v>
      </c>
      <c r="BK6" s="84">
        <f t="shared" si="151"/>
        <v>0.76137762299830836</v>
      </c>
      <c r="BL6" s="84">
        <f t="shared" ref="BL6:BM6" si="152">BL7*$F$7+BL46*$F$46</f>
        <v>0.78029938319267145</v>
      </c>
      <c r="BM6" s="84">
        <f t="shared" si="152"/>
        <v>0.78078210885080723</v>
      </c>
      <c r="BN6" s="84">
        <f t="shared" ref="BN6:BO6" si="153">BN7*$F$7+BN46*$F$46</f>
        <v>0.78114415449294561</v>
      </c>
      <c r="BO6" s="84">
        <f t="shared" si="153"/>
        <v>0.78268983123180569</v>
      </c>
      <c r="BP6" s="84">
        <f t="shared" ref="BP6" si="154">BP7*$F$7+BP46*$F$46</f>
        <v>0.78400540230155191</v>
      </c>
      <c r="BQ6" s="84">
        <f t="shared" ref="BQ6:BR6" si="155">BQ7*$F$7+BQ46*$F$46</f>
        <v>0.72742904825115706</v>
      </c>
      <c r="BR6" s="84">
        <f t="shared" si="155"/>
        <v>0.72742904825115706</v>
      </c>
      <c r="BS6" s="84">
        <f t="shared" ref="BS6:BT6" si="156">BS7*$F$7+BS46*$F$46</f>
        <v>0.72742904825115706</v>
      </c>
      <c r="BT6" s="84">
        <f t="shared" si="156"/>
        <v>0.72742904825115706</v>
      </c>
      <c r="BU6" s="84">
        <f t="shared" ref="BU6:BV6" si="157">BU7*$F$7+BU46*$F$46</f>
        <v>0.72742904825115706</v>
      </c>
      <c r="BV6" s="84">
        <f t="shared" si="157"/>
        <v>0.72742904825115706</v>
      </c>
      <c r="BW6" s="84">
        <f t="shared" ref="BW6:CP6" si="158">BW7*$F$7+BW46*$F$46</f>
        <v>0.72742904825115706</v>
      </c>
      <c r="BX6" s="84">
        <f t="shared" si="158"/>
        <v>0.72742904825115706</v>
      </c>
      <c r="BY6" s="84">
        <f t="shared" si="158"/>
        <v>0.72742904825115706</v>
      </c>
      <c r="BZ6" s="84">
        <f t="shared" si="158"/>
        <v>0.72742904825115706</v>
      </c>
      <c r="CA6" s="84">
        <f t="shared" si="158"/>
        <v>0.72742904825115706</v>
      </c>
      <c r="CB6" s="84">
        <f t="shared" si="158"/>
        <v>0.72742904825115706</v>
      </c>
      <c r="CC6" s="84">
        <f t="shared" si="158"/>
        <v>0.72742904825115706</v>
      </c>
      <c r="CD6" s="84">
        <f t="shared" si="158"/>
        <v>0.72742904825115706</v>
      </c>
      <c r="CE6" s="84">
        <f t="shared" si="158"/>
        <v>0.72742904825115706</v>
      </c>
      <c r="CF6" s="84">
        <f t="shared" si="158"/>
        <v>0.72742904825115706</v>
      </c>
      <c r="CG6" s="84">
        <f t="shared" si="158"/>
        <v>0.72742904825115706</v>
      </c>
      <c r="CH6" s="84">
        <f t="shared" si="158"/>
        <v>0.72742904825115706</v>
      </c>
      <c r="CI6" s="84">
        <f t="shared" si="158"/>
        <v>0.72742904825115706</v>
      </c>
      <c r="CJ6" s="84">
        <f t="shared" si="158"/>
        <v>0.72742904825115706</v>
      </c>
      <c r="CK6" s="84">
        <f t="shared" si="158"/>
        <v>0.72742904825115706</v>
      </c>
      <c r="CL6" s="84">
        <f t="shared" si="158"/>
        <v>0.72742904825115706</v>
      </c>
      <c r="CM6" s="84">
        <f t="shared" si="158"/>
        <v>0.72742904825115706</v>
      </c>
      <c r="CN6" s="84">
        <f t="shared" si="158"/>
        <v>0.72742904825115706</v>
      </c>
      <c r="CO6" s="84">
        <f t="shared" si="158"/>
        <v>0.72742904825115706</v>
      </c>
      <c r="CP6" s="84">
        <f t="shared" si="158"/>
        <v>0.76089489734017268</v>
      </c>
    </row>
    <row r="7" spans="2:94" x14ac:dyDescent="0.4">
      <c r="B7" s="15"/>
      <c r="C7" s="16" t="s">
        <v>19</v>
      </c>
      <c r="D7" s="16"/>
      <c r="E7" s="16"/>
      <c r="F7" s="66">
        <f>'EDT Nueva'!F6</f>
        <v>0.77282549416377599</v>
      </c>
      <c r="H7" s="66">
        <f>H8*$F$8+H13*$F$13+H15*$F$15+H18*$F$18+H22*$F$22+H25*$F$25+H27*$F$27+H31*$F$31+H42*$F$42+H44*$F$44</f>
        <v>0</v>
      </c>
      <c r="I7" s="66">
        <f t="shared" ref="I7:J7" si="159">I8*$F$8+I13*$F$13+I15*$F$15+I18*$F$18+I22*$F$22+I25*$F$25+I27*$F$27+I31*$F$31+I42*$F$42+I44*$F$44</f>
        <v>8.08701945310773E-2</v>
      </c>
      <c r="J7" s="66">
        <f t="shared" si="159"/>
        <v>0.12581393398292939</v>
      </c>
      <c r="K7" s="66">
        <f t="shared" ref="K7:L7" si="160">K8*$F$8+K13*$F$13+K15*$F$15+K18*$F$18+K22*$F$22+K25*$F$25+K27*$F$27+K31*$F$31+K42*$F$42+K44*$F$44</f>
        <v>0.15479973032542577</v>
      </c>
      <c r="L7" s="66">
        <f t="shared" si="160"/>
        <v>0.20587010599124519</v>
      </c>
      <c r="M7" s="66">
        <f t="shared" ref="M7" si="161">M8*$F$8+M13*$F$13+M15*$F$15+M18*$F$18+M22*$F$22+M25*$F$25+M27*$F$27+M31*$F$31+M42*$F$42+M44*$F$44</f>
        <v>0.23698768013147462</v>
      </c>
      <c r="N7" s="66">
        <f t="shared" ref="N7:O7" si="162">N8*$F$8+N13*$F$13+N15*$F$15+N18*$F$18+N22*$F$22+N25*$F$25+N27*$F$27+N31*$F$31+N42*$F$42+N44*$F$44</f>
        <v>0.36531350655976202</v>
      </c>
      <c r="O7" s="66">
        <f t="shared" si="162"/>
        <v>0.41554218687127831</v>
      </c>
      <c r="P7" s="66">
        <f t="shared" ref="P7:Q7" si="163">P8*$F$8+P13*$F$13+P15*$F$15+P18*$F$18+P22*$F$22+P25*$F$25+P27*$F$27+P31*$F$31+P42*$F$42+P44*$F$44</f>
        <v>0.4546649697618762</v>
      </c>
      <c r="Q7" s="66">
        <f t="shared" si="163"/>
        <v>0.48922625759205796</v>
      </c>
      <c r="R7" s="66">
        <f t="shared" ref="R7:U7" si="164">R8*$F$8+R13*$F$13+R15*$F$15+R18*$F$18+R22*$F$22+R25*$F$25+R27*$F$27+R31*$F$31+R42*$F$42+R44*$F$44</f>
        <v>0.50858532668640044</v>
      </c>
      <c r="S7" s="66">
        <f t="shared" si="164"/>
        <v>0.52660320609302425</v>
      </c>
      <c r="T7" s="66">
        <f t="shared" si="164"/>
        <v>0.54887209851902818</v>
      </c>
      <c r="U7" s="66">
        <f t="shared" si="164"/>
        <v>0.55872245520306496</v>
      </c>
      <c r="V7" s="66">
        <f t="shared" ref="V7:W7" si="165">V8*$F$8+V13*$F$13+V15*$F$15+V18*$F$18+V22*$F$22+V25*$F$25+V27*$F$27+V31*$F$31+V42*$F$42+V44*$F$44</f>
        <v>0.58768563409806485</v>
      </c>
      <c r="W7" s="66">
        <f t="shared" si="165"/>
        <v>0.60755366713570558</v>
      </c>
      <c r="X7" s="66">
        <f t="shared" ref="X7:Y7" si="166">X8*$F$8+X13*$F$13+X15*$F$15+X18*$F$18+X22*$F$22+X25*$F$25+X27*$F$27+X31*$F$31+X42*$F$42+X44*$F$44</f>
        <v>0.63501553315235137</v>
      </c>
      <c r="Y7" s="66">
        <f t="shared" si="166"/>
        <v>0.65087445794147181</v>
      </c>
      <c r="Z7" s="66">
        <f t="shared" ref="Z7:AA7" si="167">Z8*$F$8+Z13*$F$13+Z15*$F$15+Z18*$F$18+Z22*$F$22+Z25*$F$25+Z27*$F$27+Z31*$F$31+Z42*$F$42+Z44*$F$44</f>
        <v>0.67047868711639536</v>
      </c>
      <c r="AA7" s="66">
        <f t="shared" si="167"/>
        <v>0.687826026117353</v>
      </c>
      <c r="AB7" s="66">
        <f t="shared" ref="AB7:AC7" si="168">AB8*$F$8+AB13*$F$13+AB15*$F$15+AB18*$F$18+AB22*$F$22+AB25*$F$25+AB27*$F$27+AB31*$F$31+AB42*$F$42+AB44*$F$44</f>
        <v>0.69870687896218853</v>
      </c>
      <c r="AC7" s="66">
        <f t="shared" si="168"/>
        <v>0.71052625444399253</v>
      </c>
      <c r="AD7" s="66">
        <f t="shared" ref="AD7:AE7" si="169">AD8*$F$8+AD13*$F$13+AD15*$F$15+AD18*$F$18+AD22*$F$22+AD25*$F$25+AD27*$F$27+AD31*$F$31+AD42*$F$42+AD44*$F$44</f>
        <v>0.71863911968354177</v>
      </c>
      <c r="AE7" s="66">
        <f t="shared" si="169"/>
        <v>0.71901389866476906</v>
      </c>
      <c r="AF7" s="66">
        <f t="shared" ref="AF7:AG7" si="170">AF8*$F$8+AF13*$F$13+AF15*$F$15+AF18*$F$18+AF22*$F$22+AF25*$F$25+AF27*$F$27+AF31*$F$31+AF42*$F$42+AF44*$F$44</f>
        <v>0.73406880449813894</v>
      </c>
      <c r="AG7" s="66">
        <f t="shared" si="170"/>
        <v>0.7383570038274081</v>
      </c>
      <c r="AH7" s="66">
        <f t="shared" ref="AH7:AI7" si="171">AH8*$F$8+AH13*$F$13+AH15*$F$15+AH18*$F$18+AH22*$F$22+AH25*$F$25+AH27*$F$27+AH31*$F$31+AH42*$F$42+AH44*$F$44</f>
        <v>0.73890027151526771</v>
      </c>
      <c r="AI7" s="66">
        <f t="shared" si="171"/>
        <v>0.76211013718847997</v>
      </c>
      <c r="AJ7" s="66">
        <f t="shared" ref="AJ7:AK7" si="172">AJ8*$F$8+AJ13*$F$13+AJ15*$F$15+AJ18*$F$18+AJ22*$F$22+AJ25*$F$25+AJ27*$F$27+AJ31*$F$31+AJ42*$F$42+AJ44*$F$44</f>
        <v>0.77140500744683993</v>
      </c>
      <c r="AK7" s="66">
        <f t="shared" si="172"/>
        <v>0.77435697073394283</v>
      </c>
      <c r="AL7" s="66">
        <f t="shared" ref="AL7:AM7" si="173">AL8*$F$8+AL13*$F$13+AL15*$F$15+AL18*$F$18+AL22*$F$22+AL25*$F$25+AL27*$F$27+AL31*$F$31+AL42*$F$42+AL44*$F$44</f>
        <v>0.78086495454124094</v>
      </c>
      <c r="AM7" s="66">
        <f t="shared" si="173"/>
        <v>0.78279403527107005</v>
      </c>
      <c r="AN7" s="66">
        <f t="shared" ref="AN7" si="174">AN8*$F$8+AN13*$F$13+AN15*$F$15+AN18*$F$18+AN22*$F$22+AN25*$F$25+AN27*$F$27+AN31*$F$31+AN42*$F$42+AN44*$F$44</f>
        <v>0.78730751901138585</v>
      </c>
      <c r="AO7" s="66">
        <f t="shared" ref="AO7" si="175">AO8*$F$8+AO13*$F$13+AO15*$F$15+AO18*$F$18+AO22*$F$22+AO25*$F$25+AO27*$F$27+AO31*$F$31+AO42*$F$42+AO44*$F$44</f>
        <v>0.78952941110764097</v>
      </c>
      <c r="AP7" s="66">
        <f t="shared" ref="AP7" si="176">AP8*$F$8+AP13*$F$13+AP15*$F$15+AP18*$F$18+AP22*$F$22+AP25*$F$25+AP27*$F$27+AP31*$F$31+AP42*$F$42+AP44*$F$44</f>
        <v>0.79046635856070913</v>
      </c>
      <c r="AQ7" s="66">
        <f t="shared" ref="AQ7:AR7" si="177">AQ8*$F$8+AQ13*$F$13+AQ15*$F$15+AQ18*$F$18+AQ22*$F$22+AQ25*$F$25+AQ27*$F$27+AQ31*$F$31+AQ42*$F$42+AQ44*$F$44</f>
        <v>0.79056005330601598</v>
      </c>
      <c r="AR7" s="66">
        <f t="shared" si="177"/>
        <v>0.79060690067866934</v>
      </c>
      <c r="AS7" s="66">
        <f t="shared" ref="AS7" si="178">AS8*$F$8+AS13*$F$13+AS15*$F$15+AS18*$F$18+AS22*$F$22+AS25*$F$25+AS27*$F$27+AS31*$F$31+AS42*$F$42+AS44*$F$44</f>
        <v>0.79060690067866934</v>
      </c>
      <c r="AT7" s="66">
        <f t="shared" ref="AT7:BC7" si="179">AT8*$F$8+AT13*$F$13+AT15*$F$15+AT18*$F$18+AT22*$F$22+AT25*$F$25+AT27*$F$27+AT31*$F$31+AT42*$F$42+AT44*$F$44</f>
        <v>0.79265274267610286</v>
      </c>
      <c r="AU7" s="66">
        <f t="shared" si="179"/>
        <v>0.79374584803801573</v>
      </c>
      <c r="AV7" s="66">
        <f t="shared" si="179"/>
        <v>0.79374584803801573</v>
      </c>
      <c r="AW7" s="66">
        <f t="shared" si="179"/>
        <v>0.79513565342673354</v>
      </c>
      <c r="AX7" s="66">
        <f t="shared" si="179"/>
        <v>0.79513565342673354</v>
      </c>
      <c r="AY7" s="66">
        <f t="shared" si="179"/>
        <v>0.79810558156420897</v>
      </c>
      <c r="AZ7" s="66">
        <f t="shared" si="179"/>
        <v>0.8015354823715779</v>
      </c>
      <c r="BA7" s="66">
        <f t="shared" si="179"/>
        <v>0.80605848854085971</v>
      </c>
      <c r="BB7" s="66">
        <f t="shared" si="179"/>
        <v>0.81116581870873272</v>
      </c>
      <c r="BC7" s="66">
        <f t="shared" si="179"/>
        <v>0.81298909233817052</v>
      </c>
      <c r="BD7" s="66">
        <f t="shared" ref="BD7:BE7" si="180">BD8*$F$8+BD13*$F$13+BD15*$F$15+BD18*$F$18+BD22*$F$22+BD25*$F$25+BD27*$F$27+BD31*$F$31+BD42*$F$42+BD44*$F$44</f>
        <v>0.81298909233817052</v>
      </c>
      <c r="BE7" s="66">
        <f t="shared" si="180"/>
        <v>0.8185006722273136</v>
      </c>
      <c r="BF7" s="66">
        <f t="shared" ref="BF7:BG7" si="181">BF8*$F$8+BF13*$F$13+BF15*$F$15+BF18*$F$18+BF22*$F$22+BF25*$F$25+BF27*$F$27+BF31*$F$31+BF42*$F$42+BF44*$F$44</f>
        <v>0.82120698294446659</v>
      </c>
      <c r="BG7" s="66">
        <f t="shared" si="181"/>
        <v>0.8224900317958026</v>
      </c>
      <c r="BH7" s="66">
        <f t="shared" ref="BH7:BI7" si="182">BH8*$F$8+BH13*$F$13+BH15*$F$15+BH18*$F$18+BH22*$F$22+BH25*$F$25+BH27*$F$27+BH31*$F$31+BH42*$F$42+BH44*$F$44</f>
        <v>0.82314984230856347</v>
      </c>
      <c r="BI7" s="66">
        <f t="shared" si="182"/>
        <v>0.82330600021740818</v>
      </c>
      <c r="BJ7" s="66">
        <f t="shared" ref="BJ7:BK7" si="183">BJ8*$F$8+BJ13*$F$13+BJ15*$F$15+BJ18*$F$18+BJ22*$F$22+BJ25*$F$25+BJ27*$F$27+BJ31*$F$31+BJ42*$F$42+BJ44*$F$44</f>
        <v>0.82418176150634326</v>
      </c>
      <c r="BK7" s="66">
        <f t="shared" si="183"/>
        <v>0.82449407732403257</v>
      </c>
      <c r="BL7" s="66">
        <f t="shared" ref="BL7:BM7" si="184">BL8*$F$8+BL13*$F$13+BL15*$F$15+BL18*$F$18+BL22*$F$22+BL25*$F$25+BL27*$F$27+BL31*$F$31+BL42*$F$42+BL44*$F$44</f>
        <v>0.83433569782519501</v>
      </c>
      <c r="BM7" s="66">
        <f t="shared" si="184"/>
        <v>0.83464801364288443</v>
      </c>
      <c r="BN7" s="66">
        <f t="shared" ref="BN7:BO7" si="185">BN8*$F$8+BN13*$F$13+BN15*$F$15+BN18*$F$18+BN22*$F$22+BN25*$F$25+BN27*$F$27+BN31*$F$31+BN42*$F$42+BN44*$F$44</f>
        <v>0.83496032946057386</v>
      </c>
      <c r="BO7" s="66">
        <f t="shared" si="185"/>
        <v>0.83652405558839538</v>
      </c>
      <c r="BP7" s="66">
        <f t="shared" ref="BP7" si="186">BP8*$F$8+BP13*$F$13+BP15*$F$15+BP18*$F$18+BP22*$F$22+BP25*$F$25+BP27*$F$27+BP31*$F$31+BP42*$F$42+BP44*$F$44</f>
        <v>0.83791403436868117</v>
      </c>
      <c r="BQ7" s="66">
        <f t="shared" ref="BQ7:BR7" si="187">BQ8*$F$8+BQ13*$F$13+BQ15*$F$15+BQ18*$F$18+BQ22*$F$22+BQ25*$F$25+BQ27*$F$27+BQ31*$F$31+BQ42*$F$42+BQ44*$F$44</f>
        <v>0.79060690067866934</v>
      </c>
      <c r="BR7" s="66">
        <f t="shared" si="187"/>
        <v>0.79060690067866934</v>
      </c>
      <c r="BS7" s="66">
        <f t="shared" ref="BS7:BT7" si="188">BS8*$F$8+BS13*$F$13+BS15*$F$15+BS18*$F$18+BS22*$F$22+BS25*$F$25+BS27*$F$27+BS31*$F$31+BS42*$F$42+BS44*$F$44</f>
        <v>0.79060690067866934</v>
      </c>
      <c r="BT7" s="66">
        <f t="shared" si="188"/>
        <v>0.79060690067866934</v>
      </c>
      <c r="BU7" s="66">
        <f t="shared" ref="BU7:BV7" si="189">BU8*$F$8+BU13*$F$13+BU15*$F$15+BU18*$F$18+BU22*$F$22+BU25*$F$25+BU27*$F$27+BU31*$F$31+BU42*$F$42+BU44*$F$44</f>
        <v>0.79060690067866934</v>
      </c>
      <c r="BV7" s="66">
        <f t="shared" si="189"/>
        <v>0.79060690067866934</v>
      </c>
      <c r="BW7" s="66">
        <f t="shared" ref="BW7:CP7" si="190">BW8*$F$8+BW13*$F$13+BW15*$F$15+BW18*$F$18+BW22*$F$22+BW25*$F$25+BW27*$F$27+BW31*$F$31+BW42*$F$42+BW44*$F$44</f>
        <v>0.79060690067866934</v>
      </c>
      <c r="BX7" s="66">
        <f t="shared" si="190"/>
        <v>0.79060690067866934</v>
      </c>
      <c r="BY7" s="66">
        <f t="shared" si="190"/>
        <v>0.79060690067866934</v>
      </c>
      <c r="BZ7" s="66">
        <f t="shared" si="190"/>
        <v>0.79060690067866934</v>
      </c>
      <c r="CA7" s="66">
        <f t="shared" si="190"/>
        <v>0.79060690067866934</v>
      </c>
      <c r="CB7" s="66">
        <f t="shared" si="190"/>
        <v>0.79060690067866934</v>
      </c>
      <c r="CC7" s="66">
        <f t="shared" si="190"/>
        <v>0.79060690067866934</v>
      </c>
      <c r="CD7" s="66">
        <f t="shared" si="190"/>
        <v>0.79060690067866934</v>
      </c>
      <c r="CE7" s="66">
        <f t="shared" si="190"/>
        <v>0.79060690067866934</v>
      </c>
      <c r="CF7" s="66">
        <f t="shared" si="190"/>
        <v>0.79060690067866934</v>
      </c>
      <c r="CG7" s="66">
        <f t="shared" si="190"/>
        <v>0.79060690067866934</v>
      </c>
      <c r="CH7" s="66">
        <f t="shared" si="190"/>
        <v>0.79060690067866934</v>
      </c>
      <c r="CI7" s="66">
        <f t="shared" si="190"/>
        <v>0.79060690067866934</v>
      </c>
      <c r="CJ7" s="66">
        <f t="shared" si="190"/>
        <v>0.79060690067866934</v>
      </c>
      <c r="CK7" s="66">
        <f t="shared" si="190"/>
        <v>0.79060690067866934</v>
      </c>
      <c r="CL7" s="66">
        <f t="shared" si="190"/>
        <v>0.79060690067866934</v>
      </c>
      <c r="CM7" s="66">
        <f t="shared" si="190"/>
        <v>0.79060690067866934</v>
      </c>
      <c r="CN7" s="66">
        <f t="shared" si="190"/>
        <v>0.79060690067866934</v>
      </c>
      <c r="CO7" s="66">
        <f t="shared" si="190"/>
        <v>0.79060690067866934</v>
      </c>
      <c r="CP7" s="66">
        <f t="shared" si="190"/>
        <v>0.82418176150634326</v>
      </c>
    </row>
    <row r="8" spans="2:94" outlineLevel="1" collapsed="1" x14ac:dyDescent="0.4">
      <c r="B8" s="85"/>
      <c r="C8" s="86"/>
      <c r="D8" s="86" t="s">
        <v>22</v>
      </c>
      <c r="E8" s="86"/>
      <c r="F8" s="87">
        <f>'EDT Nueva'!F7</f>
        <v>0.22602491175176692</v>
      </c>
      <c r="H8" s="87">
        <f>SUMPRODUCT(H9:H12,$F9:$F12)</f>
        <v>0</v>
      </c>
      <c r="I8" s="87">
        <f t="shared" ref="I8:J8" si="191">SUMPRODUCT(I9:I12,$F9:$F12)</f>
        <v>5.1149425287356332E-2</v>
      </c>
      <c r="J8" s="87">
        <f t="shared" si="191"/>
        <v>7.9080459770114964E-2</v>
      </c>
      <c r="K8" s="87">
        <f t="shared" ref="K8:L8" si="192">SUMPRODUCT(K9:K12,$F9:$F12)</f>
        <v>9.40373563218391E-2</v>
      </c>
      <c r="L8" s="87">
        <f t="shared" si="192"/>
        <v>0.10502873563218393</v>
      </c>
      <c r="M8" s="87">
        <f t="shared" ref="M8" si="193">SUMPRODUCT(M9:M12,$F9:$F12)</f>
        <v>0.14183908045977014</v>
      </c>
      <c r="N8" s="87">
        <f t="shared" ref="N8:O8" si="194">SUMPRODUCT(N9:N12,$F9:$F12)</f>
        <v>0.54500000000000004</v>
      </c>
      <c r="O8" s="87">
        <f t="shared" si="194"/>
        <v>0.57275862068965522</v>
      </c>
      <c r="P8" s="87">
        <f t="shared" ref="P8:Q8" si="195">SUMPRODUCT(P9:P12,$F9:$F12)</f>
        <v>0.59051724137931039</v>
      </c>
      <c r="Q8" s="87">
        <f t="shared" si="195"/>
        <v>0.59310344827586203</v>
      </c>
      <c r="R8" s="87">
        <f t="shared" ref="R8:U8" si="196">SUMPRODUCT(R9:R12,$F9:$F12)</f>
        <v>0.60327586206896555</v>
      </c>
      <c r="S8" s="87">
        <f t="shared" si="196"/>
        <v>0.60741379310344834</v>
      </c>
      <c r="T8" s="87">
        <f t="shared" si="196"/>
        <v>0.61775862068965515</v>
      </c>
      <c r="U8" s="87">
        <f t="shared" si="196"/>
        <v>0.62327586206896546</v>
      </c>
      <c r="V8" s="87">
        <f t="shared" ref="V8:W8" si="197">SUMPRODUCT(V9:V12,$F9:$F12)</f>
        <v>0.63155172413793104</v>
      </c>
      <c r="W8" s="87">
        <f t="shared" si="197"/>
        <v>0.63982758620689661</v>
      </c>
      <c r="X8" s="87">
        <f t="shared" ref="X8:Y8" si="198">SUMPRODUCT(X9:X12,$F9:$F12)</f>
        <v>0.70304597701149418</v>
      </c>
      <c r="Y8" s="87">
        <f t="shared" si="198"/>
        <v>0.72011494252873565</v>
      </c>
      <c r="Z8" s="87">
        <f t="shared" ref="Z8:AA8" si="199">SUMPRODUCT(Z9:Z12,$F9:$F12)</f>
        <v>0.7567528735632183</v>
      </c>
      <c r="AA8" s="87">
        <f t="shared" si="199"/>
        <v>0.76580459770114928</v>
      </c>
      <c r="AB8" s="87">
        <f t="shared" ref="AB8:AC8" si="200">SUMPRODUCT(AB9:AB12,$F9:$F12)</f>
        <v>0.79454022988505746</v>
      </c>
      <c r="AC8" s="87">
        <f t="shared" si="200"/>
        <v>0.79454022988505746</v>
      </c>
      <c r="AD8" s="87">
        <f t="shared" ref="AD8:AE8" si="201">SUMPRODUCT(AD9:AD12,$F9:$F12)</f>
        <v>0.79917385057471257</v>
      </c>
      <c r="AE8" s="87">
        <f t="shared" si="201"/>
        <v>0.79917385057471257</v>
      </c>
      <c r="AF8" s="87">
        <f t="shared" ref="AF8:AG8" si="202">SUMPRODUCT(AF9:AF12,$F9:$F12)</f>
        <v>0.81063218390804592</v>
      </c>
      <c r="AG8" s="87">
        <f t="shared" si="202"/>
        <v>0.81278735632183896</v>
      </c>
      <c r="AH8" s="87">
        <f t="shared" ref="AH8:AI8" si="203">SUMPRODUCT(AH9:AH12,$F9:$F12)</f>
        <v>0.81367097701149416</v>
      </c>
      <c r="AI8" s="87">
        <f t="shared" si="203"/>
        <v>0.81367097701149416</v>
      </c>
      <c r="AJ8" s="87">
        <f t="shared" ref="AJ8:AK8" si="204">SUMPRODUCT(AJ9:AJ12,$F9:$F12)</f>
        <v>0.81640804597701144</v>
      </c>
      <c r="AK8" s="87">
        <f t="shared" si="204"/>
        <v>0.82946839080459767</v>
      </c>
      <c r="AL8" s="87">
        <f t="shared" ref="AL8:AM8" si="205">SUMPRODUCT(AL9:AL12,$F9:$F12)</f>
        <v>0.83007183908045967</v>
      </c>
      <c r="AM8" s="87">
        <f t="shared" si="205"/>
        <v>0.83681034482758609</v>
      </c>
      <c r="AN8" s="87">
        <f t="shared" ref="AN8" si="206">SUMPRODUCT(AN9:AN12,$F9:$F12)</f>
        <v>0.83681034482758609</v>
      </c>
      <c r="AO8" s="87">
        <f t="shared" ref="AO8" si="207">SUMPRODUCT(AO9:AO12,$F9:$F12)</f>
        <v>0.83910919540229878</v>
      </c>
      <c r="AP8" s="87">
        <f t="shared" ref="AP8" si="208">SUMPRODUCT(AP9:AP12,$F9:$F12)</f>
        <v>0.83910919540229878</v>
      </c>
      <c r="AQ8" s="87">
        <f t="shared" ref="AQ8:AR8" si="209">SUMPRODUCT(AQ9:AQ12,$F9:$F12)</f>
        <v>0.83910919540229878</v>
      </c>
      <c r="AR8" s="87">
        <f t="shared" si="209"/>
        <v>0.83910919540229878</v>
      </c>
      <c r="AS8" s="87">
        <f t="shared" ref="AS8" si="210">SUMPRODUCT(AS9:AS12,$F9:$F12)</f>
        <v>0.83910919540229878</v>
      </c>
      <c r="AT8" s="87">
        <f t="shared" ref="AT8:BC8" si="211">SUMPRODUCT(AT9:AT12,$F9:$F12)</f>
        <v>0.83910919540229878</v>
      </c>
      <c r="AU8" s="87">
        <f t="shared" si="211"/>
        <v>0.83910919540229878</v>
      </c>
      <c r="AV8" s="87">
        <f t="shared" si="211"/>
        <v>0.83910919540229878</v>
      </c>
      <c r="AW8" s="87">
        <f t="shared" si="211"/>
        <v>0.83910919540229878</v>
      </c>
      <c r="AX8" s="87">
        <f t="shared" si="211"/>
        <v>0.83910919540229878</v>
      </c>
      <c r="AY8" s="87">
        <f t="shared" si="211"/>
        <v>0.84195402298850563</v>
      </c>
      <c r="AZ8" s="87">
        <f t="shared" si="211"/>
        <v>0.85574712643678152</v>
      </c>
      <c r="BA8" s="87">
        <f t="shared" si="211"/>
        <v>0.86954022988505741</v>
      </c>
      <c r="BB8" s="87">
        <f t="shared" si="211"/>
        <v>0.88045977011494247</v>
      </c>
      <c r="BC8" s="87">
        <f t="shared" si="211"/>
        <v>0.88045977011494247</v>
      </c>
      <c r="BD8" s="87">
        <f t="shared" ref="BD8:BE8" si="212">SUMPRODUCT(BD9:BD12,$F9:$F12)</f>
        <v>0.88045977011494247</v>
      </c>
      <c r="BE8" s="87">
        <f t="shared" si="212"/>
        <v>0.89885057471264362</v>
      </c>
      <c r="BF8" s="87">
        <f t="shared" ref="BF8:BG8" si="213">SUMPRODUCT(BF9:BF12,$F9:$F12)</f>
        <v>0.90344827586206899</v>
      </c>
      <c r="BG8" s="87">
        <f t="shared" si="213"/>
        <v>0.90689655172413786</v>
      </c>
      <c r="BH8" s="87">
        <f t="shared" ref="BH8:BI8" si="214">SUMPRODUCT(BH9:BH12,$F9:$F12)</f>
        <v>0.90689655172413786</v>
      </c>
      <c r="BI8" s="87">
        <f t="shared" si="214"/>
        <v>0.90689655172413786</v>
      </c>
      <c r="BJ8" s="87">
        <f t="shared" ref="BJ8:BK8" si="215">SUMPRODUCT(BJ9:BJ12,$F9:$F12)</f>
        <v>0.9086206896551724</v>
      </c>
      <c r="BK8" s="87">
        <f t="shared" si="215"/>
        <v>0.9086206896551724</v>
      </c>
      <c r="BL8" s="87">
        <f t="shared" ref="BL8" si="216">SUMPRODUCT(BL9:BL12,$F9:$F12)</f>
        <v>0.9086206896551724</v>
      </c>
      <c r="BM8" s="87">
        <f t="shared" ref="BM8:BN8" si="217">SUMPRODUCT(BM9:BM12,$F9:$F12)</f>
        <v>0.9086206896551724</v>
      </c>
      <c r="BN8" s="87">
        <f t="shared" si="217"/>
        <v>0.9086206896551724</v>
      </c>
      <c r="BO8" s="87">
        <f t="shared" ref="BO8" si="218">SUMPRODUCT(BO9:BO12,$F9:$F12)</f>
        <v>0.9086206896551724</v>
      </c>
      <c r="BP8" s="87">
        <f t="shared" ref="BP8" si="219">SUMPRODUCT(BP9:BP12,$F9:$F12)</f>
        <v>0.9086206896551724</v>
      </c>
      <c r="BQ8" s="87">
        <f t="shared" ref="BQ8:BR8" si="220">SUMPRODUCT(BQ9:BQ12,$F9:$F12)</f>
        <v>0.83910919540229878</v>
      </c>
      <c r="BR8" s="87">
        <f t="shared" si="220"/>
        <v>0.83910919540229878</v>
      </c>
      <c r="BS8" s="87">
        <f t="shared" ref="BS8:BT8" si="221">SUMPRODUCT(BS9:BS12,$F9:$F12)</f>
        <v>0.83910919540229878</v>
      </c>
      <c r="BT8" s="87">
        <f t="shared" si="221"/>
        <v>0.83910919540229878</v>
      </c>
      <c r="BU8" s="87">
        <f t="shared" ref="BU8:BV8" si="222">SUMPRODUCT(BU9:BU12,$F9:$F12)</f>
        <v>0.83910919540229878</v>
      </c>
      <c r="BV8" s="87">
        <f t="shared" si="222"/>
        <v>0.83910919540229878</v>
      </c>
      <c r="BW8" s="87">
        <f t="shared" ref="BW8:CP8" si="223">SUMPRODUCT(BW9:BW12,$F9:$F12)</f>
        <v>0.83910919540229878</v>
      </c>
      <c r="BX8" s="87">
        <f t="shared" si="223"/>
        <v>0.83910919540229878</v>
      </c>
      <c r="BY8" s="87">
        <f t="shared" si="223"/>
        <v>0.83910919540229878</v>
      </c>
      <c r="BZ8" s="87">
        <f t="shared" si="223"/>
        <v>0.83910919540229878</v>
      </c>
      <c r="CA8" s="87">
        <f t="shared" si="223"/>
        <v>0.83910919540229878</v>
      </c>
      <c r="CB8" s="87">
        <f t="shared" si="223"/>
        <v>0.83910919540229878</v>
      </c>
      <c r="CC8" s="87">
        <f t="shared" si="223"/>
        <v>0.83910919540229878</v>
      </c>
      <c r="CD8" s="87">
        <f t="shared" si="223"/>
        <v>0.83910919540229878</v>
      </c>
      <c r="CE8" s="87">
        <f t="shared" si="223"/>
        <v>0.83910919540229878</v>
      </c>
      <c r="CF8" s="87">
        <f t="shared" si="223"/>
        <v>0.83910919540229878</v>
      </c>
      <c r="CG8" s="87">
        <f t="shared" si="223"/>
        <v>0.83910919540229878</v>
      </c>
      <c r="CH8" s="87">
        <f t="shared" si="223"/>
        <v>0.83910919540229878</v>
      </c>
      <c r="CI8" s="87">
        <f t="shared" si="223"/>
        <v>0.83910919540229878</v>
      </c>
      <c r="CJ8" s="87">
        <f t="shared" si="223"/>
        <v>0.83910919540229878</v>
      </c>
      <c r="CK8" s="87">
        <f t="shared" si="223"/>
        <v>0.83910919540229878</v>
      </c>
      <c r="CL8" s="87">
        <f t="shared" si="223"/>
        <v>0.83910919540229878</v>
      </c>
      <c r="CM8" s="87">
        <f t="shared" si="223"/>
        <v>0.83910919540229878</v>
      </c>
      <c r="CN8" s="87">
        <f t="shared" si="223"/>
        <v>0.83910919540229878</v>
      </c>
      <c r="CO8" s="87">
        <f t="shared" si="223"/>
        <v>0.83910919540229878</v>
      </c>
      <c r="CP8" s="87">
        <f t="shared" si="223"/>
        <v>0.9086206896551724</v>
      </c>
    </row>
    <row r="9" spans="2:94" hidden="1" outlineLevel="2" x14ac:dyDescent="0.4">
      <c r="B9" s="69"/>
      <c r="C9" s="70"/>
      <c r="D9" s="70"/>
      <c r="E9" s="70" t="s">
        <v>25</v>
      </c>
      <c r="F9" s="71">
        <f>'EDT Nueva'!F8</f>
        <v>0.22988505747126436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1</v>
      </c>
      <c r="O9" s="71">
        <v>1</v>
      </c>
      <c r="P9" s="71">
        <v>1</v>
      </c>
      <c r="Q9" s="71">
        <v>1</v>
      </c>
      <c r="R9" s="71">
        <v>1</v>
      </c>
      <c r="S9" s="71">
        <v>1</v>
      </c>
      <c r="T9" s="71">
        <v>1</v>
      </c>
      <c r="U9" s="71">
        <v>1</v>
      </c>
      <c r="V9" s="71">
        <v>1</v>
      </c>
      <c r="W9" s="71">
        <v>1</v>
      </c>
      <c r="X9" s="71">
        <v>1</v>
      </c>
      <c r="Y9" s="71">
        <v>1</v>
      </c>
      <c r="Z9" s="71">
        <v>1</v>
      </c>
      <c r="AA9" s="71">
        <v>1</v>
      </c>
      <c r="AB9" s="71">
        <v>1</v>
      </c>
      <c r="AC9" s="71">
        <v>1</v>
      </c>
      <c r="AD9" s="71">
        <v>1</v>
      </c>
      <c r="AE9" s="71">
        <v>1</v>
      </c>
      <c r="AF9" s="71">
        <v>1</v>
      </c>
      <c r="AG9" s="71">
        <v>1</v>
      </c>
      <c r="AH9" s="71">
        <v>1</v>
      </c>
      <c r="AI9" s="71">
        <v>1</v>
      </c>
      <c r="AJ9" s="71">
        <v>1</v>
      </c>
      <c r="AK9" s="71">
        <v>1</v>
      </c>
      <c r="AL9" s="71">
        <v>1</v>
      </c>
      <c r="AM9" s="71">
        <v>1</v>
      </c>
      <c r="AN9" s="71">
        <v>1</v>
      </c>
      <c r="AO9" s="71">
        <v>1</v>
      </c>
      <c r="AP9" s="71">
        <v>1</v>
      </c>
      <c r="AQ9" s="71">
        <v>1</v>
      </c>
      <c r="AR9" s="71">
        <v>1</v>
      </c>
      <c r="AS9" s="71">
        <v>1</v>
      </c>
      <c r="AT9" s="71">
        <v>1</v>
      </c>
      <c r="AU9" s="71">
        <v>1</v>
      </c>
      <c r="AV9" s="71">
        <v>1</v>
      </c>
      <c r="AW9" s="71">
        <v>1</v>
      </c>
      <c r="AX9" s="71">
        <v>1</v>
      </c>
      <c r="AY9" s="71">
        <v>1</v>
      </c>
      <c r="AZ9" s="71">
        <v>1</v>
      </c>
      <c r="BA9" s="71">
        <v>1</v>
      </c>
      <c r="BB9" s="71">
        <v>1</v>
      </c>
      <c r="BC9" s="71">
        <v>1</v>
      </c>
      <c r="BD9" s="71">
        <v>1</v>
      </c>
      <c r="BE9" s="71">
        <v>1</v>
      </c>
      <c r="BF9" s="71">
        <v>1</v>
      </c>
      <c r="BG9" s="71">
        <v>1</v>
      </c>
      <c r="BH9" s="71">
        <v>1</v>
      </c>
      <c r="BI9" s="71">
        <v>1</v>
      </c>
      <c r="BJ9" s="71">
        <v>1</v>
      </c>
      <c r="BK9" s="71">
        <v>1</v>
      </c>
      <c r="BL9" s="71">
        <v>1</v>
      </c>
      <c r="BM9" s="71">
        <v>1</v>
      </c>
      <c r="BN9" s="71">
        <v>1</v>
      </c>
      <c r="BO9" s="71">
        <v>1</v>
      </c>
      <c r="BP9" s="71">
        <v>1</v>
      </c>
      <c r="BQ9" s="71">
        <v>1</v>
      </c>
      <c r="BR9" s="71">
        <v>1</v>
      </c>
      <c r="BS9" s="71">
        <v>1</v>
      </c>
      <c r="BT9" s="71">
        <v>1</v>
      </c>
      <c r="BU9" s="71">
        <v>1</v>
      </c>
      <c r="BV9" s="71">
        <v>1</v>
      </c>
      <c r="BW9" s="71">
        <v>1</v>
      </c>
      <c r="BX9" s="71">
        <v>1</v>
      </c>
      <c r="BY9" s="71">
        <v>1</v>
      </c>
      <c r="BZ9" s="71">
        <v>1</v>
      </c>
      <c r="CA9" s="71">
        <v>1</v>
      </c>
      <c r="CB9" s="71">
        <v>1</v>
      </c>
      <c r="CC9" s="71">
        <v>1</v>
      </c>
      <c r="CD9" s="71">
        <v>1</v>
      </c>
      <c r="CE9" s="71">
        <v>1</v>
      </c>
      <c r="CF9" s="71">
        <v>1</v>
      </c>
      <c r="CG9" s="71">
        <v>1</v>
      </c>
      <c r="CH9" s="71">
        <v>1</v>
      </c>
      <c r="CI9" s="71">
        <v>1</v>
      </c>
      <c r="CJ9" s="71">
        <v>1</v>
      </c>
      <c r="CK9" s="71">
        <v>1</v>
      </c>
      <c r="CL9" s="71">
        <v>1</v>
      </c>
      <c r="CM9" s="71">
        <v>1</v>
      </c>
      <c r="CN9" s="71">
        <v>1</v>
      </c>
      <c r="CO9" s="71">
        <v>1</v>
      </c>
      <c r="CP9" s="71">
        <v>1</v>
      </c>
    </row>
    <row r="10" spans="2:94" hidden="1" outlineLevel="2" x14ac:dyDescent="0.4">
      <c r="B10" s="69"/>
      <c r="C10" s="70"/>
      <c r="D10" s="70"/>
      <c r="E10" s="70" t="s">
        <v>26</v>
      </c>
      <c r="F10" s="71">
        <f>'EDT Nueva'!F9</f>
        <v>0.45977011494252873</v>
      </c>
      <c r="H10" s="71">
        <v>0</v>
      </c>
      <c r="I10" s="71">
        <v>0.11125000000000002</v>
      </c>
      <c r="J10" s="71">
        <v>0.17200000000000004</v>
      </c>
      <c r="K10" s="71">
        <v>0.20125000000000004</v>
      </c>
      <c r="L10" s="71">
        <v>0.22450000000000003</v>
      </c>
      <c r="M10" s="71">
        <v>0.29537500000000005</v>
      </c>
      <c r="N10" s="71">
        <v>0.37225000000000003</v>
      </c>
      <c r="O10" s="71">
        <v>0.43262500000000004</v>
      </c>
      <c r="P10" s="71">
        <v>0.47125000000000006</v>
      </c>
      <c r="Q10" s="71">
        <v>0.47687500000000005</v>
      </c>
      <c r="R10" s="71">
        <v>0.49900000000000011</v>
      </c>
      <c r="S10" s="71">
        <v>0.50800000000000012</v>
      </c>
      <c r="T10" s="71">
        <v>0.53050000000000008</v>
      </c>
      <c r="U10" s="71">
        <v>0.54249999999999998</v>
      </c>
      <c r="V10" s="71">
        <v>0.5605</v>
      </c>
      <c r="W10" s="71">
        <v>0.57850000000000001</v>
      </c>
      <c r="X10" s="71">
        <v>0.71599999999999997</v>
      </c>
      <c r="Y10" s="71">
        <v>0.7400000000000001</v>
      </c>
      <c r="Z10" s="71">
        <v>0.8</v>
      </c>
      <c r="AA10" s="71">
        <v>0.8</v>
      </c>
      <c r="AB10" s="71">
        <v>0.84</v>
      </c>
      <c r="AC10" s="71">
        <v>0.84</v>
      </c>
      <c r="AD10" s="71">
        <v>0.84</v>
      </c>
      <c r="AE10" s="71">
        <v>0.84</v>
      </c>
      <c r="AF10" s="71">
        <v>0.86</v>
      </c>
      <c r="AG10" s="71">
        <v>0.86</v>
      </c>
      <c r="AH10" s="71">
        <v>0.86</v>
      </c>
      <c r="AI10" s="71">
        <v>0.86</v>
      </c>
      <c r="AJ10" s="71">
        <v>0.86</v>
      </c>
      <c r="AK10" s="71">
        <v>0.86</v>
      </c>
      <c r="AL10" s="71">
        <v>0.86</v>
      </c>
      <c r="AM10" s="71">
        <v>0.86499999999999999</v>
      </c>
      <c r="AN10" s="71">
        <v>0.86499999999999999</v>
      </c>
      <c r="AO10" s="71">
        <v>0.87</v>
      </c>
      <c r="AP10" s="71">
        <v>0.87</v>
      </c>
      <c r="AQ10" s="71">
        <v>0.87</v>
      </c>
      <c r="AR10" s="71">
        <v>0.87</v>
      </c>
      <c r="AS10" s="71">
        <v>0.87</v>
      </c>
      <c r="AT10" s="71">
        <v>0.87</v>
      </c>
      <c r="AU10" s="71">
        <v>0.87</v>
      </c>
      <c r="AV10" s="71">
        <v>0.87</v>
      </c>
      <c r="AW10" s="71">
        <v>0.87</v>
      </c>
      <c r="AX10" s="71">
        <v>0.87</v>
      </c>
      <c r="AY10" s="71">
        <v>0.87</v>
      </c>
      <c r="AZ10" s="71">
        <v>0.9</v>
      </c>
      <c r="BA10" s="71">
        <v>0.93</v>
      </c>
      <c r="BB10" s="71">
        <v>0.95</v>
      </c>
      <c r="BC10" s="71">
        <v>0.95</v>
      </c>
      <c r="BD10" s="71">
        <v>0.95</v>
      </c>
      <c r="BE10" s="71">
        <v>0.99</v>
      </c>
      <c r="BF10" s="71">
        <v>1</v>
      </c>
      <c r="BG10" s="71">
        <v>1</v>
      </c>
      <c r="BH10" s="71">
        <v>1</v>
      </c>
      <c r="BI10" s="71">
        <v>1</v>
      </c>
      <c r="BJ10" s="71">
        <v>1</v>
      </c>
      <c r="BK10" s="71">
        <v>1</v>
      </c>
      <c r="BL10" s="71">
        <v>1</v>
      </c>
      <c r="BM10" s="71">
        <v>1</v>
      </c>
      <c r="BN10" s="71">
        <v>1</v>
      </c>
      <c r="BO10" s="71">
        <v>1</v>
      </c>
      <c r="BP10" s="71">
        <v>1</v>
      </c>
      <c r="BQ10" s="71">
        <v>0.87</v>
      </c>
      <c r="BR10" s="71">
        <v>0.87</v>
      </c>
      <c r="BS10" s="71">
        <v>0.87</v>
      </c>
      <c r="BT10" s="71">
        <v>0.87</v>
      </c>
      <c r="BU10" s="71">
        <v>0.87</v>
      </c>
      <c r="BV10" s="71">
        <v>0.87</v>
      </c>
      <c r="BW10" s="71">
        <v>0.87</v>
      </c>
      <c r="BX10" s="71">
        <v>0.87</v>
      </c>
      <c r="BY10" s="71">
        <v>0.87</v>
      </c>
      <c r="BZ10" s="71">
        <v>0.87</v>
      </c>
      <c r="CA10" s="71">
        <v>0.87</v>
      </c>
      <c r="CB10" s="71">
        <v>0.87</v>
      </c>
      <c r="CC10" s="71">
        <v>0.87</v>
      </c>
      <c r="CD10" s="71">
        <v>0.87</v>
      </c>
      <c r="CE10" s="71">
        <v>0.87</v>
      </c>
      <c r="CF10" s="71">
        <v>0.87</v>
      </c>
      <c r="CG10" s="71">
        <v>0.87</v>
      </c>
      <c r="CH10" s="71">
        <v>0.87</v>
      </c>
      <c r="CI10" s="71">
        <v>0.87</v>
      </c>
      <c r="CJ10" s="71">
        <v>0.87</v>
      </c>
      <c r="CK10" s="71">
        <v>0.87</v>
      </c>
      <c r="CL10" s="71">
        <v>0.87</v>
      </c>
      <c r="CM10" s="71">
        <v>0.87</v>
      </c>
      <c r="CN10" s="71">
        <v>0.87</v>
      </c>
      <c r="CO10" s="71">
        <v>0.87</v>
      </c>
      <c r="CP10" s="71">
        <v>1</v>
      </c>
    </row>
    <row r="11" spans="2:94" hidden="1" outlineLevel="2" x14ac:dyDescent="0.4">
      <c r="B11" s="69"/>
      <c r="C11" s="70"/>
      <c r="D11" s="70"/>
      <c r="E11" s="70" t="s">
        <v>27</v>
      </c>
      <c r="F11" s="71">
        <f>'EDT Nueva'!F10</f>
        <v>0.13793103448275859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1</v>
      </c>
      <c r="O11" s="71">
        <v>1</v>
      </c>
      <c r="P11" s="71">
        <v>1</v>
      </c>
      <c r="Q11" s="71">
        <v>1</v>
      </c>
      <c r="R11" s="71">
        <v>1</v>
      </c>
      <c r="S11" s="71">
        <v>1</v>
      </c>
      <c r="T11" s="71">
        <v>1</v>
      </c>
      <c r="U11" s="71">
        <v>1</v>
      </c>
      <c r="V11" s="71">
        <v>1</v>
      </c>
      <c r="W11" s="71">
        <v>1</v>
      </c>
      <c r="X11" s="71">
        <v>1</v>
      </c>
      <c r="Y11" s="71">
        <v>1</v>
      </c>
      <c r="Z11" s="71">
        <v>1</v>
      </c>
      <c r="AA11" s="71">
        <v>1</v>
      </c>
      <c r="AB11" s="71">
        <v>1</v>
      </c>
      <c r="AC11" s="71">
        <v>1</v>
      </c>
      <c r="AD11" s="71">
        <v>1</v>
      </c>
      <c r="AE11" s="71">
        <v>1</v>
      </c>
      <c r="AF11" s="71">
        <v>1</v>
      </c>
      <c r="AG11" s="71">
        <v>1</v>
      </c>
      <c r="AH11" s="71">
        <v>1</v>
      </c>
      <c r="AI11" s="71">
        <v>1</v>
      </c>
      <c r="AJ11" s="71">
        <v>1</v>
      </c>
      <c r="AK11" s="71">
        <v>1</v>
      </c>
      <c r="AL11" s="71">
        <v>1</v>
      </c>
      <c r="AM11" s="71">
        <v>1</v>
      </c>
      <c r="AN11" s="71">
        <v>1</v>
      </c>
      <c r="AO11" s="71">
        <v>1</v>
      </c>
      <c r="AP11" s="71">
        <v>1</v>
      </c>
      <c r="AQ11" s="71">
        <v>1</v>
      </c>
      <c r="AR11" s="71">
        <v>1</v>
      </c>
      <c r="AS11" s="71">
        <v>1</v>
      </c>
      <c r="AT11" s="71">
        <v>1</v>
      </c>
      <c r="AU11" s="71">
        <v>1</v>
      </c>
      <c r="AV11" s="71">
        <v>1</v>
      </c>
      <c r="AW11" s="71">
        <v>1</v>
      </c>
      <c r="AX11" s="71">
        <v>1</v>
      </c>
      <c r="AY11" s="71">
        <v>1</v>
      </c>
      <c r="AZ11" s="71">
        <v>1</v>
      </c>
      <c r="BA11" s="71">
        <v>1</v>
      </c>
      <c r="BB11" s="71">
        <v>1</v>
      </c>
      <c r="BC11" s="71">
        <v>1</v>
      </c>
      <c r="BD11" s="71">
        <v>1</v>
      </c>
      <c r="BE11" s="71">
        <v>1</v>
      </c>
      <c r="BF11" s="71">
        <v>1</v>
      </c>
      <c r="BG11" s="71">
        <v>1</v>
      </c>
      <c r="BH11" s="71">
        <v>1</v>
      </c>
      <c r="BI11" s="71">
        <v>1</v>
      </c>
      <c r="BJ11" s="71">
        <v>1</v>
      </c>
      <c r="BK11" s="71">
        <v>1</v>
      </c>
      <c r="BL11" s="71">
        <v>1</v>
      </c>
      <c r="BM11" s="71">
        <v>1</v>
      </c>
      <c r="BN11" s="71">
        <v>1</v>
      </c>
      <c r="BO11" s="71">
        <v>1</v>
      </c>
      <c r="BP11" s="71">
        <v>1</v>
      </c>
      <c r="BQ11" s="71">
        <v>1</v>
      </c>
      <c r="BR11" s="71">
        <v>1</v>
      </c>
      <c r="BS11" s="71">
        <v>1</v>
      </c>
      <c r="BT11" s="71">
        <v>1</v>
      </c>
      <c r="BU11" s="71">
        <v>1</v>
      </c>
      <c r="BV11" s="71">
        <v>1</v>
      </c>
      <c r="BW11" s="71">
        <v>1</v>
      </c>
      <c r="BX11" s="71">
        <v>1</v>
      </c>
      <c r="BY11" s="71">
        <v>1</v>
      </c>
      <c r="BZ11" s="71">
        <v>1</v>
      </c>
      <c r="CA11" s="71">
        <v>1</v>
      </c>
      <c r="CB11" s="71">
        <v>1</v>
      </c>
      <c r="CC11" s="71">
        <v>1</v>
      </c>
      <c r="CD11" s="71">
        <v>1</v>
      </c>
      <c r="CE11" s="71">
        <v>1</v>
      </c>
      <c r="CF11" s="71">
        <v>1</v>
      </c>
      <c r="CG11" s="71">
        <v>1</v>
      </c>
      <c r="CH11" s="71">
        <v>1</v>
      </c>
      <c r="CI11" s="71">
        <v>1</v>
      </c>
      <c r="CJ11" s="71">
        <v>1</v>
      </c>
      <c r="CK11" s="71">
        <v>1</v>
      </c>
      <c r="CL11" s="71">
        <v>1</v>
      </c>
      <c r="CM11" s="71">
        <v>1</v>
      </c>
      <c r="CN11" s="71">
        <v>1</v>
      </c>
      <c r="CO11" s="71">
        <v>1</v>
      </c>
      <c r="CP11" s="71">
        <v>1</v>
      </c>
    </row>
    <row r="12" spans="2:94" s="302" customFormat="1" hidden="1" outlineLevel="2" x14ac:dyDescent="0.4">
      <c r="B12" s="299"/>
      <c r="C12" s="300"/>
      <c r="D12" s="300"/>
      <c r="E12" s="300" t="s">
        <v>28</v>
      </c>
      <c r="F12" s="301">
        <f>'EDT Nueva'!F11</f>
        <v>0.17241379310344826</v>
      </c>
      <c r="H12" s="301">
        <v>0</v>
      </c>
      <c r="I12" s="301">
        <v>0</v>
      </c>
      <c r="J12" s="301">
        <v>0</v>
      </c>
      <c r="K12" s="301">
        <v>8.7500000000000008E-3</v>
      </c>
      <c r="L12" s="301">
        <v>1.0500000000000001E-2</v>
      </c>
      <c r="M12" s="301">
        <v>3.5000000000000003E-2</v>
      </c>
      <c r="N12" s="301">
        <v>3.5000000000000003E-2</v>
      </c>
      <c r="O12" s="301">
        <v>3.5000000000000003E-2</v>
      </c>
      <c r="P12" s="301">
        <v>3.5000000000000003E-2</v>
      </c>
      <c r="Q12" s="301">
        <v>3.5000000000000003E-2</v>
      </c>
      <c r="R12" s="301">
        <v>3.5000000000000003E-2</v>
      </c>
      <c r="S12" s="301">
        <v>3.5000000000000003E-2</v>
      </c>
      <c r="T12" s="301">
        <v>3.5000000000000003E-2</v>
      </c>
      <c r="U12" s="301">
        <v>3.5000000000000003E-2</v>
      </c>
      <c r="V12" s="301">
        <v>3.5000000000000003E-2</v>
      </c>
      <c r="W12" s="301">
        <v>3.5000000000000003E-2</v>
      </c>
      <c r="X12" s="301">
        <v>3.5000000000000003E-2</v>
      </c>
      <c r="Y12" s="301">
        <v>7.0000000000000007E-2</v>
      </c>
      <c r="Z12" s="301">
        <v>0.12250000000000001</v>
      </c>
      <c r="AA12" s="301">
        <v>0.17500000000000002</v>
      </c>
      <c r="AB12" s="301">
        <v>0.23500000000000001</v>
      </c>
      <c r="AC12" s="301">
        <v>0.23500000000000001</v>
      </c>
      <c r="AD12" s="301">
        <v>0.26187499999999997</v>
      </c>
      <c r="AE12" s="301">
        <v>0.26187499999999997</v>
      </c>
      <c r="AF12" s="301">
        <v>0.27500000000000002</v>
      </c>
      <c r="AG12" s="301">
        <v>0.28749999999999998</v>
      </c>
      <c r="AH12" s="301">
        <v>0.29262500000000002</v>
      </c>
      <c r="AI12" s="301">
        <v>0.29262500000000002</v>
      </c>
      <c r="AJ12" s="301">
        <v>0.3085</v>
      </c>
      <c r="AK12" s="301">
        <v>0.38425000000000009</v>
      </c>
      <c r="AL12" s="301">
        <v>0.38775000000000004</v>
      </c>
      <c r="AM12" s="301">
        <v>0.41350000000000009</v>
      </c>
      <c r="AN12" s="301">
        <v>0.41350000000000009</v>
      </c>
      <c r="AO12" s="301">
        <v>0.41350000000000009</v>
      </c>
      <c r="AP12" s="301">
        <v>0.41350000000000009</v>
      </c>
      <c r="AQ12" s="301">
        <v>0.41350000000000009</v>
      </c>
      <c r="AR12" s="301">
        <v>0.41350000000000009</v>
      </c>
      <c r="AS12" s="301">
        <v>0.41350000000000009</v>
      </c>
      <c r="AT12" s="301">
        <v>0.41350000000000009</v>
      </c>
      <c r="AU12" s="301">
        <v>0.41350000000000009</v>
      </c>
      <c r="AV12" s="301">
        <v>0.41350000000000009</v>
      </c>
      <c r="AW12" s="301">
        <v>0.41350000000000009</v>
      </c>
      <c r="AX12" s="301">
        <v>0.41350000000000009</v>
      </c>
      <c r="AY12" s="301">
        <v>0.43</v>
      </c>
      <c r="AZ12" s="301">
        <v>0.43</v>
      </c>
      <c r="BA12" s="301">
        <v>0.43</v>
      </c>
      <c r="BB12" s="301">
        <v>0.44</v>
      </c>
      <c r="BC12" s="303">
        <v>0.44</v>
      </c>
      <c r="BD12" s="301">
        <v>0.44</v>
      </c>
      <c r="BE12" s="301">
        <v>0.44</v>
      </c>
      <c r="BF12" s="301">
        <v>0.44</v>
      </c>
      <c r="BG12" s="301">
        <v>0.46</v>
      </c>
      <c r="BH12" s="301">
        <v>0.46</v>
      </c>
      <c r="BI12" s="301">
        <v>0.46</v>
      </c>
      <c r="BJ12" s="301">
        <v>0.47</v>
      </c>
      <c r="BK12" s="301">
        <v>0.47</v>
      </c>
      <c r="BL12" s="301">
        <v>0.47</v>
      </c>
      <c r="BM12" s="301">
        <v>0.47</v>
      </c>
      <c r="BN12" s="301">
        <v>0.47</v>
      </c>
      <c r="BO12" s="301">
        <v>0.47</v>
      </c>
      <c r="BP12" s="301">
        <v>0.47</v>
      </c>
      <c r="BQ12" s="301">
        <v>0.41350000000000009</v>
      </c>
      <c r="BR12" s="301">
        <v>0.41350000000000009</v>
      </c>
      <c r="BS12" s="301">
        <v>0.41350000000000009</v>
      </c>
      <c r="BT12" s="301">
        <v>0.41350000000000009</v>
      </c>
      <c r="BU12" s="301">
        <v>0.41350000000000009</v>
      </c>
      <c r="BV12" s="301">
        <v>0.41350000000000009</v>
      </c>
      <c r="BW12" s="301">
        <v>0.41350000000000009</v>
      </c>
      <c r="BX12" s="301">
        <v>0.41350000000000009</v>
      </c>
      <c r="BY12" s="301">
        <v>0.41350000000000009</v>
      </c>
      <c r="BZ12" s="301">
        <v>0.41350000000000009</v>
      </c>
      <c r="CA12" s="301">
        <v>0.41350000000000009</v>
      </c>
      <c r="CB12" s="301">
        <v>0.41350000000000009</v>
      </c>
      <c r="CC12" s="301">
        <v>0.41350000000000009</v>
      </c>
      <c r="CD12" s="301">
        <v>0.41350000000000009</v>
      </c>
      <c r="CE12" s="301">
        <v>0.41350000000000009</v>
      </c>
      <c r="CF12" s="301">
        <v>0.41350000000000009</v>
      </c>
      <c r="CG12" s="301">
        <v>0.41350000000000009</v>
      </c>
      <c r="CH12" s="301">
        <v>0.41350000000000009</v>
      </c>
      <c r="CI12" s="301">
        <v>0.41350000000000009</v>
      </c>
      <c r="CJ12" s="301">
        <v>0.41350000000000009</v>
      </c>
      <c r="CK12" s="301">
        <v>0.41350000000000009</v>
      </c>
      <c r="CL12" s="301">
        <v>0.41350000000000009</v>
      </c>
      <c r="CM12" s="301">
        <v>0.41350000000000009</v>
      </c>
      <c r="CN12" s="301">
        <v>0.41350000000000009</v>
      </c>
      <c r="CO12" s="301">
        <v>0.41350000000000009</v>
      </c>
      <c r="CP12" s="301">
        <v>0.47</v>
      </c>
    </row>
    <row r="13" spans="2:94" outlineLevel="1" collapsed="1" x14ac:dyDescent="0.4">
      <c r="B13" s="85"/>
      <c r="C13" s="86"/>
      <c r="D13" s="86" t="s">
        <v>29</v>
      </c>
      <c r="E13" s="86"/>
      <c r="F13" s="87">
        <f>'EDT Nueva'!F12</f>
        <v>6.9376251050029564E-2</v>
      </c>
      <c r="H13" s="87">
        <f>H14*$F$14</f>
        <v>0</v>
      </c>
      <c r="I13" s="87">
        <f t="shared" ref="I13:BZ13" si="224">I14*$F$14</f>
        <v>6.25E-2</v>
      </c>
      <c r="J13" s="87">
        <f t="shared" si="224"/>
        <v>0.26874999999999999</v>
      </c>
      <c r="K13" s="87">
        <f t="shared" si="224"/>
        <v>0.38656249999999998</v>
      </c>
      <c r="L13" s="87">
        <f t="shared" si="224"/>
        <v>0.49874999999999997</v>
      </c>
      <c r="M13" s="87">
        <f t="shared" si="224"/>
        <v>0.59875</v>
      </c>
      <c r="N13" s="87">
        <f t="shared" si="224"/>
        <v>0.67015625000000001</v>
      </c>
      <c r="O13" s="87">
        <f t="shared" si="224"/>
        <v>0.72265625</v>
      </c>
      <c r="P13" s="87">
        <f t="shared" si="224"/>
        <v>0.73578125000000005</v>
      </c>
      <c r="Q13" s="87">
        <f t="shared" si="224"/>
        <v>0.73578125000000005</v>
      </c>
      <c r="R13" s="87">
        <f t="shared" si="224"/>
        <v>0.73578125000000005</v>
      </c>
      <c r="S13" s="87">
        <f t="shared" si="224"/>
        <v>0.73578125000000005</v>
      </c>
      <c r="T13" s="87">
        <f t="shared" si="224"/>
        <v>0.75661458333333342</v>
      </c>
      <c r="U13" s="87">
        <f t="shared" si="224"/>
        <v>0.76911458333333338</v>
      </c>
      <c r="V13" s="87">
        <f t="shared" si="224"/>
        <v>0.85307291666666663</v>
      </c>
      <c r="W13" s="87">
        <f t="shared" si="224"/>
        <v>0.88692708333333337</v>
      </c>
      <c r="X13" s="87">
        <f t="shared" si="224"/>
        <v>0.94161458333333337</v>
      </c>
      <c r="Y13" s="87">
        <f t="shared" si="224"/>
        <v>0.96625000000000005</v>
      </c>
      <c r="Z13" s="87">
        <f t="shared" si="224"/>
        <v>0.96625000000000005</v>
      </c>
      <c r="AA13" s="87">
        <f t="shared" si="224"/>
        <v>0.96625000000000005</v>
      </c>
      <c r="AB13" s="87">
        <f t="shared" si="224"/>
        <v>1</v>
      </c>
      <c r="AC13" s="87">
        <f t="shared" si="224"/>
        <v>1</v>
      </c>
      <c r="AD13" s="87">
        <f t="shared" si="224"/>
        <v>1</v>
      </c>
      <c r="AE13" s="87">
        <f t="shared" si="224"/>
        <v>1</v>
      </c>
      <c r="AF13" s="87">
        <f t="shared" si="224"/>
        <v>1</v>
      </c>
      <c r="AG13" s="87">
        <f t="shared" si="224"/>
        <v>1</v>
      </c>
      <c r="AH13" s="87">
        <f t="shared" si="224"/>
        <v>1</v>
      </c>
      <c r="AI13" s="87">
        <f t="shared" si="224"/>
        <v>1</v>
      </c>
      <c r="AJ13" s="87">
        <f t="shared" si="224"/>
        <v>1</v>
      </c>
      <c r="AK13" s="87">
        <f t="shared" si="224"/>
        <v>1</v>
      </c>
      <c r="AL13" s="87">
        <f t="shared" si="224"/>
        <v>1</v>
      </c>
      <c r="AM13" s="87">
        <f t="shared" si="224"/>
        <v>1</v>
      </c>
      <c r="AN13" s="87">
        <f t="shared" si="224"/>
        <v>1</v>
      </c>
      <c r="AO13" s="87">
        <f t="shared" si="224"/>
        <v>1</v>
      </c>
      <c r="AP13" s="87">
        <f t="shared" si="224"/>
        <v>1</v>
      </c>
      <c r="AQ13" s="87">
        <f t="shared" si="224"/>
        <v>1</v>
      </c>
      <c r="AR13" s="87">
        <f t="shared" si="224"/>
        <v>1</v>
      </c>
      <c r="AS13" s="87">
        <f t="shared" si="224"/>
        <v>1</v>
      </c>
      <c r="AT13" s="87">
        <f t="shared" si="224"/>
        <v>1</v>
      </c>
      <c r="AU13" s="87">
        <f t="shared" si="224"/>
        <v>1</v>
      </c>
      <c r="AV13" s="87">
        <f t="shared" si="224"/>
        <v>1</v>
      </c>
      <c r="AW13" s="87">
        <f t="shared" si="224"/>
        <v>1</v>
      </c>
      <c r="AX13" s="87">
        <f t="shared" si="224"/>
        <v>1</v>
      </c>
      <c r="AY13" s="87">
        <f t="shared" si="224"/>
        <v>1</v>
      </c>
      <c r="AZ13" s="87">
        <f t="shared" si="224"/>
        <v>1</v>
      </c>
      <c r="BA13" s="87">
        <f t="shared" si="224"/>
        <v>1</v>
      </c>
      <c r="BB13" s="87">
        <f t="shared" si="224"/>
        <v>1</v>
      </c>
      <c r="BC13" s="87">
        <f t="shared" si="224"/>
        <v>1</v>
      </c>
      <c r="BD13" s="87">
        <f t="shared" si="224"/>
        <v>1</v>
      </c>
      <c r="BE13" s="87">
        <f t="shared" si="224"/>
        <v>1</v>
      </c>
      <c r="BF13" s="87">
        <f t="shared" si="224"/>
        <v>1</v>
      </c>
      <c r="BG13" s="87">
        <f t="shared" si="224"/>
        <v>1</v>
      </c>
      <c r="BH13" s="87">
        <f t="shared" si="224"/>
        <v>1</v>
      </c>
      <c r="BI13" s="87">
        <f t="shared" si="224"/>
        <v>1</v>
      </c>
      <c r="BJ13" s="87">
        <f t="shared" si="224"/>
        <v>1</v>
      </c>
      <c r="BK13" s="87">
        <f t="shared" si="224"/>
        <v>1</v>
      </c>
      <c r="BL13" s="87">
        <f t="shared" si="224"/>
        <v>1</v>
      </c>
      <c r="BM13" s="87">
        <f t="shared" si="224"/>
        <v>1</v>
      </c>
      <c r="BN13" s="87">
        <f t="shared" si="224"/>
        <v>1</v>
      </c>
      <c r="BO13" s="87">
        <f t="shared" si="224"/>
        <v>1</v>
      </c>
      <c r="BP13" s="87">
        <f t="shared" si="224"/>
        <v>1</v>
      </c>
      <c r="BQ13" s="87">
        <f t="shared" si="224"/>
        <v>1</v>
      </c>
      <c r="BR13" s="87">
        <f t="shared" si="224"/>
        <v>1</v>
      </c>
      <c r="BS13" s="87">
        <f t="shared" si="224"/>
        <v>1</v>
      </c>
      <c r="BT13" s="87">
        <f t="shared" si="224"/>
        <v>1</v>
      </c>
      <c r="BU13" s="87">
        <f t="shared" si="224"/>
        <v>1</v>
      </c>
      <c r="BV13" s="87">
        <f t="shared" si="224"/>
        <v>1</v>
      </c>
      <c r="BW13" s="87">
        <f t="shared" si="224"/>
        <v>1</v>
      </c>
      <c r="BX13" s="87">
        <f t="shared" si="224"/>
        <v>1</v>
      </c>
      <c r="BY13" s="87">
        <f t="shared" si="224"/>
        <v>1</v>
      </c>
      <c r="BZ13" s="87">
        <f t="shared" si="224"/>
        <v>1</v>
      </c>
      <c r="CA13" s="87">
        <f t="shared" ref="CA13:CP13" si="225">CA14*$F$14</f>
        <v>1</v>
      </c>
      <c r="CB13" s="87">
        <f t="shared" si="225"/>
        <v>1</v>
      </c>
      <c r="CC13" s="87">
        <f t="shared" si="225"/>
        <v>1</v>
      </c>
      <c r="CD13" s="87">
        <f t="shared" si="225"/>
        <v>1</v>
      </c>
      <c r="CE13" s="87">
        <f t="shared" si="225"/>
        <v>1</v>
      </c>
      <c r="CF13" s="87">
        <f t="shared" si="225"/>
        <v>1</v>
      </c>
      <c r="CG13" s="87">
        <f t="shared" si="225"/>
        <v>1</v>
      </c>
      <c r="CH13" s="87">
        <f t="shared" si="225"/>
        <v>1</v>
      </c>
      <c r="CI13" s="87">
        <f t="shared" si="225"/>
        <v>1</v>
      </c>
      <c r="CJ13" s="87">
        <f t="shared" si="225"/>
        <v>1</v>
      </c>
      <c r="CK13" s="87">
        <f t="shared" si="225"/>
        <v>1</v>
      </c>
      <c r="CL13" s="87">
        <f t="shared" si="225"/>
        <v>1</v>
      </c>
      <c r="CM13" s="87">
        <f t="shared" si="225"/>
        <v>1</v>
      </c>
      <c r="CN13" s="87">
        <f t="shared" si="225"/>
        <v>1</v>
      </c>
      <c r="CO13" s="87">
        <f t="shared" si="225"/>
        <v>1</v>
      </c>
      <c r="CP13" s="87">
        <f t="shared" si="225"/>
        <v>1</v>
      </c>
    </row>
    <row r="14" spans="2:94" hidden="1" outlineLevel="2" x14ac:dyDescent="0.4">
      <c r="B14" s="72"/>
      <c r="C14" s="73"/>
      <c r="D14" s="73"/>
      <c r="E14" s="73" t="s">
        <v>30</v>
      </c>
      <c r="F14" s="74">
        <f>'EDT Nueva'!F13</f>
        <v>1</v>
      </c>
      <c r="H14" s="74">
        <v>0</v>
      </c>
      <c r="I14" s="74">
        <v>6.25E-2</v>
      </c>
      <c r="J14" s="74">
        <v>0.26874999999999999</v>
      </c>
      <c r="K14" s="74">
        <v>0.38656249999999998</v>
      </c>
      <c r="L14" s="74">
        <v>0.49874999999999997</v>
      </c>
      <c r="M14" s="74">
        <v>0.59875</v>
      </c>
      <c r="N14" s="74">
        <v>0.67015625000000001</v>
      </c>
      <c r="O14" s="74">
        <v>0.72265625</v>
      </c>
      <c r="P14" s="74">
        <v>0.73578125000000005</v>
      </c>
      <c r="Q14" s="74">
        <v>0.73578125000000005</v>
      </c>
      <c r="R14" s="74">
        <v>0.73578125000000005</v>
      </c>
      <c r="S14" s="74">
        <v>0.73578125000000005</v>
      </c>
      <c r="T14" s="74">
        <v>0.75661458333333342</v>
      </c>
      <c r="U14" s="74">
        <v>0.76911458333333338</v>
      </c>
      <c r="V14" s="74">
        <v>0.85307291666666663</v>
      </c>
      <c r="W14" s="74">
        <v>0.88692708333333337</v>
      </c>
      <c r="X14" s="74">
        <v>0.94161458333333337</v>
      </c>
      <c r="Y14" s="74">
        <v>0.96625000000000005</v>
      </c>
      <c r="Z14" s="74">
        <v>0.96625000000000005</v>
      </c>
      <c r="AA14" s="74">
        <v>0.96625000000000005</v>
      </c>
      <c r="AB14" s="74">
        <v>1</v>
      </c>
      <c r="AC14" s="74">
        <v>1</v>
      </c>
      <c r="AD14" s="74">
        <v>1</v>
      </c>
      <c r="AE14" s="74">
        <v>1</v>
      </c>
      <c r="AF14" s="74">
        <v>1</v>
      </c>
      <c r="AG14" s="74">
        <v>1</v>
      </c>
      <c r="AH14" s="74">
        <v>1</v>
      </c>
      <c r="AI14" s="74">
        <v>1</v>
      </c>
      <c r="AJ14" s="74">
        <v>1</v>
      </c>
      <c r="AK14" s="74">
        <v>1</v>
      </c>
      <c r="AL14" s="74">
        <v>1</v>
      </c>
      <c r="AM14" s="74">
        <v>1</v>
      </c>
      <c r="AN14" s="74">
        <v>1</v>
      </c>
      <c r="AO14" s="74">
        <v>1</v>
      </c>
      <c r="AP14" s="74">
        <v>1</v>
      </c>
      <c r="AQ14" s="74">
        <v>1</v>
      </c>
      <c r="AR14" s="74">
        <v>1</v>
      </c>
      <c r="AS14" s="74">
        <v>1</v>
      </c>
      <c r="AT14" s="74">
        <v>1</v>
      </c>
      <c r="AU14" s="74">
        <v>1</v>
      </c>
      <c r="AV14" s="74">
        <v>1</v>
      </c>
      <c r="AW14" s="74">
        <v>1</v>
      </c>
      <c r="AX14" s="74">
        <v>1</v>
      </c>
      <c r="AY14" s="74">
        <v>1</v>
      </c>
      <c r="AZ14" s="74">
        <v>1</v>
      </c>
      <c r="BA14" s="74">
        <v>1</v>
      </c>
      <c r="BB14" s="74">
        <v>1</v>
      </c>
      <c r="BC14" s="74">
        <v>1</v>
      </c>
      <c r="BD14" s="74">
        <v>1</v>
      </c>
      <c r="BE14" s="74">
        <v>1</v>
      </c>
      <c r="BF14" s="74">
        <v>1</v>
      </c>
      <c r="BG14" s="74">
        <v>1</v>
      </c>
      <c r="BH14" s="74">
        <v>1</v>
      </c>
      <c r="BI14" s="74">
        <v>1</v>
      </c>
      <c r="BJ14" s="74">
        <v>1</v>
      </c>
      <c r="BK14" s="74">
        <v>1</v>
      </c>
      <c r="BL14" s="74">
        <v>1</v>
      </c>
      <c r="BM14" s="74">
        <v>1</v>
      </c>
      <c r="BN14" s="74">
        <v>1</v>
      </c>
      <c r="BO14" s="74">
        <v>1</v>
      </c>
      <c r="BP14" s="74">
        <v>1</v>
      </c>
      <c r="BQ14" s="74">
        <v>1</v>
      </c>
      <c r="BR14" s="74">
        <v>1</v>
      </c>
      <c r="BS14" s="74">
        <v>1</v>
      </c>
      <c r="BT14" s="74">
        <v>1</v>
      </c>
      <c r="BU14" s="74">
        <v>1</v>
      </c>
      <c r="BV14" s="74">
        <v>1</v>
      </c>
      <c r="BW14" s="74">
        <v>1</v>
      </c>
      <c r="BX14" s="74">
        <v>1</v>
      </c>
      <c r="BY14" s="74">
        <v>1</v>
      </c>
      <c r="BZ14" s="74">
        <v>1</v>
      </c>
      <c r="CA14" s="74">
        <v>1</v>
      </c>
      <c r="CB14" s="74">
        <v>1</v>
      </c>
      <c r="CC14" s="74">
        <v>1</v>
      </c>
      <c r="CD14" s="74">
        <v>1</v>
      </c>
      <c r="CE14" s="74">
        <v>1</v>
      </c>
      <c r="CF14" s="74">
        <v>1</v>
      </c>
      <c r="CG14" s="74">
        <v>1</v>
      </c>
      <c r="CH14" s="74">
        <v>1</v>
      </c>
      <c r="CI14" s="74">
        <v>1</v>
      </c>
      <c r="CJ14" s="74">
        <v>1</v>
      </c>
      <c r="CK14" s="74">
        <v>1</v>
      </c>
      <c r="CL14" s="74">
        <v>1</v>
      </c>
      <c r="CM14" s="74">
        <v>1</v>
      </c>
      <c r="CN14" s="74">
        <v>1</v>
      </c>
      <c r="CO14" s="74">
        <v>1</v>
      </c>
      <c r="CP14" s="74">
        <v>1</v>
      </c>
    </row>
    <row r="15" spans="2:94" outlineLevel="1" collapsed="1" x14ac:dyDescent="0.4">
      <c r="B15" s="85"/>
      <c r="C15" s="86"/>
      <c r="D15" s="86" t="s">
        <v>31</v>
      </c>
      <c r="E15" s="86"/>
      <c r="F15" s="87">
        <f>'EDT Nueva'!F14</f>
        <v>0.13899787802857952</v>
      </c>
      <c r="H15" s="87">
        <f>SUMPRODUCT(H16:H17,$F$16:$F$17)</f>
        <v>0</v>
      </c>
      <c r="I15" s="87">
        <f t="shared" ref="I15:J15" si="226">SUMPRODUCT(I16:I17,$F$16:$F$17)</f>
        <v>0</v>
      </c>
      <c r="J15" s="87">
        <f t="shared" si="226"/>
        <v>0</v>
      </c>
      <c r="K15" s="87">
        <f t="shared" ref="K15:L15" si="227">SUMPRODUCT(K16:K17,$F$16:$F$17)</f>
        <v>0</v>
      </c>
      <c r="L15" s="87">
        <f t="shared" si="227"/>
        <v>0</v>
      </c>
      <c r="M15" s="87">
        <f t="shared" ref="M15" si="228">SUMPRODUCT(M16:M17,$F$16:$F$17)</f>
        <v>0</v>
      </c>
      <c r="N15" s="87">
        <f t="shared" ref="N15:O15" si="229">SUMPRODUCT(N16:N17,$F$16:$F$17)</f>
        <v>0</v>
      </c>
      <c r="O15" s="87">
        <f t="shared" si="229"/>
        <v>0</v>
      </c>
      <c r="P15" s="87">
        <f t="shared" ref="P15:Q15" si="230">SUMPRODUCT(P16:P17,$F$16:$F$17)</f>
        <v>0</v>
      </c>
      <c r="Q15" s="87">
        <f t="shared" si="230"/>
        <v>0</v>
      </c>
      <c r="R15" s="87">
        <f t="shared" ref="R15:U15" si="231">SUMPRODUCT(R16:R17,$F$16:$F$17)</f>
        <v>0</v>
      </c>
      <c r="S15" s="87">
        <f t="shared" si="231"/>
        <v>0</v>
      </c>
      <c r="T15" s="87">
        <f t="shared" si="231"/>
        <v>0</v>
      </c>
      <c r="U15" s="87">
        <f t="shared" si="231"/>
        <v>4.4999999999999997E-3</v>
      </c>
      <c r="V15" s="87">
        <f t="shared" ref="V15:W15" si="232">SUMPRODUCT(V16:V17,$F$16:$F$17)</f>
        <v>3.8999999999999993E-2</v>
      </c>
      <c r="W15" s="87">
        <f t="shared" si="232"/>
        <v>4.859999999999999E-2</v>
      </c>
      <c r="X15" s="87">
        <f t="shared" ref="X15:Y15" si="233">SUMPRODUCT(X16:X17,$F$16:$F$17)</f>
        <v>9.2999999999999999E-2</v>
      </c>
      <c r="Y15" s="87">
        <f t="shared" si="233"/>
        <v>0.15179999999999999</v>
      </c>
      <c r="Z15" s="87">
        <f t="shared" ref="Z15:AA15" si="234">SUMPRODUCT(Z16:Z17,$F$16:$F$17)</f>
        <v>0.22978000000000004</v>
      </c>
      <c r="AA15" s="87">
        <f t="shared" si="234"/>
        <v>0.29767999999999994</v>
      </c>
      <c r="AB15" s="87">
        <f t="shared" ref="AB15:AC15" si="235">SUMPRODUCT(AB16:AB17,$F$16:$F$17)</f>
        <v>0.30625999999999998</v>
      </c>
      <c r="AC15" s="87">
        <f t="shared" si="235"/>
        <v>0.38605999999999996</v>
      </c>
      <c r="AD15" s="87">
        <f t="shared" ref="AD15:AE15" si="236">SUMPRODUCT(AD16:AD17,$F$16:$F$17)</f>
        <v>0.42386000000000001</v>
      </c>
      <c r="AE15" s="87">
        <f t="shared" si="236"/>
        <v>0.42386000000000001</v>
      </c>
      <c r="AF15" s="87">
        <f t="shared" ref="AF15:AG15" si="237">SUMPRODUCT(AF16:AF17,$F$16:$F$17)</f>
        <v>0.50836999999999999</v>
      </c>
      <c r="AG15" s="87">
        <f t="shared" si="237"/>
        <v>0.53301999999999983</v>
      </c>
      <c r="AH15" s="87">
        <f t="shared" ref="AH15:AI15" si="238">SUMPRODUCT(AH16:AH17,$F$16:$F$17)</f>
        <v>0.53301999999999983</v>
      </c>
      <c r="AI15" s="87">
        <f t="shared" si="238"/>
        <v>0.7</v>
      </c>
      <c r="AJ15" s="87">
        <f t="shared" ref="AJ15:AK15" si="239">SUMPRODUCT(AJ16:AJ17,$F$16:$F$17)</f>
        <v>0.7</v>
      </c>
      <c r="AK15" s="87">
        <f t="shared" si="239"/>
        <v>0.7</v>
      </c>
      <c r="AL15" s="87">
        <f t="shared" ref="AL15:AM15" si="240">SUMPRODUCT(AL16:AL17,$F$16:$F$17)</f>
        <v>0.72</v>
      </c>
      <c r="AM15" s="87">
        <f t="shared" si="240"/>
        <v>0.72</v>
      </c>
      <c r="AN15" s="87">
        <f t="shared" ref="AN15" si="241">SUMPRODUCT(AN16:AN17,$F$16:$F$17)</f>
        <v>0.74999999999999989</v>
      </c>
      <c r="AO15" s="87">
        <f t="shared" ref="AO15" si="242">SUMPRODUCT(AO16:AO17,$F$16:$F$17)</f>
        <v>0.76</v>
      </c>
      <c r="AP15" s="87">
        <f t="shared" ref="AP15" si="243">SUMPRODUCT(AP16:AP17,$F$16:$F$17)</f>
        <v>0.76</v>
      </c>
      <c r="AQ15" s="87">
        <f t="shared" ref="AQ15:AR15" si="244">SUMPRODUCT(AQ16:AQ17,$F$16:$F$17)</f>
        <v>0.76</v>
      </c>
      <c r="AR15" s="87">
        <f t="shared" si="244"/>
        <v>0.76</v>
      </c>
      <c r="AS15" s="87">
        <f t="shared" ref="AS15" si="245">SUMPRODUCT(AS16:AS17,$F$16:$F$17)</f>
        <v>0.76</v>
      </c>
      <c r="AT15" s="87">
        <f t="shared" ref="AT15:BC15" si="246">SUMPRODUCT(AT16:AT17,$F$16:$F$17)</f>
        <v>0.76999999999999991</v>
      </c>
      <c r="AU15" s="87">
        <f t="shared" si="246"/>
        <v>0.76999999999999991</v>
      </c>
      <c r="AV15" s="87">
        <f t="shared" si="246"/>
        <v>0.76999999999999991</v>
      </c>
      <c r="AW15" s="87">
        <f t="shared" si="246"/>
        <v>0.76999999999999991</v>
      </c>
      <c r="AX15" s="87">
        <f t="shared" si="246"/>
        <v>0.76999999999999991</v>
      </c>
      <c r="AY15" s="87">
        <f t="shared" si="246"/>
        <v>0.78</v>
      </c>
      <c r="AZ15" s="87">
        <f t="shared" si="246"/>
        <v>0.78</v>
      </c>
      <c r="BA15" s="87">
        <f t="shared" si="246"/>
        <v>0.78</v>
      </c>
      <c r="BB15" s="87">
        <f t="shared" si="246"/>
        <v>0.78999999999999992</v>
      </c>
      <c r="BC15" s="87">
        <f t="shared" si="246"/>
        <v>0.79749999999999999</v>
      </c>
      <c r="BD15" s="87">
        <f t="shared" ref="BD15:BE15" si="247">SUMPRODUCT(BD16:BD17,$F$16:$F$17)</f>
        <v>0.79749999999999999</v>
      </c>
      <c r="BE15" s="87">
        <f t="shared" si="247"/>
        <v>0.80499999999999994</v>
      </c>
      <c r="BF15" s="87">
        <f t="shared" ref="BF15:BG15" si="248">SUMPRODUCT(BF16:BF17,$F$16:$F$17)</f>
        <v>0.81249999999999989</v>
      </c>
      <c r="BG15" s="87">
        <f t="shared" si="248"/>
        <v>0.81499999999999995</v>
      </c>
      <c r="BH15" s="87">
        <f t="shared" ref="BH15:BI15" si="249">SUMPRODUCT(BH16:BH17,$F$16:$F$17)</f>
        <v>0.81749999999999989</v>
      </c>
      <c r="BI15" s="87">
        <f t="shared" si="249"/>
        <v>0.81749999999999989</v>
      </c>
      <c r="BJ15" s="87">
        <f t="shared" ref="BJ15:BK15" si="250">SUMPRODUCT(BJ16:BJ17,$F$16:$F$17)</f>
        <v>0.81874999999999987</v>
      </c>
      <c r="BK15" s="87">
        <f t="shared" si="250"/>
        <v>0.81874999999999987</v>
      </c>
      <c r="BL15" s="87">
        <f t="shared" ref="BL15" si="251">SUMPRODUCT(BL16:BL17,$F$16:$F$17)</f>
        <v>0.81874999999999987</v>
      </c>
      <c r="BM15" s="87">
        <f t="shared" ref="BM15:BN15" si="252">SUMPRODUCT(BM16:BM17,$F$16:$F$17)</f>
        <v>0.81874999999999987</v>
      </c>
      <c r="BN15" s="87">
        <f t="shared" si="252"/>
        <v>0.81874999999999987</v>
      </c>
      <c r="BO15" s="87">
        <f t="shared" ref="BO15" si="253">SUMPRODUCT(BO16:BO17,$F$16:$F$17)</f>
        <v>0.82999999999999985</v>
      </c>
      <c r="BP15" s="87">
        <f t="shared" ref="BP15" si="254">SUMPRODUCT(BP16:BP17,$F$16:$F$17)</f>
        <v>0.83999999999999986</v>
      </c>
      <c r="BQ15" s="87">
        <f t="shared" ref="BQ15:BR15" si="255">SUMPRODUCT(BQ16:BQ17,$F$16:$F$17)</f>
        <v>0.76</v>
      </c>
      <c r="BR15" s="87">
        <f t="shared" si="255"/>
        <v>0.76</v>
      </c>
      <c r="BS15" s="87">
        <f t="shared" ref="BS15:BT15" si="256">SUMPRODUCT(BS16:BS17,$F$16:$F$17)</f>
        <v>0.76</v>
      </c>
      <c r="BT15" s="87">
        <f t="shared" si="256"/>
        <v>0.76</v>
      </c>
      <c r="BU15" s="87">
        <f t="shared" ref="BU15:BV15" si="257">SUMPRODUCT(BU16:BU17,$F$16:$F$17)</f>
        <v>0.76</v>
      </c>
      <c r="BV15" s="87">
        <f t="shared" si="257"/>
        <v>0.76</v>
      </c>
      <c r="BW15" s="87">
        <f t="shared" ref="BW15:CP15" si="258">SUMPRODUCT(BW16:BW17,$F$16:$F$17)</f>
        <v>0.76</v>
      </c>
      <c r="BX15" s="87">
        <f t="shared" si="258"/>
        <v>0.76</v>
      </c>
      <c r="BY15" s="87">
        <f t="shared" si="258"/>
        <v>0.76</v>
      </c>
      <c r="BZ15" s="87">
        <f t="shared" si="258"/>
        <v>0.76</v>
      </c>
      <c r="CA15" s="87">
        <f t="shared" si="258"/>
        <v>0.76</v>
      </c>
      <c r="CB15" s="87">
        <f t="shared" si="258"/>
        <v>0.76</v>
      </c>
      <c r="CC15" s="87">
        <f t="shared" si="258"/>
        <v>0.76</v>
      </c>
      <c r="CD15" s="87">
        <f t="shared" si="258"/>
        <v>0.76</v>
      </c>
      <c r="CE15" s="87">
        <f t="shared" si="258"/>
        <v>0.76</v>
      </c>
      <c r="CF15" s="87">
        <f t="shared" si="258"/>
        <v>0.76</v>
      </c>
      <c r="CG15" s="87">
        <f t="shared" si="258"/>
        <v>0.76</v>
      </c>
      <c r="CH15" s="87">
        <f t="shared" si="258"/>
        <v>0.76</v>
      </c>
      <c r="CI15" s="87">
        <f t="shared" si="258"/>
        <v>0.76</v>
      </c>
      <c r="CJ15" s="87">
        <f t="shared" si="258"/>
        <v>0.76</v>
      </c>
      <c r="CK15" s="87">
        <f t="shared" si="258"/>
        <v>0.76</v>
      </c>
      <c r="CL15" s="87">
        <f t="shared" si="258"/>
        <v>0.76</v>
      </c>
      <c r="CM15" s="87">
        <f t="shared" si="258"/>
        <v>0.76</v>
      </c>
      <c r="CN15" s="87">
        <f t="shared" si="258"/>
        <v>0.76</v>
      </c>
      <c r="CO15" s="87">
        <f t="shared" si="258"/>
        <v>0.76</v>
      </c>
      <c r="CP15" s="87">
        <f t="shared" si="258"/>
        <v>0.81874999999999987</v>
      </c>
    </row>
    <row r="16" spans="2:94" s="302" customFormat="1" hidden="1" outlineLevel="2" x14ac:dyDescent="0.4">
      <c r="B16" s="299"/>
      <c r="C16" s="300"/>
      <c r="D16" s="300"/>
      <c r="E16" s="300" t="s">
        <v>35</v>
      </c>
      <c r="F16" s="301">
        <f>'EDT Nueva'!F15</f>
        <v>0.74999999999999989</v>
      </c>
      <c r="H16" s="301">
        <v>0</v>
      </c>
      <c r="I16" s="301">
        <v>0</v>
      </c>
      <c r="J16" s="301">
        <v>0</v>
      </c>
      <c r="K16" s="301">
        <v>0</v>
      </c>
      <c r="L16" s="301">
        <v>0</v>
      </c>
      <c r="M16" s="301">
        <v>0</v>
      </c>
      <c r="N16" s="301">
        <v>0</v>
      </c>
      <c r="O16" s="301">
        <v>0</v>
      </c>
      <c r="P16" s="301">
        <v>0</v>
      </c>
      <c r="Q16" s="301">
        <v>0</v>
      </c>
      <c r="R16" s="301">
        <v>0</v>
      </c>
      <c r="S16" s="301">
        <v>0</v>
      </c>
      <c r="T16" s="301">
        <v>0</v>
      </c>
      <c r="U16" s="301">
        <v>0</v>
      </c>
      <c r="V16" s="301">
        <v>3.8399999999999997E-2</v>
      </c>
      <c r="W16" s="301">
        <v>4.0799999999999996E-2</v>
      </c>
      <c r="X16" s="301">
        <v>9.2999999999999999E-2</v>
      </c>
      <c r="Y16" s="301">
        <v>0.15180000000000002</v>
      </c>
      <c r="Z16" s="301">
        <v>0.22978000000000004</v>
      </c>
      <c r="AA16" s="301">
        <v>0.29768</v>
      </c>
      <c r="AB16" s="301">
        <v>0.30912000000000001</v>
      </c>
      <c r="AC16" s="301">
        <v>0.39591999999999999</v>
      </c>
      <c r="AD16" s="301">
        <v>0.42672000000000004</v>
      </c>
      <c r="AE16" s="301">
        <v>0.42672000000000004</v>
      </c>
      <c r="AF16" s="301">
        <v>0.50836999999999999</v>
      </c>
      <c r="AG16" s="301">
        <v>0.53301999999999994</v>
      </c>
      <c r="AH16" s="301">
        <v>0.53301999999999994</v>
      </c>
      <c r="AI16" s="301">
        <v>0.7</v>
      </c>
      <c r="AJ16" s="301">
        <v>0.7</v>
      </c>
      <c r="AK16" s="301">
        <v>0.7</v>
      </c>
      <c r="AL16" s="301">
        <v>0.72</v>
      </c>
      <c r="AM16" s="301">
        <v>0.72</v>
      </c>
      <c r="AN16" s="301">
        <v>0.75</v>
      </c>
      <c r="AO16" s="301">
        <v>0.76</v>
      </c>
      <c r="AP16" s="301">
        <v>0.76</v>
      </c>
      <c r="AQ16" s="301">
        <v>0.76</v>
      </c>
      <c r="AR16" s="301">
        <v>0.76</v>
      </c>
      <c r="AS16" s="301">
        <v>0.76</v>
      </c>
      <c r="AT16" s="301">
        <v>0.77</v>
      </c>
      <c r="AU16" s="301">
        <v>0.77</v>
      </c>
      <c r="AV16" s="301">
        <v>0.77</v>
      </c>
      <c r="AW16" s="301">
        <v>0.77</v>
      </c>
      <c r="AX16" s="301">
        <v>0.77</v>
      </c>
      <c r="AY16" s="301">
        <v>0.78</v>
      </c>
      <c r="AZ16" s="301">
        <v>0.78</v>
      </c>
      <c r="BA16" s="301">
        <v>0.78</v>
      </c>
      <c r="BB16" s="301">
        <v>0.79</v>
      </c>
      <c r="BC16" s="303">
        <v>0.8</v>
      </c>
      <c r="BD16" s="301">
        <v>0.8</v>
      </c>
      <c r="BE16" s="301">
        <v>0.81</v>
      </c>
      <c r="BF16" s="301">
        <v>0.82</v>
      </c>
      <c r="BG16" s="301">
        <v>0.82</v>
      </c>
      <c r="BH16" s="301">
        <v>0.82</v>
      </c>
      <c r="BI16" s="301">
        <v>0.82</v>
      </c>
      <c r="BJ16" s="301">
        <v>0.82</v>
      </c>
      <c r="BK16" s="301">
        <v>0.82</v>
      </c>
      <c r="BL16" s="301">
        <v>0.82</v>
      </c>
      <c r="BM16" s="301">
        <v>0.82</v>
      </c>
      <c r="BN16" s="301">
        <v>0.82</v>
      </c>
      <c r="BO16" s="301">
        <v>0.83</v>
      </c>
      <c r="BP16" s="304">
        <v>0.84</v>
      </c>
      <c r="BQ16" s="301">
        <v>0.76</v>
      </c>
      <c r="BR16" s="301">
        <v>0.76</v>
      </c>
      <c r="BS16" s="301">
        <v>0.76</v>
      </c>
      <c r="BT16" s="301">
        <v>0.76</v>
      </c>
      <c r="BU16" s="301">
        <v>0.76</v>
      </c>
      <c r="BV16" s="301">
        <v>0.76</v>
      </c>
      <c r="BW16" s="301">
        <v>0.76</v>
      </c>
      <c r="BX16" s="301">
        <v>0.76</v>
      </c>
      <c r="BY16" s="301">
        <v>0.76</v>
      </c>
      <c r="BZ16" s="301">
        <v>0.76</v>
      </c>
      <c r="CA16" s="301">
        <v>0.76</v>
      </c>
      <c r="CB16" s="301">
        <v>0.76</v>
      </c>
      <c r="CC16" s="301">
        <v>0.76</v>
      </c>
      <c r="CD16" s="301">
        <v>0.76</v>
      </c>
      <c r="CE16" s="301">
        <v>0.76</v>
      </c>
      <c r="CF16" s="301">
        <v>0.76</v>
      </c>
      <c r="CG16" s="301">
        <v>0.76</v>
      </c>
      <c r="CH16" s="301">
        <v>0.76</v>
      </c>
      <c r="CI16" s="301">
        <v>0.76</v>
      </c>
      <c r="CJ16" s="301">
        <v>0.76</v>
      </c>
      <c r="CK16" s="301">
        <v>0.76</v>
      </c>
      <c r="CL16" s="301">
        <v>0.76</v>
      </c>
      <c r="CM16" s="301">
        <v>0.76</v>
      </c>
      <c r="CN16" s="301">
        <v>0.76</v>
      </c>
      <c r="CO16" s="301">
        <v>0.76</v>
      </c>
      <c r="CP16" s="301">
        <v>0.82</v>
      </c>
    </row>
    <row r="17" spans="2:94" s="302" customFormat="1" hidden="1" outlineLevel="2" x14ac:dyDescent="0.4">
      <c r="B17" s="299"/>
      <c r="C17" s="300"/>
      <c r="D17" s="300"/>
      <c r="E17" s="300" t="s">
        <v>357</v>
      </c>
      <c r="F17" s="301">
        <f>'EDT Nueva'!F16</f>
        <v>0.25</v>
      </c>
      <c r="H17" s="301">
        <v>0</v>
      </c>
      <c r="I17" s="301">
        <v>0</v>
      </c>
      <c r="J17" s="301">
        <v>0</v>
      </c>
      <c r="K17" s="301">
        <v>0</v>
      </c>
      <c r="L17" s="301">
        <v>0</v>
      </c>
      <c r="M17" s="301">
        <v>0</v>
      </c>
      <c r="N17" s="301">
        <v>0</v>
      </c>
      <c r="O17" s="301">
        <v>0</v>
      </c>
      <c r="P17" s="301">
        <v>0</v>
      </c>
      <c r="Q17" s="301">
        <v>0</v>
      </c>
      <c r="R17" s="301">
        <v>0</v>
      </c>
      <c r="S17" s="301">
        <v>0</v>
      </c>
      <c r="T17" s="301">
        <v>0</v>
      </c>
      <c r="U17" s="301">
        <v>1.7999999999999999E-2</v>
      </c>
      <c r="V17" s="301">
        <v>4.0799999999999996E-2</v>
      </c>
      <c r="W17" s="301">
        <v>7.1999999999999995E-2</v>
      </c>
      <c r="X17" s="301">
        <v>9.2999999999999999E-2</v>
      </c>
      <c r="Y17" s="301">
        <v>0.15180000000000002</v>
      </c>
      <c r="Z17" s="301">
        <v>0.22978000000000004</v>
      </c>
      <c r="AA17" s="301">
        <v>0.29768</v>
      </c>
      <c r="AB17" s="301">
        <v>0.29768</v>
      </c>
      <c r="AC17" s="301">
        <v>0.35648000000000002</v>
      </c>
      <c r="AD17" s="301">
        <v>0.41528000000000004</v>
      </c>
      <c r="AE17" s="301">
        <v>0.41528000000000004</v>
      </c>
      <c r="AF17" s="301">
        <v>0.50836999999999999</v>
      </c>
      <c r="AG17" s="301">
        <v>0.53301999999999994</v>
      </c>
      <c r="AH17" s="301">
        <v>0.53301999999999994</v>
      </c>
      <c r="AI17" s="301">
        <v>0.7</v>
      </c>
      <c r="AJ17" s="301">
        <v>0.7</v>
      </c>
      <c r="AK17" s="301">
        <v>0.7</v>
      </c>
      <c r="AL17" s="301">
        <v>0.72</v>
      </c>
      <c r="AM17" s="301">
        <v>0.72</v>
      </c>
      <c r="AN17" s="301">
        <v>0.75</v>
      </c>
      <c r="AO17" s="301">
        <v>0.76</v>
      </c>
      <c r="AP17" s="301">
        <v>0.76</v>
      </c>
      <c r="AQ17" s="301">
        <v>0.76</v>
      </c>
      <c r="AR17" s="301">
        <v>0.76</v>
      </c>
      <c r="AS17" s="301">
        <v>0.76</v>
      </c>
      <c r="AT17" s="301">
        <v>0.77</v>
      </c>
      <c r="AU17" s="301">
        <v>0.77</v>
      </c>
      <c r="AV17" s="301">
        <v>0.77</v>
      </c>
      <c r="AW17" s="301">
        <v>0.77</v>
      </c>
      <c r="AX17" s="301">
        <v>0.77</v>
      </c>
      <c r="AY17" s="301">
        <v>0.78</v>
      </c>
      <c r="AZ17" s="301">
        <v>0.78</v>
      </c>
      <c r="BA17" s="301">
        <v>0.78</v>
      </c>
      <c r="BB17" s="301">
        <v>0.79</v>
      </c>
      <c r="BC17" s="303">
        <v>0.79</v>
      </c>
      <c r="BD17" s="301">
        <v>0.79</v>
      </c>
      <c r="BE17" s="301">
        <v>0.79</v>
      </c>
      <c r="BF17" s="301">
        <v>0.79</v>
      </c>
      <c r="BG17" s="301">
        <v>0.8</v>
      </c>
      <c r="BH17" s="301">
        <v>0.81</v>
      </c>
      <c r="BI17" s="301">
        <v>0.81</v>
      </c>
      <c r="BJ17" s="301">
        <v>0.81499999999999995</v>
      </c>
      <c r="BK17" s="301">
        <v>0.81499999999999995</v>
      </c>
      <c r="BL17" s="301">
        <v>0.81499999999999995</v>
      </c>
      <c r="BM17" s="301">
        <v>0.81499999999999995</v>
      </c>
      <c r="BN17" s="301">
        <v>0.81499999999999995</v>
      </c>
      <c r="BO17" s="301">
        <v>0.83</v>
      </c>
      <c r="BP17" s="304">
        <v>0.84</v>
      </c>
      <c r="BQ17" s="301">
        <v>0.76</v>
      </c>
      <c r="BR17" s="301">
        <v>0.76</v>
      </c>
      <c r="BS17" s="301">
        <v>0.76</v>
      </c>
      <c r="BT17" s="301">
        <v>0.76</v>
      </c>
      <c r="BU17" s="301">
        <v>0.76</v>
      </c>
      <c r="BV17" s="301">
        <v>0.76</v>
      </c>
      <c r="BW17" s="301">
        <v>0.76</v>
      </c>
      <c r="BX17" s="301">
        <v>0.76</v>
      </c>
      <c r="BY17" s="301">
        <v>0.76</v>
      </c>
      <c r="BZ17" s="301">
        <v>0.76</v>
      </c>
      <c r="CA17" s="301">
        <v>0.76</v>
      </c>
      <c r="CB17" s="301">
        <v>0.76</v>
      </c>
      <c r="CC17" s="301">
        <v>0.76</v>
      </c>
      <c r="CD17" s="301">
        <v>0.76</v>
      </c>
      <c r="CE17" s="301">
        <v>0.76</v>
      </c>
      <c r="CF17" s="301">
        <v>0.76</v>
      </c>
      <c r="CG17" s="301">
        <v>0.76</v>
      </c>
      <c r="CH17" s="301">
        <v>0.76</v>
      </c>
      <c r="CI17" s="301">
        <v>0.76</v>
      </c>
      <c r="CJ17" s="301">
        <v>0.76</v>
      </c>
      <c r="CK17" s="301">
        <v>0.76</v>
      </c>
      <c r="CL17" s="301">
        <v>0.76</v>
      </c>
      <c r="CM17" s="301">
        <v>0.76</v>
      </c>
      <c r="CN17" s="301">
        <v>0.76</v>
      </c>
      <c r="CO17" s="301">
        <v>0.76</v>
      </c>
      <c r="CP17" s="301">
        <v>0.81499999999999995</v>
      </c>
    </row>
    <row r="18" spans="2:94" outlineLevel="1" collapsed="1" x14ac:dyDescent="0.4">
      <c r="B18" s="85"/>
      <c r="C18" s="86"/>
      <c r="D18" s="86" t="s">
        <v>39</v>
      </c>
      <c r="E18" s="86"/>
      <c r="F18" s="87">
        <f>'EDT Nueva'!F17</f>
        <v>7.8078954422348301E-2</v>
      </c>
      <c r="H18" s="87">
        <f>SUMPRODUCT(H19:H21,$F$19:$F$21)</f>
        <v>0</v>
      </c>
      <c r="I18" s="87">
        <f t="shared" ref="I18:J18" si="259">SUMPRODUCT(I19:I21,$F$19:$F$21)</f>
        <v>3.0100000000000002E-2</v>
      </c>
      <c r="J18" s="87">
        <f t="shared" si="259"/>
        <v>0.10460000000000001</v>
      </c>
      <c r="K18" s="87">
        <f t="shared" ref="K18:L18" si="260">SUMPRODUCT(K19:K21,$F$19:$F$21)</f>
        <v>0.18880000000000002</v>
      </c>
      <c r="L18" s="87">
        <f t="shared" si="260"/>
        <v>0.22359999999999999</v>
      </c>
      <c r="M18" s="87">
        <f t="shared" ref="M18" si="261">SUMPRODUCT(M19:M21,$F$19:$F$21)</f>
        <v>0.255</v>
      </c>
      <c r="N18" s="87">
        <f t="shared" ref="N18:O18" si="262">SUMPRODUCT(N19:N21,$F$19:$F$21)</f>
        <v>0.26700000000000002</v>
      </c>
      <c r="O18" s="87">
        <f t="shared" si="262"/>
        <v>0.27900000000000003</v>
      </c>
      <c r="P18" s="87">
        <f t="shared" ref="P18:Q18" si="263">SUMPRODUCT(P19:P21,$F$19:$F$21)</f>
        <v>0.29100000000000004</v>
      </c>
      <c r="Q18" s="87">
        <f t="shared" si="263"/>
        <v>0.30299999999999999</v>
      </c>
      <c r="R18" s="87">
        <f t="shared" ref="R18:U18" si="264">SUMPRODUCT(R19:R21,$F$19:$F$21)</f>
        <v>0.315</v>
      </c>
      <c r="S18" s="87">
        <f t="shared" si="264"/>
        <v>0.32100000000000006</v>
      </c>
      <c r="T18" s="87">
        <f t="shared" si="264"/>
        <v>0.33900000000000002</v>
      </c>
      <c r="U18" s="87">
        <f t="shared" si="264"/>
        <v>0.35451127819548872</v>
      </c>
      <c r="V18" s="87">
        <f t="shared" ref="V18:W18" si="265">SUMPRODUCT(V19:V21,$F$19:$F$21)</f>
        <v>0.4542496240601504</v>
      </c>
      <c r="W18" s="87">
        <f t="shared" si="265"/>
        <v>0.53350917293233091</v>
      </c>
      <c r="X18" s="87">
        <f t="shared" ref="X18:Y18" si="266">SUMPRODUCT(X19:X21,$F$19:$F$21)</f>
        <v>0.55739338345864664</v>
      </c>
      <c r="Y18" s="87">
        <f t="shared" si="266"/>
        <v>0.57428511278195504</v>
      </c>
      <c r="Z18" s="87">
        <f t="shared" ref="Z18:AA18" si="267">SUMPRODUCT(Z19:Z21,$F$19:$F$21)</f>
        <v>0.58048511278195503</v>
      </c>
      <c r="AA18" s="87">
        <f t="shared" si="267"/>
        <v>0.62988511278195503</v>
      </c>
      <c r="AB18" s="87">
        <f t="shared" ref="AB18:AC18" si="268">SUMPRODUCT(AB19:AB21,$F$19:$F$21)</f>
        <v>0.63828511278195499</v>
      </c>
      <c r="AC18" s="87">
        <f t="shared" si="268"/>
        <v>0.64600000000000013</v>
      </c>
      <c r="AD18" s="87">
        <f t="shared" ref="AD18:AE18" si="269">SUMPRODUCT(AD19:AD21,$F$19:$F$21)</f>
        <v>0.66920000000000013</v>
      </c>
      <c r="AE18" s="87">
        <f t="shared" si="269"/>
        <v>0.67400000000000004</v>
      </c>
      <c r="AF18" s="87">
        <f t="shared" ref="AF18:AG18" si="270">SUMPRODUCT(AF19:AF21,$F$19:$F$21)</f>
        <v>0.68320000000000014</v>
      </c>
      <c r="AG18" s="87">
        <f t="shared" si="270"/>
        <v>0.68800000000000006</v>
      </c>
      <c r="AH18" s="87">
        <f t="shared" ref="AH18:AI18" si="271">SUMPRODUCT(AH19:AH21,$F$19:$F$21)</f>
        <v>0.69240000000000002</v>
      </c>
      <c r="AI18" s="87">
        <f t="shared" si="271"/>
        <v>0.69240000000000002</v>
      </c>
      <c r="AJ18" s="87">
        <f t="shared" ref="AJ18:AK18" si="272">SUMPRODUCT(AJ19:AJ21,$F$19:$F$21)</f>
        <v>0.69440000000000002</v>
      </c>
      <c r="AK18" s="87">
        <f t="shared" si="272"/>
        <v>0.69440000000000002</v>
      </c>
      <c r="AL18" s="87">
        <f t="shared" ref="AL18:AM18" si="273">SUMPRODUCT(AL19:AL21,$F$19:$F$21)</f>
        <v>0.74040000000000006</v>
      </c>
      <c r="AM18" s="87">
        <f t="shared" si="273"/>
        <v>0.74560000000000015</v>
      </c>
      <c r="AN18" s="87">
        <f t="shared" ref="AN18" si="274">SUMPRODUCT(AN19:AN21,$F$19:$F$21)</f>
        <v>0.75000000000000011</v>
      </c>
      <c r="AO18" s="87">
        <f t="shared" ref="AO18" si="275">SUMPRODUCT(AO19:AO21,$F$19:$F$21)</f>
        <v>0.75400000000000011</v>
      </c>
      <c r="AP18" s="87">
        <f t="shared" ref="AP18" si="276">SUMPRODUCT(AP19:AP21,$F$19:$F$21)</f>
        <v>0.76600000000000013</v>
      </c>
      <c r="AQ18" s="87">
        <f t="shared" ref="AQ18:AR18" si="277">SUMPRODUCT(AQ19:AQ21,$F$19:$F$21)</f>
        <v>0.76719999999999999</v>
      </c>
      <c r="AR18" s="87">
        <f t="shared" si="277"/>
        <v>0.76779999999999993</v>
      </c>
      <c r="AS18" s="87">
        <f t="shared" ref="AS18" si="278">SUMPRODUCT(AS19:AS21,$F$19:$F$21)</f>
        <v>0.76779999999999993</v>
      </c>
      <c r="AT18" s="87">
        <f t="shared" ref="AT18:BC18" si="279">SUMPRODUCT(AT19:AT21,$F$19:$F$21)</f>
        <v>0.7762</v>
      </c>
      <c r="AU18" s="87">
        <f t="shared" si="279"/>
        <v>0.79020000000000001</v>
      </c>
      <c r="AV18" s="87">
        <f t="shared" si="279"/>
        <v>0.79020000000000001</v>
      </c>
      <c r="AW18" s="87">
        <f t="shared" si="279"/>
        <v>0.80800000000000005</v>
      </c>
      <c r="AX18" s="87">
        <f t="shared" si="279"/>
        <v>0.80800000000000005</v>
      </c>
      <c r="AY18" s="87">
        <f t="shared" si="279"/>
        <v>0.82000000000000006</v>
      </c>
      <c r="AZ18" s="87">
        <f t="shared" si="279"/>
        <v>0.82400000000000007</v>
      </c>
      <c r="BA18" s="87">
        <f t="shared" si="279"/>
        <v>0.84200000000000008</v>
      </c>
      <c r="BB18" s="87">
        <f t="shared" si="279"/>
        <v>0.8580000000000001</v>
      </c>
      <c r="BC18" s="87">
        <f t="shared" si="279"/>
        <v>0.8680000000000001</v>
      </c>
      <c r="BD18" s="87">
        <f t="shared" ref="BD18:BE18" si="280">SUMPRODUCT(BD19:BD21,$F$19:$F$21)</f>
        <v>0.8680000000000001</v>
      </c>
      <c r="BE18" s="87">
        <f t="shared" si="280"/>
        <v>0.87200000000000011</v>
      </c>
      <c r="BF18" s="87">
        <f t="shared" ref="BF18:BG18" si="281">SUMPRODUCT(BF19:BF21,$F$19:$F$21)</f>
        <v>0.87999999999999989</v>
      </c>
      <c r="BG18" s="87">
        <f t="shared" si="281"/>
        <v>0.8819999999999999</v>
      </c>
      <c r="BH18" s="87">
        <f t="shared" ref="BH18:BI18" si="282">SUMPRODUCT(BH19:BH21,$F$19:$F$21)</f>
        <v>0.8859999999999999</v>
      </c>
      <c r="BI18" s="87">
        <f t="shared" si="282"/>
        <v>0.8879999999999999</v>
      </c>
      <c r="BJ18" s="87">
        <f t="shared" ref="BJ18:BK18" si="283">SUMPRODUCT(BJ19:BJ21,$F$19:$F$21)</f>
        <v>0.8919999999999999</v>
      </c>
      <c r="BK18" s="87">
        <f t="shared" si="283"/>
        <v>0.89599999999999991</v>
      </c>
      <c r="BL18" s="87">
        <f t="shared" ref="BL18" si="284">SUMPRODUCT(BL19:BL21,$F$19:$F$21)</f>
        <v>0.90000000000000013</v>
      </c>
      <c r="BM18" s="87">
        <f t="shared" ref="BM18:BN18" si="285">SUMPRODUCT(BM19:BM21,$F$19:$F$21)</f>
        <v>0.90400000000000014</v>
      </c>
      <c r="BN18" s="87">
        <f t="shared" si="285"/>
        <v>0.90800000000000014</v>
      </c>
      <c r="BO18" s="87">
        <f t="shared" ref="BO18" si="286">SUMPRODUCT(BO19:BO21,$F$19:$F$21)</f>
        <v>0.90800000000000014</v>
      </c>
      <c r="BP18" s="87">
        <f t="shared" ref="BP18" si="287">SUMPRODUCT(BP19:BP21,$F$19:$F$21)</f>
        <v>0.90800000000000014</v>
      </c>
      <c r="BQ18" s="87">
        <f t="shared" ref="BQ18:BR18" si="288">SUMPRODUCT(BQ19:BQ21,$F$19:$F$21)</f>
        <v>0.76779999999999993</v>
      </c>
      <c r="BR18" s="87">
        <f t="shared" si="288"/>
        <v>0.76779999999999993</v>
      </c>
      <c r="BS18" s="87">
        <f t="shared" ref="BS18:BT18" si="289">SUMPRODUCT(BS19:BS21,$F$19:$F$21)</f>
        <v>0.76779999999999993</v>
      </c>
      <c r="BT18" s="87">
        <f t="shared" si="289"/>
        <v>0.76779999999999993</v>
      </c>
      <c r="BU18" s="87">
        <f t="shared" ref="BU18:BV18" si="290">SUMPRODUCT(BU19:BU21,$F$19:$F$21)</f>
        <v>0.76779999999999993</v>
      </c>
      <c r="BV18" s="87">
        <f t="shared" si="290"/>
        <v>0.76779999999999993</v>
      </c>
      <c r="BW18" s="87">
        <f t="shared" ref="BW18:CP18" si="291">SUMPRODUCT(BW19:BW21,$F$19:$F$21)</f>
        <v>0.76779999999999993</v>
      </c>
      <c r="BX18" s="87">
        <f t="shared" si="291"/>
        <v>0.76779999999999993</v>
      </c>
      <c r="BY18" s="87">
        <f t="shared" si="291"/>
        <v>0.76779999999999993</v>
      </c>
      <c r="BZ18" s="87">
        <f t="shared" si="291"/>
        <v>0.76779999999999993</v>
      </c>
      <c r="CA18" s="87">
        <f t="shared" si="291"/>
        <v>0.76779999999999993</v>
      </c>
      <c r="CB18" s="87">
        <f t="shared" si="291"/>
        <v>0.76779999999999993</v>
      </c>
      <c r="CC18" s="87">
        <f t="shared" si="291"/>
        <v>0.76779999999999993</v>
      </c>
      <c r="CD18" s="87">
        <f t="shared" si="291"/>
        <v>0.76779999999999993</v>
      </c>
      <c r="CE18" s="87">
        <f t="shared" si="291"/>
        <v>0.76779999999999993</v>
      </c>
      <c r="CF18" s="87">
        <f t="shared" si="291"/>
        <v>0.76779999999999993</v>
      </c>
      <c r="CG18" s="87">
        <f t="shared" si="291"/>
        <v>0.76779999999999993</v>
      </c>
      <c r="CH18" s="87">
        <f t="shared" si="291"/>
        <v>0.76779999999999993</v>
      </c>
      <c r="CI18" s="87">
        <f t="shared" si="291"/>
        <v>0.76779999999999993</v>
      </c>
      <c r="CJ18" s="87">
        <f t="shared" si="291"/>
        <v>0.76779999999999993</v>
      </c>
      <c r="CK18" s="87">
        <f t="shared" si="291"/>
        <v>0.76779999999999993</v>
      </c>
      <c r="CL18" s="87">
        <f t="shared" si="291"/>
        <v>0.76779999999999993</v>
      </c>
      <c r="CM18" s="87">
        <f t="shared" si="291"/>
        <v>0.76779999999999993</v>
      </c>
      <c r="CN18" s="87">
        <f t="shared" si="291"/>
        <v>0.76779999999999993</v>
      </c>
      <c r="CO18" s="87">
        <f t="shared" si="291"/>
        <v>0.76779999999999993</v>
      </c>
      <c r="CP18" s="87">
        <f t="shared" si="291"/>
        <v>0.8919999999999999</v>
      </c>
    </row>
    <row r="19" spans="2:94" hidden="1" outlineLevel="2" x14ac:dyDescent="0.4">
      <c r="B19" s="69"/>
      <c r="C19" s="70"/>
      <c r="D19" s="70"/>
      <c r="E19" s="70" t="s">
        <v>40</v>
      </c>
      <c r="F19" s="71">
        <f>'EDT Nueva'!F18</f>
        <v>0.4</v>
      </c>
      <c r="H19" s="71">
        <v>0</v>
      </c>
      <c r="I19" s="71">
        <v>4.4000000000000004E-2</v>
      </c>
      <c r="J19" s="71">
        <v>0.11</v>
      </c>
      <c r="K19" s="71">
        <v>0.154</v>
      </c>
      <c r="L19" s="71">
        <v>0.19800000000000001</v>
      </c>
      <c r="M19" s="71">
        <v>0.22</v>
      </c>
      <c r="N19" s="71">
        <v>0.25</v>
      </c>
      <c r="O19" s="71">
        <v>0.28000000000000003</v>
      </c>
      <c r="P19" s="71">
        <v>0.31000000000000005</v>
      </c>
      <c r="Q19" s="71">
        <v>0.33999999999999997</v>
      </c>
      <c r="R19" s="71">
        <v>0.37</v>
      </c>
      <c r="S19" s="71">
        <v>0.38500000000000001</v>
      </c>
      <c r="T19" s="71">
        <v>0.43</v>
      </c>
      <c r="U19" s="71">
        <v>0.44500000000000001</v>
      </c>
      <c r="V19" s="71">
        <v>0.65600000000000003</v>
      </c>
      <c r="W19" s="71">
        <v>0.82960000000000012</v>
      </c>
      <c r="X19" s="71">
        <v>0.82960000000000012</v>
      </c>
      <c r="Y19" s="71">
        <v>0.82960000000000012</v>
      </c>
      <c r="Z19" s="71">
        <v>0.82960000000000012</v>
      </c>
      <c r="AA19" s="71">
        <v>0.82960000000000012</v>
      </c>
      <c r="AB19" s="71">
        <v>0.82960000000000012</v>
      </c>
      <c r="AC19" s="71">
        <v>0.83</v>
      </c>
      <c r="AD19" s="71">
        <v>0.83</v>
      </c>
      <c r="AE19" s="71">
        <v>0.83</v>
      </c>
      <c r="AF19" s="71">
        <v>0.83</v>
      </c>
      <c r="AG19" s="71">
        <v>0.83</v>
      </c>
      <c r="AH19" s="71">
        <v>0.83</v>
      </c>
      <c r="AI19" s="71">
        <v>0.83</v>
      </c>
      <c r="AJ19" s="71">
        <v>0.83499999999999996</v>
      </c>
      <c r="AK19" s="71">
        <v>0.83499999999999996</v>
      </c>
      <c r="AL19" s="71">
        <v>0.93599999999999994</v>
      </c>
      <c r="AM19" s="71">
        <v>0.93600000000000005</v>
      </c>
      <c r="AN19" s="71">
        <v>0.94</v>
      </c>
      <c r="AO19" s="71">
        <v>0.94</v>
      </c>
      <c r="AP19" s="71">
        <v>0.94</v>
      </c>
      <c r="AQ19" s="71">
        <v>0.94199999999999995</v>
      </c>
      <c r="AR19" s="71">
        <v>0.94299999999999995</v>
      </c>
      <c r="AS19" s="71">
        <v>0.94299999999999995</v>
      </c>
      <c r="AT19" s="71">
        <v>0.94299999999999995</v>
      </c>
      <c r="AU19" s="71">
        <v>0.94299999999999995</v>
      </c>
      <c r="AV19" s="71">
        <v>0.94299999999999995</v>
      </c>
      <c r="AW19" s="71">
        <v>0.95</v>
      </c>
      <c r="AX19" s="71">
        <v>0.95</v>
      </c>
      <c r="AY19" s="71">
        <v>0.96</v>
      </c>
      <c r="AZ19" s="71">
        <v>0.97</v>
      </c>
      <c r="BA19" s="71">
        <v>1</v>
      </c>
      <c r="BB19" s="71">
        <v>1</v>
      </c>
      <c r="BC19" s="71">
        <v>1</v>
      </c>
      <c r="BD19" s="71">
        <v>1</v>
      </c>
      <c r="BE19" s="71">
        <v>1</v>
      </c>
      <c r="BF19" s="71">
        <v>1</v>
      </c>
      <c r="BG19" s="71">
        <v>1</v>
      </c>
      <c r="BH19" s="71">
        <v>1</v>
      </c>
      <c r="BI19" s="71">
        <v>1</v>
      </c>
      <c r="BJ19" s="71">
        <v>1</v>
      </c>
      <c r="BK19" s="71">
        <v>1</v>
      </c>
      <c r="BL19" s="71">
        <v>1</v>
      </c>
      <c r="BM19" s="71">
        <v>1</v>
      </c>
      <c r="BN19" s="71">
        <v>1</v>
      </c>
      <c r="BO19" s="71">
        <v>1</v>
      </c>
      <c r="BP19" s="71">
        <v>1</v>
      </c>
      <c r="BQ19" s="71">
        <v>0.94299999999999995</v>
      </c>
      <c r="BR19" s="71">
        <v>0.94299999999999995</v>
      </c>
      <c r="BS19" s="71">
        <v>0.94299999999999995</v>
      </c>
      <c r="BT19" s="71">
        <v>0.94299999999999995</v>
      </c>
      <c r="BU19" s="71">
        <v>0.94299999999999995</v>
      </c>
      <c r="BV19" s="71">
        <v>0.94299999999999995</v>
      </c>
      <c r="BW19" s="71">
        <v>0.94299999999999995</v>
      </c>
      <c r="BX19" s="71">
        <v>0.94299999999999995</v>
      </c>
      <c r="BY19" s="71">
        <v>0.94299999999999995</v>
      </c>
      <c r="BZ19" s="71">
        <v>0.94299999999999995</v>
      </c>
      <c r="CA19" s="71">
        <v>0.94299999999999995</v>
      </c>
      <c r="CB19" s="71">
        <v>0.94299999999999995</v>
      </c>
      <c r="CC19" s="71">
        <v>0.94299999999999995</v>
      </c>
      <c r="CD19" s="71">
        <v>0.94299999999999995</v>
      </c>
      <c r="CE19" s="71">
        <v>0.94299999999999995</v>
      </c>
      <c r="CF19" s="71">
        <v>0.94299999999999995</v>
      </c>
      <c r="CG19" s="71">
        <v>0.94299999999999995</v>
      </c>
      <c r="CH19" s="71">
        <v>0.94299999999999995</v>
      </c>
      <c r="CI19" s="71">
        <v>0.94299999999999995</v>
      </c>
      <c r="CJ19" s="71">
        <v>0.94299999999999995</v>
      </c>
      <c r="CK19" s="71">
        <v>0.94299999999999995</v>
      </c>
      <c r="CL19" s="71">
        <v>0.94299999999999995</v>
      </c>
      <c r="CM19" s="71">
        <v>0.94299999999999995</v>
      </c>
      <c r="CN19" s="71">
        <v>0.94299999999999995</v>
      </c>
      <c r="CO19" s="71">
        <v>0.94299999999999995</v>
      </c>
      <c r="CP19" s="71">
        <v>1</v>
      </c>
    </row>
    <row r="20" spans="2:94" s="302" customFormat="1" hidden="1" outlineLevel="2" x14ac:dyDescent="0.4">
      <c r="B20" s="299"/>
      <c r="C20" s="300"/>
      <c r="D20" s="300"/>
      <c r="E20" s="300" t="s">
        <v>41</v>
      </c>
      <c r="F20" s="301">
        <f>'EDT Nueva'!F19</f>
        <v>0.4</v>
      </c>
      <c r="H20" s="301">
        <v>0</v>
      </c>
      <c r="I20" s="301">
        <v>0</v>
      </c>
      <c r="J20" s="301">
        <v>1.4000000000000002E-2</v>
      </c>
      <c r="K20" s="301">
        <v>0.10550000000000001</v>
      </c>
      <c r="L20" s="301">
        <v>0.1235</v>
      </c>
      <c r="M20" s="301">
        <v>0.18000000000000002</v>
      </c>
      <c r="N20" s="301">
        <v>0.18000000000000002</v>
      </c>
      <c r="O20" s="301">
        <v>0.18000000000000002</v>
      </c>
      <c r="P20" s="301">
        <v>0.18000000000000002</v>
      </c>
      <c r="Q20" s="301">
        <v>0.18000000000000002</v>
      </c>
      <c r="R20" s="301">
        <v>0.18000000000000002</v>
      </c>
      <c r="S20" s="301">
        <v>0.18000000000000002</v>
      </c>
      <c r="T20" s="301">
        <v>0.18000000000000002</v>
      </c>
      <c r="U20" s="301">
        <v>0.18000000000000002</v>
      </c>
      <c r="V20" s="301">
        <v>0.18000000000000002</v>
      </c>
      <c r="W20" s="301">
        <v>0.18500000000000003</v>
      </c>
      <c r="X20" s="301">
        <v>0.21050000000000002</v>
      </c>
      <c r="Y20" s="301">
        <v>0.22100000000000003</v>
      </c>
      <c r="Z20" s="301">
        <v>0.23650000000000004</v>
      </c>
      <c r="AA20" s="301">
        <v>0.36000000000000004</v>
      </c>
      <c r="AB20" s="301">
        <v>0.38100000000000006</v>
      </c>
      <c r="AC20" s="301">
        <v>0.39500000000000002</v>
      </c>
      <c r="AD20" s="301">
        <v>0.42300000000000004</v>
      </c>
      <c r="AE20" s="301">
        <v>0.43000000000000005</v>
      </c>
      <c r="AF20" s="301">
        <v>0.44800000000000006</v>
      </c>
      <c r="AG20" s="301">
        <v>0.45700000000000007</v>
      </c>
      <c r="AH20" s="301">
        <v>0.46600000000000003</v>
      </c>
      <c r="AI20" s="301">
        <v>0.46600000000000003</v>
      </c>
      <c r="AJ20" s="301">
        <v>0.46600000000000003</v>
      </c>
      <c r="AK20" s="301">
        <v>0.46600000000000003</v>
      </c>
      <c r="AL20" s="301">
        <v>0.47500000000000003</v>
      </c>
      <c r="AM20" s="301">
        <v>0.48799999999999999</v>
      </c>
      <c r="AN20" s="301">
        <v>0.49</v>
      </c>
      <c r="AO20" s="301">
        <v>0.5</v>
      </c>
      <c r="AP20" s="301">
        <v>0.53</v>
      </c>
      <c r="AQ20" s="301">
        <v>0.53</v>
      </c>
      <c r="AR20" s="301">
        <v>0.53</v>
      </c>
      <c r="AS20" s="301">
        <v>0.53</v>
      </c>
      <c r="AT20" s="301">
        <v>0.55000000000000004</v>
      </c>
      <c r="AU20" s="301">
        <v>0.57999999999999996</v>
      </c>
      <c r="AV20" s="301">
        <v>0.57999999999999996</v>
      </c>
      <c r="AW20" s="301">
        <v>0.61</v>
      </c>
      <c r="AX20" s="301">
        <v>0.61</v>
      </c>
      <c r="AY20" s="301">
        <v>0.63</v>
      </c>
      <c r="AZ20" s="301">
        <v>0.63</v>
      </c>
      <c r="BA20" s="301">
        <v>0.63</v>
      </c>
      <c r="BB20" s="301">
        <v>0.67</v>
      </c>
      <c r="BC20" s="301">
        <v>0.67</v>
      </c>
      <c r="BD20" s="301">
        <v>0.67</v>
      </c>
      <c r="BE20" s="301">
        <v>0.68</v>
      </c>
      <c r="BF20" s="301">
        <v>0.7</v>
      </c>
      <c r="BG20" s="301">
        <v>0.70499999999999996</v>
      </c>
      <c r="BH20" s="301">
        <v>0.71499999999999997</v>
      </c>
      <c r="BI20" s="301">
        <v>0.72</v>
      </c>
      <c r="BJ20" s="301">
        <v>0.73</v>
      </c>
      <c r="BK20" s="301">
        <v>0.74</v>
      </c>
      <c r="BL20" s="301">
        <v>0.75</v>
      </c>
      <c r="BM20" s="301">
        <v>0.76</v>
      </c>
      <c r="BN20" s="301">
        <v>0.77</v>
      </c>
      <c r="BO20" s="301">
        <v>0.77</v>
      </c>
      <c r="BP20" s="301">
        <v>0.77</v>
      </c>
      <c r="BQ20" s="301">
        <v>0.53</v>
      </c>
      <c r="BR20" s="301">
        <v>0.53</v>
      </c>
      <c r="BS20" s="301">
        <v>0.53</v>
      </c>
      <c r="BT20" s="301">
        <v>0.53</v>
      </c>
      <c r="BU20" s="301">
        <v>0.53</v>
      </c>
      <c r="BV20" s="301">
        <v>0.53</v>
      </c>
      <c r="BW20" s="301">
        <v>0.53</v>
      </c>
      <c r="BX20" s="301">
        <v>0.53</v>
      </c>
      <c r="BY20" s="301">
        <v>0.53</v>
      </c>
      <c r="BZ20" s="301">
        <v>0.53</v>
      </c>
      <c r="CA20" s="301">
        <v>0.53</v>
      </c>
      <c r="CB20" s="301">
        <v>0.53</v>
      </c>
      <c r="CC20" s="301">
        <v>0.53</v>
      </c>
      <c r="CD20" s="301">
        <v>0.53</v>
      </c>
      <c r="CE20" s="301">
        <v>0.53</v>
      </c>
      <c r="CF20" s="301">
        <v>0.53</v>
      </c>
      <c r="CG20" s="301">
        <v>0.53</v>
      </c>
      <c r="CH20" s="301">
        <v>0.53</v>
      </c>
      <c r="CI20" s="301">
        <v>0.53</v>
      </c>
      <c r="CJ20" s="301">
        <v>0.53</v>
      </c>
      <c r="CK20" s="301">
        <v>0.53</v>
      </c>
      <c r="CL20" s="301">
        <v>0.53</v>
      </c>
      <c r="CM20" s="301">
        <v>0.53</v>
      </c>
      <c r="CN20" s="301">
        <v>0.53</v>
      </c>
      <c r="CO20" s="301">
        <v>0.53</v>
      </c>
      <c r="CP20" s="301">
        <v>0.73</v>
      </c>
    </row>
    <row r="21" spans="2:94" hidden="1" outlineLevel="2" x14ac:dyDescent="0.4">
      <c r="B21" s="69"/>
      <c r="C21" s="70"/>
      <c r="D21" s="70"/>
      <c r="E21" s="70" t="s">
        <v>42</v>
      </c>
      <c r="F21" s="71">
        <f>'EDT Nueva'!F20</f>
        <v>0.2</v>
      </c>
      <c r="H21" s="71">
        <v>0</v>
      </c>
      <c r="I21" s="71">
        <v>6.25E-2</v>
      </c>
      <c r="J21" s="71">
        <v>0.27500000000000002</v>
      </c>
      <c r="K21" s="71">
        <v>0.42499999999999999</v>
      </c>
      <c r="L21" s="71">
        <v>0.47499999999999998</v>
      </c>
      <c r="M21" s="71">
        <v>0.47499999999999998</v>
      </c>
      <c r="N21" s="71">
        <v>0.47499999999999998</v>
      </c>
      <c r="O21" s="71">
        <v>0.47499999999999998</v>
      </c>
      <c r="P21" s="71">
        <v>0.47499999999999998</v>
      </c>
      <c r="Q21" s="71">
        <v>0.47499999999999998</v>
      </c>
      <c r="R21" s="71">
        <v>0.47499999999999998</v>
      </c>
      <c r="S21" s="71">
        <v>0.47499999999999998</v>
      </c>
      <c r="T21" s="71">
        <v>0.47499999999999998</v>
      </c>
      <c r="U21" s="71">
        <v>0.52255639097744355</v>
      </c>
      <c r="V21" s="71">
        <v>0.59924812030075181</v>
      </c>
      <c r="W21" s="71">
        <v>0.63834586466165411</v>
      </c>
      <c r="X21" s="71">
        <v>0.70676691729323304</v>
      </c>
      <c r="Y21" s="71">
        <v>0.77022556390977448</v>
      </c>
      <c r="Z21" s="71">
        <v>0.77022556390977448</v>
      </c>
      <c r="AA21" s="71">
        <v>0.77022556390977448</v>
      </c>
      <c r="AB21" s="71">
        <v>0.77022556390977448</v>
      </c>
      <c r="AC21" s="71">
        <v>0.78</v>
      </c>
      <c r="AD21" s="71">
        <v>0.84000000000000008</v>
      </c>
      <c r="AE21" s="71">
        <v>0.85000000000000009</v>
      </c>
      <c r="AF21" s="71">
        <v>0.8600000000000001</v>
      </c>
      <c r="AG21" s="71">
        <v>0.8660000000000001</v>
      </c>
      <c r="AH21" s="71">
        <v>0.87000000000000011</v>
      </c>
      <c r="AI21" s="71">
        <v>0.87000000000000011</v>
      </c>
      <c r="AJ21" s="71">
        <v>0.87000000000000011</v>
      </c>
      <c r="AK21" s="71">
        <v>0.87000000000000011</v>
      </c>
      <c r="AL21" s="71">
        <v>0.88000000000000012</v>
      </c>
      <c r="AM21" s="71">
        <v>0.88</v>
      </c>
      <c r="AN21" s="71">
        <v>0.89</v>
      </c>
      <c r="AO21" s="71">
        <v>0.89</v>
      </c>
      <c r="AP21" s="71">
        <v>0.89</v>
      </c>
      <c r="AQ21" s="71">
        <v>0.89200000000000002</v>
      </c>
      <c r="AR21" s="71">
        <v>0.89300000000000002</v>
      </c>
      <c r="AS21" s="71">
        <v>0.89300000000000002</v>
      </c>
      <c r="AT21" s="71">
        <v>0.89500000000000002</v>
      </c>
      <c r="AU21" s="71">
        <v>0.90500000000000003</v>
      </c>
      <c r="AV21" s="71">
        <v>0.90500000000000003</v>
      </c>
      <c r="AW21" s="71">
        <v>0.92</v>
      </c>
      <c r="AX21" s="71">
        <v>0.92</v>
      </c>
      <c r="AY21" s="71">
        <v>0.92</v>
      </c>
      <c r="AZ21" s="71">
        <v>0.92</v>
      </c>
      <c r="BA21" s="71">
        <v>0.95</v>
      </c>
      <c r="BB21" s="71">
        <v>0.95</v>
      </c>
      <c r="BC21" s="74">
        <v>1</v>
      </c>
      <c r="BD21" s="71">
        <v>1</v>
      </c>
      <c r="BE21" s="71">
        <v>1</v>
      </c>
      <c r="BF21" s="71">
        <v>1</v>
      </c>
      <c r="BG21" s="71">
        <v>1</v>
      </c>
      <c r="BH21" s="71">
        <v>1</v>
      </c>
      <c r="BI21" s="71">
        <v>1</v>
      </c>
      <c r="BJ21" s="71">
        <v>1</v>
      </c>
      <c r="BK21" s="71">
        <v>1</v>
      </c>
      <c r="BL21" s="71">
        <v>1</v>
      </c>
      <c r="BM21" s="71">
        <v>1</v>
      </c>
      <c r="BN21" s="71">
        <v>1</v>
      </c>
      <c r="BO21" s="71">
        <v>1</v>
      </c>
      <c r="BP21" s="71">
        <v>1</v>
      </c>
      <c r="BQ21" s="71">
        <v>0.89300000000000002</v>
      </c>
      <c r="BR21" s="71">
        <v>0.89300000000000002</v>
      </c>
      <c r="BS21" s="71">
        <v>0.89300000000000002</v>
      </c>
      <c r="BT21" s="71">
        <v>0.89300000000000002</v>
      </c>
      <c r="BU21" s="71">
        <v>0.89300000000000002</v>
      </c>
      <c r="BV21" s="71">
        <v>0.89300000000000002</v>
      </c>
      <c r="BW21" s="71">
        <v>0.89300000000000002</v>
      </c>
      <c r="BX21" s="71">
        <v>0.89300000000000002</v>
      </c>
      <c r="BY21" s="71">
        <v>0.89300000000000002</v>
      </c>
      <c r="BZ21" s="71">
        <v>0.89300000000000002</v>
      </c>
      <c r="CA21" s="71">
        <v>0.89300000000000002</v>
      </c>
      <c r="CB21" s="71">
        <v>0.89300000000000002</v>
      </c>
      <c r="CC21" s="71">
        <v>0.89300000000000002</v>
      </c>
      <c r="CD21" s="71">
        <v>0.89300000000000002</v>
      </c>
      <c r="CE21" s="71">
        <v>0.89300000000000002</v>
      </c>
      <c r="CF21" s="71">
        <v>0.89300000000000002</v>
      </c>
      <c r="CG21" s="71">
        <v>0.89300000000000002</v>
      </c>
      <c r="CH21" s="71">
        <v>0.89300000000000002</v>
      </c>
      <c r="CI21" s="71">
        <v>0.89300000000000002</v>
      </c>
      <c r="CJ21" s="71">
        <v>0.89300000000000002</v>
      </c>
      <c r="CK21" s="71">
        <v>0.89300000000000002</v>
      </c>
      <c r="CL21" s="71">
        <v>0.89300000000000002</v>
      </c>
      <c r="CM21" s="71">
        <v>0.89300000000000002</v>
      </c>
      <c r="CN21" s="71">
        <v>0.89300000000000002</v>
      </c>
      <c r="CO21" s="71">
        <v>0.89300000000000002</v>
      </c>
      <c r="CP21" s="71">
        <v>1</v>
      </c>
    </row>
    <row r="22" spans="2:94" outlineLevel="1" collapsed="1" x14ac:dyDescent="0.4">
      <c r="B22" s="85"/>
      <c r="C22" s="86"/>
      <c r="D22" s="86" t="s">
        <v>43</v>
      </c>
      <c r="E22" s="86"/>
      <c r="F22" s="87">
        <f>'EDT Nueva'!F21</f>
        <v>0.2250620980454589</v>
      </c>
      <c r="H22" s="87">
        <f>SUMPRODUCT(H23:H24,$F$23:$F$24)</f>
        <v>0</v>
      </c>
      <c r="I22" s="87">
        <f t="shared" ref="I22:J22" si="292">SUMPRODUCT(I23:I24,$F$23:$F$24)</f>
        <v>0.18551111111111113</v>
      </c>
      <c r="J22" s="87">
        <f t="shared" si="292"/>
        <v>0.19377777777777777</v>
      </c>
      <c r="K22" s="87">
        <f t="shared" ref="K22:L22" si="293">SUMPRODUCT(K23:K24,$F$23:$F$24)</f>
        <v>0.21522222222222223</v>
      </c>
      <c r="L22" s="87">
        <f t="shared" si="293"/>
        <v>0.31199548242850039</v>
      </c>
      <c r="M22" s="87">
        <f t="shared" ref="M22" si="294">SUMPRODUCT(M23:M24,$F$23:$F$24)</f>
        <v>0.32564263252308256</v>
      </c>
      <c r="N22" s="87">
        <f t="shared" ref="N22:O22" si="295">SUMPRODUCT(N23:N24,$F$23:$F$24)</f>
        <v>0.39230929918974922</v>
      </c>
      <c r="O22" s="87">
        <f t="shared" si="295"/>
        <v>0.56159881229529574</v>
      </c>
      <c r="P22" s="87">
        <f t="shared" ref="P22:Q22" si="296">SUMPRODUCT(P23:P24,$F$23:$F$24)</f>
        <v>0.66666666666666674</v>
      </c>
      <c r="Q22" s="87">
        <f t="shared" si="296"/>
        <v>0.77333333333333343</v>
      </c>
      <c r="R22" s="87">
        <f t="shared" ref="R22:U22" si="297">SUMPRODUCT(R23:R24,$F$23:$F$24)</f>
        <v>0.83333333333333337</v>
      </c>
      <c r="S22" s="87">
        <f t="shared" si="297"/>
        <v>0.89333333333333331</v>
      </c>
      <c r="T22" s="87">
        <f t="shared" si="297"/>
        <v>0.93333333333333335</v>
      </c>
      <c r="U22" s="87">
        <f t="shared" si="297"/>
        <v>0.93933333333333335</v>
      </c>
      <c r="V22" s="87">
        <f t="shared" ref="V22:W22" si="298">SUMPRODUCT(V23:V24,$F$23:$F$24)</f>
        <v>0.96933333333333327</v>
      </c>
      <c r="W22" s="87">
        <f t="shared" si="298"/>
        <v>0.9993333333333333</v>
      </c>
      <c r="X22" s="87">
        <f t="shared" ref="X22:Y22" si="299">SUMPRODUCT(X23:X24,$F$23:$F$24)</f>
        <v>1</v>
      </c>
      <c r="Y22" s="87">
        <f t="shared" si="299"/>
        <v>1</v>
      </c>
      <c r="Z22" s="87">
        <f t="shared" ref="Z22:AA22" si="300">SUMPRODUCT(Z23:Z24,$F$23:$F$24)</f>
        <v>1</v>
      </c>
      <c r="AA22" s="87">
        <f t="shared" si="300"/>
        <v>1</v>
      </c>
      <c r="AB22" s="87">
        <f t="shared" ref="AB22:AC22" si="301">SUMPRODUCT(AB23:AB24,$F$23:$F$24)</f>
        <v>1</v>
      </c>
      <c r="AC22" s="87">
        <f t="shared" si="301"/>
        <v>1</v>
      </c>
      <c r="AD22" s="87">
        <f t="shared" ref="AD22:AE22" si="302">SUMPRODUCT(AD23:AD24,$F$23:$F$24)</f>
        <v>1</v>
      </c>
      <c r="AE22" s="87">
        <f t="shared" si="302"/>
        <v>1</v>
      </c>
      <c r="AF22" s="87">
        <f t="shared" ref="AF22:AG22" si="303">SUMPRODUCT(AF23:AF24,$F$23:$F$24)</f>
        <v>1</v>
      </c>
      <c r="AG22" s="87">
        <f t="shared" si="303"/>
        <v>1</v>
      </c>
      <c r="AH22" s="87">
        <f t="shared" ref="AH22:AI22" si="304">SUMPRODUCT(AH23:AH24,$F$23:$F$24)</f>
        <v>1</v>
      </c>
      <c r="AI22" s="87">
        <f t="shared" si="304"/>
        <v>1</v>
      </c>
      <c r="AJ22" s="87">
        <f t="shared" ref="AJ22:AK22" si="305">SUMPRODUCT(AJ23:AJ24,$F$23:$F$24)</f>
        <v>1</v>
      </c>
      <c r="AK22" s="87">
        <f t="shared" si="305"/>
        <v>1</v>
      </c>
      <c r="AL22" s="87">
        <f t="shared" ref="AL22:AM22" si="306">SUMPRODUCT(AL23:AL24,$F$23:$F$24)</f>
        <v>1</v>
      </c>
      <c r="AM22" s="87">
        <f t="shared" si="306"/>
        <v>1</v>
      </c>
      <c r="AN22" s="87">
        <f t="shared" ref="AN22" si="307">SUMPRODUCT(AN23:AN24,$F$23:$F$24)</f>
        <v>1</v>
      </c>
      <c r="AO22" s="87">
        <f t="shared" ref="AO22" si="308">SUMPRODUCT(AO23:AO24,$F$23:$F$24)</f>
        <v>1</v>
      </c>
      <c r="AP22" s="87">
        <f t="shared" ref="AP22" si="309">SUMPRODUCT(AP23:AP24,$F$23:$F$24)</f>
        <v>1</v>
      </c>
      <c r="AQ22" s="87">
        <f t="shared" ref="AQ22:AR22" si="310">SUMPRODUCT(AQ23:AQ24,$F$23:$F$24)</f>
        <v>1</v>
      </c>
      <c r="AR22" s="87">
        <f t="shared" si="310"/>
        <v>1</v>
      </c>
      <c r="AS22" s="87">
        <f t="shared" ref="AS22" si="311">SUMPRODUCT(AS23:AS24,$F$23:$F$24)</f>
        <v>1</v>
      </c>
      <c r="AT22" s="87">
        <f t="shared" ref="AT22:BC22" si="312">SUMPRODUCT(AT23:AT24,$F$23:$F$24)</f>
        <v>1</v>
      </c>
      <c r="AU22" s="87">
        <f t="shared" si="312"/>
        <v>1</v>
      </c>
      <c r="AV22" s="87">
        <f t="shared" si="312"/>
        <v>1</v>
      </c>
      <c r="AW22" s="87">
        <f t="shared" si="312"/>
        <v>1</v>
      </c>
      <c r="AX22" s="87">
        <f t="shared" si="312"/>
        <v>1</v>
      </c>
      <c r="AY22" s="87">
        <f t="shared" si="312"/>
        <v>1</v>
      </c>
      <c r="AZ22" s="87">
        <f t="shared" si="312"/>
        <v>1</v>
      </c>
      <c r="BA22" s="87">
        <f t="shared" si="312"/>
        <v>1</v>
      </c>
      <c r="BB22" s="87">
        <f t="shared" si="312"/>
        <v>1</v>
      </c>
      <c r="BC22" s="87">
        <f t="shared" si="312"/>
        <v>1</v>
      </c>
      <c r="BD22" s="87">
        <f t="shared" ref="BD22:BE22" si="313">SUMPRODUCT(BD23:BD24,$F$23:$F$24)</f>
        <v>1</v>
      </c>
      <c r="BE22" s="87">
        <f t="shared" si="313"/>
        <v>1</v>
      </c>
      <c r="BF22" s="87">
        <f t="shared" ref="BF22:BG22" si="314">SUMPRODUCT(BF23:BF24,$F$23:$F$24)</f>
        <v>1</v>
      </c>
      <c r="BG22" s="87">
        <f t="shared" si="314"/>
        <v>1</v>
      </c>
      <c r="BH22" s="87">
        <f t="shared" ref="BH22:BI22" si="315">SUMPRODUCT(BH23:BH24,$F$23:$F$24)</f>
        <v>1</v>
      </c>
      <c r="BI22" s="87">
        <f t="shared" si="315"/>
        <v>1</v>
      </c>
      <c r="BJ22" s="87">
        <f t="shared" ref="BJ22:BK22" si="316">SUMPRODUCT(BJ23:BJ24,$F$23:$F$24)</f>
        <v>1</v>
      </c>
      <c r="BK22" s="87">
        <f t="shared" si="316"/>
        <v>1</v>
      </c>
      <c r="BL22" s="87">
        <f t="shared" ref="BL22" si="317">SUMPRODUCT(BL23:BL24,$F$23:$F$24)</f>
        <v>1</v>
      </c>
      <c r="BM22" s="87">
        <f t="shared" ref="BM22:BN22" si="318">SUMPRODUCT(BM23:BM24,$F$23:$F$24)</f>
        <v>1</v>
      </c>
      <c r="BN22" s="87">
        <f t="shared" si="318"/>
        <v>1</v>
      </c>
      <c r="BO22" s="87">
        <f t="shared" ref="BO22" si="319">SUMPRODUCT(BO23:BO24,$F$23:$F$24)</f>
        <v>1</v>
      </c>
      <c r="BP22" s="87">
        <f t="shared" ref="BP22" si="320">SUMPRODUCT(BP23:BP24,$F$23:$F$24)</f>
        <v>1</v>
      </c>
      <c r="BQ22" s="87">
        <f t="shared" ref="BQ22:BR22" si="321">SUMPRODUCT(BQ23:BQ24,$F$23:$F$24)</f>
        <v>1</v>
      </c>
      <c r="BR22" s="87">
        <f t="shared" si="321"/>
        <v>1</v>
      </c>
      <c r="BS22" s="87">
        <f t="shared" ref="BS22:BT22" si="322">SUMPRODUCT(BS23:BS24,$F$23:$F$24)</f>
        <v>1</v>
      </c>
      <c r="BT22" s="87">
        <f t="shared" si="322"/>
        <v>1</v>
      </c>
      <c r="BU22" s="87">
        <f t="shared" ref="BU22:BV22" si="323">SUMPRODUCT(BU23:BU24,$F$23:$F$24)</f>
        <v>1</v>
      </c>
      <c r="BV22" s="87">
        <f t="shared" si="323"/>
        <v>1</v>
      </c>
      <c r="BW22" s="87">
        <f t="shared" ref="BW22:CP22" si="324">SUMPRODUCT(BW23:BW24,$F$23:$F$24)</f>
        <v>1</v>
      </c>
      <c r="BX22" s="87">
        <f t="shared" si="324"/>
        <v>1</v>
      </c>
      <c r="BY22" s="87">
        <f t="shared" si="324"/>
        <v>1</v>
      </c>
      <c r="BZ22" s="87">
        <f t="shared" si="324"/>
        <v>1</v>
      </c>
      <c r="CA22" s="87">
        <f t="shared" si="324"/>
        <v>1</v>
      </c>
      <c r="CB22" s="87">
        <f t="shared" si="324"/>
        <v>1</v>
      </c>
      <c r="CC22" s="87">
        <f t="shared" si="324"/>
        <v>1</v>
      </c>
      <c r="CD22" s="87">
        <f t="shared" si="324"/>
        <v>1</v>
      </c>
      <c r="CE22" s="87">
        <f t="shared" si="324"/>
        <v>1</v>
      </c>
      <c r="CF22" s="87">
        <f t="shared" si="324"/>
        <v>1</v>
      </c>
      <c r="CG22" s="87">
        <f t="shared" si="324"/>
        <v>1</v>
      </c>
      <c r="CH22" s="87">
        <f t="shared" si="324"/>
        <v>1</v>
      </c>
      <c r="CI22" s="87">
        <f t="shared" si="324"/>
        <v>1</v>
      </c>
      <c r="CJ22" s="87">
        <f t="shared" si="324"/>
        <v>1</v>
      </c>
      <c r="CK22" s="87">
        <f t="shared" si="324"/>
        <v>1</v>
      </c>
      <c r="CL22" s="87">
        <f t="shared" si="324"/>
        <v>1</v>
      </c>
      <c r="CM22" s="87">
        <f t="shared" si="324"/>
        <v>1</v>
      </c>
      <c r="CN22" s="87">
        <f t="shared" si="324"/>
        <v>1</v>
      </c>
      <c r="CO22" s="87">
        <f t="shared" si="324"/>
        <v>1</v>
      </c>
      <c r="CP22" s="87">
        <f t="shared" si="324"/>
        <v>1</v>
      </c>
    </row>
    <row r="23" spans="2:94" hidden="1" outlineLevel="2" x14ac:dyDescent="0.4">
      <c r="B23" s="69"/>
      <c r="C23" s="70"/>
      <c r="D23" s="70"/>
      <c r="E23" s="70" t="s">
        <v>44</v>
      </c>
      <c r="F23" s="71">
        <f>'EDT Nueva'!F22</f>
        <v>0.66666666666666663</v>
      </c>
      <c r="H23" s="71">
        <v>0</v>
      </c>
      <c r="I23" s="71">
        <v>0.11159999999999999</v>
      </c>
      <c r="J23" s="71">
        <v>0.124</v>
      </c>
      <c r="K23" s="71">
        <v>0.13950000000000001</v>
      </c>
      <c r="L23" s="71">
        <v>0.25132655697608386</v>
      </c>
      <c r="M23" s="71">
        <v>0.25513061545129045</v>
      </c>
      <c r="N23" s="71">
        <v>0.25513061545129045</v>
      </c>
      <c r="O23" s="71">
        <v>0.34239821844294349</v>
      </c>
      <c r="P23" s="71">
        <v>0.5</v>
      </c>
      <c r="Q23" s="71">
        <v>0.66</v>
      </c>
      <c r="R23" s="71">
        <v>0.75</v>
      </c>
      <c r="S23" s="71">
        <v>0.84</v>
      </c>
      <c r="T23" s="71">
        <v>0.9</v>
      </c>
      <c r="U23" s="71">
        <v>0.90900000000000003</v>
      </c>
      <c r="V23" s="71">
        <v>0.95399999999999996</v>
      </c>
      <c r="W23" s="71">
        <v>0.999</v>
      </c>
      <c r="X23" s="71">
        <v>1</v>
      </c>
      <c r="Y23" s="71">
        <v>1</v>
      </c>
      <c r="Z23" s="71">
        <v>1</v>
      </c>
      <c r="AA23" s="71">
        <v>1</v>
      </c>
      <c r="AB23" s="71">
        <v>1</v>
      </c>
      <c r="AC23" s="71">
        <v>1</v>
      </c>
      <c r="AD23" s="71">
        <v>1</v>
      </c>
      <c r="AE23" s="71">
        <v>1</v>
      </c>
      <c r="AF23" s="71">
        <v>1</v>
      </c>
      <c r="AG23" s="71">
        <v>1</v>
      </c>
      <c r="AH23" s="71">
        <v>1</v>
      </c>
      <c r="AI23" s="71">
        <v>1</v>
      </c>
      <c r="AJ23" s="71">
        <v>1</v>
      </c>
      <c r="AK23" s="71">
        <v>1</v>
      </c>
      <c r="AL23" s="71">
        <v>1</v>
      </c>
      <c r="AM23" s="71">
        <v>1</v>
      </c>
      <c r="AN23" s="71">
        <v>1</v>
      </c>
      <c r="AO23" s="71">
        <v>1</v>
      </c>
      <c r="AP23" s="71">
        <v>1</v>
      </c>
      <c r="AQ23" s="71">
        <v>1</v>
      </c>
      <c r="AR23" s="71">
        <v>1</v>
      </c>
      <c r="AS23" s="71">
        <v>1</v>
      </c>
      <c r="AT23" s="71">
        <v>1</v>
      </c>
      <c r="AU23" s="71">
        <v>1</v>
      </c>
      <c r="AV23" s="71">
        <v>1</v>
      </c>
      <c r="AW23" s="71">
        <v>1</v>
      </c>
      <c r="AX23" s="71">
        <v>1</v>
      </c>
      <c r="AY23" s="71">
        <v>1</v>
      </c>
      <c r="AZ23" s="71">
        <v>1</v>
      </c>
      <c r="BA23" s="71">
        <v>1</v>
      </c>
      <c r="BB23" s="71">
        <v>1</v>
      </c>
      <c r="BC23" s="71">
        <v>1</v>
      </c>
      <c r="BD23" s="71">
        <v>1</v>
      </c>
      <c r="BE23" s="71">
        <v>1</v>
      </c>
      <c r="BF23" s="71">
        <v>1</v>
      </c>
      <c r="BG23" s="71">
        <v>1</v>
      </c>
      <c r="BH23" s="71">
        <v>1</v>
      </c>
      <c r="BI23" s="71">
        <v>1</v>
      </c>
      <c r="BJ23" s="71">
        <v>1</v>
      </c>
      <c r="BK23" s="71">
        <v>1</v>
      </c>
      <c r="BL23" s="71">
        <v>1</v>
      </c>
      <c r="BM23" s="71">
        <v>1</v>
      </c>
      <c r="BN23" s="71">
        <v>1</v>
      </c>
      <c r="BO23" s="71">
        <v>1</v>
      </c>
      <c r="BP23" s="71">
        <v>1</v>
      </c>
      <c r="BQ23" s="71">
        <v>1</v>
      </c>
      <c r="BR23" s="71">
        <v>1</v>
      </c>
      <c r="BS23" s="71">
        <v>1</v>
      </c>
      <c r="BT23" s="71">
        <v>1</v>
      </c>
      <c r="BU23" s="71">
        <v>1</v>
      </c>
      <c r="BV23" s="71">
        <v>1</v>
      </c>
      <c r="BW23" s="71">
        <v>1</v>
      </c>
      <c r="BX23" s="71">
        <v>1</v>
      </c>
      <c r="BY23" s="71">
        <v>1</v>
      </c>
      <c r="BZ23" s="71">
        <v>1</v>
      </c>
      <c r="CA23" s="71">
        <v>1</v>
      </c>
      <c r="CB23" s="71">
        <v>1</v>
      </c>
      <c r="CC23" s="71">
        <v>1</v>
      </c>
      <c r="CD23" s="71">
        <v>1</v>
      </c>
      <c r="CE23" s="71">
        <v>1</v>
      </c>
      <c r="CF23" s="71">
        <v>1</v>
      </c>
      <c r="CG23" s="71">
        <v>1</v>
      </c>
      <c r="CH23" s="71">
        <v>1</v>
      </c>
      <c r="CI23" s="71">
        <v>1</v>
      </c>
      <c r="CJ23" s="71">
        <v>1</v>
      </c>
      <c r="CK23" s="71">
        <v>1</v>
      </c>
      <c r="CL23" s="71">
        <v>1</v>
      </c>
      <c r="CM23" s="71">
        <v>1</v>
      </c>
      <c r="CN23" s="71">
        <v>1</v>
      </c>
      <c r="CO23" s="71">
        <v>1</v>
      </c>
      <c r="CP23" s="71">
        <v>1</v>
      </c>
    </row>
    <row r="24" spans="2:94" hidden="1" outlineLevel="2" x14ac:dyDescent="0.4">
      <c r="B24" s="69"/>
      <c r="C24" s="70"/>
      <c r="D24" s="70"/>
      <c r="E24" s="70" t="s">
        <v>45</v>
      </c>
      <c r="F24" s="71">
        <f>'EDT Nueva'!F23</f>
        <v>0.33333333333333337</v>
      </c>
      <c r="H24" s="71">
        <v>0</v>
      </c>
      <c r="I24" s="71">
        <v>0.33333333333333331</v>
      </c>
      <c r="J24" s="71">
        <v>0.33333333333333331</v>
      </c>
      <c r="K24" s="71">
        <v>0.36666666666666664</v>
      </c>
      <c r="L24" s="71">
        <v>0.43333333333333329</v>
      </c>
      <c r="M24" s="71">
        <v>0.46666666666666667</v>
      </c>
      <c r="N24" s="71">
        <v>0.66666666666666663</v>
      </c>
      <c r="O24" s="71">
        <v>1</v>
      </c>
      <c r="P24" s="71">
        <v>1</v>
      </c>
      <c r="Q24" s="71">
        <v>1</v>
      </c>
      <c r="R24" s="71">
        <v>1</v>
      </c>
      <c r="S24" s="71">
        <v>1</v>
      </c>
      <c r="T24" s="71">
        <v>1</v>
      </c>
      <c r="U24" s="71">
        <v>1</v>
      </c>
      <c r="V24" s="71">
        <v>1</v>
      </c>
      <c r="W24" s="71">
        <v>1</v>
      </c>
      <c r="X24" s="71">
        <v>1</v>
      </c>
      <c r="Y24" s="71">
        <v>1</v>
      </c>
      <c r="Z24" s="71">
        <v>1</v>
      </c>
      <c r="AA24" s="71">
        <v>1</v>
      </c>
      <c r="AB24" s="71">
        <v>1</v>
      </c>
      <c r="AC24" s="71">
        <v>1</v>
      </c>
      <c r="AD24" s="71">
        <v>1</v>
      </c>
      <c r="AE24" s="71">
        <v>1</v>
      </c>
      <c r="AF24" s="71">
        <v>1</v>
      </c>
      <c r="AG24" s="71">
        <v>1</v>
      </c>
      <c r="AH24" s="71">
        <v>1</v>
      </c>
      <c r="AI24" s="71">
        <v>1</v>
      </c>
      <c r="AJ24" s="71">
        <v>1</v>
      </c>
      <c r="AK24" s="71">
        <v>1</v>
      </c>
      <c r="AL24" s="71">
        <v>1</v>
      </c>
      <c r="AM24" s="71">
        <v>1</v>
      </c>
      <c r="AN24" s="71">
        <v>1</v>
      </c>
      <c r="AO24" s="71">
        <v>1</v>
      </c>
      <c r="AP24" s="71">
        <v>1</v>
      </c>
      <c r="AQ24" s="71">
        <v>1</v>
      </c>
      <c r="AR24" s="71">
        <v>1</v>
      </c>
      <c r="AS24" s="71">
        <v>1</v>
      </c>
      <c r="AT24" s="71">
        <v>1</v>
      </c>
      <c r="AU24" s="71">
        <v>1</v>
      </c>
      <c r="AV24" s="71">
        <v>1</v>
      </c>
      <c r="AW24" s="71">
        <v>1</v>
      </c>
      <c r="AX24" s="71">
        <v>1</v>
      </c>
      <c r="AY24" s="71">
        <v>1</v>
      </c>
      <c r="AZ24" s="71">
        <v>1</v>
      </c>
      <c r="BA24" s="71">
        <v>1</v>
      </c>
      <c r="BB24" s="71">
        <v>1</v>
      </c>
      <c r="BC24" s="71">
        <v>1</v>
      </c>
      <c r="BD24" s="71">
        <v>1</v>
      </c>
      <c r="BE24" s="71">
        <v>1</v>
      </c>
      <c r="BF24" s="71">
        <v>1</v>
      </c>
      <c r="BG24" s="71">
        <v>1</v>
      </c>
      <c r="BH24" s="71">
        <v>1</v>
      </c>
      <c r="BI24" s="71">
        <v>1</v>
      </c>
      <c r="BJ24" s="71">
        <v>1</v>
      </c>
      <c r="BK24" s="71">
        <v>1</v>
      </c>
      <c r="BL24" s="71">
        <v>1</v>
      </c>
      <c r="BM24" s="71">
        <v>1</v>
      </c>
      <c r="BN24" s="71">
        <v>1</v>
      </c>
      <c r="BO24" s="71">
        <v>1</v>
      </c>
      <c r="BP24" s="71">
        <v>1</v>
      </c>
      <c r="BQ24" s="71">
        <v>1</v>
      </c>
      <c r="BR24" s="71">
        <v>1</v>
      </c>
      <c r="BS24" s="71">
        <v>1</v>
      </c>
      <c r="BT24" s="71">
        <v>1</v>
      </c>
      <c r="BU24" s="71">
        <v>1</v>
      </c>
      <c r="BV24" s="71">
        <v>1</v>
      </c>
      <c r="BW24" s="71">
        <v>1</v>
      </c>
      <c r="BX24" s="71">
        <v>1</v>
      </c>
      <c r="BY24" s="71">
        <v>1</v>
      </c>
      <c r="BZ24" s="71">
        <v>1</v>
      </c>
      <c r="CA24" s="71">
        <v>1</v>
      </c>
      <c r="CB24" s="71">
        <v>1</v>
      </c>
      <c r="CC24" s="71">
        <v>1</v>
      </c>
      <c r="CD24" s="71">
        <v>1</v>
      </c>
      <c r="CE24" s="71">
        <v>1</v>
      </c>
      <c r="CF24" s="71">
        <v>1</v>
      </c>
      <c r="CG24" s="71">
        <v>1</v>
      </c>
      <c r="CH24" s="71">
        <v>1</v>
      </c>
      <c r="CI24" s="71">
        <v>1</v>
      </c>
      <c r="CJ24" s="71">
        <v>1</v>
      </c>
      <c r="CK24" s="71">
        <v>1</v>
      </c>
      <c r="CL24" s="71">
        <v>1</v>
      </c>
      <c r="CM24" s="71">
        <v>1</v>
      </c>
      <c r="CN24" s="71">
        <v>1</v>
      </c>
      <c r="CO24" s="71">
        <v>1</v>
      </c>
      <c r="CP24" s="71">
        <v>1</v>
      </c>
    </row>
    <row r="25" spans="2:94" outlineLevel="1" collapsed="1" x14ac:dyDescent="0.4">
      <c r="B25" s="85"/>
      <c r="C25" s="86"/>
      <c r="D25" s="86" t="s">
        <v>249</v>
      </c>
      <c r="E25" s="86"/>
      <c r="F25" s="87">
        <f>'EDT Nueva'!F24</f>
        <v>5.6784912836931871E-2</v>
      </c>
      <c r="H25" s="87">
        <f>H26*$F$26</f>
        <v>0</v>
      </c>
      <c r="I25" s="87">
        <f t="shared" ref="I25:BZ25" si="325">I26*$F$26</f>
        <v>0</v>
      </c>
      <c r="J25" s="87">
        <f t="shared" si="325"/>
        <v>0</v>
      </c>
      <c r="K25" s="87">
        <f t="shared" si="325"/>
        <v>0</v>
      </c>
      <c r="L25" s="87">
        <f t="shared" si="325"/>
        <v>0</v>
      </c>
      <c r="M25" s="87">
        <f t="shared" si="325"/>
        <v>0</v>
      </c>
      <c r="N25" s="87">
        <f t="shared" si="325"/>
        <v>0</v>
      </c>
      <c r="O25" s="87">
        <f t="shared" si="325"/>
        <v>0</v>
      </c>
      <c r="P25" s="87">
        <f t="shared" si="325"/>
        <v>0</v>
      </c>
      <c r="Q25" s="87">
        <f t="shared" si="325"/>
        <v>0</v>
      </c>
      <c r="R25" s="87">
        <f t="shared" si="325"/>
        <v>0</v>
      </c>
      <c r="S25" s="87">
        <f t="shared" si="325"/>
        <v>0</v>
      </c>
      <c r="T25" s="87">
        <f t="shared" si="325"/>
        <v>0</v>
      </c>
      <c r="U25" s="87">
        <f t="shared" si="325"/>
        <v>0</v>
      </c>
      <c r="V25" s="87">
        <f t="shared" si="325"/>
        <v>0</v>
      </c>
      <c r="W25" s="87">
        <f t="shared" si="325"/>
        <v>0</v>
      </c>
      <c r="X25" s="87">
        <f t="shared" si="325"/>
        <v>0</v>
      </c>
      <c r="Y25" s="87">
        <f t="shared" si="325"/>
        <v>0</v>
      </c>
      <c r="Z25" s="87">
        <f t="shared" si="325"/>
        <v>0</v>
      </c>
      <c r="AA25" s="87">
        <f t="shared" si="325"/>
        <v>0</v>
      </c>
      <c r="AB25" s="87">
        <f t="shared" si="325"/>
        <v>0</v>
      </c>
      <c r="AC25" s="87">
        <f t="shared" si="325"/>
        <v>0</v>
      </c>
      <c r="AD25" s="87">
        <f t="shared" si="325"/>
        <v>0</v>
      </c>
      <c r="AE25" s="87">
        <f t="shared" si="325"/>
        <v>0</v>
      </c>
      <c r="AF25" s="87">
        <f t="shared" si="325"/>
        <v>0</v>
      </c>
      <c r="AG25" s="87">
        <f t="shared" si="325"/>
        <v>0</v>
      </c>
      <c r="AH25" s="87">
        <f t="shared" si="325"/>
        <v>0</v>
      </c>
      <c r="AI25" s="87">
        <f t="shared" si="325"/>
        <v>0</v>
      </c>
      <c r="AJ25" s="87">
        <f t="shared" si="325"/>
        <v>0</v>
      </c>
      <c r="AK25" s="87">
        <f t="shared" si="325"/>
        <v>0</v>
      </c>
      <c r="AL25" s="87">
        <f t="shared" si="325"/>
        <v>0</v>
      </c>
      <c r="AM25" s="87">
        <f t="shared" si="325"/>
        <v>0</v>
      </c>
      <c r="AN25" s="87">
        <f t="shared" si="325"/>
        <v>0</v>
      </c>
      <c r="AO25" s="87">
        <f t="shared" si="325"/>
        <v>0</v>
      </c>
      <c r="AP25" s="87">
        <f t="shared" si="325"/>
        <v>0</v>
      </c>
      <c r="AQ25" s="87">
        <f t="shared" si="325"/>
        <v>0</v>
      </c>
      <c r="AR25" s="87">
        <f t="shared" si="325"/>
        <v>0</v>
      </c>
      <c r="AS25" s="87">
        <f t="shared" si="325"/>
        <v>0</v>
      </c>
      <c r="AT25" s="87">
        <f t="shared" si="325"/>
        <v>0</v>
      </c>
      <c r="AU25" s="87">
        <f t="shared" si="325"/>
        <v>0</v>
      </c>
      <c r="AV25" s="87">
        <f t="shared" si="325"/>
        <v>0</v>
      </c>
      <c r="AW25" s="87">
        <f t="shared" si="325"/>
        <v>0</v>
      </c>
      <c r="AX25" s="87">
        <f t="shared" si="325"/>
        <v>0</v>
      </c>
      <c r="AY25" s="87">
        <f t="shared" si="325"/>
        <v>0</v>
      </c>
      <c r="AZ25" s="87">
        <f t="shared" si="325"/>
        <v>0</v>
      </c>
      <c r="BA25" s="87">
        <f t="shared" si="325"/>
        <v>0</v>
      </c>
      <c r="BB25" s="87">
        <f t="shared" si="325"/>
        <v>0</v>
      </c>
      <c r="BC25" s="87">
        <f t="shared" si="325"/>
        <v>0</v>
      </c>
      <c r="BD25" s="87">
        <f t="shared" si="325"/>
        <v>0</v>
      </c>
      <c r="BE25" s="87">
        <f t="shared" si="325"/>
        <v>0</v>
      </c>
      <c r="BF25" s="87">
        <f t="shared" si="325"/>
        <v>0</v>
      </c>
      <c r="BG25" s="87">
        <f t="shared" si="325"/>
        <v>0</v>
      </c>
      <c r="BH25" s="87">
        <f t="shared" si="325"/>
        <v>0</v>
      </c>
      <c r="BI25" s="87">
        <f t="shared" si="325"/>
        <v>0</v>
      </c>
      <c r="BJ25" s="87">
        <f t="shared" si="325"/>
        <v>0</v>
      </c>
      <c r="BK25" s="87">
        <f t="shared" si="325"/>
        <v>0</v>
      </c>
      <c r="BL25" s="87">
        <f t="shared" si="325"/>
        <v>0</v>
      </c>
      <c r="BM25" s="87">
        <f t="shared" si="325"/>
        <v>0</v>
      </c>
      <c r="BN25" s="87">
        <f t="shared" si="325"/>
        <v>0</v>
      </c>
      <c r="BO25" s="87">
        <f t="shared" si="325"/>
        <v>0</v>
      </c>
      <c r="BP25" s="87">
        <f t="shared" si="325"/>
        <v>0</v>
      </c>
      <c r="BQ25" s="87">
        <f t="shared" si="325"/>
        <v>0</v>
      </c>
      <c r="BR25" s="87">
        <f t="shared" si="325"/>
        <v>0</v>
      </c>
      <c r="BS25" s="87">
        <f t="shared" si="325"/>
        <v>0</v>
      </c>
      <c r="BT25" s="87">
        <f t="shared" si="325"/>
        <v>0</v>
      </c>
      <c r="BU25" s="87">
        <f t="shared" si="325"/>
        <v>0</v>
      </c>
      <c r="BV25" s="87">
        <f t="shared" si="325"/>
        <v>0</v>
      </c>
      <c r="BW25" s="87">
        <f t="shared" si="325"/>
        <v>0</v>
      </c>
      <c r="BX25" s="87">
        <f t="shared" si="325"/>
        <v>0</v>
      </c>
      <c r="BY25" s="87">
        <f t="shared" si="325"/>
        <v>0</v>
      </c>
      <c r="BZ25" s="87">
        <f t="shared" si="325"/>
        <v>0</v>
      </c>
      <c r="CA25" s="87">
        <f t="shared" ref="CA25:CP25" si="326">CA26*$F$26</f>
        <v>0</v>
      </c>
      <c r="CB25" s="87">
        <f t="shared" si="326"/>
        <v>0</v>
      </c>
      <c r="CC25" s="87">
        <f t="shared" si="326"/>
        <v>0</v>
      </c>
      <c r="CD25" s="87">
        <f t="shared" si="326"/>
        <v>0</v>
      </c>
      <c r="CE25" s="87">
        <f t="shared" si="326"/>
        <v>0</v>
      </c>
      <c r="CF25" s="87">
        <f t="shared" si="326"/>
        <v>0</v>
      </c>
      <c r="CG25" s="87">
        <f t="shared" si="326"/>
        <v>0</v>
      </c>
      <c r="CH25" s="87">
        <f t="shared" si="326"/>
        <v>0</v>
      </c>
      <c r="CI25" s="87">
        <f t="shared" si="326"/>
        <v>0</v>
      </c>
      <c r="CJ25" s="87">
        <f t="shared" si="326"/>
        <v>0</v>
      </c>
      <c r="CK25" s="87">
        <f t="shared" si="326"/>
        <v>0</v>
      </c>
      <c r="CL25" s="87">
        <f t="shared" si="326"/>
        <v>0</v>
      </c>
      <c r="CM25" s="87">
        <f t="shared" si="326"/>
        <v>0</v>
      </c>
      <c r="CN25" s="87">
        <f t="shared" si="326"/>
        <v>0</v>
      </c>
      <c r="CO25" s="87">
        <f t="shared" si="326"/>
        <v>0</v>
      </c>
      <c r="CP25" s="87">
        <f t="shared" si="326"/>
        <v>0</v>
      </c>
    </row>
    <row r="26" spans="2:94" s="302" customFormat="1" hidden="1" outlineLevel="2" x14ac:dyDescent="0.4">
      <c r="B26" s="299"/>
      <c r="C26" s="300"/>
      <c r="D26" s="300"/>
      <c r="E26" s="300" t="s">
        <v>47</v>
      </c>
      <c r="F26" s="301">
        <f>'EDT Nueva'!F25</f>
        <v>1</v>
      </c>
      <c r="H26" s="301">
        <v>0</v>
      </c>
      <c r="I26" s="301">
        <v>0</v>
      </c>
      <c r="J26" s="301">
        <v>0</v>
      </c>
      <c r="K26" s="301">
        <v>0</v>
      </c>
      <c r="L26" s="301">
        <v>0</v>
      </c>
      <c r="M26" s="301">
        <v>0</v>
      </c>
      <c r="N26" s="301">
        <v>0</v>
      </c>
      <c r="O26" s="301">
        <v>0</v>
      </c>
      <c r="P26" s="301">
        <v>0</v>
      </c>
      <c r="Q26" s="301">
        <v>0</v>
      </c>
      <c r="R26" s="301">
        <v>0</v>
      </c>
      <c r="S26" s="301">
        <v>0</v>
      </c>
      <c r="T26" s="301">
        <v>0</v>
      </c>
      <c r="U26" s="301">
        <v>0</v>
      </c>
      <c r="V26" s="301">
        <v>0</v>
      </c>
      <c r="W26" s="301">
        <v>0</v>
      </c>
      <c r="X26" s="301">
        <v>0</v>
      </c>
      <c r="Y26" s="301">
        <v>0</v>
      </c>
      <c r="Z26" s="301">
        <v>0</v>
      </c>
      <c r="AA26" s="301">
        <v>0</v>
      </c>
      <c r="AB26" s="301">
        <v>0</v>
      </c>
      <c r="AC26" s="301">
        <v>0</v>
      </c>
      <c r="AD26" s="301">
        <v>0</v>
      </c>
      <c r="AE26" s="301">
        <v>0</v>
      </c>
      <c r="AF26" s="301">
        <v>0</v>
      </c>
      <c r="AG26" s="301">
        <v>0</v>
      </c>
      <c r="AH26" s="301">
        <v>0</v>
      </c>
      <c r="AI26" s="301">
        <v>0</v>
      </c>
      <c r="AJ26" s="301">
        <v>0</v>
      </c>
      <c r="AK26" s="301">
        <v>0</v>
      </c>
      <c r="AL26" s="301">
        <v>0</v>
      </c>
      <c r="AM26" s="301">
        <v>0</v>
      </c>
      <c r="AN26" s="301">
        <v>0</v>
      </c>
      <c r="AO26" s="301">
        <v>0</v>
      </c>
      <c r="AP26" s="301">
        <v>0</v>
      </c>
      <c r="AQ26" s="301">
        <v>0</v>
      </c>
      <c r="AR26" s="301">
        <v>0</v>
      </c>
      <c r="AS26" s="301">
        <v>0</v>
      </c>
      <c r="AT26" s="301">
        <v>0</v>
      </c>
      <c r="AU26" s="301">
        <v>0</v>
      </c>
      <c r="AV26" s="301">
        <v>0</v>
      </c>
      <c r="AW26" s="301">
        <v>0</v>
      </c>
      <c r="AX26" s="301">
        <v>0</v>
      </c>
      <c r="AY26" s="301">
        <v>0</v>
      </c>
      <c r="AZ26" s="301">
        <v>0</v>
      </c>
      <c r="BA26" s="301">
        <v>0</v>
      </c>
      <c r="BB26" s="301">
        <v>0</v>
      </c>
      <c r="BC26" s="301">
        <v>0</v>
      </c>
      <c r="BD26" s="301">
        <v>0</v>
      </c>
      <c r="BE26" s="301">
        <v>0</v>
      </c>
      <c r="BF26" s="301">
        <v>0</v>
      </c>
      <c r="BG26" s="301">
        <v>0</v>
      </c>
      <c r="BH26" s="301">
        <v>0</v>
      </c>
      <c r="BI26" s="301">
        <v>0</v>
      </c>
      <c r="BJ26" s="301">
        <v>0</v>
      </c>
      <c r="BK26" s="301">
        <v>0</v>
      </c>
      <c r="BL26" s="301">
        <v>0</v>
      </c>
      <c r="BM26" s="301">
        <v>0</v>
      </c>
      <c r="BN26" s="301">
        <v>0</v>
      </c>
      <c r="BO26" s="301">
        <v>0</v>
      </c>
      <c r="BP26" s="301">
        <v>0</v>
      </c>
      <c r="BQ26" s="301">
        <v>0</v>
      </c>
      <c r="BR26" s="301">
        <v>0</v>
      </c>
      <c r="BS26" s="301">
        <v>0</v>
      </c>
      <c r="BT26" s="301">
        <v>0</v>
      </c>
      <c r="BU26" s="301">
        <v>0</v>
      </c>
      <c r="BV26" s="301">
        <v>0</v>
      </c>
      <c r="BW26" s="301">
        <v>0</v>
      </c>
      <c r="BX26" s="301">
        <v>0</v>
      </c>
      <c r="BY26" s="301">
        <v>0</v>
      </c>
      <c r="BZ26" s="301">
        <v>0</v>
      </c>
      <c r="CA26" s="301">
        <v>0</v>
      </c>
      <c r="CB26" s="301">
        <v>0</v>
      </c>
      <c r="CC26" s="301">
        <v>0</v>
      </c>
      <c r="CD26" s="301">
        <v>0</v>
      </c>
      <c r="CE26" s="301">
        <v>0</v>
      </c>
      <c r="CF26" s="301">
        <v>0</v>
      </c>
      <c r="CG26" s="301">
        <v>0</v>
      </c>
      <c r="CH26" s="301">
        <v>0</v>
      </c>
      <c r="CI26" s="301">
        <v>0</v>
      </c>
      <c r="CJ26" s="301">
        <v>0</v>
      </c>
      <c r="CK26" s="301">
        <v>0</v>
      </c>
      <c r="CL26" s="301">
        <v>0</v>
      </c>
      <c r="CM26" s="301">
        <v>0</v>
      </c>
      <c r="CN26" s="301">
        <v>0</v>
      </c>
      <c r="CO26" s="301">
        <v>0</v>
      </c>
      <c r="CP26" s="301">
        <v>0</v>
      </c>
    </row>
    <row r="27" spans="2:94" outlineLevel="1" collapsed="1" x14ac:dyDescent="0.4">
      <c r="B27" s="85"/>
      <c r="C27" s="86"/>
      <c r="D27" s="86" t="s">
        <v>48</v>
      </c>
      <c r="E27" s="86"/>
      <c r="F27" s="87">
        <f>'EDT Nueva'!F26</f>
        <v>5.6784912836931871E-2</v>
      </c>
      <c r="H27" s="87">
        <f>SUMPRODUCT(H28:H30,$F$28:$F$30)</f>
        <v>0</v>
      </c>
      <c r="I27" s="87">
        <f t="shared" ref="I27:J27" si="327">SUMPRODUCT(I28:I30,$F$28:$F$30)</f>
        <v>0</v>
      </c>
      <c r="J27" s="87">
        <f t="shared" si="327"/>
        <v>0</v>
      </c>
      <c r="K27" s="87">
        <f t="shared" ref="K27:L27" si="328">SUMPRODUCT(K28:K30,$F$28:$F$30)</f>
        <v>0</v>
      </c>
      <c r="L27" s="87">
        <f t="shared" si="328"/>
        <v>0</v>
      </c>
      <c r="M27" s="87">
        <f t="shared" ref="M27" si="329">SUMPRODUCT(M28:M30,$F$28:$F$30)</f>
        <v>2.8472222222222218E-2</v>
      </c>
      <c r="N27" s="87">
        <f t="shared" ref="N27:O27" si="330">SUMPRODUCT(N28:N30,$F$28:$F$30)</f>
        <v>3.5277777777777776E-2</v>
      </c>
      <c r="O27" s="87">
        <f t="shared" si="330"/>
        <v>4.7083333333333331E-2</v>
      </c>
      <c r="P27" s="87">
        <f t="shared" ref="P27:Q27" si="331">SUMPRODUCT(P28:P30,$F$28:$F$30)</f>
        <v>4.8194444444444449E-2</v>
      </c>
      <c r="Q27" s="87">
        <f t="shared" si="331"/>
        <v>4.8750000000000002E-2</v>
      </c>
      <c r="R27" s="87">
        <f t="shared" ref="R27:U27" si="332">SUMPRODUCT(R28:R30,$F$28:$F$30)</f>
        <v>4.9305555555555554E-2</v>
      </c>
      <c r="S27" s="87">
        <f t="shared" si="332"/>
        <v>4.9861111111111106E-2</v>
      </c>
      <c r="T27" s="87">
        <f t="shared" si="332"/>
        <v>4.9861111111111106E-2</v>
      </c>
      <c r="U27" s="87">
        <f t="shared" si="332"/>
        <v>4.9861111111111106E-2</v>
      </c>
      <c r="V27" s="87">
        <f t="shared" ref="V27:W27" si="333">SUMPRODUCT(V28:V30,$F$28:$F$30)</f>
        <v>4.9861111111111106E-2</v>
      </c>
      <c r="W27" s="87">
        <f t="shared" si="333"/>
        <v>4.9861111111111106E-2</v>
      </c>
      <c r="X27" s="87">
        <f t="shared" ref="X27:Y27" si="334">SUMPRODUCT(X28:X30,$F$28:$F$30)</f>
        <v>4.9861111111111106E-2</v>
      </c>
      <c r="Y27" s="87">
        <f t="shared" si="334"/>
        <v>4.9861111111111106E-2</v>
      </c>
      <c r="Z27" s="87">
        <f t="shared" ref="Z27:AA27" si="335">SUMPRODUCT(Z28:Z30,$F$28:$F$30)</f>
        <v>4.9861111111111106E-2</v>
      </c>
      <c r="AA27" s="87">
        <f t="shared" si="335"/>
        <v>4.9861111111111106E-2</v>
      </c>
      <c r="AB27" s="87">
        <f t="shared" ref="AB27:AC27" si="336">SUMPRODUCT(AB28:AB30,$F$28:$F$30)</f>
        <v>4.9861111111111106E-2</v>
      </c>
      <c r="AC27" s="87">
        <f t="shared" si="336"/>
        <v>4.9861111111111106E-2</v>
      </c>
      <c r="AD27" s="87">
        <f t="shared" ref="AD27:AE27" si="337">SUMPRODUCT(AD28:AD30,$F$28:$F$30)</f>
        <v>4.9861111111111106E-2</v>
      </c>
      <c r="AE27" s="87">
        <f t="shared" si="337"/>
        <v>4.9861111111111106E-2</v>
      </c>
      <c r="AF27" s="87">
        <f t="shared" ref="AF27:AG27" si="338">SUMPRODUCT(AF28:AF30,$F$28:$F$30)</f>
        <v>4.9861111111111106E-2</v>
      </c>
      <c r="AG27" s="87">
        <f t="shared" si="338"/>
        <v>4.9861111111111106E-2</v>
      </c>
      <c r="AH27" s="87">
        <f t="shared" ref="AH27:AI27" si="339">SUMPRODUCT(AH28:AH30,$F$28:$F$30)</f>
        <v>4.9861111111111106E-2</v>
      </c>
      <c r="AI27" s="87">
        <f t="shared" si="339"/>
        <v>4.9861111111111106E-2</v>
      </c>
      <c r="AJ27" s="87">
        <f t="shared" ref="AJ27:AK27" si="340">SUMPRODUCT(AJ28:AJ30,$F$28:$F$30)</f>
        <v>4.9861111111111106E-2</v>
      </c>
      <c r="AK27" s="87">
        <f t="shared" si="340"/>
        <v>4.9861111111111106E-2</v>
      </c>
      <c r="AL27" s="87">
        <f t="shared" ref="AL27:AM27" si="341">SUMPRODUCT(AL28:AL30,$F$28:$F$30)</f>
        <v>4.9861111111111106E-2</v>
      </c>
      <c r="AM27" s="87">
        <f t="shared" si="341"/>
        <v>4.9861111111111106E-2</v>
      </c>
      <c r="AN27" s="87">
        <f t="shared" ref="AN27" si="342">SUMPRODUCT(AN28:AN30,$F$28:$F$30)</f>
        <v>4.9861111111111106E-2</v>
      </c>
      <c r="AO27" s="87">
        <f t="shared" ref="AO27" si="343">SUMPRODUCT(AO28:AO30,$F$28:$F$30)</f>
        <v>4.9861111111111106E-2</v>
      </c>
      <c r="AP27" s="87">
        <f t="shared" ref="AP27" si="344">SUMPRODUCT(AP28:AP30,$F$28:$F$30)</f>
        <v>4.9861111111111106E-2</v>
      </c>
      <c r="AQ27" s="87">
        <f t="shared" ref="AQ27:AR27" si="345">SUMPRODUCT(AQ28:AQ30,$F$28:$F$30)</f>
        <v>4.9861111111111106E-2</v>
      </c>
      <c r="AR27" s="87">
        <f t="shared" si="345"/>
        <v>4.9861111111111106E-2</v>
      </c>
      <c r="AS27" s="87">
        <f t="shared" ref="AS27" si="346">SUMPRODUCT(AS28:AS30,$F$28:$F$30)</f>
        <v>4.9861111111111106E-2</v>
      </c>
      <c r="AT27" s="87">
        <f t="shared" ref="AT27:BC27" si="347">SUMPRODUCT(AT28:AT30,$F$28:$F$30)</f>
        <v>4.9861111111111106E-2</v>
      </c>
      <c r="AU27" s="87">
        <f t="shared" si="347"/>
        <v>4.9861111111111106E-2</v>
      </c>
      <c r="AV27" s="87">
        <f t="shared" si="347"/>
        <v>4.9861111111111106E-2</v>
      </c>
      <c r="AW27" s="87">
        <f t="shared" si="347"/>
        <v>4.9861111111111106E-2</v>
      </c>
      <c r="AX27" s="87">
        <f t="shared" si="347"/>
        <v>4.9861111111111106E-2</v>
      </c>
      <c r="AY27" s="87">
        <f t="shared" si="347"/>
        <v>4.9861111111111106E-2</v>
      </c>
      <c r="AZ27" s="87">
        <f t="shared" si="347"/>
        <v>4.9861111111111106E-2</v>
      </c>
      <c r="BA27" s="87">
        <f t="shared" si="347"/>
        <v>4.9861111111111106E-2</v>
      </c>
      <c r="BB27" s="87">
        <f t="shared" si="347"/>
        <v>4.9861111111111106E-2</v>
      </c>
      <c r="BC27" s="87">
        <f t="shared" si="347"/>
        <v>4.9861111111111106E-2</v>
      </c>
      <c r="BD27" s="87">
        <f t="shared" ref="BD27:BE27" si="348">SUMPRODUCT(BD28:BD30,$F$28:$F$30)</f>
        <v>4.9861111111111106E-2</v>
      </c>
      <c r="BE27" s="87">
        <f t="shared" si="348"/>
        <v>4.9861111111111106E-2</v>
      </c>
      <c r="BF27" s="87">
        <f t="shared" ref="BF27:BG27" si="349">SUMPRODUCT(BF28:BF30,$F$28:$F$30)</f>
        <v>4.9861111111111106E-2</v>
      </c>
      <c r="BG27" s="87">
        <f t="shared" si="349"/>
        <v>4.9861111111111106E-2</v>
      </c>
      <c r="BH27" s="87">
        <f t="shared" ref="BH27:BI27" si="350">SUMPRODUCT(BH28:BH30,$F$28:$F$30)</f>
        <v>4.9861111111111106E-2</v>
      </c>
      <c r="BI27" s="87">
        <f t="shared" si="350"/>
        <v>4.9861111111111106E-2</v>
      </c>
      <c r="BJ27" s="87">
        <f t="shared" ref="BJ27:BK27" si="351">SUMPRODUCT(BJ28:BJ30,$F$28:$F$30)</f>
        <v>4.9861111111111106E-2</v>
      </c>
      <c r="BK27" s="87">
        <f t="shared" si="351"/>
        <v>4.9861111111111106E-2</v>
      </c>
      <c r="BL27" s="87">
        <f t="shared" ref="BL27" si="352">SUMPRODUCT(BL28:BL30,$F$28:$F$30)</f>
        <v>4.9861111111111106E-2</v>
      </c>
      <c r="BM27" s="87">
        <f t="shared" ref="BM27:BN27" si="353">SUMPRODUCT(BM28:BM30,$F$28:$F$30)</f>
        <v>4.9861111111111106E-2</v>
      </c>
      <c r="BN27" s="87">
        <f t="shared" si="353"/>
        <v>4.9861111111111106E-2</v>
      </c>
      <c r="BO27" s="87">
        <f t="shared" ref="BO27" si="354">SUMPRODUCT(BO28:BO30,$F$28:$F$30)</f>
        <v>4.9861111111111106E-2</v>
      </c>
      <c r="BP27" s="87">
        <f t="shared" ref="BP27" si="355">SUMPRODUCT(BP28:BP30,$F$28:$F$30)</f>
        <v>4.9861111111111106E-2</v>
      </c>
      <c r="BQ27" s="87">
        <f t="shared" ref="BQ27:BR27" si="356">SUMPRODUCT(BQ28:BQ30,$F$28:$F$30)</f>
        <v>4.9861111111111106E-2</v>
      </c>
      <c r="BR27" s="87">
        <f t="shared" si="356"/>
        <v>4.9861111111111106E-2</v>
      </c>
      <c r="BS27" s="87">
        <f t="shared" ref="BS27:BT27" si="357">SUMPRODUCT(BS28:BS30,$F$28:$F$30)</f>
        <v>4.9861111111111106E-2</v>
      </c>
      <c r="BT27" s="87">
        <f t="shared" si="357"/>
        <v>4.9861111111111106E-2</v>
      </c>
      <c r="BU27" s="87">
        <f t="shared" ref="BU27:BV27" si="358">SUMPRODUCT(BU28:BU30,$F$28:$F$30)</f>
        <v>4.9861111111111106E-2</v>
      </c>
      <c r="BV27" s="87">
        <f t="shared" si="358"/>
        <v>4.9861111111111106E-2</v>
      </c>
      <c r="BW27" s="87">
        <f t="shared" ref="BW27:CP27" si="359">SUMPRODUCT(BW28:BW30,$F$28:$F$30)</f>
        <v>4.9861111111111106E-2</v>
      </c>
      <c r="BX27" s="87">
        <f t="shared" si="359"/>
        <v>4.9861111111111106E-2</v>
      </c>
      <c r="BY27" s="87">
        <f t="shared" si="359"/>
        <v>4.9861111111111106E-2</v>
      </c>
      <c r="BZ27" s="87">
        <f t="shared" si="359"/>
        <v>4.9861111111111106E-2</v>
      </c>
      <c r="CA27" s="87">
        <f t="shared" si="359"/>
        <v>4.9861111111111106E-2</v>
      </c>
      <c r="CB27" s="87">
        <f t="shared" si="359"/>
        <v>4.9861111111111106E-2</v>
      </c>
      <c r="CC27" s="87">
        <f t="shared" si="359"/>
        <v>4.9861111111111106E-2</v>
      </c>
      <c r="CD27" s="87">
        <f t="shared" si="359"/>
        <v>4.9861111111111106E-2</v>
      </c>
      <c r="CE27" s="87">
        <f t="shared" si="359"/>
        <v>4.9861111111111106E-2</v>
      </c>
      <c r="CF27" s="87">
        <f t="shared" si="359"/>
        <v>4.9861111111111106E-2</v>
      </c>
      <c r="CG27" s="87">
        <f t="shared" si="359"/>
        <v>4.9861111111111106E-2</v>
      </c>
      <c r="CH27" s="87">
        <f t="shared" si="359"/>
        <v>4.9861111111111106E-2</v>
      </c>
      <c r="CI27" s="87">
        <f t="shared" si="359"/>
        <v>4.9861111111111106E-2</v>
      </c>
      <c r="CJ27" s="87">
        <f t="shared" si="359"/>
        <v>4.9861111111111106E-2</v>
      </c>
      <c r="CK27" s="87">
        <f t="shared" si="359"/>
        <v>4.9861111111111106E-2</v>
      </c>
      <c r="CL27" s="87">
        <f t="shared" si="359"/>
        <v>4.9861111111111106E-2</v>
      </c>
      <c r="CM27" s="87">
        <f t="shared" si="359"/>
        <v>4.9861111111111106E-2</v>
      </c>
      <c r="CN27" s="87">
        <f t="shared" si="359"/>
        <v>4.9861111111111106E-2</v>
      </c>
      <c r="CO27" s="87">
        <f t="shared" si="359"/>
        <v>4.9861111111111106E-2</v>
      </c>
      <c r="CP27" s="87">
        <f t="shared" si="359"/>
        <v>4.9861111111111106E-2</v>
      </c>
    </row>
    <row r="28" spans="2:94" hidden="1" outlineLevel="2" x14ac:dyDescent="0.4">
      <c r="B28" s="69"/>
      <c r="C28" s="70"/>
      <c r="D28" s="70"/>
      <c r="E28" s="70" t="s">
        <v>50</v>
      </c>
      <c r="F28" s="71">
        <f>'EDT Nueva'!F27</f>
        <v>0.33333333333333331</v>
      </c>
      <c r="H28" s="71">
        <v>0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  <c r="Z28" s="71">
        <v>0</v>
      </c>
      <c r="AA28" s="71">
        <v>0</v>
      </c>
      <c r="AB28" s="71">
        <v>0</v>
      </c>
      <c r="AC28" s="71">
        <v>0</v>
      </c>
      <c r="AD28" s="71">
        <v>0</v>
      </c>
      <c r="AE28" s="71">
        <v>0</v>
      </c>
      <c r="AF28" s="71">
        <v>0</v>
      </c>
      <c r="AG28" s="71">
        <v>0</v>
      </c>
      <c r="AH28" s="71">
        <v>0</v>
      </c>
      <c r="AI28" s="71">
        <v>0</v>
      </c>
      <c r="AJ28" s="71">
        <v>0</v>
      </c>
      <c r="AK28" s="71">
        <v>0</v>
      </c>
      <c r="AL28" s="71">
        <v>0</v>
      </c>
      <c r="AM28" s="71">
        <v>0</v>
      </c>
      <c r="AN28" s="71">
        <v>0</v>
      </c>
      <c r="AO28" s="71">
        <v>0</v>
      </c>
      <c r="AP28" s="71">
        <v>0</v>
      </c>
      <c r="AQ28" s="71">
        <v>0</v>
      </c>
      <c r="AR28" s="71">
        <v>0</v>
      </c>
      <c r="AS28" s="71">
        <v>0</v>
      </c>
      <c r="AT28" s="71">
        <v>0</v>
      </c>
      <c r="AU28" s="71">
        <v>0</v>
      </c>
      <c r="AV28" s="71">
        <v>0</v>
      </c>
      <c r="AW28" s="71">
        <v>0</v>
      </c>
      <c r="AX28" s="71">
        <v>0</v>
      </c>
      <c r="AY28" s="71">
        <v>0</v>
      </c>
      <c r="AZ28" s="71">
        <v>0</v>
      </c>
      <c r="BA28" s="71">
        <v>0</v>
      </c>
      <c r="BB28" s="71">
        <v>0</v>
      </c>
      <c r="BC28" s="71">
        <v>0</v>
      </c>
      <c r="BD28" s="71">
        <v>0</v>
      </c>
      <c r="BE28" s="71">
        <v>0</v>
      </c>
      <c r="BF28" s="71">
        <v>0</v>
      </c>
      <c r="BG28" s="71">
        <v>0</v>
      </c>
      <c r="BH28" s="71">
        <v>0</v>
      </c>
      <c r="BI28" s="71">
        <v>0</v>
      </c>
      <c r="BJ28" s="71">
        <v>0</v>
      </c>
      <c r="BK28" s="71">
        <v>0</v>
      </c>
      <c r="BL28" s="71">
        <v>0</v>
      </c>
      <c r="BM28" s="71">
        <v>0</v>
      </c>
      <c r="BN28" s="71">
        <v>0</v>
      </c>
      <c r="BO28" s="71">
        <v>0</v>
      </c>
      <c r="BP28" s="71">
        <v>0</v>
      </c>
      <c r="BQ28" s="71">
        <v>0</v>
      </c>
      <c r="BR28" s="71">
        <v>0</v>
      </c>
      <c r="BS28" s="71">
        <v>0</v>
      </c>
      <c r="BT28" s="71">
        <v>0</v>
      </c>
      <c r="BU28" s="71">
        <v>0</v>
      </c>
      <c r="BV28" s="71">
        <v>0</v>
      </c>
      <c r="BW28" s="71">
        <v>0</v>
      </c>
      <c r="BX28" s="71">
        <v>0</v>
      </c>
      <c r="BY28" s="71">
        <v>0</v>
      </c>
      <c r="BZ28" s="71">
        <v>0</v>
      </c>
      <c r="CA28" s="71">
        <v>0</v>
      </c>
      <c r="CB28" s="71">
        <v>0</v>
      </c>
      <c r="CC28" s="71">
        <v>0</v>
      </c>
      <c r="CD28" s="71">
        <v>0</v>
      </c>
      <c r="CE28" s="71">
        <v>0</v>
      </c>
      <c r="CF28" s="71">
        <v>0</v>
      </c>
      <c r="CG28" s="71">
        <v>0</v>
      </c>
      <c r="CH28" s="71">
        <v>0</v>
      </c>
      <c r="CI28" s="71">
        <v>0</v>
      </c>
      <c r="CJ28" s="71">
        <v>0</v>
      </c>
      <c r="CK28" s="71">
        <v>0</v>
      </c>
      <c r="CL28" s="71">
        <v>0</v>
      </c>
      <c r="CM28" s="71">
        <v>0</v>
      </c>
      <c r="CN28" s="71">
        <v>0</v>
      </c>
      <c r="CO28" s="71">
        <v>0</v>
      </c>
      <c r="CP28" s="71">
        <v>0</v>
      </c>
    </row>
    <row r="29" spans="2:94" hidden="1" outlineLevel="2" x14ac:dyDescent="0.4">
      <c r="B29" s="69"/>
      <c r="C29" s="70"/>
      <c r="D29" s="70"/>
      <c r="E29" s="70" t="s">
        <v>51</v>
      </c>
      <c r="F29" s="71">
        <f>'EDT Nueva'!F28</f>
        <v>0.26666666666666666</v>
      </c>
      <c r="H29" s="71">
        <v>0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  <c r="Z29" s="71">
        <v>0</v>
      </c>
      <c r="AA29" s="71">
        <v>0</v>
      </c>
      <c r="AB29" s="71">
        <v>0</v>
      </c>
      <c r="AC29" s="71">
        <v>0</v>
      </c>
      <c r="AD29" s="71">
        <v>0</v>
      </c>
      <c r="AE29" s="71">
        <v>0</v>
      </c>
      <c r="AF29" s="71">
        <v>0</v>
      </c>
      <c r="AG29" s="71">
        <v>0</v>
      </c>
      <c r="AH29" s="71">
        <v>0</v>
      </c>
      <c r="AI29" s="71">
        <v>0</v>
      </c>
      <c r="AJ29" s="71">
        <v>0</v>
      </c>
      <c r="AK29" s="71">
        <v>0</v>
      </c>
      <c r="AL29" s="71">
        <v>0</v>
      </c>
      <c r="AM29" s="71">
        <v>0</v>
      </c>
      <c r="AN29" s="71">
        <v>0</v>
      </c>
      <c r="AO29" s="71">
        <v>0</v>
      </c>
      <c r="AP29" s="71">
        <v>0</v>
      </c>
      <c r="AQ29" s="71">
        <v>0</v>
      </c>
      <c r="AR29" s="71">
        <v>0</v>
      </c>
      <c r="AS29" s="71">
        <v>0</v>
      </c>
      <c r="AT29" s="71">
        <v>0</v>
      </c>
      <c r="AU29" s="71">
        <v>0</v>
      </c>
      <c r="AV29" s="71">
        <v>0</v>
      </c>
      <c r="AW29" s="71">
        <v>0</v>
      </c>
      <c r="AX29" s="71">
        <v>0</v>
      </c>
      <c r="AY29" s="71">
        <v>0</v>
      </c>
      <c r="AZ29" s="71">
        <v>0</v>
      </c>
      <c r="BA29" s="71">
        <v>0</v>
      </c>
      <c r="BB29" s="71">
        <v>0</v>
      </c>
      <c r="BC29" s="71">
        <v>0</v>
      </c>
      <c r="BD29" s="71">
        <v>0</v>
      </c>
      <c r="BE29" s="71">
        <v>0</v>
      </c>
      <c r="BF29" s="71">
        <v>0</v>
      </c>
      <c r="BG29" s="71">
        <v>0</v>
      </c>
      <c r="BH29" s="71">
        <v>0</v>
      </c>
      <c r="BI29" s="71">
        <v>0</v>
      </c>
      <c r="BJ29" s="71">
        <v>0</v>
      </c>
      <c r="BK29" s="71">
        <v>0</v>
      </c>
      <c r="BL29" s="71">
        <v>0</v>
      </c>
      <c r="BM29" s="71">
        <v>0</v>
      </c>
      <c r="BN29" s="71">
        <v>0</v>
      </c>
      <c r="BO29" s="71">
        <v>0</v>
      </c>
      <c r="BP29" s="71">
        <v>0</v>
      </c>
      <c r="BQ29" s="71">
        <v>0</v>
      </c>
      <c r="BR29" s="71">
        <v>0</v>
      </c>
      <c r="BS29" s="71">
        <v>0</v>
      </c>
      <c r="BT29" s="71">
        <v>0</v>
      </c>
      <c r="BU29" s="71">
        <v>0</v>
      </c>
      <c r="BV29" s="71">
        <v>0</v>
      </c>
      <c r="BW29" s="71">
        <v>0</v>
      </c>
      <c r="BX29" s="71">
        <v>0</v>
      </c>
      <c r="BY29" s="71">
        <v>0</v>
      </c>
      <c r="BZ29" s="71">
        <v>0</v>
      </c>
      <c r="CA29" s="71">
        <v>0</v>
      </c>
      <c r="CB29" s="71">
        <v>0</v>
      </c>
      <c r="CC29" s="71">
        <v>0</v>
      </c>
      <c r="CD29" s="71">
        <v>0</v>
      </c>
      <c r="CE29" s="71">
        <v>0</v>
      </c>
      <c r="CF29" s="71">
        <v>0</v>
      </c>
      <c r="CG29" s="71">
        <v>0</v>
      </c>
      <c r="CH29" s="71">
        <v>0</v>
      </c>
      <c r="CI29" s="71">
        <v>0</v>
      </c>
      <c r="CJ29" s="71">
        <v>0</v>
      </c>
      <c r="CK29" s="71">
        <v>0</v>
      </c>
      <c r="CL29" s="71">
        <v>0</v>
      </c>
      <c r="CM29" s="71">
        <v>0</v>
      </c>
      <c r="CN29" s="71">
        <v>0</v>
      </c>
      <c r="CO29" s="71">
        <v>0</v>
      </c>
      <c r="CP29" s="71">
        <v>0</v>
      </c>
    </row>
    <row r="30" spans="2:94" hidden="1" outlineLevel="2" x14ac:dyDescent="0.4">
      <c r="B30" s="69"/>
      <c r="C30" s="70"/>
      <c r="D30" s="70"/>
      <c r="E30" s="70" t="s">
        <v>52</v>
      </c>
      <c r="F30" s="71">
        <f>'EDT Nueva'!F29</f>
        <v>0.39999999999999997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71">
        <v>7.1180555555555552E-2</v>
      </c>
      <c r="N30" s="71">
        <v>8.819444444444445E-2</v>
      </c>
      <c r="O30" s="71">
        <v>0.11770833333333333</v>
      </c>
      <c r="P30" s="71">
        <v>0.12048611111111113</v>
      </c>
      <c r="Q30" s="71">
        <v>0.12187500000000001</v>
      </c>
      <c r="R30" s="71">
        <v>0.1232638888888889</v>
      </c>
      <c r="S30" s="71">
        <v>0.12465277777777778</v>
      </c>
      <c r="T30" s="71">
        <v>0.12465277777777778</v>
      </c>
      <c r="U30" s="71">
        <v>0.12465277777777778</v>
      </c>
      <c r="V30" s="71">
        <v>0.12465277777777778</v>
      </c>
      <c r="W30" s="71">
        <v>0.12465277777777778</v>
      </c>
      <c r="X30" s="71">
        <v>0.12465277777777778</v>
      </c>
      <c r="Y30" s="71">
        <v>0.12465277777777778</v>
      </c>
      <c r="Z30" s="71">
        <v>0.12465277777777778</v>
      </c>
      <c r="AA30" s="71">
        <v>0.12465277777777778</v>
      </c>
      <c r="AB30" s="71">
        <v>0.12465277777777778</v>
      </c>
      <c r="AC30" s="71">
        <v>0.12465277777777778</v>
      </c>
      <c r="AD30" s="71">
        <v>0.12465277777777778</v>
      </c>
      <c r="AE30" s="71">
        <v>0.12465277777777778</v>
      </c>
      <c r="AF30" s="71">
        <v>0.12465277777777778</v>
      </c>
      <c r="AG30" s="71">
        <v>0.12465277777777778</v>
      </c>
      <c r="AH30" s="71">
        <v>0.12465277777777778</v>
      </c>
      <c r="AI30" s="71">
        <v>0.12465277777777778</v>
      </c>
      <c r="AJ30" s="71">
        <v>0.12465277777777778</v>
      </c>
      <c r="AK30" s="71">
        <v>0.12465277777777778</v>
      </c>
      <c r="AL30" s="71">
        <v>0.12465277777777778</v>
      </c>
      <c r="AM30" s="71">
        <v>0.12465277777777778</v>
      </c>
      <c r="AN30" s="71">
        <v>0.12465277777777778</v>
      </c>
      <c r="AO30" s="71">
        <v>0.12465277777777778</v>
      </c>
      <c r="AP30" s="71">
        <v>0.12465277777777778</v>
      </c>
      <c r="AQ30" s="71">
        <v>0.12465277777777778</v>
      </c>
      <c r="AR30" s="71">
        <v>0.12465277777777778</v>
      </c>
      <c r="AS30" s="71">
        <v>0.12465277777777778</v>
      </c>
      <c r="AT30" s="71">
        <v>0.12465277777777778</v>
      </c>
      <c r="AU30" s="71">
        <v>0.12465277777777778</v>
      </c>
      <c r="AV30" s="71">
        <v>0.12465277777777778</v>
      </c>
      <c r="AW30" s="71">
        <v>0.12465277777777778</v>
      </c>
      <c r="AX30" s="71">
        <v>0.12465277777777778</v>
      </c>
      <c r="AY30" s="71">
        <v>0.12465277777777778</v>
      </c>
      <c r="AZ30" s="71">
        <v>0.12465277777777778</v>
      </c>
      <c r="BA30" s="71">
        <v>0.12465277777777778</v>
      </c>
      <c r="BB30" s="71">
        <v>0.12465277777777778</v>
      </c>
      <c r="BC30" s="71">
        <v>0.12465277777777778</v>
      </c>
      <c r="BD30" s="71">
        <v>0.12465277777777778</v>
      </c>
      <c r="BE30" s="71">
        <v>0.12465277777777778</v>
      </c>
      <c r="BF30" s="71">
        <v>0.12465277777777778</v>
      </c>
      <c r="BG30" s="71">
        <v>0.12465277777777778</v>
      </c>
      <c r="BH30" s="71">
        <v>0.12465277777777778</v>
      </c>
      <c r="BI30" s="71">
        <v>0.12465277777777778</v>
      </c>
      <c r="BJ30" s="71">
        <v>0.12465277777777778</v>
      </c>
      <c r="BK30" s="71">
        <v>0.12465277777777778</v>
      </c>
      <c r="BL30" s="71">
        <v>0.12465277777777778</v>
      </c>
      <c r="BM30" s="71">
        <v>0.12465277777777778</v>
      </c>
      <c r="BN30" s="71">
        <v>0.12465277777777778</v>
      </c>
      <c r="BO30" s="71">
        <v>0.12465277777777778</v>
      </c>
      <c r="BP30" s="71">
        <v>0.12465277777777778</v>
      </c>
      <c r="BQ30" s="71">
        <v>0.12465277777777778</v>
      </c>
      <c r="BR30" s="71">
        <v>0.12465277777777778</v>
      </c>
      <c r="BS30" s="71">
        <v>0.12465277777777778</v>
      </c>
      <c r="BT30" s="71">
        <v>0.12465277777777778</v>
      </c>
      <c r="BU30" s="71">
        <v>0.12465277777777778</v>
      </c>
      <c r="BV30" s="71">
        <v>0.12465277777777778</v>
      </c>
      <c r="BW30" s="71">
        <v>0.12465277777777778</v>
      </c>
      <c r="BX30" s="71">
        <v>0.12465277777777778</v>
      </c>
      <c r="BY30" s="71">
        <v>0.12465277777777778</v>
      </c>
      <c r="BZ30" s="71">
        <v>0.12465277777777778</v>
      </c>
      <c r="CA30" s="71">
        <v>0.12465277777777778</v>
      </c>
      <c r="CB30" s="71">
        <v>0.12465277777777778</v>
      </c>
      <c r="CC30" s="71">
        <v>0.12465277777777778</v>
      </c>
      <c r="CD30" s="71">
        <v>0.12465277777777778</v>
      </c>
      <c r="CE30" s="71">
        <v>0.12465277777777778</v>
      </c>
      <c r="CF30" s="71">
        <v>0.12465277777777778</v>
      </c>
      <c r="CG30" s="71">
        <v>0.12465277777777778</v>
      </c>
      <c r="CH30" s="71">
        <v>0.12465277777777778</v>
      </c>
      <c r="CI30" s="71">
        <v>0.12465277777777778</v>
      </c>
      <c r="CJ30" s="71">
        <v>0.12465277777777778</v>
      </c>
      <c r="CK30" s="71">
        <v>0.12465277777777778</v>
      </c>
      <c r="CL30" s="71">
        <v>0.12465277777777778</v>
      </c>
      <c r="CM30" s="71">
        <v>0.12465277777777778</v>
      </c>
      <c r="CN30" s="71">
        <v>0.12465277777777778</v>
      </c>
      <c r="CO30" s="71">
        <v>0.12465277777777778</v>
      </c>
      <c r="CP30" s="71">
        <v>0.12465277777777778</v>
      </c>
    </row>
    <row r="31" spans="2:94" outlineLevel="1" collapsed="1" x14ac:dyDescent="0.4">
      <c r="B31" s="85"/>
      <c r="C31" s="86"/>
      <c r="D31" s="86" t="s">
        <v>63</v>
      </c>
      <c r="E31" s="86"/>
      <c r="F31" s="87">
        <f>'EDT Nueva'!F30</f>
        <v>0.10418706453930457</v>
      </c>
      <c r="H31" s="87">
        <f>SUMPRODUCT(H32:H41,$F$32:$F$41)</f>
        <v>0</v>
      </c>
      <c r="I31" s="87">
        <f t="shared" ref="I31:J31" si="360">SUMPRODUCT(I32:I41,$F$32:$F$41)</f>
        <v>2.8700602286487083E-2</v>
      </c>
      <c r="J31" s="87">
        <f t="shared" si="360"/>
        <v>0.14554889842902297</v>
      </c>
      <c r="K31" s="87">
        <f t="shared" ref="K31:L31" si="361">SUMPRODUCT(K32:K41,$F$32:$F$41)</f>
        <v>0.18198379669961251</v>
      </c>
      <c r="L31" s="87">
        <f t="shared" si="361"/>
        <v>0.25267547139751451</v>
      </c>
      <c r="M31" s="87">
        <f t="shared" ref="M31" si="362">SUMPRODUCT(M32:M41,$F$32:$F$41)</f>
        <v>0.29346426226414657</v>
      </c>
      <c r="N31" s="87">
        <f t="shared" ref="N31:O31" si="363">SUMPRODUCT(N32:N41,$F$32:$F$41)</f>
        <v>0.44626612024435874</v>
      </c>
      <c r="O31" s="87">
        <f t="shared" si="363"/>
        <v>0.45206635513360571</v>
      </c>
      <c r="P31" s="87">
        <f t="shared" ref="P31:Q31" si="364">SUMPRODUCT(P32:P41,$F$32:$F$41)</f>
        <v>0.54374275873484468</v>
      </c>
      <c r="Q31" s="87">
        <f t="shared" si="364"/>
        <v>0.6301414135586294</v>
      </c>
      <c r="R31" s="87">
        <f t="shared" ref="R31:U31" si="365">SUMPRODUCT(R32:R41,$F$32:$F$41)</f>
        <v>0.65497779479560825</v>
      </c>
      <c r="S31" s="87">
        <f t="shared" si="365"/>
        <v>0.6845290364998835</v>
      </c>
      <c r="T31" s="87">
        <f t="shared" si="365"/>
        <v>0.71915097719728871</v>
      </c>
      <c r="U31" s="87">
        <f t="shared" si="365"/>
        <v>0.74136104054037266</v>
      </c>
      <c r="V31" s="87">
        <f t="shared" ref="V31:W31" si="366">SUMPRODUCT(V32:V41,$F$32:$F$41)</f>
        <v>0.75991572393017448</v>
      </c>
      <c r="W31" s="87">
        <f t="shared" si="366"/>
        <v>0.77310413277716195</v>
      </c>
      <c r="X31" s="87">
        <f t="shared" ref="X31:Y31" si="367">SUMPRODUCT(X32:X41,$F$32:$F$41)</f>
        <v>0.78455008071377685</v>
      </c>
      <c r="Y31" s="87">
        <f t="shared" si="367"/>
        <v>0.7922270099420855</v>
      </c>
      <c r="Z31" s="87">
        <f t="shared" ref="Z31:AA31" si="368">SUMPRODUCT(Z32:Z41,$F$32:$F$41)</f>
        <v>0.7922270099420855</v>
      </c>
      <c r="AA31" s="87">
        <f t="shared" si="368"/>
        <v>0.81148436778922028</v>
      </c>
      <c r="AB31" s="87">
        <f t="shared" ref="AB31:AC31" si="369">SUMPRODUCT(AB32:AB41,$F$32:$F$41)</f>
        <v>0.81336531753698071</v>
      </c>
      <c r="AC31" s="87">
        <f t="shared" si="369"/>
        <v>0.81456483772890387</v>
      </c>
      <c r="AD31" s="87">
        <f t="shared" ref="AD31:AE31" si="370">SUMPRODUCT(AD32:AD41,$F$32:$F$41)</f>
        <v>0.81456483772890387</v>
      </c>
      <c r="AE31" s="87">
        <f t="shared" si="370"/>
        <v>0.81456483772890387</v>
      </c>
      <c r="AF31" s="87">
        <f t="shared" ref="AF31:AG31" si="371">SUMPRODUCT(AF32:AF41,$F$32:$F$41)</f>
        <v>0.81456483772890387</v>
      </c>
      <c r="AG31" s="87">
        <f t="shared" si="371"/>
        <v>0.81456483772890387</v>
      </c>
      <c r="AH31" s="87">
        <f t="shared" ref="AH31:AI31" si="372">SUMPRODUCT(AH32:AH41,$F$32:$F$41)</f>
        <v>0.81456483772890387</v>
      </c>
      <c r="AI31" s="87">
        <f t="shared" si="372"/>
        <v>0.81456483772890387</v>
      </c>
      <c r="AJ31" s="87">
        <f t="shared" ref="AJ31:AK31" si="373">SUMPRODUCT(AJ32:AJ41,$F$32:$F$41)</f>
        <v>0.89634146341463417</v>
      </c>
      <c r="AK31" s="87">
        <f t="shared" si="373"/>
        <v>0.89634146341463417</v>
      </c>
      <c r="AL31" s="87">
        <f t="shared" ref="AL31:AM31" si="374">SUMPRODUCT(AL32:AL41,$F$32:$F$41)</f>
        <v>0.89634146341463417</v>
      </c>
      <c r="AM31" s="87">
        <f t="shared" si="374"/>
        <v>0.89634146341463417</v>
      </c>
      <c r="AN31" s="87">
        <f t="shared" ref="AN31" si="375">SUMPRODUCT(AN32:AN41,$F$32:$F$41)</f>
        <v>0.89634146341463417</v>
      </c>
      <c r="AO31" s="87">
        <f t="shared" ref="AO31" si="376">SUMPRODUCT(AO32:AO41,$F$32:$F$41)</f>
        <v>0.89634146341463417</v>
      </c>
      <c r="AP31" s="87">
        <f t="shared" ref="AP31" si="377">SUMPRODUCT(AP32:AP41,$F$32:$F$41)</f>
        <v>0.89634146341463417</v>
      </c>
      <c r="AQ31" s="87">
        <f t="shared" ref="AQ31:AR31" si="378">SUMPRODUCT(AQ32:AQ41,$F$32:$F$41)</f>
        <v>0.89634146341463417</v>
      </c>
      <c r="AR31" s="87">
        <f t="shared" si="378"/>
        <v>0.89634146341463417</v>
      </c>
      <c r="AS31" s="87">
        <f t="shared" ref="AS31" si="379">SUMPRODUCT(AS32:AS41,$F$32:$F$41)</f>
        <v>0.89634146341463417</v>
      </c>
      <c r="AT31" s="87">
        <f t="shared" ref="AT31:BC31" si="380">SUMPRODUCT(AT32:AT41,$F$32:$F$41)</f>
        <v>0.89634146341463417</v>
      </c>
      <c r="AU31" s="87">
        <f t="shared" si="380"/>
        <v>0.89634146341463417</v>
      </c>
      <c r="AV31" s="87">
        <f t="shared" si="380"/>
        <v>0.89634146341463417</v>
      </c>
      <c r="AW31" s="87">
        <f t="shared" si="380"/>
        <v>0.89634146341463417</v>
      </c>
      <c r="AX31" s="87">
        <f t="shared" si="380"/>
        <v>0.89634146341463417</v>
      </c>
      <c r="AY31" s="87">
        <f t="shared" si="380"/>
        <v>0.89634146341463417</v>
      </c>
      <c r="AZ31" s="87">
        <f t="shared" si="380"/>
        <v>0.89634146341463417</v>
      </c>
      <c r="BA31" s="87">
        <f t="shared" si="380"/>
        <v>0.89634146341463417</v>
      </c>
      <c r="BB31" s="87">
        <f t="shared" si="380"/>
        <v>0.89634146341463417</v>
      </c>
      <c r="BC31" s="87">
        <f t="shared" si="380"/>
        <v>0.89634146341463417</v>
      </c>
      <c r="BD31" s="87">
        <f t="shared" ref="BD31:BE31" si="381">SUMPRODUCT(BD32:BD41,$F$32:$F$41)</f>
        <v>0.89634146341463417</v>
      </c>
      <c r="BE31" s="87">
        <f t="shared" si="381"/>
        <v>0.89634146341463417</v>
      </c>
      <c r="BF31" s="87">
        <f t="shared" ref="BF31:BG31" si="382">SUMPRODUCT(BF32:BF41,$F$32:$F$41)</f>
        <v>0.89634146341463417</v>
      </c>
      <c r="BG31" s="87">
        <f t="shared" si="382"/>
        <v>0.89634146341463417</v>
      </c>
      <c r="BH31" s="87">
        <f t="shared" ref="BH31:BI31" si="383">SUMPRODUCT(BH32:BH41,$F$32:$F$41)</f>
        <v>0.89634146341463417</v>
      </c>
      <c r="BI31" s="87">
        <f t="shared" si="383"/>
        <v>0.89634146341463417</v>
      </c>
      <c r="BJ31" s="87">
        <f t="shared" ref="BJ31:BK31" si="384">SUMPRODUCT(BJ32:BJ41,$F$32:$F$41)</f>
        <v>0.89634146341463417</v>
      </c>
      <c r="BK31" s="87">
        <f t="shared" si="384"/>
        <v>0.89634146341463417</v>
      </c>
      <c r="BL31" s="87">
        <f t="shared" ref="BL31" si="385">SUMPRODUCT(BL32:BL41,$F$32:$F$41)</f>
        <v>0.98780487804878048</v>
      </c>
      <c r="BM31" s="87">
        <f t="shared" ref="BM31:BN31" si="386">SUMPRODUCT(BM32:BM41,$F$32:$F$41)</f>
        <v>0.98780487804878048</v>
      </c>
      <c r="BN31" s="87">
        <f t="shared" si="386"/>
        <v>0.98780487804878048</v>
      </c>
      <c r="BO31" s="87">
        <f t="shared" ref="BO31" si="387">SUMPRODUCT(BO32:BO41,$F$32:$F$41)</f>
        <v>0.98780487804878048</v>
      </c>
      <c r="BP31" s="87">
        <f t="shared" ref="BP31" si="388">SUMPRODUCT(BP32:BP41,$F$32:$F$41)</f>
        <v>0.98780487804878048</v>
      </c>
      <c r="BQ31" s="87">
        <f t="shared" ref="BQ31:BR31" si="389">SUMPRODUCT(BQ32:BQ41,$F$32:$F$41)</f>
        <v>0.89634146341463417</v>
      </c>
      <c r="BR31" s="87">
        <f t="shared" si="389"/>
        <v>0.89634146341463417</v>
      </c>
      <c r="BS31" s="87">
        <f t="shared" ref="BS31:BT31" si="390">SUMPRODUCT(BS32:BS41,$F$32:$F$41)</f>
        <v>0.89634146341463417</v>
      </c>
      <c r="BT31" s="87">
        <f t="shared" si="390"/>
        <v>0.89634146341463417</v>
      </c>
      <c r="BU31" s="87">
        <f t="shared" ref="BU31:BV31" si="391">SUMPRODUCT(BU32:BU41,$F$32:$F$41)</f>
        <v>0.89634146341463417</v>
      </c>
      <c r="BV31" s="87">
        <f t="shared" si="391"/>
        <v>0.89634146341463417</v>
      </c>
      <c r="BW31" s="87">
        <f t="shared" ref="BW31:CP31" si="392">SUMPRODUCT(BW32:BW41,$F$32:$F$41)</f>
        <v>0.89634146341463417</v>
      </c>
      <c r="BX31" s="87">
        <f t="shared" si="392"/>
        <v>0.89634146341463417</v>
      </c>
      <c r="BY31" s="87">
        <f t="shared" si="392"/>
        <v>0.89634146341463417</v>
      </c>
      <c r="BZ31" s="87">
        <f t="shared" si="392"/>
        <v>0.89634146341463417</v>
      </c>
      <c r="CA31" s="87">
        <f t="shared" si="392"/>
        <v>0.89634146341463417</v>
      </c>
      <c r="CB31" s="87">
        <f t="shared" si="392"/>
        <v>0.89634146341463417</v>
      </c>
      <c r="CC31" s="87">
        <f t="shared" si="392"/>
        <v>0.89634146341463417</v>
      </c>
      <c r="CD31" s="87">
        <f t="shared" si="392"/>
        <v>0.89634146341463417</v>
      </c>
      <c r="CE31" s="87">
        <f t="shared" si="392"/>
        <v>0.89634146341463417</v>
      </c>
      <c r="CF31" s="87">
        <f t="shared" si="392"/>
        <v>0.89634146341463417</v>
      </c>
      <c r="CG31" s="87">
        <f t="shared" si="392"/>
        <v>0.89634146341463417</v>
      </c>
      <c r="CH31" s="87">
        <f t="shared" si="392"/>
        <v>0.89634146341463417</v>
      </c>
      <c r="CI31" s="87">
        <f t="shared" si="392"/>
        <v>0.89634146341463417</v>
      </c>
      <c r="CJ31" s="87">
        <f t="shared" si="392"/>
        <v>0.89634146341463417</v>
      </c>
      <c r="CK31" s="87">
        <f t="shared" si="392"/>
        <v>0.89634146341463417</v>
      </c>
      <c r="CL31" s="87">
        <f t="shared" si="392"/>
        <v>0.89634146341463417</v>
      </c>
      <c r="CM31" s="87">
        <f t="shared" si="392"/>
        <v>0.89634146341463417</v>
      </c>
      <c r="CN31" s="87">
        <f t="shared" si="392"/>
        <v>0.89634146341463417</v>
      </c>
      <c r="CO31" s="87">
        <f t="shared" si="392"/>
        <v>0.89634146341463417</v>
      </c>
      <c r="CP31" s="87">
        <f t="shared" si="392"/>
        <v>0.89634146341463417</v>
      </c>
    </row>
    <row r="32" spans="2:94" s="302" customFormat="1" hidden="1" outlineLevel="2" x14ac:dyDescent="0.4">
      <c r="B32" s="299"/>
      <c r="C32" s="300"/>
      <c r="D32" s="305"/>
      <c r="E32" s="300" t="s">
        <v>64</v>
      </c>
      <c r="F32" s="306">
        <f>'EDT Nueva'!F31</f>
        <v>7.3170731707317069E-2</v>
      </c>
      <c r="H32" s="306">
        <v>0</v>
      </c>
      <c r="I32" s="306">
        <v>0</v>
      </c>
      <c r="J32" s="306">
        <v>0</v>
      </c>
      <c r="K32" s="306">
        <v>0</v>
      </c>
      <c r="L32" s="306">
        <v>0</v>
      </c>
      <c r="M32" s="306">
        <v>0</v>
      </c>
      <c r="N32" s="306">
        <v>0</v>
      </c>
      <c r="O32" s="306">
        <v>0</v>
      </c>
      <c r="P32" s="306">
        <v>0.05</v>
      </c>
      <c r="Q32" s="306">
        <v>0.56428571428571428</v>
      </c>
      <c r="R32" s="306">
        <v>0.56428571428571428</v>
      </c>
      <c r="S32" s="306">
        <v>0.56428571428571428</v>
      </c>
      <c r="T32" s="306">
        <v>0.56428571428571428</v>
      </c>
      <c r="U32" s="306">
        <v>0.56428571428571428</v>
      </c>
      <c r="V32" s="306">
        <v>0.56428571428571428</v>
      </c>
      <c r="W32" s="306">
        <v>0.56428571428571428</v>
      </c>
      <c r="X32" s="306">
        <v>0.56428571428571428</v>
      </c>
      <c r="Y32" s="306">
        <v>0.56428571428571428</v>
      </c>
      <c r="Z32" s="306">
        <v>0.56428571428571428</v>
      </c>
      <c r="AA32" s="306">
        <v>0.82321428571428568</v>
      </c>
      <c r="AB32" s="306">
        <v>0.82321428571428568</v>
      </c>
      <c r="AC32" s="306">
        <v>0.82321428571428568</v>
      </c>
      <c r="AD32" s="306">
        <v>0.82321428571428568</v>
      </c>
      <c r="AE32" s="306">
        <v>0.82321428571428568</v>
      </c>
      <c r="AF32" s="306">
        <v>0.82321428571428568</v>
      </c>
      <c r="AG32" s="306">
        <v>0.82321428571428568</v>
      </c>
      <c r="AH32" s="306">
        <v>0.82321428571428568</v>
      </c>
      <c r="AI32" s="306">
        <v>0.82321428571428568</v>
      </c>
      <c r="AJ32" s="306">
        <v>0.95000000000000007</v>
      </c>
      <c r="AK32" s="306">
        <v>0.95000000000000007</v>
      </c>
      <c r="AL32" s="306">
        <v>0.95000000000000007</v>
      </c>
      <c r="AM32" s="306">
        <v>0.95000000000000007</v>
      </c>
      <c r="AN32" s="306">
        <v>0.95000000000000007</v>
      </c>
      <c r="AO32" s="306">
        <v>0.95000000000000007</v>
      </c>
      <c r="AP32" s="306">
        <v>0.95000000000000007</v>
      </c>
      <c r="AQ32" s="306">
        <v>0.95000000000000007</v>
      </c>
      <c r="AR32" s="306">
        <v>0.95000000000000007</v>
      </c>
      <c r="AS32" s="306">
        <v>0.95000000000000007</v>
      </c>
      <c r="AT32" s="306">
        <v>0.95000000000000007</v>
      </c>
      <c r="AU32" s="306">
        <v>0.95000000000000007</v>
      </c>
      <c r="AV32" s="306">
        <v>0.95000000000000007</v>
      </c>
      <c r="AW32" s="306">
        <v>0.95000000000000007</v>
      </c>
      <c r="AX32" s="306">
        <v>0.95000000000000007</v>
      </c>
      <c r="AY32" s="306">
        <v>0.95000000000000007</v>
      </c>
      <c r="AZ32" s="306">
        <v>0.95000000000000007</v>
      </c>
      <c r="BA32" s="306">
        <v>0.95</v>
      </c>
      <c r="BB32" s="306">
        <v>0.95000000000000007</v>
      </c>
      <c r="BC32" s="306">
        <v>0.95000000000000007</v>
      </c>
      <c r="BD32" s="306">
        <v>0.95000000000000007</v>
      </c>
      <c r="BE32" s="306">
        <v>0.95000000000000007</v>
      </c>
      <c r="BF32" s="306">
        <v>0.95000000000000007</v>
      </c>
      <c r="BG32" s="306">
        <v>0.95000000000000007</v>
      </c>
      <c r="BH32" s="306">
        <v>0.95000000000000007</v>
      </c>
      <c r="BI32" s="306">
        <v>0.95000000000000007</v>
      </c>
      <c r="BJ32" s="306">
        <v>0.95000000000000007</v>
      </c>
      <c r="BK32" s="306">
        <v>0.95000000000000007</v>
      </c>
      <c r="BL32" s="354">
        <v>1</v>
      </c>
      <c r="BM32" s="306">
        <v>1</v>
      </c>
      <c r="BN32" s="306">
        <v>1</v>
      </c>
      <c r="BO32" s="306">
        <v>1</v>
      </c>
      <c r="BP32" s="306">
        <v>1</v>
      </c>
      <c r="BQ32" s="306">
        <v>0.95000000000000007</v>
      </c>
      <c r="BR32" s="306">
        <v>0.95000000000000007</v>
      </c>
      <c r="BS32" s="306">
        <v>0.95000000000000007</v>
      </c>
      <c r="BT32" s="306">
        <v>0.95000000000000007</v>
      </c>
      <c r="BU32" s="306">
        <v>0.95000000000000007</v>
      </c>
      <c r="BV32" s="306">
        <v>0.95000000000000007</v>
      </c>
      <c r="BW32" s="306">
        <v>0.95000000000000007</v>
      </c>
      <c r="BX32" s="306">
        <v>0.95000000000000007</v>
      </c>
      <c r="BY32" s="306">
        <v>0.95000000000000007</v>
      </c>
      <c r="BZ32" s="306">
        <v>0.95000000000000007</v>
      </c>
      <c r="CA32" s="306">
        <v>0.95000000000000007</v>
      </c>
      <c r="CB32" s="306">
        <v>0.95000000000000007</v>
      </c>
      <c r="CC32" s="306">
        <v>0.95000000000000007</v>
      </c>
      <c r="CD32" s="306">
        <v>0.95000000000000007</v>
      </c>
      <c r="CE32" s="306">
        <v>0.95000000000000007</v>
      </c>
      <c r="CF32" s="306">
        <v>0.95000000000000007</v>
      </c>
      <c r="CG32" s="306">
        <v>0.95000000000000007</v>
      </c>
      <c r="CH32" s="306">
        <v>0.95000000000000007</v>
      </c>
      <c r="CI32" s="306">
        <v>0.95000000000000007</v>
      </c>
      <c r="CJ32" s="306">
        <v>0.95000000000000007</v>
      </c>
      <c r="CK32" s="306">
        <v>0.95000000000000007</v>
      </c>
      <c r="CL32" s="306">
        <v>0.95000000000000007</v>
      </c>
      <c r="CM32" s="306">
        <v>0.95000000000000007</v>
      </c>
      <c r="CN32" s="306">
        <v>0.95000000000000007</v>
      </c>
      <c r="CO32" s="306">
        <v>0.95000000000000007</v>
      </c>
      <c r="CP32" s="306">
        <v>0.95000000000000007</v>
      </c>
    </row>
    <row r="33" spans="2:94" s="302" customFormat="1" hidden="1" outlineLevel="2" x14ac:dyDescent="0.4">
      <c r="B33" s="299"/>
      <c r="C33" s="300"/>
      <c r="D33" s="305"/>
      <c r="E33" s="300" t="s">
        <v>65</v>
      </c>
      <c r="F33" s="306">
        <f>'EDT Nueva'!F32</f>
        <v>2.4390243902439022E-2</v>
      </c>
      <c r="H33" s="306">
        <v>0</v>
      </c>
      <c r="I33" s="306">
        <v>0</v>
      </c>
      <c r="J33" s="306">
        <v>0</v>
      </c>
      <c r="K33" s="306">
        <v>0</v>
      </c>
      <c r="L33" s="306">
        <v>0</v>
      </c>
      <c r="M33" s="306">
        <v>0</v>
      </c>
      <c r="N33" s="306">
        <v>0</v>
      </c>
      <c r="O33" s="306">
        <v>0</v>
      </c>
      <c r="P33" s="306">
        <v>0</v>
      </c>
      <c r="Q33" s="306">
        <v>0</v>
      </c>
      <c r="R33" s="306">
        <v>0</v>
      </c>
      <c r="S33" s="306">
        <v>0</v>
      </c>
      <c r="T33" s="306">
        <v>0</v>
      </c>
      <c r="U33" s="306">
        <v>0</v>
      </c>
      <c r="V33" s="306">
        <v>0</v>
      </c>
      <c r="W33" s="306">
        <v>0</v>
      </c>
      <c r="X33" s="306">
        <v>0</v>
      </c>
      <c r="Y33" s="306">
        <v>0</v>
      </c>
      <c r="Z33" s="306">
        <v>0</v>
      </c>
      <c r="AA33" s="306">
        <v>0</v>
      </c>
      <c r="AB33" s="306">
        <v>0</v>
      </c>
      <c r="AC33" s="306">
        <v>0</v>
      </c>
      <c r="AD33" s="306">
        <v>0</v>
      </c>
      <c r="AE33" s="306">
        <v>0</v>
      </c>
      <c r="AF33" s="306">
        <v>0</v>
      </c>
      <c r="AG33" s="306">
        <v>0</v>
      </c>
      <c r="AH33" s="306">
        <v>0</v>
      </c>
      <c r="AI33" s="306">
        <v>0</v>
      </c>
      <c r="AJ33" s="306">
        <v>0.9</v>
      </c>
      <c r="AK33" s="306">
        <v>0.9</v>
      </c>
      <c r="AL33" s="306">
        <v>0.9</v>
      </c>
      <c r="AM33" s="306">
        <v>0.9</v>
      </c>
      <c r="AN33" s="306">
        <v>0.9</v>
      </c>
      <c r="AO33" s="306">
        <v>0.9</v>
      </c>
      <c r="AP33" s="306">
        <v>0.9</v>
      </c>
      <c r="AQ33" s="306">
        <v>0.9</v>
      </c>
      <c r="AR33" s="306">
        <v>0.9</v>
      </c>
      <c r="AS33" s="306">
        <v>0.9</v>
      </c>
      <c r="AT33" s="306">
        <v>0.9</v>
      </c>
      <c r="AU33" s="306">
        <v>0.9</v>
      </c>
      <c r="AV33" s="306">
        <v>0.9</v>
      </c>
      <c r="AW33" s="306">
        <v>0.9</v>
      </c>
      <c r="AX33" s="306">
        <v>0.9</v>
      </c>
      <c r="AY33" s="306">
        <v>0.9</v>
      </c>
      <c r="AZ33" s="306">
        <v>0.9</v>
      </c>
      <c r="BA33" s="306">
        <v>0.9</v>
      </c>
      <c r="BB33" s="306">
        <v>0.9</v>
      </c>
      <c r="BC33" s="306">
        <v>0.9</v>
      </c>
      <c r="BD33" s="306">
        <v>0.9</v>
      </c>
      <c r="BE33" s="306">
        <v>0.9</v>
      </c>
      <c r="BF33" s="306">
        <v>0.9</v>
      </c>
      <c r="BG33" s="306">
        <v>0.9</v>
      </c>
      <c r="BH33" s="306">
        <v>0.9</v>
      </c>
      <c r="BI33" s="306">
        <v>0.9</v>
      </c>
      <c r="BJ33" s="306">
        <v>0.9</v>
      </c>
      <c r="BK33" s="306">
        <v>0.9</v>
      </c>
      <c r="BL33" s="306">
        <v>0.9</v>
      </c>
      <c r="BM33" s="306">
        <v>0.9</v>
      </c>
      <c r="BN33" s="306">
        <v>0.9</v>
      </c>
      <c r="BO33" s="306">
        <v>0.9</v>
      </c>
      <c r="BP33" s="306">
        <v>0.9</v>
      </c>
      <c r="BQ33" s="306">
        <v>0.9</v>
      </c>
      <c r="BR33" s="306">
        <v>0.9</v>
      </c>
      <c r="BS33" s="306">
        <v>0.9</v>
      </c>
      <c r="BT33" s="306">
        <v>0.9</v>
      </c>
      <c r="BU33" s="306">
        <v>0.9</v>
      </c>
      <c r="BV33" s="306">
        <v>0.9</v>
      </c>
      <c r="BW33" s="306">
        <v>0.9</v>
      </c>
      <c r="BX33" s="306">
        <v>0.9</v>
      </c>
      <c r="BY33" s="306">
        <v>0.9</v>
      </c>
      <c r="BZ33" s="306">
        <v>0.9</v>
      </c>
      <c r="CA33" s="306">
        <v>0.9</v>
      </c>
      <c r="CB33" s="306">
        <v>0.9</v>
      </c>
      <c r="CC33" s="306">
        <v>0.9</v>
      </c>
      <c r="CD33" s="306">
        <v>0.9</v>
      </c>
      <c r="CE33" s="306">
        <v>0.9</v>
      </c>
      <c r="CF33" s="306">
        <v>0.9</v>
      </c>
      <c r="CG33" s="306">
        <v>0.9</v>
      </c>
      <c r="CH33" s="306">
        <v>0.9</v>
      </c>
      <c r="CI33" s="306">
        <v>0.9</v>
      </c>
      <c r="CJ33" s="306">
        <v>0.9</v>
      </c>
      <c r="CK33" s="306">
        <v>0.9</v>
      </c>
      <c r="CL33" s="306">
        <v>0.9</v>
      </c>
      <c r="CM33" s="306">
        <v>0.9</v>
      </c>
      <c r="CN33" s="306">
        <v>0.9</v>
      </c>
      <c r="CO33" s="306">
        <v>0.9</v>
      </c>
      <c r="CP33" s="306">
        <v>0.9</v>
      </c>
    </row>
    <row r="34" spans="2:94" s="302" customFormat="1" hidden="1" outlineLevel="2" x14ac:dyDescent="0.4">
      <c r="B34" s="299"/>
      <c r="C34" s="300"/>
      <c r="D34" s="305"/>
      <c r="E34" s="300" t="s">
        <v>66</v>
      </c>
      <c r="F34" s="306">
        <f>'EDT Nueva'!F33</f>
        <v>9.7560975609756087E-2</v>
      </c>
      <c r="H34" s="306">
        <v>0</v>
      </c>
      <c r="I34" s="306">
        <v>0</v>
      </c>
      <c r="J34" s="306">
        <v>0</v>
      </c>
      <c r="K34" s="306">
        <v>0</v>
      </c>
      <c r="L34" s="306">
        <v>0</v>
      </c>
      <c r="M34" s="306">
        <v>0</v>
      </c>
      <c r="N34" s="306">
        <v>0</v>
      </c>
      <c r="O34" s="306">
        <v>0</v>
      </c>
      <c r="P34" s="306">
        <v>0</v>
      </c>
      <c r="Q34" s="306">
        <v>0</v>
      </c>
      <c r="R34" s="306">
        <v>0</v>
      </c>
      <c r="S34" s="306">
        <v>0</v>
      </c>
      <c r="T34" s="306">
        <v>0</v>
      </c>
      <c r="U34" s="306">
        <v>0</v>
      </c>
      <c r="V34" s="306">
        <v>0</v>
      </c>
      <c r="W34" s="306">
        <v>0</v>
      </c>
      <c r="X34" s="306">
        <v>0</v>
      </c>
      <c r="Y34" s="306">
        <v>0</v>
      </c>
      <c r="Z34" s="306">
        <v>0</v>
      </c>
      <c r="AA34" s="306">
        <v>0</v>
      </c>
      <c r="AB34" s="306">
        <v>0</v>
      </c>
      <c r="AC34" s="306">
        <v>0</v>
      </c>
      <c r="AD34" s="306">
        <v>0</v>
      </c>
      <c r="AE34" s="306">
        <v>0</v>
      </c>
      <c r="AF34" s="306">
        <v>0</v>
      </c>
      <c r="AG34" s="306">
        <v>0</v>
      </c>
      <c r="AH34" s="306">
        <v>0</v>
      </c>
      <c r="AI34" s="306">
        <v>0</v>
      </c>
      <c r="AJ34" s="306">
        <v>0</v>
      </c>
      <c r="AK34" s="306">
        <v>0</v>
      </c>
      <c r="AL34" s="306">
        <v>0</v>
      </c>
      <c r="AM34" s="306">
        <v>0</v>
      </c>
      <c r="AN34" s="306">
        <v>0</v>
      </c>
      <c r="AO34" s="306">
        <v>0</v>
      </c>
      <c r="AP34" s="306">
        <v>0</v>
      </c>
      <c r="AQ34" s="306">
        <v>0</v>
      </c>
      <c r="AR34" s="306">
        <v>0</v>
      </c>
      <c r="AS34" s="306">
        <v>0</v>
      </c>
      <c r="AT34" s="306">
        <v>0</v>
      </c>
      <c r="AU34" s="306">
        <v>0</v>
      </c>
      <c r="AV34" s="306">
        <v>0</v>
      </c>
      <c r="AW34" s="306">
        <v>0</v>
      </c>
      <c r="AX34" s="306">
        <v>0</v>
      </c>
      <c r="AY34" s="306">
        <v>0</v>
      </c>
      <c r="AZ34" s="306">
        <v>0</v>
      </c>
      <c r="BA34" s="306">
        <v>0</v>
      </c>
      <c r="BB34" s="306">
        <v>0</v>
      </c>
      <c r="BC34" s="306">
        <v>0</v>
      </c>
      <c r="BD34" s="306">
        <v>0</v>
      </c>
      <c r="BE34" s="306">
        <v>0</v>
      </c>
      <c r="BF34" s="306">
        <v>0</v>
      </c>
      <c r="BG34" s="306">
        <v>0</v>
      </c>
      <c r="BH34" s="306">
        <v>0</v>
      </c>
      <c r="BI34" s="306">
        <v>0</v>
      </c>
      <c r="BJ34" s="306">
        <v>0</v>
      </c>
      <c r="BK34" s="306">
        <v>0</v>
      </c>
      <c r="BL34" s="354">
        <v>0.9</v>
      </c>
      <c r="BM34" s="306">
        <v>0.9</v>
      </c>
      <c r="BN34" s="306">
        <v>0.9</v>
      </c>
      <c r="BO34" s="306">
        <v>0.9</v>
      </c>
      <c r="BP34" s="306">
        <v>0.9</v>
      </c>
      <c r="BQ34" s="306">
        <v>0</v>
      </c>
      <c r="BR34" s="306">
        <v>0</v>
      </c>
      <c r="BS34" s="306">
        <v>0</v>
      </c>
      <c r="BT34" s="306">
        <v>0</v>
      </c>
      <c r="BU34" s="306">
        <v>0</v>
      </c>
      <c r="BV34" s="306">
        <v>0</v>
      </c>
      <c r="BW34" s="306">
        <v>0</v>
      </c>
      <c r="BX34" s="306">
        <v>0</v>
      </c>
      <c r="BY34" s="306">
        <v>0</v>
      </c>
      <c r="BZ34" s="306">
        <v>0</v>
      </c>
      <c r="CA34" s="306">
        <v>0</v>
      </c>
      <c r="CB34" s="306">
        <v>0</v>
      </c>
      <c r="CC34" s="306">
        <v>0</v>
      </c>
      <c r="CD34" s="306">
        <v>0</v>
      </c>
      <c r="CE34" s="306">
        <v>0</v>
      </c>
      <c r="CF34" s="306">
        <v>0</v>
      </c>
      <c r="CG34" s="306">
        <v>0</v>
      </c>
      <c r="CH34" s="306">
        <v>0</v>
      </c>
      <c r="CI34" s="306">
        <v>0</v>
      </c>
      <c r="CJ34" s="306">
        <v>0</v>
      </c>
      <c r="CK34" s="306">
        <v>0</v>
      </c>
      <c r="CL34" s="306">
        <v>0</v>
      </c>
      <c r="CM34" s="306">
        <v>0</v>
      </c>
      <c r="CN34" s="306">
        <v>0</v>
      </c>
      <c r="CO34" s="306">
        <v>0</v>
      </c>
      <c r="CP34" s="306">
        <v>0</v>
      </c>
    </row>
    <row r="35" spans="2:94" hidden="1" outlineLevel="2" x14ac:dyDescent="0.4">
      <c r="B35" s="69"/>
      <c r="C35" s="70"/>
      <c r="D35" s="75"/>
      <c r="E35" s="70" t="s">
        <v>67</v>
      </c>
      <c r="F35" s="76">
        <f>'EDT Nueva'!F34</f>
        <v>7.3170731707317069E-2</v>
      </c>
      <c r="H35" s="76">
        <v>0</v>
      </c>
      <c r="I35" s="76">
        <v>0</v>
      </c>
      <c r="J35" s="76">
        <v>0</v>
      </c>
      <c r="K35" s="76">
        <v>9.0476190476190474E-2</v>
      </c>
      <c r="L35" s="76">
        <v>0.88000000000000012</v>
      </c>
      <c r="M35" s="76">
        <v>0.88000000000000012</v>
      </c>
      <c r="N35" s="76">
        <v>0.88000000000000012</v>
      </c>
      <c r="O35" s="76">
        <v>0.89600000000000002</v>
      </c>
      <c r="P35" s="76">
        <v>0.89600000000000002</v>
      </c>
      <c r="Q35" s="76">
        <v>0.89600000000000002</v>
      </c>
      <c r="R35" s="76">
        <v>0.89600000000000002</v>
      </c>
      <c r="S35" s="76">
        <v>0.89600000000000002</v>
      </c>
      <c r="T35" s="76">
        <v>0.89600000000000002</v>
      </c>
      <c r="U35" s="76">
        <v>0.89600000000000002</v>
      </c>
      <c r="V35" s="76">
        <v>0.89600000000000002</v>
      </c>
      <c r="W35" s="76">
        <v>0.89600000000000002</v>
      </c>
      <c r="X35" s="76">
        <v>0.89600000000000002</v>
      </c>
      <c r="Y35" s="76">
        <v>0.89600000000000002</v>
      </c>
      <c r="Z35" s="76">
        <v>0.89600000000000002</v>
      </c>
      <c r="AA35" s="76">
        <v>0.89600000000000002</v>
      </c>
      <c r="AB35" s="76">
        <v>0.89600000000000002</v>
      </c>
      <c r="AC35" s="76">
        <v>0.89600000000000002</v>
      </c>
      <c r="AD35" s="76">
        <v>0.89600000000000002</v>
      </c>
      <c r="AE35" s="76">
        <v>0.89600000000000002</v>
      </c>
      <c r="AF35" s="76">
        <v>0.89600000000000002</v>
      </c>
      <c r="AG35" s="76">
        <v>0.89600000000000002</v>
      </c>
      <c r="AH35" s="76">
        <v>0.89600000000000002</v>
      </c>
      <c r="AI35" s="76">
        <v>0.89600000000000002</v>
      </c>
      <c r="AJ35" s="76">
        <v>1</v>
      </c>
      <c r="AK35" s="76">
        <v>1</v>
      </c>
      <c r="AL35" s="76">
        <v>1</v>
      </c>
      <c r="AM35" s="76">
        <v>1</v>
      </c>
      <c r="AN35" s="76">
        <v>1</v>
      </c>
      <c r="AO35" s="76">
        <v>1</v>
      </c>
      <c r="AP35" s="76">
        <v>1</v>
      </c>
      <c r="AQ35" s="76">
        <v>1</v>
      </c>
      <c r="AR35" s="76">
        <v>1</v>
      </c>
      <c r="AS35" s="76">
        <v>1</v>
      </c>
      <c r="AT35" s="76">
        <v>1</v>
      </c>
      <c r="AU35" s="76">
        <v>1</v>
      </c>
      <c r="AV35" s="76">
        <v>1</v>
      </c>
      <c r="AW35" s="76">
        <v>1</v>
      </c>
      <c r="AX35" s="76">
        <v>1</v>
      </c>
      <c r="AY35" s="76">
        <v>1</v>
      </c>
      <c r="AZ35" s="76">
        <v>1</v>
      </c>
      <c r="BA35" s="76">
        <v>1</v>
      </c>
      <c r="BB35" s="76">
        <v>1</v>
      </c>
      <c r="BC35" s="76">
        <v>1</v>
      </c>
      <c r="BD35" s="76">
        <v>1</v>
      </c>
      <c r="BE35" s="76">
        <v>1</v>
      </c>
      <c r="BF35" s="76">
        <v>1</v>
      </c>
      <c r="BG35" s="76">
        <v>1</v>
      </c>
      <c r="BH35" s="76">
        <v>1</v>
      </c>
      <c r="BI35" s="76">
        <v>1</v>
      </c>
      <c r="BJ35" s="76">
        <v>1</v>
      </c>
      <c r="BK35" s="76">
        <v>1</v>
      </c>
      <c r="BL35" s="76">
        <v>1</v>
      </c>
      <c r="BM35" s="76">
        <v>1</v>
      </c>
      <c r="BN35" s="76">
        <v>1</v>
      </c>
      <c r="BO35" s="76">
        <v>1</v>
      </c>
      <c r="BP35" s="76">
        <v>1</v>
      </c>
      <c r="BQ35" s="76">
        <v>1</v>
      </c>
      <c r="BR35" s="76">
        <v>1</v>
      </c>
      <c r="BS35" s="76">
        <v>1</v>
      </c>
      <c r="BT35" s="76">
        <v>1</v>
      </c>
      <c r="BU35" s="76">
        <v>1</v>
      </c>
      <c r="BV35" s="76">
        <v>1</v>
      </c>
      <c r="BW35" s="76">
        <v>1</v>
      </c>
      <c r="BX35" s="76">
        <v>1</v>
      </c>
      <c r="BY35" s="76">
        <v>1</v>
      </c>
      <c r="BZ35" s="76">
        <v>1</v>
      </c>
      <c r="CA35" s="76">
        <v>1</v>
      </c>
      <c r="CB35" s="76">
        <v>1</v>
      </c>
      <c r="CC35" s="76">
        <v>1</v>
      </c>
      <c r="CD35" s="76">
        <v>1</v>
      </c>
      <c r="CE35" s="76">
        <v>1</v>
      </c>
      <c r="CF35" s="76">
        <v>1</v>
      </c>
      <c r="CG35" s="76">
        <v>1</v>
      </c>
      <c r="CH35" s="76">
        <v>1</v>
      </c>
      <c r="CI35" s="76">
        <v>1</v>
      </c>
      <c r="CJ35" s="76">
        <v>1</v>
      </c>
      <c r="CK35" s="76">
        <v>1</v>
      </c>
      <c r="CL35" s="76">
        <v>1</v>
      </c>
      <c r="CM35" s="76">
        <v>1</v>
      </c>
      <c r="CN35" s="76">
        <v>1</v>
      </c>
      <c r="CO35" s="76">
        <v>1</v>
      </c>
      <c r="CP35" s="76">
        <v>1</v>
      </c>
    </row>
    <row r="36" spans="2:94" hidden="1" outlineLevel="2" x14ac:dyDescent="0.4">
      <c r="B36" s="69"/>
      <c r="C36" s="70"/>
      <c r="D36" s="75"/>
      <c r="E36" s="70" t="s">
        <v>68</v>
      </c>
      <c r="F36" s="76">
        <f>'EDT Nueva'!F35</f>
        <v>7.3170731707317069E-2</v>
      </c>
      <c r="H36" s="76">
        <v>0</v>
      </c>
      <c r="I36" s="76">
        <v>0</v>
      </c>
      <c r="J36" s="76">
        <v>0</v>
      </c>
      <c r="K36" s="76">
        <v>2.6229508196721315E-2</v>
      </c>
      <c r="L36" s="76">
        <v>2.6229508196721315E-2</v>
      </c>
      <c r="M36" s="76">
        <v>2.6229508196721315E-2</v>
      </c>
      <c r="N36" s="76">
        <v>3.9344262295081971E-2</v>
      </c>
      <c r="O36" s="76">
        <v>3.9344262295081971E-2</v>
      </c>
      <c r="P36" s="76">
        <v>7.8688524590163941E-2</v>
      </c>
      <c r="Q36" s="76">
        <v>0.16393442622950821</v>
      </c>
      <c r="R36" s="76">
        <v>0.17704918032786887</v>
      </c>
      <c r="S36" s="76">
        <v>0.41967213114754104</v>
      </c>
      <c r="T36" s="76">
        <v>0.57704918032786889</v>
      </c>
      <c r="U36" s="76">
        <v>0.70163934426229524</v>
      </c>
      <c r="V36" s="76">
        <v>0.81311475409836076</v>
      </c>
      <c r="W36" s="76">
        <v>0.81967213114754101</v>
      </c>
      <c r="X36" s="76">
        <v>0.8655737704918034</v>
      </c>
      <c r="Y36" s="76">
        <v>0.97049180327868856</v>
      </c>
      <c r="Z36" s="76">
        <v>0.97049180327868856</v>
      </c>
      <c r="AA36" s="76">
        <v>0.97049180327868856</v>
      </c>
      <c r="AB36" s="76">
        <v>0.97704918032786892</v>
      </c>
      <c r="AC36" s="76">
        <v>0.99344262295081975</v>
      </c>
      <c r="AD36" s="76">
        <v>0.99344262295081975</v>
      </c>
      <c r="AE36" s="76">
        <v>0.99344262295081975</v>
      </c>
      <c r="AF36" s="76">
        <v>0.99344262295081975</v>
      </c>
      <c r="AG36" s="76">
        <v>0.99344262295081975</v>
      </c>
      <c r="AH36" s="76">
        <v>0.99344262295081975</v>
      </c>
      <c r="AI36" s="76">
        <v>0.99344262295081975</v>
      </c>
      <c r="AJ36" s="76">
        <v>1</v>
      </c>
      <c r="AK36" s="76">
        <v>1</v>
      </c>
      <c r="AL36" s="76">
        <v>1</v>
      </c>
      <c r="AM36" s="76">
        <v>1</v>
      </c>
      <c r="AN36" s="76">
        <v>1</v>
      </c>
      <c r="AO36" s="76">
        <v>1</v>
      </c>
      <c r="AP36" s="76">
        <v>1</v>
      </c>
      <c r="AQ36" s="76">
        <v>1</v>
      </c>
      <c r="AR36" s="76">
        <v>1</v>
      </c>
      <c r="AS36" s="76">
        <v>1</v>
      </c>
      <c r="AT36" s="76">
        <v>1</v>
      </c>
      <c r="AU36" s="76">
        <v>1</v>
      </c>
      <c r="AV36" s="76">
        <v>1</v>
      </c>
      <c r="AW36" s="76">
        <v>1</v>
      </c>
      <c r="AX36" s="76">
        <v>1</v>
      </c>
      <c r="AY36" s="76">
        <v>1</v>
      </c>
      <c r="AZ36" s="76">
        <v>1</v>
      </c>
      <c r="BA36" s="76">
        <v>1</v>
      </c>
      <c r="BB36" s="76">
        <v>1</v>
      </c>
      <c r="BC36" s="76">
        <v>1</v>
      </c>
      <c r="BD36" s="76">
        <v>1</v>
      </c>
      <c r="BE36" s="76">
        <v>1</v>
      </c>
      <c r="BF36" s="76">
        <v>1</v>
      </c>
      <c r="BG36" s="76">
        <v>1</v>
      </c>
      <c r="BH36" s="76">
        <v>1</v>
      </c>
      <c r="BI36" s="76">
        <v>1</v>
      </c>
      <c r="BJ36" s="76">
        <v>1</v>
      </c>
      <c r="BK36" s="76">
        <v>1</v>
      </c>
      <c r="BL36" s="76">
        <v>1</v>
      </c>
      <c r="BM36" s="76">
        <v>1</v>
      </c>
      <c r="BN36" s="76">
        <v>1</v>
      </c>
      <c r="BO36" s="76">
        <v>1</v>
      </c>
      <c r="BP36" s="76">
        <v>1</v>
      </c>
      <c r="BQ36" s="76">
        <v>1</v>
      </c>
      <c r="BR36" s="76">
        <v>1</v>
      </c>
      <c r="BS36" s="76">
        <v>1</v>
      </c>
      <c r="BT36" s="76">
        <v>1</v>
      </c>
      <c r="BU36" s="76">
        <v>1</v>
      </c>
      <c r="BV36" s="76">
        <v>1</v>
      </c>
      <c r="BW36" s="76">
        <v>1</v>
      </c>
      <c r="BX36" s="76">
        <v>1</v>
      </c>
      <c r="BY36" s="76">
        <v>1</v>
      </c>
      <c r="BZ36" s="76">
        <v>1</v>
      </c>
      <c r="CA36" s="76">
        <v>1</v>
      </c>
      <c r="CB36" s="76">
        <v>1</v>
      </c>
      <c r="CC36" s="76">
        <v>1</v>
      </c>
      <c r="CD36" s="76">
        <v>1</v>
      </c>
      <c r="CE36" s="76">
        <v>1</v>
      </c>
      <c r="CF36" s="76">
        <v>1</v>
      </c>
      <c r="CG36" s="76">
        <v>1</v>
      </c>
      <c r="CH36" s="76">
        <v>1</v>
      </c>
      <c r="CI36" s="76">
        <v>1</v>
      </c>
      <c r="CJ36" s="76">
        <v>1</v>
      </c>
      <c r="CK36" s="76">
        <v>1</v>
      </c>
      <c r="CL36" s="76">
        <v>1</v>
      </c>
      <c r="CM36" s="76">
        <v>1</v>
      </c>
      <c r="CN36" s="76">
        <v>1</v>
      </c>
      <c r="CO36" s="76">
        <v>1</v>
      </c>
      <c r="CP36" s="76">
        <v>1</v>
      </c>
    </row>
    <row r="37" spans="2:94" hidden="1" outlineLevel="2" x14ac:dyDescent="0.4">
      <c r="B37" s="69"/>
      <c r="C37" s="70"/>
      <c r="D37" s="75"/>
      <c r="E37" s="70" t="s">
        <v>71</v>
      </c>
      <c r="F37" s="76">
        <f>'EDT Nueva'!F36</f>
        <v>0.14634146341463414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2.6315789473684209E-2</v>
      </c>
      <c r="P37" s="76">
        <v>0.21842105263157896</v>
      </c>
      <c r="Q37" s="76">
        <v>0.36842105263157898</v>
      </c>
      <c r="R37" s="76">
        <v>0.53157894736842104</v>
      </c>
      <c r="S37" s="76">
        <v>0.53947368421052633</v>
      </c>
      <c r="T37" s="76">
        <v>0.69736842105263164</v>
      </c>
      <c r="U37" s="76">
        <v>0.7868421052631579</v>
      </c>
      <c r="V37" s="76">
        <v>0.85789473684210527</v>
      </c>
      <c r="W37" s="76">
        <v>0.94473684210526321</v>
      </c>
      <c r="X37" s="76">
        <v>1</v>
      </c>
      <c r="Y37" s="76">
        <v>1</v>
      </c>
      <c r="Z37" s="76">
        <v>1</v>
      </c>
      <c r="AA37" s="76">
        <v>1</v>
      </c>
      <c r="AB37" s="76">
        <v>1</v>
      </c>
      <c r="AC37" s="76">
        <v>1</v>
      </c>
      <c r="AD37" s="76">
        <v>1</v>
      </c>
      <c r="AE37" s="76">
        <v>1</v>
      </c>
      <c r="AF37" s="76">
        <v>1</v>
      </c>
      <c r="AG37" s="76">
        <v>1</v>
      </c>
      <c r="AH37" s="76">
        <v>1</v>
      </c>
      <c r="AI37" s="76">
        <v>1</v>
      </c>
      <c r="AJ37" s="76">
        <v>1</v>
      </c>
      <c r="AK37" s="76">
        <v>1</v>
      </c>
      <c r="AL37" s="76">
        <v>1</v>
      </c>
      <c r="AM37" s="76">
        <v>1</v>
      </c>
      <c r="AN37" s="76">
        <v>1</v>
      </c>
      <c r="AO37" s="76">
        <v>1</v>
      </c>
      <c r="AP37" s="76">
        <v>1</v>
      </c>
      <c r="AQ37" s="76">
        <v>1</v>
      </c>
      <c r="AR37" s="76">
        <v>1</v>
      </c>
      <c r="AS37" s="76">
        <v>1</v>
      </c>
      <c r="AT37" s="76">
        <v>1</v>
      </c>
      <c r="AU37" s="76">
        <v>1</v>
      </c>
      <c r="AV37" s="76">
        <v>1</v>
      </c>
      <c r="AW37" s="76">
        <v>1</v>
      </c>
      <c r="AX37" s="76">
        <v>1</v>
      </c>
      <c r="AY37" s="76">
        <v>1</v>
      </c>
      <c r="AZ37" s="76">
        <v>1</v>
      </c>
      <c r="BA37" s="76">
        <v>1</v>
      </c>
      <c r="BB37" s="76">
        <v>1</v>
      </c>
      <c r="BC37" s="76">
        <v>1</v>
      </c>
      <c r="BD37" s="76">
        <v>1</v>
      </c>
      <c r="BE37" s="76">
        <v>1</v>
      </c>
      <c r="BF37" s="76">
        <v>1</v>
      </c>
      <c r="BG37" s="76">
        <v>1</v>
      </c>
      <c r="BH37" s="76">
        <v>1</v>
      </c>
      <c r="BI37" s="76">
        <v>1</v>
      </c>
      <c r="BJ37" s="76">
        <v>1</v>
      </c>
      <c r="BK37" s="76">
        <v>1</v>
      </c>
      <c r="BL37" s="76">
        <v>1</v>
      </c>
      <c r="BM37" s="76">
        <v>1</v>
      </c>
      <c r="BN37" s="76">
        <v>1</v>
      </c>
      <c r="BO37" s="76">
        <v>1</v>
      </c>
      <c r="BP37" s="76">
        <v>1</v>
      </c>
      <c r="BQ37" s="76">
        <v>1</v>
      </c>
      <c r="BR37" s="76">
        <v>1</v>
      </c>
      <c r="BS37" s="76">
        <v>1</v>
      </c>
      <c r="BT37" s="76">
        <v>1</v>
      </c>
      <c r="BU37" s="76">
        <v>1</v>
      </c>
      <c r="BV37" s="76">
        <v>1</v>
      </c>
      <c r="BW37" s="76">
        <v>1</v>
      </c>
      <c r="BX37" s="76">
        <v>1</v>
      </c>
      <c r="BY37" s="76">
        <v>1</v>
      </c>
      <c r="BZ37" s="76">
        <v>1</v>
      </c>
      <c r="CA37" s="76">
        <v>1</v>
      </c>
      <c r="CB37" s="76">
        <v>1</v>
      </c>
      <c r="CC37" s="76">
        <v>1</v>
      </c>
      <c r="CD37" s="76">
        <v>1</v>
      </c>
      <c r="CE37" s="76">
        <v>1</v>
      </c>
      <c r="CF37" s="76">
        <v>1</v>
      </c>
      <c r="CG37" s="76">
        <v>1</v>
      </c>
      <c r="CH37" s="76">
        <v>1</v>
      </c>
      <c r="CI37" s="76">
        <v>1</v>
      </c>
      <c r="CJ37" s="76">
        <v>1</v>
      </c>
      <c r="CK37" s="76">
        <v>1</v>
      </c>
      <c r="CL37" s="76">
        <v>1</v>
      </c>
      <c r="CM37" s="76">
        <v>1</v>
      </c>
      <c r="CN37" s="76">
        <v>1</v>
      </c>
      <c r="CO37" s="76">
        <v>1</v>
      </c>
      <c r="CP37" s="76">
        <v>1</v>
      </c>
    </row>
    <row r="38" spans="2:94" hidden="1" outlineLevel="2" x14ac:dyDescent="0.4">
      <c r="B38" s="69"/>
      <c r="C38" s="70"/>
      <c r="D38" s="75"/>
      <c r="E38" s="70" t="s">
        <v>72</v>
      </c>
      <c r="F38" s="76">
        <f>'EDT Nueva'!F37</f>
        <v>0.14634146341463414</v>
      </c>
      <c r="H38" s="76">
        <v>0</v>
      </c>
      <c r="I38" s="76">
        <v>9.2929292929292945E-2</v>
      </c>
      <c r="J38" s="76">
        <v>0.78181818181818186</v>
      </c>
      <c r="K38" s="76">
        <v>0.81818181818181823</v>
      </c>
      <c r="L38" s="76">
        <v>0.81818181818181823</v>
      </c>
      <c r="M38" s="76">
        <v>0.81818181818181823</v>
      </c>
      <c r="N38" s="76">
        <v>0.81818181818181823</v>
      </c>
      <c r="O38" s="76">
        <v>0.81818181818181823</v>
      </c>
      <c r="P38" s="76">
        <v>0.84848484848484851</v>
      </c>
      <c r="Q38" s="76">
        <v>0.84848484848484851</v>
      </c>
      <c r="R38" s="76">
        <v>0.84848484848484851</v>
      </c>
      <c r="S38" s="76">
        <v>0.92121212121212126</v>
      </c>
      <c r="T38" s="76">
        <v>0.92121212121212126</v>
      </c>
      <c r="U38" s="76">
        <v>0.92121212121212126</v>
      </c>
      <c r="V38" s="76">
        <v>0.92121212121212126</v>
      </c>
      <c r="W38" s="76">
        <v>0.92121212121212126</v>
      </c>
      <c r="X38" s="76">
        <v>0.92121212121212126</v>
      </c>
      <c r="Y38" s="76">
        <v>0.92121212121212126</v>
      </c>
      <c r="Z38" s="76">
        <v>0.92121212121212126</v>
      </c>
      <c r="AA38" s="76">
        <v>0.92121212121212126</v>
      </c>
      <c r="AB38" s="76">
        <v>0.92121212121212126</v>
      </c>
      <c r="AC38" s="76">
        <v>0.92121212121212126</v>
      </c>
      <c r="AD38" s="76">
        <v>0.92121212121212126</v>
      </c>
      <c r="AE38" s="76">
        <v>0.92121212121212126</v>
      </c>
      <c r="AF38" s="76">
        <v>0.92121212121212126</v>
      </c>
      <c r="AG38" s="76">
        <v>0.92121212121212126</v>
      </c>
      <c r="AH38" s="76">
        <v>0.92121212121212126</v>
      </c>
      <c r="AI38" s="76">
        <v>0.92121212121212126</v>
      </c>
      <c r="AJ38" s="76">
        <v>1</v>
      </c>
      <c r="AK38" s="76">
        <v>1</v>
      </c>
      <c r="AL38" s="76">
        <v>1</v>
      </c>
      <c r="AM38" s="76">
        <v>1</v>
      </c>
      <c r="AN38" s="76">
        <v>1</v>
      </c>
      <c r="AO38" s="76">
        <v>1</v>
      </c>
      <c r="AP38" s="76">
        <v>1</v>
      </c>
      <c r="AQ38" s="76">
        <v>1</v>
      </c>
      <c r="AR38" s="76">
        <v>1</v>
      </c>
      <c r="AS38" s="76">
        <v>1</v>
      </c>
      <c r="AT38" s="76">
        <v>1</v>
      </c>
      <c r="AU38" s="76">
        <v>1</v>
      </c>
      <c r="AV38" s="76">
        <v>1</v>
      </c>
      <c r="AW38" s="76">
        <v>1</v>
      </c>
      <c r="AX38" s="76">
        <v>1</v>
      </c>
      <c r="AY38" s="76">
        <v>1</v>
      </c>
      <c r="AZ38" s="76">
        <v>1</v>
      </c>
      <c r="BA38" s="76">
        <v>1</v>
      </c>
      <c r="BB38" s="76">
        <v>1</v>
      </c>
      <c r="BC38" s="76">
        <v>1</v>
      </c>
      <c r="BD38" s="76">
        <v>1</v>
      </c>
      <c r="BE38" s="76">
        <v>1</v>
      </c>
      <c r="BF38" s="76">
        <v>1</v>
      </c>
      <c r="BG38" s="76">
        <v>1</v>
      </c>
      <c r="BH38" s="76">
        <v>1</v>
      </c>
      <c r="BI38" s="76">
        <v>1</v>
      </c>
      <c r="BJ38" s="76">
        <v>1</v>
      </c>
      <c r="BK38" s="76">
        <v>1</v>
      </c>
      <c r="BL38" s="76">
        <v>1</v>
      </c>
      <c r="BM38" s="76">
        <v>1</v>
      </c>
      <c r="BN38" s="76">
        <v>1</v>
      </c>
      <c r="BO38" s="76">
        <v>1</v>
      </c>
      <c r="BP38" s="76">
        <v>1</v>
      </c>
      <c r="BQ38" s="76">
        <v>1</v>
      </c>
      <c r="BR38" s="76">
        <v>1</v>
      </c>
      <c r="BS38" s="76">
        <v>1</v>
      </c>
      <c r="BT38" s="76">
        <v>1</v>
      </c>
      <c r="BU38" s="76">
        <v>1</v>
      </c>
      <c r="BV38" s="76">
        <v>1</v>
      </c>
      <c r="BW38" s="76">
        <v>1</v>
      </c>
      <c r="BX38" s="76">
        <v>1</v>
      </c>
      <c r="BY38" s="76">
        <v>1</v>
      </c>
      <c r="BZ38" s="76">
        <v>1</v>
      </c>
      <c r="CA38" s="76">
        <v>1</v>
      </c>
      <c r="CB38" s="76">
        <v>1</v>
      </c>
      <c r="CC38" s="76">
        <v>1</v>
      </c>
      <c r="CD38" s="76">
        <v>1</v>
      </c>
      <c r="CE38" s="76">
        <v>1</v>
      </c>
      <c r="CF38" s="76">
        <v>1</v>
      </c>
      <c r="CG38" s="76">
        <v>1</v>
      </c>
      <c r="CH38" s="76">
        <v>1</v>
      </c>
      <c r="CI38" s="76">
        <v>1</v>
      </c>
      <c r="CJ38" s="76">
        <v>1</v>
      </c>
      <c r="CK38" s="76">
        <v>1</v>
      </c>
      <c r="CL38" s="76">
        <v>1</v>
      </c>
      <c r="CM38" s="76">
        <v>1</v>
      </c>
      <c r="CN38" s="76">
        <v>1</v>
      </c>
      <c r="CO38" s="76">
        <v>1</v>
      </c>
      <c r="CP38" s="76">
        <v>1</v>
      </c>
    </row>
    <row r="39" spans="2:94" hidden="1" outlineLevel="2" x14ac:dyDescent="0.4">
      <c r="B39" s="69"/>
      <c r="C39" s="70"/>
      <c r="D39" s="75"/>
      <c r="E39" s="70" t="s">
        <v>73</v>
      </c>
      <c r="F39" s="76">
        <f>'EDT Nueva'!F38</f>
        <v>7.3170731707317069E-2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0.71875</v>
      </c>
      <c r="Q39" s="76">
        <v>1</v>
      </c>
      <c r="R39" s="76">
        <v>1</v>
      </c>
      <c r="S39" s="76">
        <v>1</v>
      </c>
      <c r="T39" s="76">
        <v>1</v>
      </c>
      <c r="U39" s="76">
        <v>1</v>
      </c>
      <c r="V39" s="76">
        <v>1</v>
      </c>
      <c r="W39" s="76">
        <v>1</v>
      </c>
      <c r="X39" s="76">
        <v>1</v>
      </c>
      <c r="Y39" s="76">
        <v>1</v>
      </c>
      <c r="Z39" s="76">
        <v>1</v>
      </c>
      <c r="AA39" s="76">
        <v>1</v>
      </c>
      <c r="AB39" s="76">
        <v>1</v>
      </c>
      <c r="AC39" s="76">
        <v>1</v>
      </c>
      <c r="AD39" s="76">
        <v>1</v>
      </c>
      <c r="AE39" s="76">
        <v>1</v>
      </c>
      <c r="AF39" s="76">
        <v>1</v>
      </c>
      <c r="AG39" s="76">
        <v>1</v>
      </c>
      <c r="AH39" s="76">
        <v>1</v>
      </c>
      <c r="AI39" s="76">
        <v>1</v>
      </c>
      <c r="AJ39" s="76">
        <v>1</v>
      </c>
      <c r="AK39" s="76">
        <v>1</v>
      </c>
      <c r="AL39" s="76">
        <v>1</v>
      </c>
      <c r="AM39" s="76">
        <v>1</v>
      </c>
      <c r="AN39" s="76">
        <v>1</v>
      </c>
      <c r="AO39" s="76">
        <v>1</v>
      </c>
      <c r="AP39" s="76">
        <v>1</v>
      </c>
      <c r="AQ39" s="76">
        <v>1</v>
      </c>
      <c r="AR39" s="76">
        <v>1</v>
      </c>
      <c r="AS39" s="76">
        <v>1</v>
      </c>
      <c r="AT39" s="76">
        <v>1</v>
      </c>
      <c r="AU39" s="76">
        <v>1</v>
      </c>
      <c r="AV39" s="76">
        <v>1</v>
      </c>
      <c r="AW39" s="76">
        <v>1</v>
      </c>
      <c r="AX39" s="76">
        <v>1</v>
      </c>
      <c r="AY39" s="76">
        <v>1</v>
      </c>
      <c r="AZ39" s="76">
        <v>1</v>
      </c>
      <c r="BA39" s="76">
        <v>1</v>
      </c>
      <c r="BB39" s="76">
        <v>1</v>
      </c>
      <c r="BC39" s="76">
        <v>1</v>
      </c>
      <c r="BD39" s="76">
        <v>1</v>
      </c>
      <c r="BE39" s="76">
        <v>1</v>
      </c>
      <c r="BF39" s="76">
        <v>1</v>
      </c>
      <c r="BG39" s="76">
        <v>1</v>
      </c>
      <c r="BH39" s="76">
        <v>1</v>
      </c>
      <c r="BI39" s="76">
        <v>1</v>
      </c>
      <c r="BJ39" s="76">
        <v>1</v>
      </c>
      <c r="BK39" s="76">
        <v>1</v>
      </c>
      <c r="BL39" s="76">
        <v>1</v>
      </c>
      <c r="BM39" s="76">
        <v>1</v>
      </c>
      <c r="BN39" s="76">
        <v>1</v>
      </c>
      <c r="BO39" s="76">
        <v>1</v>
      </c>
      <c r="BP39" s="76">
        <v>1</v>
      </c>
      <c r="BQ39" s="76">
        <v>1</v>
      </c>
      <c r="BR39" s="76">
        <v>1</v>
      </c>
      <c r="BS39" s="76">
        <v>1</v>
      </c>
      <c r="BT39" s="76">
        <v>1</v>
      </c>
      <c r="BU39" s="76">
        <v>1</v>
      </c>
      <c r="BV39" s="76">
        <v>1</v>
      </c>
      <c r="BW39" s="76">
        <v>1</v>
      </c>
      <c r="BX39" s="76">
        <v>1</v>
      </c>
      <c r="BY39" s="76">
        <v>1</v>
      </c>
      <c r="BZ39" s="76">
        <v>1</v>
      </c>
      <c r="CA39" s="76">
        <v>1</v>
      </c>
      <c r="CB39" s="76">
        <v>1</v>
      </c>
      <c r="CC39" s="76">
        <v>1</v>
      </c>
      <c r="CD39" s="76">
        <v>1</v>
      </c>
      <c r="CE39" s="76">
        <v>1</v>
      </c>
      <c r="CF39" s="76">
        <v>1</v>
      </c>
      <c r="CG39" s="76">
        <v>1</v>
      </c>
      <c r="CH39" s="76">
        <v>1</v>
      </c>
      <c r="CI39" s="76">
        <v>1</v>
      </c>
      <c r="CJ39" s="76">
        <v>1</v>
      </c>
      <c r="CK39" s="76">
        <v>1</v>
      </c>
      <c r="CL39" s="76">
        <v>1</v>
      </c>
      <c r="CM39" s="76">
        <v>1</v>
      </c>
      <c r="CN39" s="76">
        <v>1</v>
      </c>
      <c r="CO39" s="76">
        <v>1</v>
      </c>
      <c r="CP39" s="76">
        <v>1</v>
      </c>
    </row>
    <row r="40" spans="2:94" hidden="1" outlineLevel="2" x14ac:dyDescent="0.4">
      <c r="B40" s="69"/>
      <c r="C40" s="70"/>
      <c r="D40" s="75"/>
      <c r="E40" s="70" t="s">
        <v>74</v>
      </c>
      <c r="F40" s="76">
        <f>'EDT Nueva'!F39</f>
        <v>0.14634146341463414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0.83333333333333337</v>
      </c>
      <c r="O40" s="76">
        <v>0.83333333333333337</v>
      </c>
      <c r="P40" s="76">
        <v>0.83333333333333337</v>
      </c>
      <c r="Q40" s="76">
        <v>0.83333333333333337</v>
      </c>
      <c r="R40" s="76">
        <v>0.83333333333333337</v>
      </c>
      <c r="S40" s="76">
        <v>0.83333333333333337</v>
      </c>
      <c r="T40" s="76">
        <v>0.83333333333333337</v>
      </c>
      <c r="U40" s="76">
        <v>0.83333333333333337</v>
      </c>
      <c r="V40" s="76">
        <v>0.83333333333333337</v>
      </c>
      <c r="W40" s="76">
        <v>0.83333333333333337</v>
      </c>
      <c r="X40" s="76">
        <v>0.83333333333333337</v>
      </c>
      <c r="Y40" s="76">
        <v>0.83333333333333337</v>
      </c>
      <c r="Z40" s="76">
        <v>0.83333333333333337</v>
      </c>
      <c r="AA40" s="76">
        <v>0.83333333333333337</v>
      </c>
      <c r="AB40" s="76">
        <v>0.83333333333333337</v>
      </c>
      <c r="AC40" s="76">
        <v>0.83333333333333337</v>
      </c>
      <c r="AD40" s="76">
        <v>0.83333333333333337</v>
      </c>
      <c r="AE40" s="76">
        <v>0.83333333333333337</v>
      </c>
      <c r="AF40" s="76">
        <v>0.83333333333333337</v>
      </c>
      <c r="AG40" s="76">
        <v>0.83333333333333337</v>
      </c>
      <c r="AH40" s="76">
        <v>0.83333333333333337</v>
      </c>
      <c r="AI40" s="76">
        <v>0.83333333333333337</v>
      </c>
      <c r="AJ40" s="76">
        <v>1</v>
      </c>
      <c r="AK40" s="76">
        <v>1</v>
      </c>
      <c r="AL40" s="76">
        <v>1</v>
      </c>
      <c r="AM40" s="76">
        <v>1</v>
      </c>
      <c r="AN40" s="76">
        <v>1</v>
      </c>
      <c r="AO40" s="76">
        <v>1</v>
      </c>
      <c r="AP40" s="76">
        <v>1</v>
      </c>
      <c r="AQ40" s="76">
        <v>1</v>
      </c>
      <c r="AR40" s="76">
        <v>1</v>
      </c>
      <c r="AS40" s="76">
        <v>1</v>
      </c>
      <c r="AT40" s="76">
        <v>1</v>
      </c>
      <c r="AU40" s="76">
        <v>1</v>
      </c>
      <c r="AV40" s="76">
        <v>1</v>
      </c>
      <c r="AW40" s="76">
        <v>1</v>
      </c>
      <c r="AX40" s="76">
        <v>1</v>
      </c>
      <c r="AY40" s="76">
        <v>1</v>
      </c>
      <c r="AZ40" s="76">
        <v>1</v>
      </c>
      <c r="BA40" s="76">
        <v>1</v>
      </c>
      <c r="BB40" s="76">
        <v>1</v>
      </c>
      <c r="BC40" s="76">
        <v>1</v>
      </c>
      <c r="BD40" s="76">
        <v>1</v>
      </c>
      <c r="BE40" s="76">
        <v>1</v>
      </c>
      <c r="BF40" s="76">
        <v>1</v>
      </c>
      <c r="BG40" s="76">
        <v>1</v>
      </c>
      <c r="BH40" s="76">
        <v>1</v>
      </c>
      <c r="BI40" s="76">
        <v>1</v>
      </c>
      <c r="BJ40" s="76">
        <v>1</v>
      </c>
      <c r="BK40" s="76">
        <v>1</v>
      </c>
      <c r="BL40" s="76">
        <v>1</v>
      </c>
      <c r="BM40" s="76">
        <v>1</v>
      </c>
      <c r="BN40" s="76">
        <v>1</v>
      </c>
      <c r="BO40" s="76">
        <v>1</v>
      </c>
      <c r="BP40" s="76">
        <v>1</v>
      </c>
      <c r="BQ40" s="76">
        <v>1</v>
      </c>
      <c r="BR40" s="76">
        <v>1</v>
      </c>
      <c r="BS40" s="76">
        <v>1</v>
      </c>
      <c r="BT40" s="76">
        <v>1</v>
      </c>
      <c r="BU40" s="76">
        <v>1</v>
      </c>
      <c r="BV40" s="76">
        <v>1</v>
      </c>
      <c r="BW40" s="76">
        <v>1</v>
      </c>
      <c r="BX40" s="76">
        <v>1</v>
      </c>
      <c r="BY40" s="76">
        <v>1</v>
      </c>
      <c r="BZ40" s="76">
        <v>1</v>
      </c>
      <c r="CA40" s="76">
        <v>1</v>
      </c>
      <c r="CB40" s="76">
        <v>1</v>
      </c>
      <c r="CC40" s="76">
        <v>1</v>
      </c>
      <c r="CD40" s="76">
        <v>1</v>
      </c>
      <c r="CE40" s="76">
        <v>1</v>
      </c>
      <c r="CF40" s="76">
        <v>1</v>
      </c>
      <c r="CG40" s="76">
        <v>1</v>
      </c>
      <c r="CH40" s="76">
        <v>1</v>
      </c>
      <c r="CI40" s="76">
        <v>1</v>
      </c>
      <c r="CJ40" s="76">
        <v>1</v>
      </c>
      <c r="CK40" s="76">
        <v>1</v>
      </c>
      <c r="CL40" s="76">
        <v>1</v>
      </c>
      <c r="CM40" s="76">
        <v>1</v>
      </c>
      <c r="CN40" s="76">
        <v>1</v>
      </c>
      <c r="CO40" s="76">
        <v>1</v>
      </c>
      <c r="CP40" s="76">
        <v>1</v>
      </c>
    </row>
    <row r="41" spans="2:94" hidden="1" outlineLevel="2" x14ac:dyDescent="0.4">
      <c r="B41" s="69"/>
      <c r="C41" s="70"/>
      <c r="D41" s="75"/>
      <c r="E41" s="70" t="s">
        <v>75</v>
      </c>
      <c r="F41" s="76">
        <f>'EDT Nueva'!F40</f>
        <v>0.14634146341463414</v>
      </c>
      <c r="H41" s="76">
        <v>0</v>
      </c>
      <c r="I41" s="76">
        <v>0.10319148936170212</v>
      </c>
      <c r="J41" s="76">
        <v>0.21276595744680854</v>
      </c>
      <c r="K41" s="76">
        <v>0.36702127659574468</v>
      </c>
      <c r="L41" s="76">
        <v>0.45531914893617026</v>
      </c>
      <c r="M41" s="76">
        <v>0.73404255319148937</v>
      </c>
      <c r="N41" s="76">
        <v>0.93829787234042561</v>
      </c>
      <c r="O41" s="76">
        <v>0.94361702127659575</v>
      </c>
      <c r="P41" s="76">
        <v>0.94361702127659575</v>
      </c>
      <c r="Q41" s="76">
        <v>0.94361702127659575</v>
      </c>
      <c r="R41" s="76">
        <v>0.94361702127659575</v>
      </c>
      <c r="S41" s="76">
        <v>0.94361702127659575</v>
      </c>
      <c r="T41" s="76">
        <v>0.94361702127659575</v>
      </c>
      <c r="U41" s="76">
        <v>0.94361702127659575</v>
      </c>
      <c r="V41" s="76">
        <v>0.94361702127659575</v>
      </c>
      <c r="W41" s="76">
        <v>0.94361702127659575</v>
      </c>
      <c r="X41" s="76">
        <v>0.94361702127659575</v>
      </c>
      <c r="Y41" s="76">
        <v>0.94361702127659575</v>
      </c>
      <c r="Z41" s="76">
        <v>0.94361702127659575</v>
      </c>
      <c r="AA41" s="76">
        <v>0.94574468085106389</v>
      </c>
      <c r="AB41" s="76">
        <v>0.95531914893617031</v>
      </c>
      <c r="AC41" s="76">
        <v>0.95531914893617031</v>
      </c>
      <c r="AD41" s="76">
        <v>0.95531914893617031</v>
      </c>
      <c r="AE41" s="76">
        <v>0.95531914893617031</v>
      </c>
      <c r="AF41" s="76">
        <v>0.95531914893617031</v>
      </c>
      <c r="AG41" s="76">
        <v>0.95531914893617031</v>
      </c>
      <c r="AH41" s="76">
        <v>0.95531914893617031</v>
      </c>
      <c r="AI41" s="76">
        <v>0.95531914893617031</v>
      </c>
      <c r="AJ41" s="76">
        <v>1</v>
      </c>
      <c r="AK41" s="76">
        <v>1</v>
      </c>
      <c r="AL41" s="76">
        <v>1</v>
      </c>
      <c r="AM41" s="76">
        <v>1</v>
      </c>
      <c r="AN41" s="76">
        <v>1</v>
      </c>
      <c r="AO41" s="76">
        <v>1</v>
      </c>
      <c r="AP41" s="76">
        <v>1</v>
      </c>
      <c r="AQ41" s="76">
        <v>1</v>
      </c>
      <c r="AR41" s="76">
        <v>1</v>
      </c>
      <c r="AS41" s="76">
        <v>1</v>
      </c>
      <c r="AT41" s="76">
        <v>1</v>
      </c>
      <c r="AU41" s="76">
        <v>1</v>
      </c>
      <c r="AV41" s="76">
        <v>1</v>
      </c>
      <c r="AW41" s="76">
        <v>1</v>
      </c>
      <c r="AX41" s="76">
        <v>1</v>
      </c>
      <c r="AY41" s="76">
        <v>1</v>
      </c>
      <c r="AZ41" s="76">
        <v>1</v>
      </c>
      <c r="BA41" s="76">
        <v>1</v>
      </c>
      <c r="BB41" s="76">
        <v>1</v>
      </c>
      <c r="BC41" s="76">
        <v>1</v>
      </c>
      <c r="BD41" s="76">
        <v>1</v>
      </c>
      <c r="BE41" s="76">
        <v>1</v>
      </c>
      <c r="BF41" s="76">
        <v>1</v>
      </c>
      <c r="BG41" s="76">
        <v>1</v>
      </c>
      <c r="BH41" s="76">
        <v>1</v>
      </c>
      <c r="BI41" s="76">
        <v>1</v>
      </c>
      <c r="BJ41" s="76">
        <v>1</v>
      </c>
      <c r="BK41" s="76">
        <v>1</v>
      </c>
      <c r="BL41" s="76">
        <v>1</v>
      </c>
      <c r="BM41" s="76">
        <v>1</v>
      </c>
      <c r="BN41" s="76">
        <v>1</v>
      </c>
      <c r="BO41" s="76">
        <v>1</v>
      </c>
      <c r="BP41" s="76">
        <v>1</v>
      </c>
      <c r="BQ41" s="76">
        <v>1</v>
      </c>
      <c r="BR41" s="76">
        <v>1</v>
      </c>
      <c r="BS41" s="76">
        <v>1</v>
      </c>
      <c r="BT41" s="76">
        <v>1</v>
      </c>
      <c r="BU41" s="76">
        <v>1</v>
      </c>
      <c r="BV41" s="76">
        <v>1</v>
      </c>
      <c r="BW41" s="76">
        <v>1</v>
      </c>
      <c r="BX41" s="76">
        <v>1</v>
      </c>
      <c r="BY41" s="76">
        <v>1</v>
      </c>
      <c r="BZ41" s="76">
        <v>1</v>
      </c>
      <c r="CA41" s="76">
        <v>1</v>
      </c>
      <c r="CB41" s="76">
        <v>1</v>
      </c>
      <c r="CC41" s="76">
        <v>1</v>
      </c>
      <c r="CD41" s="76">
        <v>1</v>
      </c>
      <c r="CE41" s="76">
        <v>1</v>
      </c>
      <c r="CF41" s="76">
        <v>1</v>
      </c>
      <c r="CG41" s="76">
        <v>1</v>
      </c>
      <c r="CH41" s="76">
        <v>1</v>
      </c>
      <c r="CI41" s="76">
        <v>1</v>
      </c>
      <c r="CJ41" s="76">
        <v>1</v>
      </c>
      <c r="CK41" s="76">
        <v>1</v>
      </c>
      <c r="CL41" s="76">
        <v>1</v>
      </c>
      <c r="CM41" s="76">
        <v>1</v>
      </c>
      <c r="CN41" s="76">
        <v>1</v>
      </c>
      <c r="CO41" s="76">
        <v>1</v>
      </c>
      <c r="CP41" s="76">
        <v>1</v>
      </c>
    </row>
    <row r="42" spans="2:94" outlineLevel="1" collapsed="1" x14ac:dyDescent="0.4">
      <c r="B42" s="85"/>
      <c r="C42" s="86"/>
      <c r="D42" s="86" t="s">
        <v>77</v>
      </c>
      <c r="E42" s="86"/>
      <c r="F42" s="87">
        <f>'EDT Nueva'!F41</f>
        <v>4.4703016488648502E-2</v>
      </c>
      <c r="H42" s="87">
        <f>H43*$F$43</f>
        <v>0</v>
      </c>
      <c r="I42" s="87">
        <f t="shared" ref="I42:BZ42" si="393">I43*$F$43</f>
        <v>0.4</v>
      </c>
      <c r="J42" s="87">
        <f t="shared" si="393"/>
        <v>0.5</v>
      </c>
      <c r="K42" s="87">
        <f t="shared" si="393"/>
        <v>0.55000000000000004</v>
      </c>
      <c r="L42" s="87">
        <f t="shared" si="393"/>
        <v>0.75000000000000011</v>
      </c>
      <c r="M42" s="87">
        <f t="shared" si="393"/>
        <v>0.85000000000000009</v>
      </c>
      <c r="N42" s="87">
        <f t="shared" si="393"/>
        <v>0.85000000000000009</v>
      </c>
      <c r="O42" s="87">
        <f t="shared" si="393"/>
        <v>0.85000000000000009</v>
      </c>
      <c r="P42" s="87">
        <f t="shared" si="393"/>
        <v>0.85000000000000009</v>
      </c>
      <c r="Q42" s="87">
        <f t="shared" si="393"/>
        <v>0.85000000000000009</v>
      </c>
      <c r="R42" s="87">
        <f t="shared" si="393"/>
        <v>0.85000000000000009</v>
      </c>
      <c r="S42" s="87">
        <f t="shared" si="393"/>
        <v>0.85000000000000009</v>
      </c>
      <c r="T42" s="87">
        <f t="shared" si="393"/>
        <v>0.95000000000000007</v>
      </c>
      <c r="U42" s="87">
        <f t="shared" si="393"/>
        <v>1</v>
      </c>
      <c r="V42" s="87">
        <f t="shared" si="393"/>
        <v>1</v>
      </c>
      <c r="W42" s="87">
        <f t="shared" si="393"/>
        <v>1</v>
      </c>
      <c r="X42" s="87">
        <f t="shared" si="393"/>
        <v>1</v>
      </c>
      <c r="Y42" s="87">
        <f t="shared" si="393"/>
        <v>1</v>
      </c>
      <c r="Z42" s="87">
        <f t="shared" si="393"/>
        <v>1</v>
      </c>
      <c r="AA42" s="87">
        <f t="shared" si="393"/>
        <v>1</v>
      </c>
      <c r="AB42" s="87">
        <f t="shared" si="393"/>
        <v>1</v>
      </c>
      <c r="AC42" s="87">
        <f t="shared" si="393"/>
        <v>1</v>
      </c>
      <c r="AD42" s="87">
        <f t="shared" si="393"/>
        <v>1</v>
      </c>
      <c r="AE42" s="87">
        <f t="shared" si="393"/>
        <v>1</v>
      </c>
      <c r="AF42" s="87">
        <f t="shared" si="393"/>
        <v>1</v>
      </c>
      <c r="AG42" s="87">
        <f t="shared" si="393"/>
        <v>1</v>
      </c>
      <c r="AH42" s="87">
        <f t="shared" si="393"/>
        <v>1</v>
      </c>
      <c r="AI42" s="87">
        <f t="shared" si="393"/>
        <v>1</v>
      </c>
      <c r="AJ42" s="87">
        <f t="shared" si="393"/>
        <v>1</v>
      </c>
      <c r="AK42" s="87">
        <f t="shared" si="393"/>
        <v>1</v>
      </c>
      <c r="AL42" s="87">
        <f t="shared" si="393"/>
        <v>1</v>
      </c>
      <c r="AM42" s="87">
        <f t="shared" si="393"/>
        <v>1</v>
      </c>
      <c r="AN42" s="87">
        <f t="shared" si="393"/>
        <v>1</v>
      </c>
      <c r="AO42" s="87">
        <f t="shared" si="393"/>
        <v>1</v>
      </c>
      <c r="AP42" s="87">
        <f t="shared" si="393"/>
        <v>1</v>
      </c>
      <c r="AQ42" s="87">
        <f t="shared" si="393"/>
        <v>1</v>
      </c>
      <c r="AR42" s="87">
        <f t="shared" si="393"/>
        <v>1</v>
      </c>
      <c r="AS42" s="87">
        <f t="shared" si="393"/>
        <v>1</v>
      </c>
      <c r="AT42" s="87">
        <f t="shared" si="393"/>
        <v>1</v>
      </c>
      <c r="AU42" s="87">
        <f t="shared" si="393"/>
        <v>1</v>
      </c>
      <c r="AV42" s="87">
        <f t="shared" si="393"/>
        <v>1</v>
      </c>
      <c r="AW42" s="87">
        <f t="shared" si="393"/>
        <v>1</v>
      </c>
      <c r="AX42" s="87">
        <f t="shared" si="393"/>
        <v>1</v>
      </c>
      <c r="AY42" s="87">
        <f t="shared" si="393"/>
        <v>1</v>
      </c>
      <c r="AZ42" s="87">
        <f t="shared" si="393"/>
        <v>1</v>
      </c>
      <c r="BA42" s="87">
        <f t="shared" si="393"/>
        <v>1</v>
      </c>
      <c r="BB42" s="87">
        <f t="shared" si="393"/>
        <v>1</v>
      </c>
      <c r="BC42" s="87">
        <f t="shared" si="393"/>
        <v>1</v>
      </c>
      <c r="BD42" s="87">
        <f t="shared" si="393"/>
        <v>1</v>
      </c>
      <c r="BE42" s="87">
        <f t="shared" si="393"/>
        <v>1</v>
      </c>
      <c r="BF42" s="87">
        <f t="shared" si="393"/>
        <v>1</v>
      </c>
      <c r="BG42" s="87">
        <f t="shared" si="393"/>
        <v>1</v>
      </c>
      <c r="BH42" s="87">
        <f t="shared" si="393"/>
        <v>1</v>
      </c>
      <c r="BI42" s="87">
        <f t="shared" si="393"/>
        <v>1</v>
      </c>
      <c r="BJ42" s="87">
        <f t="shared" si="393"/>
        <v>1</v>
      </c>
      <c r="BK42" s="87">
        <f t="shared" si="393"/>
        <v>1</v>
      </c>
      <c r="BL42" s="87">
        <f t="shared" si="393"/>
        <v>1</v>
      </c>
      <c r="BM42" s="87">
        <f t="shared" si="393"/>
        <v>1</v>
      </c>
      <c r="BN42" s="87">
        <f t="shared" si="393"/>
        <v>1</v>
      </c>
      <c r="BO42" s="87">
        <f t="shared" si="393"/>
        <v>1</v>
      </c>
      <c r="BP42" s="87">
        <f t="shared" si="393"/>
        <v>1</v>
      </c>
      <c r="BQ42" s="87">
        <f t="shared" si="393"/>
        <v>1</v>
      </c>
      <c r="BR42" s="87">
        <f t="shared" si="393"/>
        <v>1</v>
      </c>
      <c r="BS42" s="87">
        <f t="shared" si="393"/>
        <v>1</v>
      </c>
      <c r="BT42" s="87">
        <f t="shared" si="393"/>
        <v>1</v>
      </c>
      <c r="BU42" s="87">
        <f t="shared" si="393"/>
        <v>1</v>
      </c>
      <c r="BV42" s="87">
        <f t="shared" si="393"/>
        <v>1</v>
      </c>
      <c r="BW42" s="87">
        <f t="shared" si="393"/>
        <v>1</v>
      </c>
      <c r="BX42" s="87">
        <f t="shared" si="393"/>
        <v>1</v>
      </c>
      <c r="BY42" s="87">
        <f t="shared" si="393"/>
        <v>1</v>
      </c>
      <c r="BZ42" s="87">
        <f t="shared" si="393"/>
        <v>1</v>
      </c>
      <c r="CA42" s="87">
        <f t="shared" ref="CA42:CP42" si="394">CA43*$F$43</f>
        <v>1</v>
      </c>
      <c r="CB42" s="87">
        <f t="shared" si="394"/>
        <v>1</v>
      </c>
      <c r="CC42" s="87">
        <f t="shared" si="394"/>
        <v>1</v>
      </c>
      <c r="CD42" s="87">
        <f t="shared" si="394"/>
        <v>1</v>
      </c>
      <c r="CE42" s="87">
        <f t="shared" si="394"/>
        <v>1</v>
      </c>
      <c r="CF42" s="87">
        <f t="shared" si="394"/>
        <v>1</v>
      </c>
      <c r="CG42" s="87">
        <f t="shared" si="394"/>
        <v>1</v>
      </c>
      <c r="CH42" s="87">
        <f t="shared" si="394"/>
        <v>1</v>
      </c>
      <c r="CI42" s="87">
        <f t="shared" si="394"/>
        <v>1</v>
      </c>
      <c r="CJ42" s="87">
        <f t="shared" si="394"/>
        <v>1</v>
      </c>
      <c r="CK42" s="87">
        <f t="shared" si="394"/>
        <v>1</v>
      </c>
      <c r="CL42" s="87">
        <f t="shared" si="394"/>
        <v>1</v>
      </c>
      <c r="CM42" s="87">
        <f t="shared" si="394"/>
        <v>1</v>
      </c>
      <c r="CN42" s="87">
        <f t="shared" si="394"/>
        <v>1</v>
      </c>
      <c r="CO42" s="87">
        <f t="shared" si="394"/>
        <v>1</v>
      </c>
      <c r="CP42" s="87">
        <f t="shared" si="394"/>
        <v>1</v>
      </c>
    </row>
    <row r="43" spans="2:94" hidden="1" outlineLevel="2" x14ac:dyDescent="0.4">
      <c r="B43" s="69"/>
      <c r="C43" s="70"/>
      <c r="D43" s="70"/>
      <c r="E43" s="70" t="s">
        <v>78</v>
      </c>
      <c r="F43" s="71">
        <f>'EDT Nueva'!F42</f>
        <v>1</v>
      </c>
      <c r="H43" s="71">
        <v>0</v>
      </c>
      <c r="I43" s="71">
        <v>0.4</v>
      </c>
      <c r="J43" s="71">
        <v>0.5</v>
      </c>
      <c r="K43" s="71">
        <v>0.55000000000000004</v>
      </c>
      <c r="L43" s="71">
        <v>0.75000000000000011</v>
      </c>
      <c r="M43" s="71">
        <v>0.85000000000000009</v>
      </c>
      <c r="N43" s="71">
        <v>0.85000000000000009</v>
      </c>
      <c r="O43" s="71">
        <v>0.85000000000000009</v>
      </c>
      <c r="P43" s="71">
        <v>0.85000000000000009</v>
      </c>
      <c r="Q43" s="71">
        <v>0.85000000000000009</v>
      </c>
      <c r="R43" s="71">
        <v>0.85000000000000009</v>
      </c>
      <c r="S43" s="71">
        <v>0.85000000000000009</v>
      </c>
      <c r="T43" s="71">
        <v>0.95000000000000007</v>
      </c>
      <c r="U43" s="71">
        <v>1</v>
      </c>
      <c r="V43" s="71">
        <v>1</v>
      </c>
      <c r="W43" s="71">
        <v>1</v>
      </c>
      <c r="X43" s="71">
        <v>1</v>
      </c>
      <c r="Y43" s="71">
        <v>1</v>
      </c>
      <c r="Z43" s="71">
        <v>1</v>
      </c>
      <c r="AA43" s="71">
        <v>1</v>
      </c>
      <c r="AB43" s="71">
        <v>1</v>
      </c>
      <c r="AC43" s="71">
        <v>1</v>
      </c>
      <c r="AD43" s="71">
        <v>1</v>
      </c>
      <c r="AE43" s="71">
        <v>1</v>
      </c>
      <c r="AF43" s="71">
        <v>1</v>
      </c>
      <c r="AG43" s="71">
        <v>1</v>
      </c>
      <c r="AH43" s="71">
        <v>1</v>
      </c>
      <c r="AI43" s="71">
        <v>1</v>
      </c>
      <c r="AJ43" s="71">
        <v>1</v>
      </c>
      <c r="AK43" s="71">
        <v>1</v>
      </c>
      <c r="AL43" s="71">
        <v>1</v>
      </c>
      <c r="AM43" s="71">
        <v>1</v>
      </c>
      <c r="AN43" s="71">
        <v>1</v>
      </c>
      <c r="AO43" s="71">
        <v>1</v>
      </c>
      <c r="AP43" s="71">
        <v>1</v>
      </c>
      <c r="AQ43" s="71">
        <v>1</v>
      </c>
      <c r="AR43" s="71">
        <v>1</v>
      </c>
      <c r="AS43" s="71">
        <v>1</v>
      </c>
      <c r="AT43" s="71">
        <v>1</v>
      </c>
      <c r="AU43" s="71">
        <v>1</v>
      </c>
      <c r="AV43" s="71">
        <v>1</v>
      </c>
      <c r="AW43" s="71">
        <v>1</v>
      </c>
      <c r="AX43" s="71">
        <v>1</v>
      </c>
      <c r="AY43" s="71">
        <v>1</v>
      </c>
      <c r="AZ43" s="71">
        <v>1</v>
      </c>
      <c r="BA43" s="71">
        <v>1</v>
      </c>
      <c r="BB43" s="71">
        <v>1</v>
      </c>
      <c r="BC43" s="71">
        <v>1</v>
      </c>
      <c r="BD43" s="71">
        <v>1</v>
      </c>
      <c r="BE43" s="71">
        <v>1</v>
      </c>
      <c r="BF43" s="71">
        <v>1</v>
      </c>
      <c r="BG43" s="71">
        <v>1</v>
      </c>
      <c r="BH43" s="71">
        <v>1</v>
      </c>
      <c r="BI43" s="71">
        <v>1</v>
      </c>
      <c r="BJ43" s="71">
        <v>1</v>
      </c>
      <c r="BK43" s="71">
        <v>1</v>
      </c>
      <c r="BL43" s="71">
        <v>1</v>
      </c>
      <c r="BM43" s="71">
        <v>1</v>
      </c>
      <c r="BN43" s="71">
        <v>1</v>
      </c>
      <c r="BO43" s="71">
        <v>1</v>
      </c>
      <c r="BP43" s="71">
        <v>1</v>
      </c>
      <c r="BQ43" s="71">
        <v>1</v>
      </c>
      <c r="BR43" s="71">
        <v>1</v>
      </c>
      <c r="BS43" s="71">
        <v>1</v>
      </c>
      <c r="BT43" s="71">
        <v>1</v>
      </c>
      <c r="BU43" s="71">
        <v>1</v>
      </c>
      <c r="BV43" s="71">
        <v>1</v>
      </c>
      <c r="BW43" s="71">
        <v>1</v>
      </c>
      <c r="BX43" s="71">
        <v>1</v>
      </c>
      <c r="BY43" s="71">
        <v>1</v>
      </c>
      <c r="BZ43" s="71">
        <v>1</v>
      </c>
      <c r="CA43" s="71">
        <v>1</v>
      </c>
      <c r="CB43" s="71">
        <v>1</v>
      </c>
      <c r="CC43" s="71">
        <v>1</v>
      </c>
      <c r="CD43" s="71">
        <v>1</v>
      </c>
      <c r="CE43" s="71">
        <v>1</v>
      </c>
      <c r="CF43" s="71">
        <v>1</v>
      </c>
      <c r="CG43" s="71">
        <v>1</v>
      </c>
      <c r="CH43" s="71">
        <v>1</v>
      </c>
      <c r="CI43" s="71">
        <v>1</v>
      </c>
      <c r="CJ43" s="71">
        <v>1</v>
      </c>
      <c r="CK43" s="71">
        <v>1</v>
      </c>
      <c r="CL43" s="71">
        <v>1</v>
      </c>
      <c r="CM43" s="71">
        <v>1</v>
      </c>
      <c r="CN43" s="71">
        <v>1</v>
      </c>
      <c r="CO43" s="71">
        <v>1</v>
      </c>
      <c r="CP43" s="71">
        <v>1</v>
      </c>
    </row>
    <row r="44" spans="2:94" outlineLevel="1" collapsed="1" x14ac:dyDescent="0.4">
      <c r="B44" s="85"/>
      <c r="C44" s="86"/>
      <c r="D44" s="86" t="s">
        <v>251</v>
      </c>
      <c r="E44" s="86"/>
      <c r="F44" s="87">
        <f>'EDT Nueva'!F43</f>
        <v>0</v>
      </c>
      <c r="H44" s="87">
        <f>H45*$F$45</f>
        <v>0</v>
      </c>
      <c r="I44" s="87">
        <f t="shared" ref="I44:BZ44" si="395">I45*$F$45</f>
        <v>0</v>
      </c>
      <c r="J44" s="87">
        <f t="shared" si="395"/>
        <v>0</v>
      </c>
      <c r="K44" s="87">
        <f t="shared" si="395"/>
        <v>0</v>
      </c>
      <c r="L44" s="87">
        <f t="shared" si="395"/>
        <v>0</v>
      </c>
      <c r="M44" s="87">
        <f t="shared" si="395"/>
        <v>0</v>
      </c>
      <c r="N44" s="87">
        <f t="shared" si="395"/>
        <v>0</v>
      </c>
      <c r="O44" s="87">
        <f t="shared" si="395"/>
        <v>0</v>
      </c>
      <c r="P44" s="87">
        <f t="shared" si="395"/>
        <v>0</v>
      </c>
      <c r="Q44" s="87">
        <f t="shared" si="395"/>
        <v>0</v>
      </c>
      <c r="R44" s="87">
        <f t="shared" si="395"/>
        <v>0</v>
      </c>
      <c r="S44" s="87">
        <f t="shared" si="395"/>
        <v>0</v>
      </c>
      <c r="T44" s="87">
        <f t="shared" si="395"/>
        <v>0</v>
      </c>
      <c r="U44" s="87">
        <f t="shared" si="395"/>
        <v>0</v>
      </c>
      <c r="V44" s="87">
        <f t="shared" si="395"/>
        <v>0</v>
      </c>
      <c r="W44" s="87">
        <f t="shared" si="395"/>
        <v>0</v>
      </c>
      <c r="X44" s="87">
        <f t="shared" si="395"/>
        <v>0</v>
      </c>
      <c r="Y44" s="87">
        <f t="shared" si="395"/>
        <v>0</v>
      </c>
      <c r="Z44" s="87">
        <f t="shared" si="395"/>
        <v>0</v>
      </c>
      <c r="AA44" s="87">
        <f t="shared" si="395"/>
        <v>0</v>
      </c>
      <c r="AB44" s="87">
        <f t="shared" si="395"/>
        <v>0</v>
      </c>
      <c r="AC44" s="87">
        <f t="shared" si="395"/>
        <v>0</v>
      </c>
      <c r="AD44" s="87">
        <f t="shared" si="395"/>
        <v>0</v>
      </c>
      <c r="AE44" s="87">
        <f t="shared" si="395"/>
        <v>0</v>
      </c>
      <c r="AF44" s="87">
        <f t="shared" si="395"/>
        <v>0</v>
      </c>
      <c r="AG44" s="87">
        <f t="shared" si="395"/>
        <v>0</v>
      </c>
      <c r="AH44" s="87">
        <f t="shared" si="395"/>
        <v>0</v>
      </c>
      <c r="AI44" s="87">
        <f t="shared" si="395"/>
        <v>0</v>
      </c>
      <c r="AJ44" s="87">
        <f t="shared" si="395"/>
        <v>0</v>
      </c>
      <c r="AK44" s="87">
        <f t="shared" si="395"/>
        <v>0</v>
      </c>
      <c r="AL44" s="87">
        <f t="shared" si="395"/>
        <v>0</v>
      </c>
      <c r="AM44" s="87">
        <f t="shared" si="395"/>
        <v>0</v>
      </c>
      <c r="AN44" s="87">
        <f t="shared" si="395"/>
        <v>0</v>
      </c>
      <c r="AO44" s="87">
        <f t="shared" si="395"/>
        <v>0</v>
      </c>
      <c r="AP44" s="87">
        <f t="shared" si="395"/>
        <v>0</v>
      </c>
      <c r="AQ44" s="87">
        <f t="shared" si="395"/>
        <v>0</v>
      </c>
      <c r="AR44" s="87">
        <f t="shared" si="395"/>
        <v>0</v>
      </c>
      <c r="AS44" s="87">
        <f t="shared" si="395"/>
        <v>0</v>
      </c>
      <c r="AT44" s="87">
        <f t="shared" si="395"/>
        <v>0</v>
      </c>
      <c r="AU44" s="87">
        <f t="shared" si="395"/>
        <v>0</v>
      </c>
      <c r="AV44" s="87">
        <f t="shared" si="395"/>
        <v>0</v>
      </c>
      <c r="AW44" s="87">
        <f t="shared" si="395"/>
        <v>0</v>
      </c>
      <c r="AX44" s="87">
        <f t="shared" si="395"/>
        <v>0</v>
      </c>
      <c r="AY44" s="87">
        <f t="shared" si="395"/>
        <v>0</v>
      </c>
      <c r="AZ44" s="87">
        <f t="shared" si="395"/>
        <v>0</v>
      </c>
      <c r="BA44" s="87">
        <f t="shared" si="395"/>
        <v>0</v>
      </c>
      <c r="BB44" s="87">
        <f t="shared" si="395"/>
        <v>0</v>
      </c>
      <c r="BC44" s="87">
        <f t="shared" si="395"/>
        <v>0</v>
      </c>
      <c r="BD44" s="87">
        <f t="shared" si="395"/>
        <v>0</v>
      </c>
      <c r="BE44" s="87">
        <f t="shared" si="395"/>
        <v>0</v>
      </c>
      <c r="BF44" s="87">
        <f t="shared" si="395"/>
        <v>0</v>
      </c>
      <c r="BG44" s="87">
        <f t="shared" si="395"/>
        <v>0</v>
      </c>
      <c r="BH44" s="87">
        <f t="shared" si="395"/>
        <v>0</v>
      </c>
      <c r="BI44" s="87">
        <f t="shared" si="395"/>
        <v>0</v>
      </c>
      <c r="BJ44" s="87">
        <f t="shared" si="395"/>
        <v>0</v>
      </c>
      <c r="BK44" s="87">
        <f t="shared" si="395"/>
        <v>0</v>
      </c>
      <c r="BL44" s="87">
        <f t="shared" si="395"/>
        <v>0</v>
      </c>
      <c r="BM44" s="87">
        <f t="shared" si="395"/>
        <v>0</v>
      </c>
      <c r="BN44" s="87">
        <f t="shared" si="395"/>
        <v>0</v>
      </c>
      <c r="BO44" s="87">
        <f t="shared" si="395"/>
        <v>0</v>
      </c>
      <c r="BP44" s="87">
        <f t="shared" si="395"/>
        <v>0</v>
      </c>
      <c r="BQ44" s="87">
        <f t="shared" si="395"/>
        <v>0</v>
      </c>
      <c r="BR44" s="87">
        <f t="shared" si="395"/>
        <v>0</v>
      </c>
      <c r="BS44" s="87">
        <f t="shared" si="395"/>
        <v>0</v>
      </c>
      <c r="BT44" s="87">
        <f t="shared" si="395"/>
        <v>0</v>
      </c>
      <c r="BU44" s="87">
        <f t="shared" si="395"/>
        <v>0</v>
      </c>
      <c r="BV44" s="87">
        <f t="shared" si="395"/>
        <v>0</v>
      </c>
      <c r="BW44" s="87">
        <f t="shared" si="395"/>
        <v>0</v>
      </c>
      <c r="BX44" s="87">
        <f t="shared" si="395"/>
        <v>0</v>
      </c>
      <c r="BY44" s="87">
        <f t="shared" si="395"/>
        <v>0</v>
      </c>
      <c r="BZ44" s="87">
        <f t="shared" si="395"/>
        <v>0</v>
      </c>
      <c r="CA44" s="87">
        <f t="shared" ref="CA44:CP44" si="396">CA45*$F$45</f>
        <v>0</v>
      </c>
      <c r="CB44" s="87">
        <f t="shared" si="396"/>
        <v>0</v>
      </c>
      <c r="CC44" s="87">
        <f t="shared" si="396"/>
        <v>0</v>
      </c>
      <c r="CD44" s="87">
        <f t="shared" si="396"/>
        <v>0</v>
      </c>
      <c r="CE44" s="87">
        <f t="shared" si="396"/>
        <v>0</v>
      </c>
      <c r="CF44" s="87">
        <f t="shared" si="396"/>
        <v>0</v>
      </c>
      <c r="CG44" s="87">
        <f t="shared" si="396"/>
        <v>0</v>
      </c>
      <c r="CH44" s="87">
        <f t="shared" si="396"/>
        <v>0</v>
      </c>
      <c r="CI44" s="87">
        <f t="shared" si="396"/>
        <v>0</v>
      </c>
      <c r="CJ44" s="87">
        <f t="shared" si="396"/>
        <v>0</v>
      </c>
      <c r="CK44" s="87">
        <f t="shared" si="396"/>
        <v>0</v>
      </c>
      <c r="CL44" s="87">
        <f t="shared" si="396"/>
        <v>0</v>
      </c>
      <c r="CM44" s="87">
        <f t="shared" si="396"/>
        <v>0</v>
      </c>
      <c r="CN44" s="87">
        <f t="shared" si="396"/>
        <v>0</v>
      </c>
      <c r="CO44" s="87">
        <f t="shared" si="396"/>
        <v>0</v>
      </c>
      <c r="CP44" s="87">
        <f t="shared" si="396"/>
        <v>0</v>
      </c>
    </row>
    <row r="45" spans="2:94" hidden="1" outlineLevel="2" x14ac:dyDescent="0.4">
      <c r="B45" s="69"/>
      <c r="C45" s="70"/>
      <c r="D45" s="70"/>
      <c r="E45" s="70" t="s">
        <v>15</v>
      </c>
      <c r="F45" s="71">
        <f>'EDT Nueva'!F44</f>
        <v>1</v>
      </c>
      <c r="H45" s="71">
        <v>0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  <c r="Z45" s="71">
        <v>0</v>
      </c>
      <c r="AA45" s="71">
        <v>0</v>
      </c>
      <c r="AB45" s="71">
        <v>0</v>
      </c>
      <c r="AC45" s="71">
        <v>0</v>
      </c>
      <c r="AD45" s="71">
        <v>0</v>
      </c>
      <c r="AE45" s="71">
        <v>0</v>
      </c>
      <c r="AF45" s="71">
        <v>0</v>
      </c>
      <c r="AG45" s="71">
        <v>0</v>
      </c>
      <c r="AH45" s="71">
        <v>0</v>
      </c>
      <c r="AI45" s="71">
        <v>0</v>
      </c>
      <c r="AJ45" s="71">
        <v>0</v>
      </c>
      <c r="AK45" s="71">
        <v>0</v>
      </c>
      <c r="AL45" s="71">
        <v>0</v>
      </c>
      <c r="AM45" s="71">
        <v>0</v>
      </c>
      <c r="AN45" s="71">
        <v>0</v>
      </c>
      <c r="AO45" s="71">
        <v>0</v>
      </c>
      <c r="AP45" s="71">
        <v>0</v>
      </c>
      <c r="AQ45" s="71">
        <v>0</v>
      </c>
      <c r="AR45" s="71">
        <v>0</v>
      </c>
      <c r="AS45" s="71">
        <v>0</v>
      </c>
      <c r="AT45" s="71">
        <v>0</v>
      </c>
      <c r="AU45" s="71">
        <v>0</v>
      </c>
      <c r="AV45" s="71">
        <v>0</v>
      </c>
      <c r="AW45" s="71">
        <v>0</v>
      </c>
      <c r="AX45" s="71">
        <v>0</v>
      </c>
      <c r="AY45" s="71">
        <v>0</v>
      </c>
      <c r="AZ45" s="71">
        <v>0</v>
      </c>
      <c r="BA45" s="71">
        <v>0</v>
      </c>
      <c r="BB45" s="71">
        <v>0</v>
      </c>
      <c r="BC45" s="71">
        <v>0</v>
      </c>
      <c r="BD45" s="71">
        <v>0</v>
      </c>
      <c r="BE45" s="71">
        <v>0</v>
      </c>
      <c r="BF45" s="71">
        <v>0</v>
      </c>
      <c r="BG45" s="71">
        <v>0</v>
      </c>
      <c r="BH45" s="71">
        <v>0</v>
      </c>
      <c r="BI45" s="71">
        <v>0</v>
      </c>
      <c r="BJ45" s="71">
        <v>0</v>
      </c>
      <c r="BK45" s="71">
        <v>0</v>
      </c>
      <c r="BL45" s="71">
        <v>0</v>
      </c>
      <c r="BM45" s="71">
        <v>0</v>
      </c>
      <c r="BN45" s="71">
        <v>0</v>
      </c>
      <c r="BO45" s="71">
        <v>0</v>
      </c>
      <c r="BP45" s="71">
        <v>0</v>
      </c>
      <c r="BQ45" s="71">
        <v>0</v>
      </c>
      <c r="BR45" s="71">
        <v>0</v>
      </c>
      <c r="BS45" s="71">
        <v>0</v>
      </c>
      <c r="BT45" s="71">
        <v>0</v>
      </c>
      <c r="BU45" s="71">
        <v>0</v>
      </c>
      <c r="BV45" s="71">
        <v>0</v>
      </c>
      <c r="BW45" s="71">
        <v>0</v>
      </c>
      <c r="BX45" s="71">
        <v>0</v>
      </c>
      <c r="BY45" s="71">
        <v>0</v>
      </c>
      <c r="BZ45" s="71">
        <v>0</v>
      </c>
      <c r="CA45" s="71">
        <v>0</v>
      </c>
      <c r="CB45" s="71">
        <v>0</v>
      </c>
      <c r="CC45" s="71">
        <v>0</v>
      </c>
      <c r="CD45" s="71">
        <v>0</v>
      </c>
      <c r="CE45" s="71">
        <v>0</v>
      </c>
      <c r="CF45" s="71">
        <v>0</v>
      </c>
      <c r="CG45" s="71">
        <v>0</v>
      </c>
      <c r="CH45" s="71">
        <v>0</v>
      </c>
      <c r="CI45" s="71">
        <v>0</v>
      </c>
      <c r="CJ45" s="71">
        <v>0</v>
      </c>
      <c r="CK45" s="71">
        <v>0</v>
      </c>
      <c r="CL45" s="71">
        <v>0</v>
      </c>
      <c r="CM45" s="71">
        <v>0</v>
      </c>
      <c r="CN45" s="71">
        <v>0</v>
      </c>
      <c r="CO45" s="71">
        <v>0</v>
      </c>
      <c r="CP45" s="71">
        <v>0</v>
      </c>
    </row>
    <row r="46" spans="2:94" x14ac:dyDescent="0.4">
      <c r="B46" s="15"/>
      <c r="C46" s="16" t="s">
        <v>83</v>
      </c>
      <c r="D46" s="16"/>
      <c r="E46" s="16"/>
      <c r="F46" s="66">
        <f>'EDT Nueva'!F45</f>
        <v>0.22717450583622398</v>
      </c>
      <c r="H46" s="66">
        <f>H47*$F$47+H49*$F$49+H55*$F$55+H58*$F$58+H60*$F$60+H63*$F$63+H66*$F$66+H69*$F$69+H73*$F$73+H77*$F$77+H84*$F$84+H88*$F$88+H92*$F$92</f>
        <v>0</v>
      </c>
      <c r="I46" s="66">
        <f t="shared" ref="I46:J46" si="397">I47*$F$47+I49*$F$49+I55*$F$55+I58*$F$58+I60*$F$60+I63*$F$63+I66*$F$66+I69*$F$69+I73*$F$73+I77*$F$77+I84*$F$84+I88*$F$88+I92*$F$92</f>
        <v>7.025439839700531E-3</v>
      </c>
      <c r="J46" s="66">
        <f t="shared" si="397"/>
        <v>2.2551458693733265E-2</v>
      </c>
      <c r="K46" s="66">
        <f t="shared" ref="K46:L46" si="398">K47*$F$47+K49*$F$49+K55*$F$55+K58*$F$58+K60*$F$60+K63*$F$63+K66*$F$66+K69*$F$69+K73*$F$73+K77*$F$77+K84*$F$84+K88*$F$88+K92*$F$92</f>
        <v>5.2088112058070762E-2</v>
      </c>
      <c r="L46" s="66">
        <f t="shared" si="398"/>
        <v>8.6862525881258479E-2</v>
      </c>
      <c r="M46" s="66">
        <f t="shared" ref="M46" si="399">M47*$F$47+M49*$F$49+M55*$F$55+M58*$F$58+M60*$F$60+M63*$F$63+M66*$F$66+M69*$F$69+M73*$F$73+M77*$F$77+M84*$F$84+M88*$F$88+M92*$F$92</f>
        <v>0.11418088448102881</v>
      </c>
      <c r="N46" s="66">
        <f t="shared" ref="N46:O46" si="400">N47*$F$47+N49*$F$49+N55*$F$55+N58*$F$58+N60*$F$60+N63*$F$63+N66*$F$66+N69*$F$69+N73*$F$73+N77*$F$77+N84*$F$84+N88*$F$88+N92*$F$92</f>
        <v>0.13649753054236549</v>
      </c>
      <c r="O46" s="66">
        <f t="shared" si="400"/>
        <v>0.14632374870156964</v>
      </c>
      <c r="P46" s="66">
        <f t="shared" ref="P46:Q46" si="401">P47*$F$47+P49*$F$49+P55*$F$55+P58*$F$58+P60*$F$60+P63*$F$63+P66*$F$66+P69*$F$69+P73*$F$73+P77*$F$77+P84*$F$84+P88*$F$88+P92*$F$92</f>
        <v>0.15498248541118015</v>
      </c>
      <c r="Q46" s="66">
        <f t="shared" si="401"/>
        <v>0.1590688058015215</v>
      </c>
      <c r="R46" s="66">
        <f t="shared" ref="R46:U46" si="402">R47*$F$47+R49*$F$49+R55*$F$55+R58*$F$58+R60*$F$60+R63*$F$63+R66*$F$66+R69*$F$69+R73*$F$73+R77*$F$77+R84*$F$84+R88*$F$88+R92*$F$92</f>
        <v>0.16175410205803156</v>
      </c>
      <c r="S46" s="66">
        <f t="shared" si="402"/>
        <v>0.16255677213470576</v>
      </c>
      <c r="T46" s="66">
        <f t="shared" si="402"/>
        <v>0.18113785470964372</v>
      </c>
      <c r="U46" s="66">
        <f t="shared" si="402"/>
        <v>0.18305526915482639</v>
      </c>
      <c r="V46" s="66">
        <f t="shared" ref="V46:W46" si="403">V47*$F$47+V49*$F$49+V55*$F$55+V58*$F$58+V60*$F$60+V63*$F$63+V66*$F$66+V69*$F$69+V73*$F$73+V77*$F$77+V84*$F$84+V88*$F$88+V92*$F$92</f>
        <v>0.19073616910910138</v>
      </c>
      <c r="W46" s="66">
        <f t="shared" si="403"/>
        <v>0.20747851337569603</v>
      </c>
      <c r="X46" s="66">
        <f t="shared" ref="X46:Y46" si="404">X47*$F$47+X49*$F$49+X55*$F$55+X58*$F$58+X60*$F$60+X63*$F$63+X66*$F$66+X69*$F$69+X73*$F$73+X77*$F$77+X84*$F$84+X88*$F$88+X92*$F$92</f>
        <v>0.21813134326670858</v>
      </c>
      <c r="Y46" s="66">
        <f t="shared" si="404"/>
        <v>0.22105014354552383</v>
      </c>
      <c r="Z46" s="66">
        <f t="shared" ref="Z46:AA46" si="405">Z47*$F$47+Z49*$F$49+Z55*$F$55+Z58*$F$58+Z60*$F$60+Z63*$F$63+Z66*$F$66+Z69*$F$69+Z73*$F$73+Z77*$F$77+Z84*$F$84+Z88*$F$88+Z92*$F$92</f>
        <v>0.23909380815265552</v>
      </c>
      <c r="AA46" s="66">
        <f t="shared" si="405"/>
        <v>0.25973342088675944</v>
      </c>
      <c r="AB46" s="66">
        <f t="shared" ref="AB46:AC46" si="406">AB47*$F$47+AB49*$F$49+AB55*$F$55+AB58*$F$58+AB60*$F$60+AB63*$F$63+AB66*$F$66+AB69*$F$69+AB73*$F$73+AB77*$F$77+AB84*$F$84+AB88*$F$88+AB92*$F$92</f>
        <v>0.30986567317609404</v>
      </c>
      <c r="AC46" s="66">
        <f t="shared" si="406"/>
        <v>0.35546413105315217</v>
      </c>
      <c r="AD46" s="66">
        <f t="shared" ref="AD46:AE46" si="407">AD47*$F$47+AD49*$F$49+AD55*$F$55+AD58*$F$58+AD60*$F$60+AD63*$F$63+AD66*$F$66+AD69*$F$69+AD73*$F$73+AD77*$F$77+AD84*$F$84+AD88*$F$88+AD92*$F$92</f>
        <v>0.39776722768788086</v>
      </c>
      <c r="AE46" s="66">
        <f t="shared" si="407"/>
        <v>0.40461180714807549</v>
      </c>
      <c r="AF46" s="66">
        <f t="shared" ref="AF46:AG46" si="408">AF47*$F$47+AF49*$F$49+AF55*$F$55+AF58*$F$58+AF60*$F$60+AF63*$F$63+AF66*$F$66+AF69*$F$69+AF73*$F$73+AF77*$F$77+AF84*$F$84+AF88*$F$88+AF92*$F$92</f>
        <v>0.40794176830129086</v>
      </c>
      <c r="AG46" s="66">
        <f t="shared" si="408"/>
        <v>0.4187038285175162</v>
      </c>
      <c r="AH46" s="66">
        <f t="shared" ref="AH46:AI46" si="409">AH47*$F$47+AH49*$F$49+AH55*$F$55+AH58*$F$58+AH60*$F$60+AH63*$F$63+AH66*$F$66+AH69*$F$69+AH73*$F$73+AH77*$F$77+AH84*$F$84+AH88*$F$88+AH92*$F$92</f>
        <v>0.42228062006906192</v>
      </c>
      <c r="AI46" s="66">
        <f t="shared" si="409"/>
        <v>0.42432378026423256</v>
      </c>
      <c r="AJ46" s="66">
        <f t="shared" ref="AJ46:AK46" si="410">AJ47*$F$47+AJ49*$F$49+AJ55*$F$55+AJ58*$F$58+AJ60*$F$60+AJ63*$F$63+AJ66*$F$66+AJ69*$F$69+AJ73*$F$73+AJ77*$F$77+AJ84*$F$84+AJ88*$F$88+AJ92*$F$92</f>
        <v>0.47645502986170213</v>
      </c>
      <c r="AK46" s="66">
        <f t="shared" si="410"/>
        <v>0.48206970580260383</v>
      </c>
      <c r="AL46" s="66">
        <f t="shared" ref="AL46:AM46" si="411">AL47*$F$47+AL49*$F$49+AL55*$F$55+AL58*$F$58+AL60*$F$60+AL63*$F$63+AL66*$F$66+AL69*$F$69+AL73*$F$73+AL77*$F$77+AL84*$F$84+AL88*$F$88+AL92*$F$92</f>
        <v>0.50383160514295466</v>
      </c>
      <c r="AM46" s="66">
        <f t="shared" si="411"/>
        <v>0.51194602116079924</v>
      </c>
      <c r="AN46" s="66">
        <f t="shared" ref="AN46" si="412">AN47*$F$47+AN49*$F$49+AN55*$F$55+AN58*$F$58+AN60*$F$60+AN63*$F$63+AN66*$F$66+AN69*$F$69+AN73*$F$73+AN77*$F$77+AN84*$F$84+AN88*$F$88+AN92*$F$92</f>
        <v>0.51250416113509245</v>
      </c>
      <c r="AO46" s="66">
        <f t="shared" ref="AO46" si="413">AO47*$F$47+AO49*$F$49+AO55*$F$55+AO58*$F$58+AO60*$F$60+AO63*$F$63+AO66*$F$66+AO69*$F$69+AO73*$F$73+AO77*$F$77+AO84*$F$84+AO88*$F$88+AO92*$F$92</f>
        <v>0.51250416113509245</v>
      </c>
      <c r="AP46" s="66">
        <f t="shared" ref="AP46" si="414">AP47*$F$47+AP49*$F$49+AP55*$F$55+AP58*$F$58+AP60*$F$60+AP63*$F$63+AP66*$F$66+AP69*$F$69+AP73*$F$73+AP77*$F$77+AP84*$F$84+AP88*$F$88+AP92*$F$92</f>
        <v>0.51250416113509245</v>
      </c>
      <c r="AQ46" s="66">
        <f t="shared" ref="AQ46:AR46" si="415">AQ47*$F$47+AQ49*$F$49+AQ55*$F$55+AQ58*$F$58+AQ60*$F$60+AQ63*$F$63+AQ66*$F$66+AQ69*$F$69+AQ73*$F$73+AQ77*$F$77+AQ84*$F$84+AQ88*$F$88+AQ92*$F$92</f>
        <v>0.51250416113509245</v>
      </c>
      <c r="AR46" s="66">
        <f t="shared" si="415"/>
        <v>0.51250416113509245</v>
      </c>
      <c r="AS46" s="66">
        <f t="shared" ref="AS46" si="416">AS47*$F$47+AS49*$F$49+AS55*$F$55+AS58*$F$58+AS60*$F$60+AS63*$F$63+AS66*$F$66+AS69*$F$69+AS73*$F$73+AS77*$F$77+AS84*$F$84+AS88*$F$88+AS92*$F$92</f>
        <v>0.51250416113509245</v>
      </c>
      <c r="AT46" s="66">
        <f t="shared" ref="AT46:BC46" si="417">AT47*$F$47+AT49*$F$49+AT55*$F$55+AT58*$F$58+AT60*$F$60+AT63*$F$63+AT66*$F$66+AT69*$F$69+AT73*$F$73+AT77*$F$77+AT84*$F$84+AT88*$F$88+AT92*$F$92</f>
        <v>0.51543781816138556</v>
      </c>
      <c r="AU46" s="66">
        <f t="shared" si="417"/>
        <v>0.51706407933806831</v>
      </c>
      <c r="AV46" s="66">
        <f t="shared" si="417"/>
        <v>0.51706407933806831</v>
      </c>
      <c r="AW46" s="66">
        <f t="shared" si="417"/>
        <v>0.51706407933806831</v>
      </c>
      <c r="AX46" s="66">
        <f t="shared" si="417"/>
        <v>0.51706407933806831</v>
      </c>
      <c r="AY46" s="66">
        <f t="shared" si="417"/>
        <v>0.53280909686016076</v>
      </c>
      <c r="AZ46" s="66">
        <f t="shared" si="417"/>
        <v>0.53339344067597949</v>
      </c>
      <c r="BA46" s="66">
        <f t="shared" si="417"/>
        <v>0.53500018185346188</v>
      </c>
      <c r="BB46" s="66">
        <f t="shared" si="417"/>
        <v>0.53642549040561294</v>
      </c>
      <c r="BC46" s="66">
        <f t="shared" si="417"/>
        <v>0.53660692303094404</v>
      </c>
      <c r="BD46" s="66">
        <f t="shared" ref="BD46:BE46" si="418">BD47*$F$47+BD49*$F$49+BD55*$F$55+BD58*$F$58+BD60*$F$60+BD63*$F$63+BD66*$F$66+BD69*$F$69+BD73*$F$73+BD77*$F$77+BD84*$F$84+BD88*$F$88+BD92*$F$92</f>
        <v>0.53660692303094404</v>
      </c>
      <c r="BE46" s="66">
        <f t="shared" si="418"/>
        <v>0.53821366420842631</v>
      </c>
      <c r="BF46" s="66">
        <f t="shared" ref="BF46:BG46" si="419">BF47*$F$47+BF49*$F$49+BF55*$F$55+BF58*$F$58+BF60*$F$60+BF63*$F$63+BF66*$F$66+BF69*$F$69+BF73*$F$73+BF77*$F$77+BF84*$F$84+BF88*$F$88+BF92*$F$92</f>
        <v>0.53963897276057737</v>
      </c>
      <c r="BG46" s="66">
        <f t="shared" si="419"/>
        <v>0.54075979206764235</v>
      </c>
      <c r="BH46" s="66">
        <f t="shared" ref="BH46:BI46" si="420">BH47*$F$47+BH49*$F$49+BH55*$F$55+BH58*$F$58+BH60*$F$60+BH63*$F$63+BH66*$F$66+BH69*$F$69+BH73*$F$73+BH77*$F$77+BH84*$F$84+BH88*$F$88+BH92*$F$92</f>
        <v>0.54188061137470744</v>
      </c>
      <c r="BI46" s="66">
        <f t="shared" si="420"/>
        <v>0.54400549797768494</v>
      </c>
      <c r="BJ46" s="66">
        <f t="shared" ref="BJ46:BK46" si="421">BJ47*$F$47+BJ49*$F$49+BJ55*$F$55+BJ58*$F$58+BJ60*$F$60+BJ63*$F$63+BJ66*$F$66+BJ69*$F$69+BJ73*$F$73+BJ77*$F$77+BJ84*$F$84+BJ88*$F$88+BJ92*$F$92</f>
        <v>0.54559916292991806</v>
      </c>
      <c r="BK46" s="66">
        <f t="shared" si="421"/>
        <v>0.5466616062314068</v>
      </c>
      <c r="BL46" s="66">
        <f t="shared" ref="BL46:BM46" si="422">BL47*$F$47+BL49*$F$49+BL55*$F$55+BL58*$F$58+BL60*$F$60+BL63*$F$63+BL66*$F$66+BL69*$F$69+BL73*$F$73+BL77*$F$77+BL84*$F$84+BL88*$F$88+BL92*$F$92</f>
        <v>0.59647311534210745</v>
      </c>
      <c r="BM46" s="66">
        <f t="shared" si="422"/>
        <v>0.5975355586435962</v>
      </c>
      <c r="BN46" s="66">
        <f t="shared" ref="BN46:BO46" si="423">BN47*$F$47+BN49*$F$49+BN55*$F$55+BN58*$F$58+BN60*$F$60+BN63*$F$63+BN66*$F$66+BN69*$F$69+BN73*$F$73+BN77*$F$77+BN84*$F$84+BN88*$F$88+BN92*$F$92</f>
        <v>0.59806678029434057</v>
      </c>
      <c r="BO46" s="66">
        <f t="shared" si="423"/>
        <v>0.59955105477376958</v>
      </c>
      <c r="BP46" s="66">
        <f t="shared" ref="BP46" si="424">BP47*$F$47+BP49*$F$49+BP55*$F$55+BP58*$F$58+BP60*$F$60+BP63*$F$63+BP66*$F$66+BP69*$F$69+BP73*$F$73+BP77*$F$77+BP84*$F$84+BP88*$F$88+BP92*$F$92</f>
        <v>0.60061349807525832</v>
      </c>
      <c r="BQ46" s="66">
        <f t="shared" ref="BQ46:BR46" si="425">BQ47*$F$47+BQ49*$F$49+BQ55*$F$55+BQ58*$F$58+BQ60*$F$60+BQ63*$F$63+BQ66*$F$66+BQ69*$F$69+BQ73*$F$73+BQ77*$F$77+BQ84*$F$84+BQ88*$F$88+BQ92*$F$92</f>
        <v>0.51250416113509245</v>
      </c>
      <c r="BR46" s="66">
        <f t="shared" si="425"/>
        <v>0.51250416113509245</v>
      </c>
      <c r="BS46" s="66">
        <f t="shared" ref="BS46:BT46" si="426">BS47*$F$47+BS49*$F$49+BS55*$F$55+BS58*$F$58+BS60*$F$60+BS63*$F$63+BS66*$F$66+BS69*$F$69+BS73*$F$73+BS77*$F$77+BS84*$F$84+BS88*$F$88+BS92*$F$92</f>
        <v>0.51250416113509245</v>
      </c>
      <c r="BT46" s="66">
        <f t="shared" si="426"/>
        <v>0.51250416113509245</v>
      </c>
      <c r="BU46" s="66">
        <f t="shared" ref="BU46:BV46" si="427">BU47*$F$47+BU49*$F$49+BU55*$F$55+BU58*$F$58+BU60*$F$60+BU63*$F$63+BU66*$F$66+BU69*$F$69+BU73*$F$73+BU77*$F$77+BU84*$F$84+BU88*$F$88+BU92*$F$92</f>
        <v>0.51250416113509245</v>
      </c>
      <c r="BV46" s="66">
        <f t="shared" si="427"/>
        <v>0.51250416113509245</v>
      </c>
      <c r="BW46" s="66">
        <f t="shared" ref="BW46:CP46" si="428">BW47*$F$47+BW49*$F$49+BW55*$F$55+BW58*$F$58+BW60*$F$60+BW63*$F$63+BW66*$F$66+BW69*$F$69+BW73*$F$73+BW77*$F$77+BW84*$F$84+BW88*$F$88+BW92*$F$92</f>
        <v>0.51250416113509245</v>
      </c>
      <c r="BX46" s="66">
        <f t="shared" si="428"/>
        <v>0.51250416113509245</v>
      </c>
      <c r="BY46" s="66">
        <f t="shared" si="428"/>
        <v>0.51250416113509245</v>
      </c>
      <c r="BZ46" s="66">
        <f t="shared" si="428"/>
        <v>0.51250416113509245</v>
      </c>
      <c r="CA46" s="66">
        <f t="shared" si="428"/>
        <v>0.51250416113509245</v>
      </c>
      <c r="CB46" s="66">
        <f t="shared" si="428"/>
        <v>0.51250416113509245</v>
      </c>
      <c r="CC46" s="66">
        <f t="shared" si="428"/>
        <v>0.51250416113509245</v>
      </c>
      <c r="CD46" s="66">
        <f t="shared" si="428"/>
        <v>0.51250416113509245</v>
      </c>
      <c r="CE46" s="66">
        <f t="shared" si="428"/>
        <v>0.51250416113509245</v>
      </c>
      <c r="CF46" s="66">
        <f t="shared" si="428"/>
        <v>0.51250416113509245</v>
      </c>
      <c r="CG46" s="66">
        <f t="shared" si="428"/>
        <v>0.51250416113509245</v>
      </c>
      <c r="CH46" s="66">
        <f t="shared" si="428"/>
        <v>0.51250416113509245</v>
      </c>
      <c r="CI46" s="66">
        <f t="shared" si="428"/>
        <v>0.51250416113509245</v>
      </c>
      <c r="CJ46" s="66">
        <f t="shared" si="428"/>
        <v>0.51250416113509245</v>
      </c>
      <c r="CK46" s="66">
        <f t="shared" si="428"/>
        <v>0.51250416113509245</v>
      </c>
      <c r="CL46" s="66">
        <f t="shared" si="428"/>
        <v>0.51250416113509245</v>
      </c>
      <c r="CM46" s="66">
        <f t="shared" si="428"/>
        <v>0.51250416113509245</v>
      </c>
      <c r="CN46" s="66">
        <f t="shared" si="428"/>
        <v>0.51250416113509245</v>
      </c>
      <c r="CO46" s="66">
        <f t="shared" si="428"/>
        <v>0.51250416113509245</v>
      </c>
      <c r="CP46" s="66">
        <f t="shared" si="428"/>
        <v>0.54559916292991806</v>
      </c>
    </row>
    <row r="47" spans="2:94" outlineLevel="1" collapsed="1" x14ac:dyDescent="0.4">
      <c r="B47" s="85"/>
      <c r="C47" s="86"/>
      <c r="D47" s="86" t="s">
        <v>13</v>
      </c>
      <c r="E47" s="86"/>
      <c r="F47" s="87">
        <f>'EDT Nueva'!F46</f>
        <v>2.3468375928862552E-2</v>
      </c>
      <c r="H47" s="87">
        <f>H48*$F$48</f>
        <v>0</v>
      </c>
      <c r="I47" s="87">
        <f t="shared" ref="I47:BZ47" si="429">I48*$F$48</f>
        <v>0</v>
      </c>
      <c r="J47" s="87">
        <f t="shared" si="429"/>
        <v>0</v>
      </c>
      <c r="K47" s="87">
        <f t="shared" si="429"/>
        <v>0</v>
      </c>
      <c r="L47" s="87">
        <f t="shared" si="429"/>
        <v>0</v>
      </c>
      <c r="M47" s="87">
        <f t="shared" si="429"/>
        <v>0</v>
      </c>
      <c r="N47" s="87">
        <f t="shared" si="429"/>
        <v>0</v>
      </c>
      <c r="O47" s="87">
        <f t="shared" si="429"/>
        <v>0</v>
      </c>
      <c r="P47" s="87">
        <f t="shared" si="429"/>
        <v>0</v>
      </c>
      <c r="Q47" s="87">
        <f t="shared" si="429"/>
        <v>0</v>
      </c>
      <c r="R47" s="87">
        <f t="shared" si="429"/>
        <v>0</v>
      </c>
      <c r="S47" s="87">
        <f t="shared" si="429"/>
        <v>0</v>
      </c>
      <c r="T47" s="87">
        <f t="shared" si="429"/>
        <v>0</v>
      </c>
      <c r="U47" s="87">
        <f t="shared" si="429"/>
        <v>0</v>
      </c>
      <c r="V47" s="87">
        <f t="shared" si="429"/>
        <v>0</v>
      </c>
      <c r="W47" s="87">
        <f t="shared" si="429"/>
        <v>0</v>
      </c>
      <c r="X47" s="87">
        <f t="shared" si="429"/>
        <v>0</v>
      </c>
      <c r="Y47" s="87">
        <f t="shared" si="429"/>
        <v>0</v>
      </c>
      <c r="Z47" s="87">
        <f t="shared" si="429"/>
        <v>0.33749999999999997</v>
      </c>
      <c r="AA47" s="87">
        <f t="shared" si="429"/>
        <v>0.66375000000000006</v>
      </c>
      <c r="AB47" s="87">
        <f t="shared" si="429"/>
        <v>0.76050000000000006</v>
      </c>
      <c r="AC47" s="87">
        <f t="shared" si="429"/>
        <v>1</v>
      </c>
      <c r="AD47" s="87">
        <f t="shared" si="429"/>
        <v>1</v>
      </c>
      <c r="AE47" s="87">
        <f t="shared" si="429"/>
        <v>1</v>
      </c>
      <c r="AF47" s="87">
        <f t="shared" si="429"/>
        <v>1</v>
      </c>
      <c r="AG47" s="87">
        <f t="shared" si="429"/>
        <v>1</v>
      </c>
      <c r="AH47" s="87">
        <f t="shared" si="429"/>
        <v>1</v>
      </c>
      <c r="AI47" s="87">
        <f t="shared" si="429"/>
        <v>1</v>
      </c>
      <c r="AJ47" s="87">
        <f t="shared" si="429"/>
        <v>1</v>
      </c>
      <c r="AK47" s="87">
        <f t="shared" si="429"/>
        <v>1</v>
      </c>
      <c r="AL47" s="87">
        <f t="shared" si="429"/>
        <v>1</v>
      </c>
      <c r="AM47" s="87">
        <f t="shared" si="429"/>
        <v>1</v>
      </c>
      <c r="AN47" s="87">
        <f t="shared" si="429"/>
        <v>1</v>
      </c>
      <c r="AO47" s="87">
        <f t="shared" si="429"/>
        <v>1</v>
      </c>
      <c r="AP47" s="87">
        <f t="shared" si="429"/>
        <v>1</v>
      </c>
      <c r="AQ47" s="87">
        <f t="shared" si="429"/>
        <v>1</v>
      </c>
      <c r="AR47" s="87">
        <f t="shared" si="429"/>
        <v>1</v>
      </c>
      <c r="AS47" s="87">
        <f t="shared" si="429"/>
        <v>1</v>
      </c>
      <c r="AT47" s="87">
        <f t="shared" si="429"/>
        <v>1</v>
      </c>
      <c r="AU47" s="87">
        <f t="shared" si="429"/>
        <v>1</v>
      </c>
      <c r="AV47" s="87">
        <f t="shared" si="429"/>
        <v>1</v>
      </c>
      <c r="AW47" s="87">
        <f t="shared" si="429"/>
        <v>1</v>
      </c>
      <c r="AX47" s="87">
        <f t="shared" si="429"/>
        <v>1</v>
      </c>
      <c r="AY47" s="87">
        <f t="shared" si="429"/>
        <v>1</v>
      </c>
      <c r="AZ47" s="87">
        <f t="shared" si="429"/>
        <v>1</v>
      </c>
      <c r="BA47" s="87">
        <f t="shared" si="429"/>
        <v>1</v>
      </c>
      <c r="BB47" s="87">
        <f t="shared" si="429"/>
        <v>1</v>
      </c>
      <c r="BC47" s="87">
        <f t="shared" si="429"/>
        <v>1</v>
      </c>
      <c r="BD47" s="87">
        <f t="shared" si="429"/>
        <v>1</v>
      </c>
      <c r="BE47" s="87">
        <f t="shared" si="429"/>
        <v>1</v>
      </c>
      <c r="BF47" s="87">
        <f t="shared" si="429"/>
        <v>1</v>
      </c>
      <c r="BG47" s="87">
        <f t="shared" si="429"/>
        <v>1</v>
      </c>
      <c r="BH47" s="87">
        <f t="shared" si="429"/>
        <v>1</v>
      </c>
      <c r="BI47" s="87">
        <f t="shared" si="429"/>
        <v>1</v>
      </c>
      <c r="BJ47" s="87">
        <f t="shared" si="429"/>
        <v>1</v>
      </c>
      <c r="BK47" s="87">
        <f t="shared" si="429"/>
        <v>1</v>
      </c>
      <c r="BL47" s="87">
        <f t="shared" si="429"/>
        <v>1</v>
      </c>
      <c r="BM47" s="87">
        <f t="shared" si="429"/>
        <v>1</v>
      </c>
      <c r="BN47" s="87">
        <f t="shared" si="429"/>
        <v>1</v>
      </c>
      <c r="BO47" s="87">
        <f t="shared" si="429"/>
        <v>1</v>
      </c>
      <c r="BP47" s="87">
        <f t="shared" si="429"/>
        <v>1</v>
      </c>
      <c r="BQ47" s="87">
        <f t="shared" si="429"/>
        <v>1</v>
      </c>
      <c r="BR47" s="87">
        <f t="shared" si="429"/>
        <v>1</v>
      </c>
      <c r="BS47" s="87">
        <f t="shared" si="429"/>
        <v>1</v>
      </c>
      <c r="BT47" s="87">
        <f t="shared" si="429"/>
        <v>1</v>
      </c>
      <c r="BU47" s="87">
        <f t="shared" si="429"/>
        <v>1</v>
      </c>
      <c r="BV47" s="87">
        <f t="shared" si="429"/>
        <v>1</v>
      </c>
      <c r="BW47" s="87">
        <f t="shared" si="429"/>
        <v>1</v>
      </c>
      <c r="BX47" s="87">
        <f t="shared" si="429"/>
        <v>1</v>
      </c>
      <c r="BY47" s="87">
        <f t="shared" si="429"/>
        <v>1</v>
      </c>
      <c r="BZ47" s="87">
        <f t="shared" si="429"/>
        <v>1</v>
      </c>
      <c r="CA47" s="87">
        <f t="shared" ref="CA47:CP47" si="430">CA48*$F$48</f>
        <v>1</v>
      </c>
      <c r="CB47" s="87">
        <f t="shared" si="430"/>
        <v>1</v>
      </c>
      <c r="CC47" s="87">
        <f t="shared" si="430"/>
        <v>1</v>
      </c>
      <c r="CD47" s="87">
        <f t="shared" si="430"/>
        <v>1</v>
      </c>
      <c r="CE47" s="87">
        <f t="shared" si="430"/>
        <v>1</v>
      </c>
      <c r="CF47" s="87">
        <f t="shared" si="430"/>
        <v>1</v>
      </c>
      <c r="CG47" s="87">
        <f t="shared" si="430"/>
        <v>1</v>
      </c>
      <c r="CH47" s="87">
        <f t="shared" si="430"/>
        <v>1</v>
      </c>
      <c r="CI47" s="87">
        <f t="shared" si="430"/>
        <v>1</v>
      </c>
      <c r="CJ47" s="87">
        <f t="shared" si="430"/>
        <v>1</v>
      </c>
      <c r="CK47" s="87">
        <f t="shared" si="430"/>
        <v>1</v>
      </c>
      <c r="CL47" s="87">
        <f t="shared" si="430"/>
        <v>1</v>
      </c>
      <c r="CM47" s="87">
        <f t="shared" si="430"/>
        <v>1</v>
      </c>
      <c r="CN47" s="87">
        <f t="shared" si="430"/>
        <v>1</v>
      </c>
      <c r="CO47" s="87">
        <f t="shared" si="430"/>
        <v>1</v>
      </c>
      <c r="CP47" s="87">
        <f t="shared" si="430"/>
        <v>1</v>
      </c>
    </row>
    <row r="48" spans="2:94" hidden="1" outlineLevel="2" x14ac:dyDescent="0.4">
      <c r="B48" s="69"/>
      <c r="C48" s="70"/>
      <c r="D48" s="70"/>
      <c r="E48" s="70" t="s">
        <v>86</v>
      </c>
      <c r="F48" s="71">
        <f>'EDT Nueva'!F47</f>
        <v>1</v>
      </c>
      <c r="H48" s="71">
        <v>0</v>
      </c>
      <c r="I48" s="71">
        <v>0</v>
      </c>
      <c r="J48" s="71">
        <v>0</v>
      </c>
      <c r="K48" s="71">
        <v>0</v>
      </c>
      <c r="L48" s="71">
        <v>0</v>
      </c>
      <c r="M48" s="71">
        <v>0</v>
      </c>
      <c r="N48" s="71">
        <v>0</v>
      </c>
      <c r="O48" s="71">
        <v>0</v>
      </c>
      <c r="P48" s="71">
        <v>0</v>
      </c>
      <c r="Q48" s="71">
        <v>0</v>
      </c>
      <c r="R48" s="71">
        <v>0</v>
      </c>
      <c r="S48" s="71">
        <v>0</v>
      </c>
      <c r="T48" s="71">
        <v>0</v>
      </c>
      <c r="U48" s="71">
        <v>0</v>
      </c>
      <c r="V48" s="71">
        <v>0</v>
      </c>
      <c r="W48" s="71">
        <v>0</v>
      </c>
      <c r="X48" s="71">
        <v>0</v>
      </c>
      <c r="Y48" s="71">
        <v>0</v>
      </c>
      <c r="Z48" s="71">
        <v>0.33749999999999997</v>
      </c>
      <c r="AA48" s="71">
        <v>0.66375000000000006</v>
      </c>
      <c r="AB48" s="71">
        <v>0.76050000000000006</v>
      </c>
      <c r="AC48" s="71">
        <v>1</v>
      </c>
      <c r="AD48" s="71">
        <v>1</v>
      </c>
      <c r="AE48" s="71">
        <v>1</v>
      </c>
      <c r="AF48" s="71">
        <v>1</v>
      </c>
      <c r="AG48" s="71">
        <v>1</v>
      </c>
      <c r="AH48" s="71">
        <v>1</v>
      </c>
      <c r="AI48" s="71">
        <v>1</v>
      </c>
      <c r="AJ48" s="71">
        <v>1</v>
      </c>
      <c r="AK48" s="71">
        <v>1</v>
      </c>
      <c r="AL48" s="71">
        <v>1</v>
      </c>
      <c r="AM48" s="71">
        <v>1</v>
      </c>
      <c r="AN48" s="71">
        <v>1</v>
      </c>
      <c r="AO48" s="71">
        <v>1</v>
      </c>
      <c r="AP48" s="71">
        <v>1</v>
      </c>
      <c r="AQ48" s="71">
        <v>1</v>
      </c>
      <c r="AR48" s="71">
        <v>1</v>
      </c>
      <c r="AS48" s="71">
        <v>1</v>
      </c>
      <c r="AT48" s="71">
        <v>1</v>
      </c>
      <c r="AU48" s="71">
        <v>1</v>
      </c>
      <c r="AV48" s="71">
        <v>1</v>
      </c>
      <c r="AW48" s="71">
        <v>1</v>
      </c>
      <c r="AX48" s="71">
        <v>1</v>
      </c>
      <c r="AY48" s="71">
        <v>1</v>
      </c>
      <c r="AZ48" s="71">
        <v>1</v>
      </c>
      <c r="BA48" s="71">
        <v>1</v>
      </c>
      <c r="BB48" s="71">
        <v>1</v>
      </c>
      <c r="BC48" s="71">
        <v>1</v>
      </c>
      <c r="BD48" s="71">
        <v>1</v>
      </c>
      <c r="BE48" s="71">
        <v>1</v>
      </c>
      <c r="BF48" s="71">
        <v>1</v>
      </c>
      <c r="BG48" s="71">
        <v>1</v>
      </c>
      <c r="BH48" s="71">
        <v>1</v>
      </c>
      <c r="BI48" s="71">
        <v>1</v>
      </c>
      <c r="BJ48" s="71">
        <v>1</v>
      </c>
      <c r="BK48" s="71">
        <v>1</v>
      </c>
      <c r="BL48" s="71">
        <v>1</v>
      </c>
      <c r="BM48" s="71">
        <v>1</v>
      </c>
      <c r="BN48" s="71">
        <v>1</v>
      </c>
      <c r="BO48" s="71">
        <v>1</v>
      </c>
      <c r="BP48" s="71">
        <v>1</v>
      </c>
      <c r="BQ48" s="71">
        <v>1</v>
      </c>
      <c r="BR48" s="71">
        <v>1</v>
      </c>
      <c r="BS48" s="71">
        <v>1</v>
      </c>
      <c r="BT48" s="71">
        <v>1</v>
      </c>
      <c r="BU48" s="71">
        <v>1</v>
      </c>
      <c r="BV48" s="71">
        <v>1</v>
      </c>
      <c r="BW48" s="71">
        <v>1</v>
      </c>
      <c r="BX48" s="71">
        <v>1</v>
      </c>
      <c r="BY48" s="71">
        <v>1</v>
      </c>
      <c r="BZ48" s="71">
        <v>1</v>
      </c>
      <c r="CA48" s="71">
        <v>1</v>
      </c>
      <c r="CB48" s="71">
        <v>1</v>
      </c>
      <c r="CC48" s="71">
        <v>1</v>
      </c>
      <c r="CD48" s="71">
        <v>1</v>
      </c>
      <c r="CE48" s="71">
        <v>1</v>
      </c>
      <c r="CF48" s="71">
        <v>1</v>
      </c>
      <c r="CG48" s="71">
        <v>1</v>
      </c>
      <c r="CH48" s="71">
        <v>1</v>
      </c>
      <c r="CI48" s="71">
        <v>1</v>
      </c>
      <c r="CJ48" s="71">
        <v>1</v>
      </c>
      <c r="CK48" s="71">
        <v>1</v>
      </c>
      <c r="CL48" s="71">
        <v>1</v>
      </c>
      <c r="CM48" s="71">
        <v>1</v>
      </c>
      <c r="CN48" s="71">
        <v>1</v>
      </c>
      <c r="CO48" s="71">
        <v>1</v>
      </c>
      <c r="CP48" s="71">
        <v>1</v>
      </c>
    </row>
    <row r="49" spans="2:94" outlineLevel="1" collapsed="1" x14ac:dyDescent="0.4">
      <c r="B49" s="85"/>
      <c r="C49" s="86"/>
      <c r="D49" s="86" t="s">
        <v>92</v>
      </c>
      <c r="E49" s="86"/>
      <c r="F49" s="87">
        <f>'EDT Nueva'!F48</f>
        <v>0.18279351044074912</v>
      </c>
      <c r="H49" s="87">
        <f>SUMPRODUCT(H50:H54,$F$50:$F$54)</f>
        <v>0</v>
      </c>
      <c r="I49" s="87">
        <f t="shared" ref="I49:J49" si="431">SUMPRODUCT(I50:I54,$F$50:$F$54)</f>
        <v>3.0769230769230771E-2</v>
      </c>
      <c r="J49" s="87">
        <f t="shared" si="431"/>
        <v>9.8461538461538461E-2</v>
      </c>
      <c r="K49" s="87">
        <f t="shared" ref="K49:L49" si="432">SUMPRODUCT(K50:K54,$F$50:$F$54)</f>
        <v>0.23513665821358132</v>
      </c>
      <c r="L49" s="87">
        <f t="shared" si="432"/>
        <v>0.34667511975204285</v>
      </c>
      <c r="M49" s="87">
        <f t="shared" ref="M49" si="433">SUMPRODUCT(M50:M54,$F$50:$F$54)</f>
        <v>0.4654663285432516</v>
      </c>
      <c r="N49" s="87">
        <f t="shared" ref="N49:O49" si="434">SUMPRODUCT(N50:N54,$F$50:$F$54)</f>
        <v>0.55689489997182307</v>
      </c>
      <c r="O49" s="87">
        <f t="shared" si="434"/>
        <v>0.58574105381797681</v>
      </c>
      <c r="P49" s="87">
        <f t="shared" ref="P49:Q49" si="435">SUMPRODUCT(P50:P54,$F$50:$F$54)</f>
        <v>0.61969709777402082</v>
      </c>
      <c r="Q49" s="87">
        <f t="shared" si="435"/>
        <v>0.61969709777402082</v>
      </c>
      <c r="R49" s="87">
        <f t="shared" ref="R49:U49" si="436">SUMPRODUCT(R50:R54,$F$50:$F$54)</f>
        <v>0.61969709777402082</v>
      </c>
      <c r="S49" s="87">
        <f t="shared" si="436"/>
        <v>0.61969709777402082</v>
      </c>
      <c r="T49" s="87">
        <f t="shared" si="436"/>
        <v>0.61969709777402082</v>
      </c>
      <c r="U49" s="87">
        <f t="shared" si="436"/>
        <v>0.63018660826353134</v>
      </c>
      <c r="V49" s="87">
        <f t="shared" ref="V49:W49" si="437">SUMPRODUCT(V50:V54,$F$50:$F$54)</f>
        <v>0.6590327621096852</v>
      </c>
      <c r="W49" s="87">
        <f t="shared" si="437"/>
        <v>0.69489689797382104</v>
      </c>
      <c r="X49" s="87">
        <f t="shared" ref="X49:Y49" si="438">SUMPRODUCT(X50:X54,$F$50:$F$54)</f>
        <v>0.72986193293885604</v>
      </c>
      <c r="Y49" s="87">
        <f t="shared" si="438"/>
        <v>0.72986193293885604</v>
      </c>
      <c r="Z49" s="87">
        <f t="shared" ref="Z49:AA49" si="439">SUMPRODUCT(Z50:Z54,$F$50:$F$54)</f>
        <v>0.76684418145956612</v>
      </c>
      <c r="AA49" s="87">
        <f t="shared" si="439"/>
        <v>0.81615384615384623</v>
      </c>
      <c r="AB49" s="87">
        <f t="shared" ref="AB49:AC49" si="440">SUMPRODUCT(AB50:AB54,$F$50:$F$54)</f>
        <v>0.81615384615384623</v>
      </c>
      <c r="AC49" s="87">
        <f t="shared" si="440"/>
        <v>0.90028846153846165</v>
      </c>
      <c r="AD49" s="87">
        <f t="shared" ref="AD49:AE49" si="441">SUMPRODUCT(AD50:AD54,$F$50:$F$54)</f>
        <v>0.90429487179487178</v>
      </c>
      <c r="AE49" s="87">
        <f t="shared" si="441"/>
        <v>0.90629807692307707</v>
      </c>
      <c r="AF49" s="87">
        <f t="shared" ref="AF49:AG49" si="442">SUMPRODUCT(AF50:AF54,$F$50:$F$54)</f>
        <v>0.90830128205128213</v>
      </c>
      <c r="AG49" s="87">
        <f t="shared" si="442"/>
        <v>0.91230769230769226</v>
      </c>
      <c r="AH49" s="87">
        <f t="shared" ref="AH49:AI49" si="443">SUMPRODUCT(AH50:AH54,$F$50:$F$54)</f>
        <v>0.91230769230769226</v>
      </c>
      <c r="AI49" s="87">
        <f t="shared" si="443"/>
        <v>0.91230769230769226</v>
      </c>
      <c r="AJ49" s="87">
        <f t="shared" ref="AJ49:AK49" si="444">SUMPRODUCT(AJ50:AJ54,$F$50:$F$54)</f>
        <v>0.91230769230769226</v>
      </c>
      <c r="AK49" s="87">
        <f t="shared" si="444"/>
        <v>0.91230769230769226</v>
      </c>
      <c r="AL49" s="87">
        <f t="shared" ref="AL49:AM49" si="445">SUMPRODUCT(AL50:AL54,$F$50:$F$54)</f>
        <v>0.91230769230769226</v>
      </c>
      <c r="AM49" s="87">
        <f t="shared" si="445"/>
        <v>0.91230769230769226</v>
      </c>
      <c r="AN49" s="87">
        <f t="shared" ref="AN49" si="446">SUMPRODUCT(AN50:AN54,$F$50:$F$54)</f>
        <v>0.91230769230769226</v>
      </c>
      <c r="AO49" s="87">
        <f t="shared" ref="AO49" si="447">SUMPRODUCT(AO50:AO54,$F$50:$F$54)</f>
        <v>0.91230769230769226</v>
      </c>
      <c r="AP49" s="87">
        <f t="shared" ref="AP49" si="448">SUMPRODUCT(AP50:AP54,$F$50:$F$54)</f>
        <v>0.91230769230769226</v>
      </c>
      <c r="AQ49" s="87">
        <f t="shared" ref="AQ49:AR49" si="449">SUMPRODUCT(AQ50:AQ54,$F$50:$F$54)</f>
        <v>0.91230769230769226</v>
      </c>
      <c r="AR49" s="87">
        <f t="shared" si="449"/>
        <v>0.91230769230769226</v>
      </c>
      <c r="AS49" s="87">
        <f t="shared" ref="AS49" si="450">SUMPRODUCT(AS50:AS54,$F$50:$F$54)</f>
        <v>0.91230769230769226</v>
      </c>
      <c r="AT49" s="87">
        <f t="shared" ref="AT49:BC49" si="451">SUMPRODUCT(AT50:AT54,$F$50:$F$54)</f>
        <v>0.91230769230769226</v>
      </c>
      <c r="AU49" s="87">
        <f t="shared" si="451"/>
        <v>0.91230769230769226</v>
      </c>
      <c r="AV49" s="87">
        <f t="shared" si="451"/>
        <v>0.91230769230769226</v>
      </c>
      <c r="AW49" s="87">
        <f t="shared" si="451"/>
        <v>0.91230769230769226</v>
      </c>
      <c r="AX49" s="87">
        <f t="shared" si="451"/>
        <v>0.91230769230769226</v>
      </c>
      <c r="AY49" s="87">
        <f t="shared" si="451"/>
        <v>0.91230769230769226</v>
      </c>
      <c r="AZ49" s="87">
        <f t="shared" si="451"/>
        <v>0.91230769230769226</v>
      </c>
      <c r="BA49" s="87">
        <f t="shared" si="451"/>
        <v>0.91230769230769226</v>
      </c>
      <c r="BB49" s="87">
        <f t="shared" si="451"/>
        <v>0.91230769230769226</v>
      </c>
      <c r="BC49" s="87">
        <f t="shared" si="451"/>
        <v>0.91230769230769226</v>
      </c>
      <c r="BD49" s="87">
        <f t="shared" ref="BD49:BE49" si="452">SUMPRODUCT(BD50:BD54,$F$50:$F$54)</f>
        <v>0.91230769230769226</v>
      </c>
      <c r="BE49" s="87">
        <f t="shared" si="452"/>
        <v>0.91230769230769226</v>
      </c>
      <c r="BF49" s="87">
        <f t="shared" ref="BF49:BG49" si="453">SUMPRODUCT(BF50:BF54,$F$50:$F$54)</f>
        <v>0.91230769230769226</v>
      </c>
      <c r="BG49" s="87">
        <f t="shared" si="453"/>
        <v>0.91230769230769226</v>
      </c>
      <c r="BH49" s="87">
        <f t="shared" ref="BH49:BI49" si="454">SUMPRODUCT(BH50:BH54,$F$50:$F$54)</f>
        <v>0.91230769230769226</v>
      </c>
      <c r="BI49" s="87">
        <f t="shared" si="454"/>
        <v>0.91230769230769226</v>
      </c>
      <c r="BJ49" s="87">
        <f t="shared" ref="BJ49:BK49" si="455">SUMPRODUCT(BJ50:BJ54,$F$50:$F$54)</f>
        <v>0.91230769230769226</v>
      </c>
      <c r="BK49" s="87">
        <f t="shared" si="455"/>
        <v>0.91230769230769226</v>
      </c>
      <c r="BL49" s="87">
        <f t="shared" ref="BL49:BM49" si="456">SUMPRODUCT(BL50:BL54,$F$50:$F$54)</f>
        <v>0.91230769230769226</v>
      </c>
      <c r="BM49" s="87">
        <f t="shared" si="456"/>
        <v>0.91230769230769226</v>
      </c>
      <c r="BN49" s="87">
        <f t="shared" ref="BN49" si="457">SUMPRODUCT(BN50:BN54,$F$50:$F$54)</f>
        <v>0.91230769230769226</v>
      </c>
      <c r="BO49" s="87">
        <f t="shared" ref="BO49" si="458">SUMPRODUCT(BO50:BO54,$F$50:$F$54)</f>
        <v>0.91461538461538461</v>
      </c>
      <c r="BP49" s="87">
        <f t="shared" ref="BP49" si="459">SUMPRODUCT(BP50:BP54,$F$50:$F$54)</f>
        <v>0.91461538461538461</v>
      </c>
      <c r="BQ49" s="87">
        <f t="shared" ref="BQ49:BR49" si="460">SUMPRODUCT(BQ50:BQ54,$F$50:$F$54)</f>
        <v>0.91230769230769226</v>
      </c>
      <c r="BR49" s="87">
        <f t="shared" si="460"/>
        <v>0.91230769230769226</v>
      </c>
      <c r="BS49" s="87">
        <f t="shared" ref="BS49:BT49" si="461">SUMPRODUCT(BS50:BS54,$F$50:$F$54)</f>
        <v>0.91230769230769226</v>
      </c>
      <c r="BT49" s="87">
        <f t="shared" si="461"/>
        <v>0.91230769230769226</v>
      </c>
      <c r="BU49" s="87">
        <f t="shared" ref="BU49:BV49" si="462">SUMPRODUCT(BU50:BU54,$F$50:$F$54)</f>
        <v>0.91230769230769226</v>
      </c>
      <c r="BV49" s="87">
        <f t="shared" si="462"/>
        <v>0.91230769230769226</v>
      </c>
      <c r="BW49" s="87">
        <f t="shared" ref="BW49:CP49" si="463">SUMPRODUCT(BW50:BW54,$F$50:$F$54)</f>
        <v>0.91230769230769226</v>
      </c>
      <c r="BX49" s="87">
        <f t="shared" si="463"/>
        <v>0.91230769230769226</v>
      </c>
      <c r="BY49" s="87">
        <f t="shared" si="463"/>
        <v>0.91230769230769226</v>
      </c>
      <c r="BZ49" s="87">
        <f t="shared" si="463"/>
        <v>0.91230769230769226</v>
      </c>
      <c r="CA49" s="87">
        <f t="shared" si="463"/>
        <v>0.91230769230769226</v>
      </c>
      <c r="CB49" s="87">
        <f t="shared" si="463"/>
        <v>0.91230769230769226</v>
      </c>
      <c r="CC49" s="87">
        <f t="shared" si="463"/>
        <v>0.91230769230769226</v>
      </c>
      <c r="CD49" s="87">
        <f t="shared" si="463"/>
        <v>0.91230769230769226</v>
      </c>
      <c r="CE49" s="87">
        <f t="shared" si="463"/>
        <v>0.91230769230769226</v>
      </c>
      <c r="CF49" s="87">
        <f t="shared" si="463"/>
        <v>0.91230769230769226</v>
      </c>
      <c r="CG49" s="87">
        <f t="shared" si="463"/>
        <v>0.91230769230769226</v>
      </c>
      <c r="CH49" s="87">
        <f t="shared" si="463"/>
        <v>0.91230769230769226</v>
      </c>
      <c r="CI49" s="87">
        <f t="shared" si="463"/>
        <v>0.91230769230769226</v>
      </c>
      <c r="CJ49" s="87">
        <f t="shared" si="463"/>
        <v>0.91230769230769226</v>
      </c>
      <c r="CK49" s="87">
        <f t="shared" si="463"/>
        <v>0.91230769230769226</v>
      </c>
      <c r="CL49" s="87">
        <f t="shared" si="463"/>
        <v>0.91230769230769226</v>
      </c>
      <c r="CM49" s="87">
        <f t="shared" si="463"/>
        <v>0.91230769230769226</v>
      </c>
      <c r="CN49" s="87">
        <f t="shared" si="463"/>
        <v>0.91230769230769226</v>
      </c>
      <c r="CO49" s="87">
        <f t="shared" si="463"/>
        <v>0.91230769230769226</v>
      </c>
      <c r="CP49" s="87">
        <f t="shared" si="463"/>
        <v>0.91230769230769226</v>
      </c>
    </row>
    <row r="50" spans="2:94" hidden="1" outlineLevel="2" x14ac:dyDescent="0.4">
      <c r="B50" s="69"/>
      <c r="C50" s="70"/>
      <c r="D50" s="70"/>
      <c r="E50" s="70" t="s">
        <v>93</v>
      </c>
      <c r="F50" s="71">
        <f>'EDT Nueva'!F49</f>
        <v>0.23076923076923078</v>
      </c>
      <c r="H50" s="71">
        <v>0</v>
      </c>
      <c r="I50" s="71">
        <v>0</v>
      </c>
      <c r="J50" s="71">
        <v>0</v>
      </c>
      <c r="K50" s="71">
        <v>0</v>
      </c>
      <c r="L50" s="71">
        <v>6.6666666666666666E-2</v>
      </c>
      <c r="M50" s="71">
        <v>9.3333333333333338E-2</v>
      </c>
      <c r="N50" s="71">
        <v>0.44666666666666666</v>
      </c>
      <c r="O50" s="71">
        <v>0.51333333333333331</v>
      </c>
      <c r="P50" s="71">
        <v>0.62</v>
      </c>
      <c r="Q50" s="71">
        <v>0.62</v>
      </c>
      <c r="R50" s="71">
        <v>0.62</v>
      </c>
      <c r="S50" s="71">
        <v>0.62</v>
      </c>
      <c r="T50" s="71">
        <v>0.62</v>
      </c>
      <c r="U50" s="71">
        <v>0.62</v>
      </c>
      <c r="V50" s="71">
        <v>0.62</v>
      </c>
      <c r="W50" s="71">
        <v>0.62</v>
      </c>
      <c r="X50" s="71">
        <v>0.62</v>
      </c>
      <c r="Y50" s="71">
        <v>0.62</v>
      </c>
      <c r="Z50" s="71">
        <v>0.62</v>
      </c>
      <c r="AA50" s="71">
        <v>0.62</v>
      </c>
      <c r="AB50" s="71">
        <v>0.62</v>
      </c>
      <c r="AC50" s="71">
        <v>0.62</v>
      </c>
      <c r="AD50" s="71">
        <v>0.62</v>
      </c>
      <c r="AE50" s="71">
        <v>0.62</v>
      </c>
      <c r="AF50" s="71">
        <v>0.62</v>
      </c>
      <c r="AG50" s="71">
        <v>0.62</v>
      </c>
      <c r="AH50" s="71">
        <v>0.62</v>
      </c>
      <c r="AI50" s="71">
        <v>0.62</v>
      </c>
      <c r="AJ50" s="71">
        <v>0.62</v>
      </c>
      <c r="AK50" s="71">
        <v>0.62</v>
      </c>
      <c r="AL50" s="71">
        <v>0.62</v>
      </c>
      <c r="AM50" s="71">
        <v>0.62</v>
      </c>
      <c r="AN50" s="71">
        <v>0.62</v>
      </c>
      <c r="AO50" s="71">
        <v>0.62</v>
      </c>
      <c r="AP50" s="71">
        <v>0.62</v>
      </c>
      <c r="AQ50" s="71">
        <v>0.62</v>
      </c>
      <c r="AR50" s="71">
        <v>0.62</v>
      </c>
      <c r="AS50" s="71">
        <v>0.62</v>
      </c>
      <c r="AT50" s="71">
        <v>0.62</v>
      </c>
      <c r="AU50" s="71">
        <v>0.62</v>
      </c>
      <c r="AV50" s="71">
        <v>0.62</v>
      </c>
      <c r="AW50" s="71">
        <v>0.62</v>
      </c>
      <c r="AX50" s="71">
        <v>0.62</v>
      </c>
      <c r="AY50" s="71">
        <v>0.62</v>
      </c>
      <c r="AZ50" s="71">
        <v>0.62</v>
      </c>
      <c r="BA50" s="71">
        <v>0.62</v>
      </c>
      <c r="BB50" s="71">
        <v>0.62</v>
      </c>
      <c r="BC50" s="71">
        <v>0.62</v>
      </c>
      <c r="BD50" s="71">
        <v>0.62</v>
      </c>
      <c r="BE50" s="71">
        <v>0.62</v>
      </c>
      <c r="BF50" s="71">
        <v>0.62</v>
      </c>
      <c r="BG50" s="71">
        <v>0.62</v>
      </c>
      <c r="BH50" s="71">
        <v>0.62</v>
      </c>
      <c r="BI50" s="71">
        <v>0.62</v>
      </c>
      <c r="BJ50" s="71">
        <v>0.62</v>
      </c>
      <c r="BK50" s="71">
        <v>0.62</v>
      </c>
      <c r="BL50" s="71">
        <v>0.62</v>
      </c>
      <c r="BM50" s="71">
        <v>0.62</v>
      </c>
      <c r="BN50" s="71">
        <v>0.62</v>
      </c>
      <c r="BO50" s="279">
        <v>0.63</v>
      </c>
      <c r="BP50" s="71">
        <v>0.63</v>
      </c>
      <c r="BQ50" s="71">
        <v>0.62</v>
      </c>
      <c r="BR50" s="71">
        <v>0.62</v>
      </c>
      <c r="BS50" s="71">
        <v>0.62</v>
      </c>
      <c r="BT50" s="71">
        <v>0.62</v>
      </c>
      <c r="BU50" s="71">
        <v>0.62</v>
      </c>
      <c r="BV50" s="71">
        <v>0.62</v>
      </c>
      <c r="BW50" s="71">
        <v>0.62</v>
      </c>
      <c r="BX50" s="71">
        <v>0.62</v>
      </c>
      <c r="BY50" s="71">
        <v>0.62</v>
      </c>
      <c r="BZ50" s="71">
        <v>0.62</v>
      </c>
      <c r="CA50" s="71">
        <v>0.62</v>
      </c>
      <c r="CB50" s="71">
        <v>0.62</v>
      </c>
      <c r="CC50" s="71">
        <v>0.62</v>
      </c>
      <c r="CD50" s="71">
        <v>0.62</v>
      </c>
      <c r="CE50" s="71">
        <v>0.62</v>
      </c>
      <c r="CF50" s="71">
        <v>0.62</v>
      </c>
      <c r="CG50" s="71">
        <v>0.62</v>
      </c>
      <c r="CH50" s="71">
        <v>0.62</v>
      </c>
      <c r="CI50" s="71">
        <v>0.62</v>
      </c>
      <c r="CJ50" s="71">
        <v>0.62</v>
      </c>
      <c r="CK50" s="71">
        <v>0.62</v>
      </c>
      <c r="CL50" s="71">
        <v>0.62</v>
      </c>
      <c r="CM50" s="71">
        <v>0.62</v>
      </c>
      <c r="CN50" s="71">
        <v>0.62</v>
      </c>
      <c r="CO50" s="71">
        <v>0.62</v>
      </c>
      <c r="CP50" s="71">
        <v>0.62</v>
      </c>
    </row>
    <row r="51" spans="2:94" hidden="1" outlineLevel="2" x14ac:dyDescent="0.4">
      <c r="B51" s="69"/>
      <c r="C51" s="70"/>
      <c r="D51" s="70"/>
      <c r="E51" s="70" t="s">
        <v>96</v>
      </c>
      <c r="F51" s="71">
        <f>'EDT Nueva'!F50</f>
        <v>0.38461538461538464</v>
      </c>
      <c r="H51" s="71">
        <v>0</v>
      </c>
      <c r="I51" s="71">
        <v>0.05</v>
      </c>
      <c r="J51" s="71">
        <v>0.16</v>
      </c>
      <c r="K51" s="71">
        <v>0.17857142857142858</v>
      </c>
      <c r="L51" s="71">
        <v>0.4285714285714286</v>
      </c>
      <c r="M51" s="71">
        <v>0.4642857142857143</v>
      </c>
      <c r="N51" s="71">
        <v>0.4642857142857143</v>
      </c>
      <c r="O51" s="71">
        <v>0.48214285714285715</v>
      </c>
      <c r="P51" s="71">
        <v>0.48928571428571432</v>
      </c>
      <c r="Q51" s="71">
        <v>0.48928571428571432</v>
      </c>
      <c r="R51" s="71">
        <v>0.48928571428571432</v>
      </c>
      <c r="S51" s="71">
        <v>0.48928571428571432</v>
      </c>
      <c r="T51" s="71">
        <v>0.48928571428571432</v>
      </c>
      <c r="U51" s="71">
        <v>0.51655844155844155</v>
      </c>
      <c r="V51" s="71">
        <v>0.59155844155844162</v>
      </c>
      <c r="W51" s="71">
        <v>0.65909090909090906</v>
      </c>
      <c r="X51" s="71">
        <v>0.75</v>
      </c>
      <c r="Y51" s="71">
        <v>0.75</v>
      </c>
      <c r="Z51" s="71">
        <v>0.75</v>
      </c>
      <c r="AA51" s="71">
        <v>0.75</v>
      </c>
      <c r="AB51" s="71">
        <v>0.75</v>
      </c>
      <c r="AC51" s="71">
        <v>0.96875</v>
      </c>
      <c r="AD51" s="71">
        <v>0.97916666666666674</v>
      </c>
      <c r="AE51" s="71">
        <v>0.984375</v>
      </c>
      <c r="AF51" s="71">
        <v>0.98958333333333326</v>
      </c>
      <c r="AG51" s="71">
        <v>1</v>
      </c>
      <c r="AH51" s="71">
        <v>1</v>
      </c>
      <c r="AI51" s="71">
        <v>1</v>
      </c>
      <c r="AJ51" s="71">
        <v>1</v>
      </c>
      <c r="AK51" s="71">
        <v>1</v>
      </c>
      <c r="AL51" s="71">
        <v>1</v>
      </c>
      <c r="AM51" s="71">
        <v>1</v>
      </c>
      <c r="AN51" s="71">
        <v>1</v>
      </c>
      <c r="AO51" s="71">
        <v>1</v>
      </c>
      <c r="AP51" s="71">
        <v>1</v>
      </c>
      <c r="AQ51" s="71">
        <v>1</v>
      </c>
      <c r="AR51" s="71">
        <v>1</v>
      </c>
      <c r="AS51" s="71">
        <v>1</v>
      </c>
      <c r="AT51" s="71">
        <v>1</v>
      </c>
      <c r="AU51" s="71">
        <v>1</v>
      </c>
      <c r="AV51" s="71">
        <v>1</v>
      </c>
      <c r="AW51" s="71">
        <v>1</v>
      </c>
      <c r="AX51" s="71">
        <v>1</v>
      </c>
      <c r="AY51" s="71">
        <v>1</v>
      </c>
      <c r="AZ51" s="71">
        <v>1</v>
      </c>
      <c r="BA51" s="71">
        <v>1</v>
      </c>
      <c r="BB51" s="71">
        <v>1</v>
      </c>
      <c r="BC51" s="71">
        <v>1</v>
      </c>
      <c r="BD51" s="71">
        <v>1</v>
      </c>
      <c r="BE51" s="71">
        <v>1</v>
      </c>
      <c r="BF51" s="71">
        <v>1</v>
      </c>
      <c r="BG51" s="71">
        <v>1</v>
      </c>
      <c r="BH51" s="71">
        <v>1</v>
      </c>
      <c r="BI51" s="71">
        <v>1</v>
      </c>
      <c r="BJ51" s="71">
        <v>1</v>
      </c>
      <c r="BK51" s="71">
        <v>1</v>
      </c>
      <c r="BL51" s="71">
        <v>1</v>
      </c>
      <c r="BM51" s="71">
        <v>1</v>
      </c>
      <c r="BN51" s="71">
        <v>1</v>
      </c>
      <c r="BO51" s="71">
        <v>1</v>
      </c>
      <c r="BP51" s="71">
        <v>1</v>
      </c>
      <c r="BQ51" s="71">
        <v>1</v>
      </c>
      <c r="BR51" s="71">
        <v>1</v>
      </c>
      <c r="BS51" s="71">
        <v>1</v>
      </c>
      <c r="BT51" s="71">
        <v>1</v>
      </c>
      <c r="BU51" s="71">
        <v>1</v>
      </c>
      <c r="BV51" s="71">
        <v>1</v>
      </c>
      <c r="BW51" s="71">
        <v>1</v>
      </c>
      <c r="BX51" s="71">
        <v>1</v>
      </c>
      <c r="BY51" s="71">
        <v>1</v>
      </c>
      <c r="BZ51" s="71">
        <v>1</v>
      </c>
      <c r="CA51" s="71">
        <v>1</v>
      </c>
      <c r="CB51" s="71">
        <v>1</v>
      </c>
      <c r="CC51" s="71">
        <v>1</v>
      </c>
      <c r="CD51" s="71">
        <v>1</v>
      </c>
      <c r="CE51" s="71">
        <v>1</v>
      </c>
      <c r="CF51" s="71">
        <v>1</v>
      </c>
      <c r="CG51" s="71">
        <v>1</v>
      </c>
      <c r="CH51" s="71">
        <v>1</v>
      </c>
      <c r="CI51" s="71">
        <v>1</v>
      </c>
      <c r="CJ51" s="71">
        <v>1</v>
      </c>
      <c r="CK51" s="71">
        <v>1</v>
      </c>
      <c r="CL51" s="71">
        <v>1</v>
      </c>
      <c r="CM51" s="71">
        <v>1</v>
      </c>
      <c r="CN51" s="71">
        <v>1</v>
      </c>
      <c r="CO51" s="71">
        <v>1</v>
      </c>
      <c r="CP51" s="71">
        <v>1</v>
      </c>
    </row>
    <row r="52" spans="2:94" hidden="1" outlineLevel="2" x14ac:dyDescent="0.4">
      <c r="B52" s="69"/>
      <c r="C52" s="70"/>
      <c r="D52" s="70"/>
      <c r="E52" s="70" t="s">
        <v>97</v>
      </c>
      <c r="F52" s="71">
        <f>'EDT Nueva'!F51</f>
        <v>7.6923076923076927E-2</v>
      </c>
      <c r="H52" s="71">
        <v>0</v>
      </c>
      <c r="I52" s="71">
        <v>0</v>
      </c>
      <c r="J52" s="71">
        <v>0</v>
      </c>
      <c r="K52" s="71">
        <v>0.41666666666666669</v>
      </c>
      <c r="L52" s="71">
        <v>0.41666666666666669</v>
      </c>
      <c r="M52" s="71">
        <v>0.41666666666666669</v>
      </c>
      <c r="N52" s="71">
        <v>0.41666666666666669</v>
      </c>
      <c r="O52" s="71">
        <v>0.41666666666666669</v>
      </c>
      <c r="P52" s="71">
        <v>0.41666666666666669</v>
      </c>
      <c r="Q52" s="71">
        <v>0.41666666666666669</v>
      </c>
      <c r="R52" s="71">
        <v>0.41666666666666669</v>
      </c>
      <c r="S52" s="71">
        <v>0.41666666666666669</v>
      </c>
      <c r="T52" s="71">
        <v>0.41666666666666669</v>
      </c>
      <c r="U52" s="71">
        <v>0.41666666666666669</v>
      </c>
      <c r="V52" s="71">
        <v>0.41666666666666669</v>
      </c>
      <c r="W52" s="71">
        <v>0.41666666666666669</v>
      </c>
      <c r="X52" s="71">
        <v>0.41666666666666669</v>
      </c>
      <c r="Y52" s="71">
        <v>0.41666666666666669</v>
      </c>
      <c r="Z52" s="71">
        <v>0.66666666666666663</v>
      </c>
      <c r="AA52" s="71">
        <v>1</v>
      </c>
      <c r="AB52" s="71">
        <v>1</v>
      </c>
      <c r="AC52" s="71">
        <v>1</v>
      </c>
      <c r="AD52" s="71">
        <v>1</v>
      </c>
      <c r="AE52" s="71">
        <v>1</v>
      </c>
      <c r="AF52" s="71">
        <v>1</v>
      </c>
      <c r="AG52" s="71">
        <v>1</v>
      </c>
      <c r="AH52" s="71">
        <v>1</v>
      </c>
      <c r="AI52" s="71">
        <v>1</v>
      </c>
      <c r="AJ52" s="71">
        <v>1</v>
      </c>
      <c r="AK52" s="71">
        <v>1</v>
      </c>
      <c r="AL52" s="71">
        <v>1</v>
      </c>
      <c r="AM52" s="71">
        <v>1</v>
      </c>
      <c r="AN52" s="71">
        <v>1</v>
      </c>
      <c r="AO52" s="71">
        <v>1</v>
      </c>
      <c r="AP52" s="71">
        <v>1</v>
      </c>
      <c r="AQ52" s="71">
        <v>1</v>
      </c>
      <c r="AR52" s="71">
        <v>1</v>
      </c>
      <c r="AS52" s="71">
        <v>1</v>
      </c>
      <c r="AT52" s="71">
        <v>1</v>
      </c>
      <c r="AU52" s="71">
        <v>1</v>
      </c>
      <c r="AV52" s="71">
        <v>1</v>
      </c>
      <c r="AW52" s="71">
        <v>1</v>
      </c>
      <c r="AX52" s="71">
        <v>1</v>
      </c>
      <c r="AY52" s="71">
        <v>1</v>
      </c>
      <c r="AZ52" s="71">
        <v>1</v>
      </c>
      <c r="BA52" s="71">
        <v>1</v>
      </c>
      <c r="BB52" s="71">
        <v>1</v>
      </c>
      <c r="BC52" s="71">
        <v>1</v>
      </c>
      <c r="BD52" s="71">
        <v>1</v>
      </c>
      <c r="BE52" s="71">
        <v>1</v>
      </c>
      <c r="BF52" s="71">
        <v>1</v>
      </c>
      <c r="BG52" s="71">
        <v>1</v>
      </c>
      <c r="BH52" s="71">
        <v>1</v>
      </c>
      <c r="BI52" s="71">
        <v>1</v>
      </c>
      <c r="BJ52" s="71">
        <v>1</v>
      </c>
      <c r="BK52" s="71">
        <v>1</v>
      </c>
      <c r="BL52" s="71">
        <v>1</v>
      </c>
      <c r="BM52" s="71">
        <v>1</v>
      </c>
      <c r="BN52" s="71">
        <v>1</v>
      </c>
      <c r="BO52" s="71">
        <v>1</v>
      </c>
      <c r="BP52" s="71">
        <v>1</v>
      </c>
      <c r="BQ52" s="71">
        <v>1</v>
      </c>
      <c r="BR52" s="71">
        <v>1</v>
      </c>
      <c r="BS52" s="71">
        <v>1</v>
      </c>
      <c r="BT52" s="71">
        <v>1</v>
      </c>
      <c r="BU52" s="71">
        <v>1</v>
      </c>
      <c r="BV52" s="71">
        <v>1</v>
      </c>
      <c r="BW52" s="71">
        <v>1</v>
      </c>
      <c r="BX52" s="71">
        <v>1</v>
      </c>
      <c r="BY52" s="71">
        <v>1</v>
      </c>
      <c r="BZ52" s="71">
        <v>1</v>
      </c>
      <c r="CA52" s="71">
        <v>1</v>
      </c>
      <c r="CB52" s="71">
        <v>1</v>
      </c>
      <c r="CC52" s="71">
        <v>1</v>
      </c>
      <c r="CD52" s="71">
        <v>1</v>
      </c>
      <c r="CE52" s="71">
        <v>1</v>
      </c>
      <c r="CF52" s="71">
        <v>1</v>
      </c>
      <c r="CG52" s="71">
        <v>1</v>
      </c>
      <c r="CH52" s="71">
        <v>1</v>
      </c>
      <c r="CI52" s="71">
        <v>1</v>
      </c>
      <c r="CJ52" s="71">
        <v>1</v>
      </c>
      <c r="CK52" s="71">
        <v>1</v>
      </c>
      <c r="CL52" s="71">
        <v>1</v>
      </c>
      <c r="CM52" s="71">
        <v>1</v>
      </c>
      <c r="CN52" s="71">
        <v>1</v>
      </c>
      <c r="CO52" s="71">
        <v>1</v>
      </c>
      <c r="CP52" s="71">
        <v>1</v>
      </c>
    </row>
    <row r="53" spans="2:94" hidden="1" outlineLevel="2" x14ac:dyDescent="0.4">
      <c r="B53" s="69"/>
      <c r="C53" s="70"/>
      <c r="D53" s="70"/>
      <c r="E53" s="70" t="s">
        <v>99</v>
      </c>
      <c r="F53" s="71">
        <f>'EDT Nueva'!F52</f>
        <v>0.23076923076923078</v>
      </c>
      <c r="H53" s="71">
        <v>0</v>
      </c>
      <c r="I53" s="71">
        <v>0.05</v>
      </c>
      <c r="J53" s="71">
        <v>0.16</v>
      </c>
      <c r="K53" s="71">
        <v>0.42857142857142855</v>
      </c>
      <c r="L53" s="71">
        <v>0.42857142857142855</v>
      </c>
      <c r="M53" s="71">
        <v>0.8571428571428571</v>
      </c>
      <c r="N53" s="71">
        <v>0.9</v>
      </c>
      <c r="O53" s="71">
        <v>0.9285714285714286</v>
      </c>
      <c r="P53" s="71">
        <v>0.95714285714285718</v>
      </c>
      <c r="Q53" s="71">
        <v>0.95714285714285718</v>
      </c>
      <c r="R53" s="71">
        <v>0.95714285714285718</v>
      </c>
      <c r="S53" s="71">
        <v>0.95714285714285718</v>
      </c>
      <c r="T53" s="71">
        <v>0.95714285714285718</v>
      </c>
      <c r="U53" s="71">
        <v>0.95714285714285718</v>
      </c>
      <c r="V53" s="71">
        <v>0.95714285714285718</v>
      </c>
      <c r="W53" s="71">
        <v>1</v>
      </c>
      <c r="X53" s="71">
        <v>1</v>
      </c>
      <c r="Y53" s="71">
        <v>1</v>
      </c>
      <c r="Z53" s="71">
        <v>1</v>
      </c>
      <c r="AA53" s="71">
        <v>1</v>
      </c>
      <c r="AB53" s="71">
        <v>1</v>
      </c>
      <c r="AC53" s="71">
        <v>1</v>
      </c>
      <c r="AD53" s="71">
        <v>1</v>
      </c>
      <c r="AE53" s="71">
        <v>1</v>
      </c>
      <c r="AF53" s="71">
        <v>1</v>
      </c>
      <c r="AG53" s="71">
        <v>1</v>
      </c>
      <c r="AH53" s="71">
        <v>1</v>
      </c>
      <c r="AI53" s="71">
        <v>1</v>
      </c>
      <c r="AJ53" s="71">
        <v>1</v>
      </c>
      <c r="AK53" s="71">
        <v>1</v>
      </c>
      <c r="AL53" s="71">
        <v>1</v>
      </c>
      <c r="AM53" s="71">
        <v>1</v>
      </c>
      <c r="AN53" s="71">
        <v>1</v>
      </c>
      <c r="AO53" s="71">
        <v>1</v>
      </c>
      <c r="AP53" s="71">
        <v>1</v>
      </c>
      <c r="AQ53" s="71">
        <v>1</v>
      </c>
      <c r="AR53" s="71">
        <v>1</v>
      </c>
      <c r="AS53" s="71">
        <v>1</v>
      </c>
      <c r="AT53" s="71">
        <v>1</v>
      </c>
      <c r="AU53" s="71">
        <v>1</v>
      </c>
      <c r="AV53" s="71">
        <v>1</v>
      </c>
      <c r="AW53" s="71">
        <v>1</v>
      </c>
      <c r="AX53" s="71">
        <v>1</v>
      </c>
      <c r="AY53" s="71">
        <v>1</v>
      </c>
      <c r="AZ53" s="71">
        <v>1</v>
      </c>
      <c r="BA53" s="71">
        <v>1</v>
      </c>
      <c r="BB53" s="71">
        <v>1</v>
      </c>
      <c r="BC53" s="71">
        <v>1</v>
      </c>
      <c r="BD53" s="71">
        <v>1</v>
      </c>
      <c r="BE53" s="71">
        <v>1</v>
      </c>
      <c r="BF53" s="71">
        <v>1</v>
      </c>
      <c r="BG53" s="71">
        <v>1</v>
      </c>
      <c r="BH53" s="71">
        <v>1</v>
      </c>
      <c r="BI53" s="71">
        <v>1</v>
      </c>
      <c r="BJ53" s="71">
        <v>1</v>
      </c>
      <c r="BK53" s="71">
        <v>1</v>
      </c>
      <c r="BL53" s="71">
        <v>1</v>
      </c>
      <c r="BM53" s="71">
        <v>1</v>
      </c>
      <c r="BN53" s="71">
        <v>1</v>
      </c>
      <c r="BO53" s="71">
        <v>1</v>
      </c>
      <c r="BP53" s="71">
        <v>1</v>
      </c>
      <c r="BQ53" s="71">
        <v>1</v>
      </c>
      <c r="BR53" s="71">
        <v>1</v>
      </c>
      <c r="BS53" s="71">
        <v>1</v>
      </c>
      <c r="BT53" s="71">
        <v>1</v>
      </c>
      <c r="BU53" s="71">
        <v>1</v>
      </c>
      <c r="BV53" s="71">
        <v>1</v>
      </c>
      <c r="BW53" s="71">
        <v>1</v>
      </c>
      <c r="BX53" s="71">
        <v>1</v>
      </c>
      <c r="BY53" s="71">
        <v>1</v>
      </c>
      <c r="BZ53" s="71">
        <v>1</v>
      </c>
      <c r="CA53" s="71">
        <v>1</v>
      </c>
      <c r="CB53" s="71">
        <v>1</v>
      </c>
      <c r="CC53" s="71">
        <v>1</v>
      </c>
      <c r="CD53" s="71">
        <v>1</v>
      </c>
      <c r="CE53" s="71">
        <v>1</v>
      </c>
      <c r="CF53" s="71">
        <v>1</v>
      </c>
      <c r="CG53" s="71">
        <v>1</v>
      </c>
      <c r="CH53" s="71">
        <v>1</v>
      </c>
      <c r="CI53" s="71">
        <v>1</v>
      </c>
      <c r="CJ53" s="71">
        <v>1</v>
      </c>
      <c r="CK53" s="71">
        <v>1</v>
      </c>
      <c r="CL53" s="71">
        <v>1</v>
      </c>
      <c r="CM53" s="71">
        <v>1</v>
      </c>
      <c r="CN53" s="71">
        <v>1</v>
      </c>
      <c r="CO53" s="71">
        <v>1</v>
      </c>
      <c r="CP53" s="71">
        <v>1</v>
      </c>
    </row>
    <row r="54" spans="2:94" hidden="1" outlineLevel="2" x14ac:dyDescent="0.4">
      <c r="B54" s="69"/>
      <c r="C54" s="70"/>
      <c r="D54" s="70"/>
      <c r="E54" s="70" t="s">
        <v>100</v>
      </c>
      <c r="F54" s="71">
        <f>'EDT Nueva'!F53</f>
        <v>7.6923076923076927E-2</v>
      </c>
      <c r="H54" s="71">
        <v>0</v>
      </c>
      <c r="I54" s="71">
        <v>0</v>
      </c>
      <c r="J54" s="71">
        <v>0</v>
      </c>
      <c r="K54" s="71">
        <v>0.46153846153846156</v>
      </c>
      <c r="L54" s="71">
        <v>0.46153846153846156</v>
      </c>
      <c r="M54" s="71">
        <v>0.46153846153846156</v>
      </c>
      <c r="N54" s="71">
        <v>0.46153846153846156</v>
      </c>
      <c r="O54" s="71">
        <v>0.46153846153846156</v>
      </c>
      <c r="P54" s="71">
        <v>0.46153846153846156</v>
      </c>
      <c r="Q54" s="71">
        <v>0.46153846153846156</v>
      </c>
      <c r="R54" s="71">
        <v>0.46153846153846156</v>
      </c>
      <c r="S54" s="71">
        <v>0.46153846153846156</v>
      </c>
      <c r="T54" s="71">
        <v>0.46153846153846156</v>
      </c>
      <c r="U54" s="71">
        <v>0.46153846153846156</v>
      </c>
      <c r="V54" s="71">
        <v>0.46153846153846156</v>
      </c>
      <c r="W54" s="71">
        <v>0.46153846153846156</v>
      </c>
      <c r="X54" s="71">
        <v>0.46153846153846156</v>
      </c>
      <c r="Y54" s="71">
        <v>0.46153846153846156</v>
      </c>
      <c r="Z54" s="71">
        <v>0.69230769230769229</v>
      </c>
      <c r="AA54" s="71">
        <v>1</v>
      </c>
      <c r="AB54" s="71">
        <v>1</v>
      </c>
      <c r="AC54" s="71">
        <v>1</v>
      </c>
      <c r="AD54" s="71">
        <v>1</v>
      </c>
      <c r="AE54" s="71">
        <v>1</v>
      </c>
      <c r="AF54" s="71">
        <v>1</v>
      </c>
      <c r="AG54" s="71">
        <v>1</v>
      </c>
      <c r="AH54" s="71">
        <v>1</v>
      </c>
      <c r="AI54" s="71">
        <v>1</v>
      </c>
      <c r="AJ54" s="71">
        <v>1</v>
      </c>
      <c r="AK54" s="71">
        <v>1</v>
      </c>
      <c r="AL54" s="71">
        <v>1</v>
      </c>
      <c r="AM54" s="71">
        <v>1</v>
      </c>
      <c r="AN54" s="71">
        <v>1</v>
      </c>
      <c r="AO54" s="71">
        <v>1</v>
      </c>
      <c r="AP54" s="71">
        <v>1</v>
      </c>
      <c r="AQ54" s="71">
        <v>1</v>
      </c>
      <c r="AR54" s="71">
        <v>1</v>
      </c>
      <c r="AS54" s="71">
        <v>1</v>
      </c>
      <c r="AT54" s="71">
        <v>1</v>
      </c>
      <c r="AU54" s="71">
        <v>1</v>
      </c>
      <c r="AV54" s="71">
        <v>1</v>
      </c>
      <c r="AW54" s="71">
        <v>1</v>
      </c>
      <c r="AX54" s="71">
        <v>1</v>
      </c>
      <c r="AY54" s="71">
        <v>1</v>
      </c>
      <c r="AZ54" s="71">
        <v>1</v>
      </c>
      <c r="BA54" s="71">
        <v>1</v>
      </c>
      <c r="BB54" s="71">
        <v>1</v>
      </c>
      <c r="BC54" s="71">
        <v>1</v>
      </c>
      <c r="BD54" s="71">
        <v>1</v>
      </c>
      <c r="BE54" s="71">
        <v>1</v>
      </c>
      <c r="BF54" s="71">
        <v>1</v>
      </c>
      <c r="BG54" s="71">
        <v>1</v>
      </c>
      <c r="BH54" s="71">
        <v>1</v>
      </c>
      <c r="BI54" s="71">
        <v>1</v>
      </c>
      <c r="BJ54" s="71">
        <v>1</v>
      </c>
      <c r="BK54" s="71">
        <v>1</v>
      </c>
      <c r="BL54" s="71">
        <v>1</v>
      </c>
      <c r="BM54" s="71">
        <v>1</v>
      </c>
      <c r="BN54" s="71">
        <v>1</v>
      </c>
      <c r="BO54" s="71">
        <v>1</v>
      </c>
      <c r="BP54" s="71">
        <v>1</v>
      </c>
      <c r="BQ54" s="71">
        <v>1</v>
      </c>
      <c r="BR54" s="71">
        <v>1</v>
      </c>
      <c r="BS54" s="71">
        <v>1</v>
      </c>
      <c r="BT54" s="71">
        <v>1</v>
      </c>
      <c r="BU54" s="71">
        <v>1</v>
      </c>
      <c r="BV54" s="71">
        <v>1</v>
      </c>
      <c r="BW54" s="71">
        <v>1</v>
      </c>
      <c r="BX54" s="71">
        <v>1</v>
      </c>
      <c r="BY54" s="71">
        <v>1</v>
      </c>
      <c r="BZ54" s="71">
        <v>1</v>
      </c>
      <c r="CA54" s="71">
        <v>1</v>
      </c>
      <c r="CB54" s="71">
        <v>1</v>
      </c>
      <c r="CC54" s="71">
        <v>1</v>
      </c>
      <c r="CD54" s="71">
        <v>1</v>
      </c>
      <c r="CE54" s="71">
        <v>1</v>
      </c>
      <c r="CF54" s="71">
        <v>1</v>
      </c>
      <c r="CG54" s="71">
        <v>1</v>
      </c>
      <c r="CH54" s="71">
        <v>1</v>
      </c>
      <c r="CI54" s="71">
        <v>1</v>
      </c>
      <c r="CJ54" s="71">
        <v>1</v>
      </c>
      <c r="CK54" s="71">
        <v>1</v>
      </c>
      <c r="CL54" s="71">
        <v>1</v>
      </c>
      <c r="CM54" s="71">
        <v>1</v>
      </c>
      <c r="CN54" s="71">
        <v>1</v>
      </c>
      <c r="CO54" s="71">
        <v>1</v>
      </c>
      <c r="CP54" s="71">
        <v>1</v>
      </c>
    </row>
    <row r="55" spans="2:94" outlineLevel="1" collapsed="1" x14ac:dyDescent="0.4">
      <c r="B55" s="85"/>
      <c r="C55" s="86"/>
      <c r="D55" s="86" t="s">
        <v>102</v>
      </c>
      <c r="E55" s="86"/>
      <c r="F55" s="87">
        <f>'EDT Nueva'!F54</f>
        <v>3.5025603345783182E-2</v>
      </c>
      <c r="H55" s="87">
        <f>SUMPRODUCT(H56:H57,$F$56:$F$57)</f>
        <v>0</v>
      </c>
      <c r="I55" s="87">
        <f t="shared" ref="I55:J55" si="464">SUMPRODUCT(I56:I57,$F$56:$F$57)</f>
        <v>0.04</v>
      </c>
      <c r="J55" s="87">
        <f t="shared" si="464"/>
        <v>0.13</v>
      </c>
      <c r="K55" s="87">
        <f t="shared" ref="K55:L55" si="465">SUMPRODUCT(K56:K57,$F$56:$F$57)</f>
        <v>0.26</v>
      </c>
      <c r="L55" s="87">
        <f t="shared" si="465"/>
        <v>0.42000000000000004</v>
      </c>
      <c r="M55" s="87">
        <f t="shared" ref="M55" si="466">SUMPRODUCT(M56:M57,$F$56:$F$57)</f>
        <v>0.58000000000000007</v>
      </c>
      <c r="N55" s="87">
        <f t="shared" ref="N55:O55" si="467">SUMPRODUCT(N56:N57,$F$56:$F$57)</f>
        <v>0.7400000000000001</v>
      </c>
      <c r="O55" s="87">
        <f t="shared" si="467"/>
        <v>0.87000000000000011</v>
      </c>
      <c r="P55" s="87">
        <f t="shared" ref="P55:Q55" si="468">SUMPRODUCT(P56:P57,$F$56:$F$57)</f>
        <v>0.94</v>
      </c>
      <c r="Q55" s="87">
        <f t="shared" si="468"/>
        <v>0.99</v>
      </c>
      <c r="R55" s="87">
        <f t="shared" ref="R55:U55" si="469">SUMPRODUCT(R56:R57,$F$56:$F$57)</f>
        <v>1</v>
      </c>
      <c r="S55" s="87">
        <f t="shared" si="469"/>
        <v>1</v>
      </c>
      <c r="T55" s="87">
        <f t="shared" si="469"/>
        <v>1</v>
      </c>
      <c r="U55" s="87">
        <f t="shared" si="469"/>
        <v>1</v>
      </c>
      <c r="V55" s="87">
        <f t="shared" ref="V55:W55" si="470">SUMPRODUCT(V56:V57,$F$56:$F$57)</f>
        <v>1</v>
      </c>
      <c r="W55" s="87">
        <f t="shared" si="470"/>
        <v>1</v>
      </c>
      <c r="X55" s="87">
        <f t="shared" ref="X55:Y55" si="471">SUMPRODUCT(X56:X57,$F$56:$F$57)</f>
        <v>1</v>
      </c>
      <c r="Y55" s="87">
        <f t="shared" si="471"/>
        <v>1</v>
      </c>
      <c r="Z55" s="87">
        <f t="shared" ref="Z55:AA55" si="472">SUMPRODUCT(Z56:Z57,$F$56:$F$57)</f>
        <v>1</v>
      </c>
      <c r="AA55" s="87">
        <f t="shared" si="472"/>
        <v>1</v>
      </c>
      <c r="AB55" s="87">
        <f t="shared" ref="AB55:AC55" si="473">SUMPRODUCT(AB56:AB57,$F$56:$F$57)</f>
        <v>1</v>
      </c>
      <c r="AC55" s="87">
        <f t="shared" si="473"/>
        <v>1</v>
      </c>
      <c r="AD55" s="87">
        <f t="shared" ref="AD55:AE55" si="474">SUMPRODUCT(AD56:AD57,$F$56:$F$57)</f>
        <v>1</v>
      </c>
      <c r="AE55" s="87">
        <f t="shared" si="474"/>
        <v>1</v>
      </c>
      <c r="AF55" s="87">
        <f t="shared" ref="AF55:AG55" si="475">SUMPRODUCT(AF56:AF57,$F$56:$F$57)</f>
        <v>1</v>
      </c>
      <c r="AG55" s="87">
        <f t="shared" si="475"/>
        <v>1</v>
      </c>
      <c r="AH55" s="87">
        <f t="shared" ref="AH55:AI55" si="476">SUMPRODUCT(AH56:AH57,$F$56:$F$57)</f>
        <v>1</v>
      </c>
      <c r="AI55" s="87">
        <f t="shared" si="476"/>
        <v>1</v>
      </c>
      <c r="AJ55" s="87">
        <f t="shared" ref="AJ55:AK55" si="477">SUMPRODUCT(AJ56:AJ57,$F$56:$F$57)</f>
        <v>1</v>
      </c>
      <c r="AK55" s="87">
        <f t="shared" si="477"/>
        <v>1</v>
      </c>
      <c r="AL55" s="87">
        <f t="shared" ref="AL55:AM55" si="478">SUMPRODUCT(AL56:AL57,$F$56:$F$57)</f>
        <v>1</v>
      </c>
      <c r="AM55" s="87">
        <f t="shared" si="478"/>
        <v>1</v>
      </c>
      <c r="AN55" s="87">
        <f t="shared" ref="AN55" si="479">SUMPRODUCT(AN56:AN57,$F$56:$F$57)</f>
        <v>1</v>
      </c>
      <c r="AO55" s="87">
        <f t="shared" ref="AO55" si="480">SUMPRODUCT(AO56:AO57,$F$56:$F$57)</f>
        <v>1</v>
      </c>
      <c r="AP55" s="87">
        <f t="shared" ref="AP55" si="481">SUMPRODUCT(AP56:AP57,$F$56:$F$57)</f>
        <v>1</v>
      </c>
      <c r="AQ55" s="87">
        <f t="shared" ref="AQ55:AR55" si="482">SUMPRODUCT(AQ56:AQ57,$F$56:$F$57)</f>
        <v>1</v>
      </c>
      <c r="AR55" s="87">
        <f t="shared" si="482"/>
        <v>1</v>
      </c>
      <c r="AS55" s="87">
        <f t="shared" ref="AS55" si="483">SUMPRODUCT(AS56:AS57,$F$56:$F$57)</f>
        <v>1</v>
      </c>
      <c r="AT55" s="87">
        <f t="shared" ref="AT55:BC55" si="484">SUMPRODUCT(AT56:AT57,$F$56:$F$57)</f>
        <v>1</v>
      </c>
      <c r="AU55" s="87">
        <f t="shared" si="484"/>
        <v>1</v>
      </c>
      <c r="AV55" s="87">
        <f t="shared" si="484"/>
        <v>1</v>
      </c>
      <c r="AW55" s="87">
        <f t="shared" si="484"/>
        <v>1</v>
      </c>
      <c r="AX55" s="87">
        <f t="shared" si="484"/>
        <v>1</v>
      </c>
      <c r="AY55" s="87">
        <f t="shared" si="484"/>
        <v>1</v>
      </c>
      <c r="AZ55" s="87">
        <f t="shared" si="484"/>
        <v>1</v>
      </c>
      <c r="BA55" s="87">
        <f t="shared" si="484"/>
        <v>1</v>
      </c>
      <c r="BB55" s="87">
        <f t="shared" si="484"/>
        <v>1</v>
      </c>
      <c r="BC55" s="87">
        <f t="shared" si="484"/>
        <v>1</v>
      </c>
      <c r="BD55" s="87">
        <f t="shared" ref="BD55:BE55" si="485">SUMPRODUCT(BD56:BD57,$F$56:$F$57)</f>
        <v>1</v>
      </c>
      <c r="BE55" s="87">
        <f t="shared" si="485"/>
        <v>1</v>
      </c>
      <c r="BF55" s="87">
        <f t="shared" ref="BF55:BG55" si="486">SUMPRODUCT(BF56:BF57,$F$56:$F$57)</f>
        <v>1</v>
      </c>
      <c r="BG55" s="87">
        <f t="shared" si="486"/>
        <v>1</v>
      </c>
      <c r="BH55" s="87">
        <f t="shared" ref="BH55:BI55" si="487">SUMPRODUCT(BH56:BH57,$F$56:$F$57)</f>
        <v>1</v>
      </c>
      <c r="BI55" s="87">
        <f t="shared" si="487"/>
        <v>1</v>
      </c>
      <c r="BJ55" s="87">
        <f t="shared" ref="BJ55:BK55" si="488">SUMPRODUCT(BJ56:BJ57,$F$56:$F$57)</f>
        <v>1</v>
      </c>
      <c r="BK55" s="87">
        <f t="shared" si="488"/>
        <v>1</v>
      </c>
      <c r="BL55" s="87">
        <f t="shared" ref="BL55:BM55" si="489">SUMPRODUCT(BL56:BL57,$F$56:$F$57)</f>
        <v>1</v>
      </c>
      <c r="BM55" s="87">
        <f t="shared" si="489"/>
        <v>1</v>
      </c>
      <c r="BN55" s="87">
        <f t="shared" ref="BN55" si="490">SUMPRODUCT(BN56:BN57,$F$56:$F$57)</f>
        <v>1</v>
      </c>
      <c r="BO55" s="87">
        <f t="shared" ref="BO55" si="491">SUMPRODUCT(BO56:BO57,$F$56:$F$57)</f>
        <v>1</v>
      </c>
      <c r="BP55" s="87">
        <f t="shared" ref="BP55" si="492">SUMPRODUCT(BP56:BP57,$F$56:$F$57)</f>
        <v>1</v>
      </c>
      <c r="BQ55" s="87">
        <f t="shared" ref="BQ55:BR55" si="493">SUMPRODUCT(BQ56:BQ57,$F$56:$F$57)</f>
        <v>1</v>
      </c>
      <c r="BR55" s="87">
        <f t="shared" si="493"/>
        <v>1</v>
      </c>
      <c r="BS55" s="87">
        <f t="shared" ref="BS55:BT55" si="494">SUMPRODUCT(BS56:BS57,$F$56:$F$57)</f>
        <v>1</v>
      </c>
      <c r="BT55" s="87">
        <f t="shared" si="494"/>
        <v>1</v>
      </c>
      <c r="BU55" s="87">
        <f t="shared" ref="BU55:BV55" si="495">SUMPRODUCT(BU56:BU57,$F$56:$F$57)</f>
        <v>1</v>
      </c>
      <c r="BV55" s="87">
        <f t="shared" si="495"/>
        <v>1</v>
      </c>
      <c r="BW55" s="87">
        <f t="shared" ref="BW55:CP55" si="496">SUMPRODUCT(BW56:BW57,$F$56:$F$57)</f>
        <v>1</v>
      </c>
      <c r="BX55" s="87">
        <f t="shared" si="496"/>
        <v>1</v>
      </c>
      <c r="BY55" s="87">
        <f t="shared" si="496"/>
        <v>1</v>
      </c>
      <c r="BZ55" s="87">
        <f t="shared" si="496"/>
        <v>1</v>
      </c>
      <c r="CA55" s="87">
        <f t="shared" si="496"/>
        <v>1</v>
      </c>
      <c r="CB55" s="87">
        <f t="shared" si="496"/>
        <v>1</v>
      </c>
      <c r="CC55" s="87">
        <f t="shared" si="496"/>
        <v>1</v>
      </c>
      <c r="CD55" s="87">
        <f t="shared" si="496"/>
        <v>1</v>
      </c>
      <c r="CE55" s="87">
        <f t="shared" si="496"/>
        <v>1</v>
      </c>
      <c r="CF55" s="87">
        <f t="shared" si="496"/>
        <v>1</v>
      </c>
      <c r="CG55" s="87">
        <f t="shared" si="496"/>
        <v>1</v>
      </c>
      <c r="CH55" s="87">
        <f t="shared" si="496"/>
        <v>1</v>
      </c>
      <c r="CI55" s="87">
        <f t="shared" si="496"/>
        <v>1</v>
      </c>
      <c r="CJ55" s="87">
        <f t="shared" si="496"/>
        <v>1</v>
      </c>
      <c r="CK55" s="87">
        <f t="shared" si="496"/>
        <v>1</v>
      </c>
      <c r="CL55" s="87">
        <f t="shared" si="496"/>
        <v>1</v>
      </c>
      <c r="CM55" s="87">
        <f t="shared" si="496"/>
        <v>1</v>
      </c>
      <c r="CN55" s="87">
        <f t="shared" si="496"/>
        <v>1</v>
      </c>
      <c r="CO55" s="87">
        <f t="shared" si="496"/>
        <v>1</v>
      </c>
      <c r="CP55" s="87">
        <f t="shared" si="496"/>
        <v>1</v>
      </c>
    </row>
    <row r="56" spans="2:94" hidden="1" outlineLevel="2" x14ac:dyDescent="0.4">
      <c r="B56" s="69"/>
      <c r="C56" s="70"/>
      <c r="D56" s="70"/>
      <c r="E56" s="70" t="s">
        <v>105</v>
      </c>
      <c r="F56" s="71">
        <f>'EDT Nueva'!F55</f>
        <v>0.25</v>
      </c>
      <c r="H56" s="71">
        <v>0</v>
      </c>
      <c r="I56" s="71">
        <v>0.04</v>
      </c>
      <c r="J56" s="71">
        <v>0.13</v>
      </c>
      <c r="K56" s="71">
        <v>0.26</v>
      </c>
      <c r="L56" s="71">
        <v>0.42000000000000004</v>
      </c>
      <c r="M56" s="71">
        <v>0.58000000000000007</v>
      </c>
      <c r="N56" s="71">
        <v>0.7400000000000001</v>
      </c>
      <c r="O56" s="71">
        <v>0.87000000000000011</v>
      </c>
      <c r="P56" s="71">
        <v>0.94</v>
      </c>
      <c r="Q56" s="71">
        <v>0.99</v>
      </c>
      <c r="R56" s="71">
        <v>1</v>
      </c>
      <c r="S56" s="71">
        <v>1</v>
      </c>
      <c r="T56" s="71">
        <v>1</v>
      </c>
      <c r="U56" s="71">
        <v>1</v>
      </c>
      <c r="V56" s="71">
        <v>1</v>
      </c>
      <c r="W56" s="71">
        <v>1</v>
      </c>
      <c r="X56" s="71">
        <v>1</v>
      </c>
      <c r="Y56" s="71">
        <v>1</v>
      </c>
      <c r="Z56" s="71">
        <v>1</v>
      </c>
      <c r="AA56" s="71">
        <v>1</v>
      </c>
      <c r="AB56" s="71">
        <v>1</v>
      </c>
      <c r="AC56" s="71">
        <v>1</v>
      </c>
      <c r="AD56" s="71">
        <v>1</v>
      </c>
      <c r="AE56" s="71">
        <v>1</v>
      </c>
      <c r="AF56" s="71">
        <v>1</v>
      </c>
      <c r="AG56" s="71">
        <v>1</v>
      </c>
      <c r="AH56" s="71">
        <v>1</v>
      </c>
      <c r="AI56" s="71">
        <v>1</v>
      </c>
      <c r="AJ56" s="71">
        <v>1</v>
      </c>
      <c r="AK56" s="71">
        <v>1</v>
      </c>
      <c r="AL56" s="71">
        <v>1</v>
      </c>
      <c r="AM56" s="71">
        <v>1</v>
      </c>
      <c r="AN56" s="71">
        <v>1</v>
      </c>
      <c r="AO56" s="71">
        <v>1</v>
      </c>
      <c r="AP56" s="71">
        <v>1</v>
      </c>
      <c r="AQ56" s="71">
        <v>1</v>
      </c>
      <c r="AR56" s="71">
        <v>1</v>
      </c>
      <c r="AS56" s="71">
        <v>1</v>
      </c>
      <c r="AT56" s="71">
        <v>1</v>
      </c>
      <c r="AU56" s="71">
        <v>1</v>
      </c>
      <c r="AV56" s="71">
        <v>1</v>
      </c>
      <c r="AW56" s="71">
        <v>1</v>
      </c>
      <c r="AX56" s="71">
        <v>1</v>
      </c>
      <c r="AY56" s="71">
        <v>1</v>
      </c>
      <c r="AZ56" s="71">
        <v>1</v>
      </c>
      <c r="BA56" s="71">
        <v>1</v>
      </c>
      <c r="BB56" s="71">
        <v>1</v>
      </c>
      <c r="BC56" s="71">
        <v>1</v>
      </c>
      <c r="BD56" s="71">
        <v>1</v>
      </c>
      <c r="BE56" s="71">
        <v>1</v>
      </c>
      <c r="BF56" s="71">
        <v>1</v>
      </c>
      <c r="BG56" s="71">
        <v>1</v>
      </c>
      <c r="BH56" s="71">
        <v>1</v>
      </c>
      <c r="BI56" s="71">
        <v>1</v>
      </c>
      <c r="BJ56" s="71">
        <v>1</v>
      </c>
      <c r="BK56" s="71">
        <v>1</v>
      </c>
      <c r="BL56" s="71">
        <v>1</v>
      </c>
      <c r="BM56" s="71">
        <v>1</v>
      </c>
      <c r="BN56" s="71">
        <v>1</v>
      </c>
      <c r="BO56" s="71">
        <v>1</v>
      </c>
      <c r="BP56" s="71">
        <v>1</v>
      </c>
      <c r="BQ56" s="71">
        <v>1</v>
      </c>
      <c r="BR56" s="71">
        <v>1</v>
      </c>
      <c r="BS56" s="71">
        <v>1</v>
      </c>
      <c r="BT56" s="71">
        <v>1</v>
      </c>
      <c r="BU56" s="71">
        <v>1</v>
      </c>
      <c r="BV56" s="71">
        <v>1</v>
      </c>
      <c r="BW56" s="71">
        <v>1</v>
      </c>
      <c r="BX56" s="71">
        <v>1</v>
      </c>
      <c r="BY56" s="71">
        <v>1</v>
      </c>
      <c r="BZ56" s="71">
        <v>1</v>
      </c>
      <c r="CA56" s="71">
        <v>1</v>
      </c>
      <c r="CB56" s="71">
        <v>1</v>
      </c>
      <c r="CC56" s="71">
        <v>1</v>
      </c>
      <c r="CD56" s="71">
        <v>1</v>
      </c>
      <c r="CE56" s="71">
        <v>1</v>
      </c>
      <c r="CF56" s="71">
        <v>1</v>
      </c>
      <c r="CG56" s="71">
        <v>1</v>
      </c>
      <c r="CH56" s="71">
        <v>1</v>
      </c>
      <c r="CI56" s="71">
        <v>1</v>
      </c>
      <c r="CJ56" s="71">
        <v>1</v>
      </c>
      <c r="CK56" s="71">
        <v>1</v>
      </c>
      <c r="CL56" s="71">
        <v>1</v>
      </c>
      <c r="CM56" s="71">
        <v>1</v>
      </c>
      <c r="CN56" s="71">
        <v>1</v>
      </c>
      <c r="CO56" s="71">
        <v>1</v>
      </c>
      <c r="CP56" s="71">
        <v>1</v>
      </c>
    </row>
    <row r="57" spans="2:94" hidden="1" outlineLevel="2" x14ac:dyDescent="0.4">
      <c r="B57" s="69"/>
      <c r="C57" s="70"/>
      <c r="D57" s="70"/>
      <c r="E57" s="70" t="s">
        <v>106</v>
      </c>
      <c r="F57" s="71">
        <f>'EDT Nueva'!F56</f>
        <v>0.75</v>
      </c>
      <c r="H57" s="71">
        <v>0</v>
      </c>
      <c r="I57" s="71">
        <v>0.04</v>
      </c>
      <c r="J57" s="71">
        <v>0.13</v>
      </c>
      <c r="K57" s="71">
        <v>0.26</v>
      </c>
      <c r="L57" s="71">
        <v>0.42000000000000004</v>
      </c>
      <c r="M57" s="71">
        <v>0.58000000000000007</v>
      </c>
      <c r="N57" s="71">
        <v>0.7400000000000001</v>
      </c>
      <c r="O57" s="71">
        <v>0.87000000000000011</v>
      </c>
      <c r="P57" s="71">
        <v>0.94</v>
      </c>
      <c r="Q57" s="71">
        <v>0.99</v>
      </c>
      <c r="R57" s="71">
        <v>1</v>
      </c>
      <c r="S57" s="71">
        <v>1</v>
      </c>
      <c r="T57" s="71">
        <v>1</v>
      </c>
      <c r="U57" s="71">
        <v>1</v>
      </c>
      <c r="V57" s="71">
        <v>1</v>
      </c>
      <c r="W57" s="71">
        <v>1</v>
      </c>
      <c r="X57" s="71">
        <v>1</v>
      </c>
      <c r="Y57" s="71">
        <v>1</v>
      </c>
      <c r="Z57" s="71">
        <v>1</v>
      </c>
      <c r="AA57" s="71">
        <v>1</v>
      </c>
      <c r="AB57" s="71">
        <v>1</v>
      </c>
      <c r="AC57" s="71">
        <v>1</v>
      </c>
      <c r="AD57" s="71">
        <v>1</v>
      </c>
      <c r="AE57" s="71">
        <v>1</v>
      </c>
      <c r="AF57" s="71">
        <v>1</v>
      </c>
      <c r="AG57" s="71">
        <v>1</v>
      </c>
      <c r="AH57" s="71">
        <v>1</v>
      </c>
      <c r="AI57" s="71">
        <v>1</v>
      </c>
      <c r="AJ57" s="71">
        <v>1</v>
      </c>
      <c r="AK57" s="71">
        <v>1</v>
      </c>
      <c r="AL57" s="71">
        <v>1</v>
      </c>
      <c r="AM57" s="71">
        <v>1</v>
      </c>
      <c r="AN57" s="71">
        <v>1</v>
      </c>
      <c r="AO57" s="71">
        <v>1</v>
      </c>
      <c r="AP57" s="71">
        <v>1</v>
      </c>
      <c r="AQ57" s="71">
        <v>1</v>
      </c>
      <c r="AR57" s="71">
        <v>1</v>
      </c>
      <c r="AS57" s="71">
        <v>1</v>
      </c>
      <c r="AT57" s="71">
        <v>1</v>
      </c>
      <c r="AU57" s="71">
        <v>1</v>
      </c>
      <c r="AV57" s="71">
        <v>1</v>
      </c>
      <c r="AW57" s="71">
        <v>1</v>
      </c>
      <c r="AX57" s="71">
        <v>1</v>
      </c>
      <c r="AY57" s="71">
        <v>1</v>
      </c>
      <c r="AZ57" s="71">
        <v>1</v>
      </c>
      <c r="BA57" s="71">
        <v>1</v>
      </c>
      <c r="BB57" s="71">
        <v>1</v>
      </c>
      <c r="BC57" s="71">
        <v>1</v>
      </c>
      <c r="BD57" s="71">
        <v>1</v>
      </c>
      <c r="BE57" s="71">
        <v>1</v>
      </c>
      <c r="BF57" s="71">
        <v>1</v>
      </c>
      <c r="BG57" s="71">
        <v>1</v>
      </c>
      <c r="BH57" s="71">
        <v>1</v>
      </c>
      <c r="BI57" s="71">
        <v>1</v>
      </c>
      <c r="BJ57" s="71">
        <v>1</v>
      </c>
      <c r="BK57" s="71">
        <v>1</v>
      </c>
      <c r="BL57" s="71">
        <v>1</v>
      </c>
      <c r="BM57" s="71">
        <v>1</v>
      </c>
      <c r="BN57" s="71">
        <v>1</v>
      </c>
      <c r="BO57" s="71">
        <v>1</v>
      </c>
      <c r="BP57" s="71">
        <v>1</v>
      </c>
      <c r="BQ57" s="71">
        <v>1</v>
      </c>
      <c r="BR57" s="71">
        <v>1</v>
      </c>
      <c r="BS57" s="71">
        <v>1</v>
      </c>
      <c r="BT57" s="71">
        <v>1</v>
      </c>
      <c r="BU57" s="71">
        <v>1</v>
      </c>
      <c r="BV57" s="71">
        <v>1</v>
      </c>
      <c r="BW57" s="71">
        <v>1</v>
      </c>
      <c r="BX57" s="71">
        <v>1</v>
      </c>
      <c r="BY57" s="71">
        <v>1</v>
      </c>
      <c r="BZ57" s="71">
        <v>1</v>
      </c>
      <c r="CA57" s="71">
        <v>1</v>
      </c>
      <c r="CB57" s="71">
        <v>1</v>
      </c>
      <c r="CC57" s="71">
        <v>1</v>
      </c>
      <c r="CD57" s="71">
        <v>1</v>
      </c>
      <c r="CE57" s="71">
        <v>1</v>
      </c>
      <c r="CF57" s="71">
        <v>1</v>
      </c>
      <c r="CG57" s="71">
        <v>1</v>
      </c>
      <c r="CH57" s="71">
        <v>1</v>
      </c>
      <c r="CI57" s="71">
        <v>1</v>
      </c>
      <c r="CJ57" s="71">
        <v>1</v>
      </c>
      <c r="CK57" s="71">
        <v>1</v>
      </c>
      <c r="CL57" s="71">
        <v>1</v>
      </c>
      <c r="CM57" s="71">
        <v>1</v>
      </c>
      <c r="CN57" s="71">
        <v>1</v>
      </c>
      <c r="CO57" s="71">
        <v>1</v>
      </c>
      <c r="CP57" s="71">
        <v>1</v>
      </c>
    </row>
    <row r="58" spans="2:94" outlineLevel="1" collapsed="1" x14ac:dyDescent="0.4">
      <c r="B58" s="85"/>
      <c r="C58" s="86"/>
      <c r="D58" s="86" t="s">
        <v>107</v>
      </c>
      <c r="E58" s="86"/>
      <c r="F58" s="87">
        <f>'EDT Nueva'!F57</f>
        <v>5.0592538166131268E-2</v>
      </c>
      <c r="H58" s="87">
        <f>H59*$F$59</f>
        <v>0</v>
      </c>
      <c r="I58" s="87">
        <f t="shared" ref="I58:BZ58" si="497">I59*$F$59</f>
        <v>0</v>
      </c>
      <c r="J58" s="87">
        <f t="shared" si="497"/>
        <v>0</v>
      </c>
      <c r="K58" s="87">
        <f t="shared" si="497"/>
        <v>0</v>
      </c>
      <c r="L58" s="87">
        <f t="shared" si="497"/>
        <v>0</v>
      </c>
      <c r="M58" s="87">
        <f t="shared" si="497"/>
        <v>0</v>
      </c>
      <c r="N58" s="87">
        <f t="shared" si="497"/>
        <v>0</v>
      </c>
      <c r="O58" s="87">
        <f t="shared" si="497"/>
        <v>0</v>
      </c>
      <c r="P58" s="87">
        <f t="shared" si="497"/>
        <v>0</v>
      </c>
      <c r="Q58" s="87">
        <f t="shared" si="497"/>
        <v>0</v>
      </c>
      <c r="R58" s="87">
        <f t="shared" si="497"/>
        <v>0</v>
      </c>
      <c r="S58" s="87">
        <f t="shared" si="497"/>
        <v>0</v>
      </c>
      <c r="T58" s="87">
        <f t="shared" si="497"/>
        <v>0</v>
      </c>
      <c r="U58" s="87">
        <f t="shared" si="497"/>
        <v>0</v>
      </c>
      <c r="V58" s="87">
        <f t="shared" si="497"/>
        <v>0</v>
      </c>
      <c r="W58" s="87">
        <f t="shared" si="497"/>
        <v>0</v>
      </c>
      <c r="X58" s="87">
        <f t="shared" si="497"/>
        <v>0</v>
      </c>
      <c r="Y58" s="87">
        <f t="shared" si="497"/>
        <v>0</v>
      </c>
      <c r="Z58" s="87">
        <f t="shared" si="497"/>
        <v>0</v>
      </c>
      <c r="AA58" s="87">
        <f t="shared" si="497"/>
        <v>0</v>
      </c>
      <c r="AB58" s="87">
        <f t="shared" si="497"/>
        <v>0</v>
      </c>
      <c r="AC58" s="87">
        <f t="shared" si="497"/>
        <v>0</v>
      </c>
      <c r="AD58" s="87">
        <f t="shared" si="497"/>
        <v>0</v>
      </c>
      <c r="AE58" s="87">
        <f t="shared" si="497"/>
        <v>0</v>
      </c>
      <c r="AF58" s="87">
        <f t="shared" si="497"/>
        <v>0</v>
      </c>
      <c r="AG58" s="87">
        <f t="shared" si="497"/>
        <v>0</v>
      </c>
      <c r="AH58" s="87">
        <f t="shared" si="497"/>
        <v>0</v>
      </c>
      <c r="AI58" s="87">
        <f t="shared" si="497"/>
        <v>0</v>
      </c>
      <c r="AJ58" s="87">
        <f t="shared" si="497"/>
        <v>0</v>
      </c>
      <c r="AK58" s="87">
        <f t="shared" si="497"/>
        <v>0</v>
      </c>
      <c r="AL58" s="87">
        <f t="shared" si="497"/>
        <v>0</v>
      </c>
      <c r="AM58" s="87">
        <f t="shared" si="497"/>
        <v>0</v>
      </c>
      <c r="AN58" s="87">
        <f t="shared" si="497"/>
        <v>0</v>
      </c>
      <c r="AO58" s="87">
        <f t="shared" si="497"/>
        <v>0</v>
      </c>
      <c r="AP58" s="87">
        <f t="shared" si="497"/>
        <v>0</v>
      </c>
      <c r="AQ58" s="87">
        <f t="shared" si="497"/>
        <v>0</v>
      </c>
      <c r="AR58" s="87">
        <f t="shared" si="497"/>
        <v>0</v>
      </c>
      <c r="AS58" s="87">
        <f t="shared" si="497"/>
        <v>0</v>
      </c>
      <c r="AT58" s="87">
        <f t="shared" si="497"/>
        <v>0</v>
      </c>
      <c r="AU58" s="87">
        <f t="shared" si="497"/>
        <v>0</v>
      </c>
      <c r="AV58" s="87">
        <f t="shared" si="497"/>
        <v>0</v>
      </c>
      <c r="AW58" s="87">
        <f t="shared" si="497"/>
        <v>0</v>
      </c>
      <c r="AX58" s="87">
        <f t="shared" si="497"/>
        <v>0</v>
      </c>
      <c r="AY58" s="87">
        <f t="shared" si="497"/>
        <v>0</v>
      </c>
      <c r="AZ58" s="87">
        <f t="shared" si="497"/>
        <v>0</v>
      </c>
      <c r="BA58" s="87">
        <f t="shared" si="497"/>
        <v>0</v>
      </c>
      <c r="BB58" s="87">
        <f t="shared" si="497"/>
        <v>0</v>
      </c>
      <c r="BC58" s="87">
        <f t="shared" si="497"/>
        <v>0</v>
      </c>
      <c r="BD58" s="87">
        <f t="shared" si="497"/>
        <v>0</v>
      </c>
      <c r="BE58" s="87">
        <f t="shared" si="497"/>
        <v>0</v>
      </c>
      <c r="BF58" s="87">
        <f t="shared" si="497"/>
        <v>0</v>
      </c>
      <c r="BG58" s="87">
        <f t="shared" si="497"/>
        <v>0</v>
      </c>
      <c r="BH58" s="87">
        <f t="shared" si="497"/>
        <v>0</v>
      </c>
      <c r="BI58" s="87">
        <f t="shared" si="497"/>
        <v>0</v>
      </c>
      <c r="BJ58" s="87">
        <f t="shared" si="497"/>
        <v>0</v>
      </c>
      <c r="BK58" s="87">
        <f t="shared" si="497"/>
        <v>0</v>
      </c>
      <c r="BL58" s="87">
        <f t="shared" si="497"/>
        <v>0</v>
      </c>
      <c r="BM58" s="87">
        <f t="shared" si="497"/>
        <v>0</v>
      </c>
      <c r="BN58" s="87">
        <f t="shared" si="497"/>
        <v>0</v>
      </c>
      <c r="BO58" s="87">
        <f t="shared" si="497"/>
        <v>0</v>
      </c>
      <c r="BP58" s="87">
        <f t="shared" si="497"/>
        <v>0</v>
      </c>
      <c r="BQ58" s="87">
        <f t="shared" si="497"/>
        <v>0</v>
      </c>
      <c r="BR58" s="87">
        <f t="shared" si="497"/>
        <v>0</v>
      </c>
      <c r="BS58" s="87">
        <f t="shared" si="497"/>
        <v>0</v>
      </c>
      <c r="BT58" s="87">
        <f t="shared" si="497"/>
        <v>0</v>
      </c>
      <c r="BU58" s="87">
        <f t="shared" si="497"/>
        <v>0</v>
      </c>
      <c r="BV58" s="87">
        <f t="shared" si="497"/>
        <v>0</v>
      </c>
      <c r="BW58" s="87">
        <f t="shared" si="497"/>
        <v>0</v>
      </c>
      <c r="BX58" s="87">
        <f t="shared" si="497"/>
        <v>0</v>
      </c>
      <c r="BY58" s="87">
        <f t="shared" si="497"/>
        <v>0</v>
      </c>
      <c r="BZ58" s="87">
        <f t="shared" si="497"/>
        <v>0</v>
      </c>
      <c r="CA58" s="87">
        <f t="shared" ref="CA58:CP58" si="498">CA59*$F$59</f>
        <v>0</v>
      </c>
      <c r="CB58" s="87">
        <f t="shared" si="498"/>
        <v>0</v>
      </c>
      <c r="CC58" s="87">
        <f t="shared" si="498"/>
        <v>0</v>
      </c>
      <c r="CD58" s="87">
        <f t="shared" si="498"/>
        <v>0</v>
      </c>
      <c r="CE58" s="87">
        <f t="shared" si="498"/>
        <v>0</v>
      </c>
      <c r="CF58" s="87">
        <f t="shared" si="498"/>
        <v>0</v>
      </c>
      <c r="CG58" s="87">
        <f t="shared" si="498"/>
        <v>0</v>
      </c>
      <c r="CH58" s="87">
        <f t="shared" si="498"/>
        <v>0</v>
      </c>
      <c r="CI58" s="87">
        <f t="shared" si="498"/>
        <v>0</v>
      </c>
      <c r="CJ58" s="87">
        <f t="shared" si="498"/>
        <v>0</v>
      </c>
      <c r="CK58" s="87">
        <f t="shared" si="498"/>
        <v>0</v>
      </c>
      <c r="CL58" s="87">
        <f t="shared" si="498"/>
        <v>0</v>
      </c>
      <c r="CM58" s="87">
        <f t="shared" si="498"/>
        <v>0</v>
      </c>
      <c r="CN58" s="87">
        <f t="shared" si="498"/>
        <v>0</v>
      </c>
      <c r="CO58" s="87">
        <f t="shared" si="498"/>
        <v>0</v>
      </c>
      <c r="CP58" s="87">
        <f t="shared" si="498"/>
        <v>0</v>
      </c>
    </row>
    <row r="59" spans="2:94" hidden="1" outlineLevel="2" x14ac:dyDescent="0.4">
      <c r="B59" s="69"/>
      <c r="C59" s="70"/>
      <c r="D59" s="70"/>
      <c r="E59" s="70" t="s">
        <v>108</v>
      </c>
      <c r="F59" s="71">
        <f>'EDT Nueva'!F58</f>
        <v>1</v>
      </c>
      <c r="H59" s="71">
        <v>0</v>
      </c>
      <c r="I59" s="71">
        <v>0</v>
      </c>
      <c r="J59" s="71">
        <v>0</v>
      </c>
      <c r="K59" s="71">
        <v>0</v>
      </c>
      <c r="L59" s="71">
        <v>0</v>
      </c>
      <c r="M59" s="71">
        <v>0</v>
      </c>
      <c r="N59" s="71">
        <v>0</v>
      </c>
      <c r="O59" s="71">
        <v>0</v>
      </c>
      <c r="P59" s="71">
        <v>0</v>
      </c>
      <c r="Q59" s="71">
        <v>0</v>
      </c>
      <c r="R59" s="71">
        <v>0</v>
      </c>
      <c r="S59" s="71">
        <v>0</v>
      </c>
      <c r="T59" s="71">
        <v>0</v>
      </c>
      <c r="U59" s="71">
        <v>0</v>
      </c>
      <c r="V59" s="71">
        <v>0</v>
      </c>
      <c r="W59" s="71">
        <v>0</v>
      </c>
      <c r="X59" s="71">
        <v>0</v>
      </c>
      <c r="Y59" s="71">
        <v>0</v>
      </c>
      <c r="Z59" s="71">
        <v>0</v>
      </c>
      <c r="AA59" s="71">
        <v>0</v>
      </c>
      <c r="AB59" s="71">
        <v>0</v>
      </c>
      <c r="AC59" s="71">
        <v>0</v>
      </c>
      <c r="AD59" s="71">
        <v>0</v>
      </c>
      <c r="AE59" s="71">
        <v>0</v>
      </c>
      <c r="AF59" s="71">
        <v>0</v>
      </c>
      <c r="AG59" s="71">
        <v>0</v>
      </c>
      <c r="AH59" s="71">
        <v>0</v>
      </c>
      <c r="AI59" s="71">
        <v>0</v>
      </c>
      <c r="AJ59" s="71">
        <v>0</v>
      </c>
      <c r="AK59" s="71">
        <v>0</v>
      </c>
      <c r="AL59" s="71">
        <v>0</v>
      </c>
      <c r="AM59" s="71">
        <v>0</v>
      </c>
      <c r="AN59" s="71">
        <v>0</v>
      </c>
      <c r="AO59" s="71">
        <v>0</v>
      </c>
      <c r="AP59" s="71">
        <v>0</v>
      </c>
      <c r="AQ59" s="71">
        <v>0</v>
      </c>
      <c r="AR59" s="71">
        <v>0</v>
      </c>
      <c r="AS59" s="71">
        <v>0</v>
      </c>
      <c r="AT59" s="71">
        <v>0</v>
      </c>
      <c r="AU59" s="71">
        <v>0</v>
      </c>
      <c r="AV59" s="71">
        <v>0</v>
      </c>
      <c r="AW59" s="71">
        <v>0</v>
      </c>
      <c r="AX59" s="71">
        <v>0</v>
      </c>
      <c r="AY59" s="71">
        <v>0</v>
      </c>
      <c r="AZ59" s="71">
        <v>0</v>
      </c>
      <c r="BA59" s="71">
        <v>0</v>
      </c>
      <c r="BB59" s="71">
        <v>0</v>
      </c>
      <c r="BC59" s="71">
        <v>0</v>
      </c>
      <c r="BD59" s="71">
        <v>0</v>
      </c>
      <c r="BE59" s="71">
        <v>0</v>
      </c>
      <c r="BF59" s="71">
        <v>0</v>
      </c>
      <c r="BG59" s="71">
        <v>0</v>
      </c>
      <c r="BH59" s="71">
        <v>0</v>
      </c>
      <c r="BI59" s="71">
        <v>0</v>
      </c>
      <c r="BJ59" s="71">
        <v>0</v>
      </c>
      <c r="BK59" s="71">
        <v>0</v>
      </c>
      <c r="BL59" s="71">
        <v>0</v>
      </c>
      <c r="BM59" s="71">
        <v>0</v>
      </c>
      <c r="BN59" s="71">
        <v>0</v>
      </c>
      <c r="BO59" s="71">
        <v>0</v>
      </c>
      <c r="BP59" s="71">
        <v>0</v>
      </c>
      <c r="BQ59" s="71">
        <v>0</v>
      </c>
      <c r="BR59" s="71">
        <v>0</v>
      </c>
      <c r="BS59" s="71">
        <v>0</v>
      </c>
      <c r="BT59" s="71">
        <v>0</v>
      </c>
      <c r="BU59" s="71">
        <v>0</v>
      </c>
      <c r="BV59" s="71">
        <v>0</v>
      </c>
      <c r="BW59" s="71">
        <v>0</v>
      </c>
      <c r="BX59" s="71">
        <v>0</v>
      </c>
      <c r="BY59" s="71">
        <v>0</v>
      </c>
      <c r="BZ59" s="71">
        <v>0</v>
      </c>
      <c r="CA59" s="71">
        <v>0</v>
      </c>
      <c r="CB59" s="71">
        <v>0</v>
      </c>
      <c r="CC59" s="71">
        <v>0</v>
      </c>
      <c r="CD59" s="71">
        <v>0</v>
      </c>
      <c r="CE59" s="71">
        <v>0</v>
      </c>
      <c r="CF59" s="71">
        <v>0</v>
      </c>
      <c r="CG59" s="71">
        <v>0</v>
      </c>
      <c r="CH59" s="71">
        <v>0</v>
      </c>
      <c r="CI59" s="71">
        <v>0</v>
      </c>
      <c r="CJ59" s="71">
        <v>0</v>
      </c>
      <c r="CK59" s="71">
        <v>0</v>
      </c>
      <c r="CL59" s="71">
        <v>0</v>
      </c>
      <c r="CM59" s="71">
        <v>0</v>
      </c>
      <c r="CN59" s="71">
        <v>0</v>
      </c>
      <c r="CO59" s="71">
        <v>0</v>
      </c>
      <c r="CP59" s="71">
        <v>0</v>
      </c>
    </row>
    <row r="60" spans="2:94" outlineLevel="1" collapsed="1" x14ac:dyDescent="0.4">
      <c r="B60" s="85"/>
      <c r="C60" s="86"/>
      <c r="D60" s="86" t="s">
        <v>109</v>
      </c>
      <c r="E60" s="86"/>
      <c r="F60" s="87">
        <f>'EDT Nueva'!F59</f>
        <v>4.2809070755957225E-2</v>
      </c>
      <c r="H60" s="87">
        <f>SUMPRODUCT(H61:H62,$F$61:$F$62)</f>
        <v>0</v>
      </c>
      <c r="I60" s="87">
        <f t="shared" ref="I60:J60" si="499">SUMPRODUCT(I61:I62,$F$61:$F$62)</f>
        <v>0</v>
      </c>
      <c r="J60" s="87">
        <f t="shared" si="499"/>
        <v>0</v>
      </c>
      <c r="K60" s="87">
        <f t="shared" ref="K60:L60" si="500">SUMPRODUCT(K61:K62,$F$61:$F$62)</f>
        <v>0</v>
      </c>
      <c r="L60" s="87">
        <f t="shared" si="500"/>
        <v>0</v>
      </c>
      <c r="M60" s="87">
        <f t="shared" ref="M60" si="501">SUMPRODUCT(M61:M62,$F$61:$F$62)</f>
        <v>0</v>
      </c>
      <c r="N60" s="87">
        <f t="shared" ref="N60:O60" si="502">SUMPRODUCT(N61:N62,$F$61:$F$62)</f>
        <v>0</v>
      </c>
      <c r="O60" s="87">
        <f t="shared" si="502"/>
        <v>0</v>
      </c>
      <c r="P60" s="87">
        <f t="shared" ref="P60:Q60" si="503">SUMPRODUCT(P61:P62,$F$61:$F$62)</f>
        <v>0</v>
      </c>
      <c r="Q60" s="87">
        <f t="shared" si="503"/>
        <v>0</v>
      </c>
      <c r="R60" s="87">
        <f t="shared" ref="R60:U60" si="504">SUMPRODUCT(R61:R62,$F$61:$F$62)</f>
        <v>0</v>
      </c>
      <c r="S60" s="87">
        <f t="shared" si="504"/>
        <v>0</v>
      </c>
      <c r="T60" s="87">
        <f t="shared" si="504"/>
        <v>0</v>
      </c>
      <c r="U60" s="87">
        <f t="shared" si="504"/>
        <v>0</v>
      </c>
      <c r="V60" s="87">
        <f t="shared" ref="V60:W60" si="505">SUMPRODUCT(V61:V62,$F$61:$F$62)</f>
        <v>0</v>
      </c>
      <c r="W60" s="87">
        <f t="shared" si="505"/>
        <v>0</v>
      </c>
      <c r="X60" s="87">
        <f t="shared" ref="X60:Y60" si="506">SUMPRODUCT(X61:X62,$F$61:$F$62)</f>
        <v>0</v>
      </c>
      <c r="Y60" s="87">
        <f t="shared" si="506"/>
        <v>0</v>
      </c>
      <c r="Z60" s="87">
        <f t="shared" ref="Z60:AA60" si="507">SUMPRODUCT(Z61:Z62,$F$61:$F$62)</f>
        <v>0</v>
      </c>
      <c r="AA60" s="87">
        <f t="shared" si="507"/>
        <v>0</v>
      </c>
      <c r="AB60" s="87">
        <f t="shared" ref="AB60:AC60" si="508">SUMPRODUCT(AB61:AB62,$F$61:$F$62)</f>
        <v>0</v>
      </c>
      <c r="AC60" s="87">
        <f t="shared" si="508"/>
        <v>0</v>
      </c>
      <c r="AD60" s="87">
        <f t="shared" ref="AD60:AE60" si="509">SUMPRODUCT(AD61:AD62,$F$61:$F$62)</f>
        <v>0</v>
      </c>
      <c r="AE60" s="87">
        <f t="shared" si="509"/>
        <v>0</v>
      </c>
      <c r="AF60" s="87">
        <f t="shared" ref="AF60:AG60" si="510">SUMPRODUCT(AF61:AF62,$F$61:$F$62)</f>
        <v>0</v>
      </c>
      <c r="AG60" s="87">
        <f t="shared" si="510"/>
        <v>0</v>
      </c>
      <c r="AH60" s="87">
        <f t="shared" ref="AH60:AI60" si="511">SUMPRODUCT(AH61:AH62,$F$61:$F$62)</f>
        <v>0</v>
      </c>
      <c r="AI60" s="87">
        <f t="shared" si="511"/>
        <v>0</v>
      </c>
      <c r="AJ60" s="87">
        <f t="shared" ref="AJ60:AK60" si="512">SUMPRODUCT(AJ61:AJ62,$F$61:$F$62)</f>
        <v>0</v>
      </c>
      <c r="AK60" s="87">
        <f t="shared" si="512"/>
        <v>0</v>
      </c>
      <c r="AL60" s="87">
        <f t="shared" ref="AL60:AM60" si="513">SUMPRODUCT(AL61:AL62,$F$61:$F$62)</f>
        <v>0.47499999999999998</v>
      </c>
      <c r="AM60" s="87">
        <f t="shared" si="513"/>
        <v>0.47499999999999998</v>
      </c>
      <c r="AN60" s="87">
        <f t="shared" ref="AN60" si="514">SUMPRODUCT(AN61:AN62,$F$61:$F$62)</f>
        <v>0.47499999999999998</v>
      </c>
      <c r="AO60" s="87">
        <f t="shared" ref="AO60" si="515">SUMPRODUCT(AO61:AO62,$F$61:$F$62)</f>
        <v>0.47499999999999998</v>
      </c>
      <c r="AP60" s="87">
        <f t="shared" ref="AP60" si="516">SUMPRODUCT(AP61:AP62,$F$61:$F$62)</f>
        <v>0.47499999999999998</v>
      </c>
      <c r="AQ60" s="87">
        <f t="shared" ref="AQ60:AR60" si="517">SUMPRODUCT(AQ61:AQ62,$F$61:$F$62)</f>
        <v>0.47499999999999998</v>
      </c>
      <c r="AR60" s="87">
        <f t="shared" si="517"/>
        <v>0.47499999999999998</v>
      </c>
      <c r="AS60" s="87">
        <f t="shared" ref="AS60" si="518">SUMPRODUCT(AS61:AS62,$F$61:$F$62)</f>
        <v>0.47499999999999998</v>
      </c>
      <c r="AT60" s="87">
        <f t="shared" ref="AT60:BC60" si="519">SUMPRODUCT(AT61:AT62,$F$61:$F$62)</f>
        <v>0.47499999999999998</v>
      </c>
      <c r="AU60" s="87">
        <f t="shared" si="519"/>
        <v>0.47499999999999998</v>
      </c>
      <c r="AV60" s="87">
        <f t="shared" si="519"/>
        <v>0.47499999999999998</v>
      </c>
      <c r="AW60" s="87">
        <f t="shared" si="519"/>
        <v>0.47499999999999998</v>
      </c>
      <c r="AX60" s="87">
        <f t="shared" si="519"/>
        <v>0.47499999999999998</v>
      </c>
      <c r="AY60" s="87">
        <f t="shared" si="519"/>
        <v>0.47499999999999998</v>
      </c>
      <c r="AZ60" s="87">
        <f t="shared" si="519"/>
        <v>0.47499999999999998</v>
      </c>
      <c r="BA60" s="87">
        <f t="shared" si="519"/>
        <v>0.47499999999999998</v>
      </c>
      <c r="BB60" s="87">
        <f t="shared" si="519"/>
        <v>0.47499999999999998</v>
      </c>
      <c r="BC60" s="87">
        <f t="shared" si="519"/>
        <v>0.47499999999999998</v>
      </c>
      <c r="BD60" s="87">
        <f t="shared" ref="BD60:BE60" si="520">SUMPRODUCT(BD61:BD62,$F$61:$F$62)</f>
        <v>0.47499999999999998</v>
      </c>
      <c r="BE60" s="87">
        <f t="shared" si="520"/>
        <v>0.47499999999999998</v>
      </c>
      <c r="BF60" s="87">
        <f t="shared" ref="BF60:BG60" si="521">SUMPRODUCT(BF61:BF62,$F$61:$F$62)</f>
        <v>0.47499999999999998</v>
      </c>
      <c r="BG60" s="87">
        <f t="shared" si="521"/>
        <v>0.47499999999999998</v>
      </c>
      <c r="BH60" s="87">
        <f t="shared" ref="BH60:BI60" si="522">SUMPRODUCT(BH61:BH62,$F$61:$F$62)</f>
        <v>0.47499999999999998</v>
      </c>
      <c r="BI60" s="87">
        <f t="shared" si="522"/>
        <v>0.47499999999999998</v>
      </c>
      <c r="BJ60" s="87">
        <f t="shared" ref="BJ60:BK60" si="523">SUMPRODUCT(BJ61:BJ62,$F$61:$F$62)</f>
        <v>0.47499999999999998</v>
      </c>
      <c r="BK60" s="87">
        <f t="shared" si="523"/>
        <v>0.47499999999999998</v>
      </c>
      <c r="BL60" s="87">
        <f t="shared" ref="BL60:BM60" si="524">SUMPRODUCT(BL61:BL62,$F$61:$F$62)</f>
        <v>0.47499999999999998</v>
      </c>
      <c r="BM60" s="87">
        <f t="shared" si="524"/>
        <v>0.47499999999999998</v>
      </c>
      <c r="BN60" s="87">
        <f t="shared" ref="BN60" si="525">SUMPRODUCT(BN61:BN62,$F$61:$F$62)</f>
        <v>0.47499999999999998</v>
      </c>
      <c r="BO60" s="87">
        <f t="shared" ref="BO60" si="526">SUMPRODUCT(BO61:BO62,$F$61:$F$62)</f>
        <v>0.47499999999999998</v>
      </c>
      <c r="BP60" s="87">
        <f t="shared" ref="BP60" si="527">SUMPRODUCT(BP61:BP62,$F$61:$F$62)</f>
        <v>0.47499999999999998</v>
      </c>
      <c r="BQ60" s="87">
        <f t="shared" ref="BQ60:BR60" si="528">SUMPRODUCT(BQ61:BQ62,$F$61:$F$62)</f>
        <v>0.47499999999999998</v>
      </c>
      <c r="BR60" s="87">
        <f t="shared" si="528"/>
        <v>0.47499999999999998</v>
      </c>
      <c r="BS60" s="87">
        <f t="shared" ref="BS60:BT60" si="529">SUMPRODUCT(BS61:BS62,$F$61:$F$62)</f>
        <v>0.47499999999999998</v>
      </c>
      <c r="BT60" s="87">
        <f t="shared" si="529"/>
        <v>0.47499999999999998</v>
      </c>
      <c r="BU60" s="87">
        <f t="shared" ref="BU60:BV60" si="530">SUMPRODUCT(BU61:BU62,$F$61:$F$62)</f>
        <v>0.47499999999999998</v>
      </c>
      <c r="BV60" s="87">
        <f t="shared" si="530"/>
        <v>0.47499999999999998</v>
      </c>
      <c r="BW60" s="87">
        <f t="shared" ref="BW60:CP60" si="531">SUMPRODUCT(BW61:BW62,$F$61:$F$62)</f>
        <v>0.47499999999999998</v>
      </c>
      <c r="BX60" s="87">
        <f t="shared" si="531"/>
        <v>0.47499999999999998</v>
      </c>
      <c r="BY60" s="87">
        <f t="shared" si="531"/>
        <v>0.47499999999999998</v>
      </c>
      <c r="BZ60" s="87">
        <f t="shared" si="531"/>
        <v>0.47499999999999998</v>
      </c>
      <c r="CA60" s="87">
        <f t="shared" si="531"/>
        <v>0.47499999999999998</v>
      </c>
      <c r="CB60" s="87">
        <f t="shared" si="531"/>
        <v>0.47499999999999998</v>
      </c>
      <c r="CC60" s="87">
        <f t="shared" si="531"/>
        <v>0.47499999999999998</v>
      </c>
      <c r="CD60" s="87">
        <f t="shared" si="531"/>
        <v>0.47499999999999998</v>
      </c>
      <c r="CE60" s="87">
        <f t="shared" si="531"/>
        <v>0.47499999999999998</v>
      </c>
      <c r="CF60" s="87">
        <f t="shared" si="531"/>
        <v>0.47499999999999998</v>
      </c>
      <c r="CG60" s="87">
        <f t="shared" si="531"/>
        <v>0.47499999999999998</v>
      </c>
      <c r="CH60" s="87">
        <f t="shared" si="531"/>
        <v>0.47499999999999998</v>
      </c>
      <c r="CI60" s="87">
        <f t="shared" si="531"/>
        <v>0.47499999999999998</v>
      </c>
      <c r="CJ60" s="87">
        <f t="shared" si="531"/>
        <v>0.47499999999999998</v>
      </c>
      <c r="CK60" s="87">
        <f t="shared" si="531"/>
        <v>0.47499999999999998</v>
      </c>
      <c r="CL60" s="87">
        <f t="shared" si="531"/>
        <v>0.47499999999999998</v>
      </c>
      <c r="CM60" s="87">
        <f t="shared" si="531"/>
        <v>0.47499999999999998</v>
      </c>
      <c r="CN60" s="87">
        <f t="shared" si="531"/>
        <v>0.47499999999999998</v>
      </c>
      <c r="CO60" s="87">
        <f t="shared" si="531"/>
        <v>0.47499999999999998</v>
      </c>
      <c r="CP60" s="87">
        <f t="shared" si="531"/>
        <v>0.47499999999999998</v>
      </c>
    </row>
    <row r="61" spans="2:94" hidden="1" outlineLevel="2" x14ac:dyDescent="0.4">
      <c r="B61" s="69"/>
      <c r="C61" s="70"/>
      <c r="D61" s="70"/>
      <c r="E61" s="70" t="s">
        <v>110</v>
      </c>
      <c r="F61" s="71">
        <f>'EDT Nueva'!F60</f>
        <v>0.25</v>
      </c>
      <c r="H61" s="71">
        <v>0</v>
      </c>
      <c r="I61" s="71">
        <v>0</v>
      </c>
      <c r="J61" s="71">
        <v>0</v>
      </c>
      <c r="K61" s="71">
        <v>0</v>
      </c>
      <c r="L61" s="71">
        <v>0</v>
      </c>
      <c r="M61" s="71">
        <v>0</v>
      </c>
      <c r="N61" s="71">
        <v>0</v>
      </c>
      <c r="O61" s="71">
        <v>0</v>
      </c>
      <c r="P61" s="71">
        <v>0</v>
      </c>
      <c r="Q61" s="71">
        <v>0</v>
      </c>
      <c r="R61" s="71">
        <v>0</v>
      </c>
      <c r="S61" s="71">
        <v>0</v>
      </c>
      <c r="T61" s="71">
        <v>0</v>
      </c>
      <c r="U61" s="71">
        <v>0</v>
      </c>
      <c r="V61" s="71">
        <v>0</v>
      </c>
      <c r="W61" s="71">
        <v>0</v>
      </c>
      <c r="X61" s="71">
        <v>0</v>
      </c>
      <c r="Y61" s="71">
        <v>0</v>
      </c>
      <c r="Z61" s="71">
        <v>0</v>
      </c>
      <c r="AA61" s="71">
        <v>0</v>
      </c>
      <c r="AB61" s="71">
        <v>0</v>
      </c>
      <c r="AC61" s="71">
        <v>0</v>
      </c>
      <c r="AD61" s="71">
        <v>0</v>
      </c>
      <c r="AE61" s="71">
        <v>0</v>
      </c>
      <c r="AF61" s="71">
        <v>0</v>
      </c>
      <c r="AG61" s="71">
        <v>0</v>
      </c>
      <c r="AH61" s="71">
        <v>0</v>
      </c>
      <c r="AI61" s="71">
        <v>0</v>
      </c>
      <c r="AJ61" s="71">
        <v>0</v>
      </c>
      <c r="AK61" s="71">
        <v>0</v>
      </c>
      <c r="AL61" s="71">
        <v>1</v>
      </c>
      <c r="AM61" s="71">
        <v>1</v>
      </c>
      <c r="AN61" s="71">
        <v>1</v>
      </c>
      <c r="AO61" s="71">
        <v>1</v>
      </c>
      <c r="AP61" s="71">
        <v>1</v>
      </c>
      <c r="AQ61" s="71">
        <v>1</v>
      </c>
      <c r="AR61" s="71">
        <v>1</v>
      </c>
      <c r="AS61" s="71">
        <v>1</v>
      </c>
      <c r="AT61" s="71">
        <v>1</v>
      </c>
      <c r="AU61" s="71">
        <v>1</v>
      </c>
      <c r="AV61" s="71">
        <v>1</v>
      </c>
      <c r="AW61" s="71">
        <v>1</v>
      </c>
      <c r="AX61" s="71">
        <v>1</v>
      </c>
      <c r="AY61" s="71">
        <v>1</v>
      </c>
      <c r="AZ61" s="71">
        <v>1</v>
      </c>
      <c r="BA61" s="71">
        <v>1</v>
      </c>
      <c r="BB61" s="71">
        <v>1</v>
      </c>
      <c r="BC61" s="71">
        <v>1</v>
      </c>
      <c r="BD61" s="71">
        <v>1</v>
      </c>
      <c r="BE61" s="71">
        <v>1</v>
      </c>
      <c r="BF61" s="71">
        <v>1</v>
      </c>
      <c r="BG61" s="71">
        <v>1</v>
      </c>
      <c r="BH61" s="71">
        <v>1</v>
      </c>
      <c r="BI61" s="71">
        <v>1</v>
      </c>
      <c r="BJ61" s="71">
        <v>1</v>
      </c>
      <c r="BK61" s="71">
        <v>1</v>
      </c>
      <c r="BL61" s="71">
        <v>1</v>
      </c>
      <c r="BM61" s="71">
        <v>1</v>
      </c>
      <c r="BN61" s="71">
        <v>1</v>
      </c>
      <c r="BO61" s="71">
        <v>1</v>
      </c>
      <c r="BP61" s="71">
        <v>1</v>
      </c>
      <c r="BQ61" s="71">
        <v>1</v>
      </c>
      <c r="BR61" s="71">
        <v>1</v>
      </c>
      <c r="BS61" s="71">
        <v>1</v>
      </c>
      <c r="BT61" s="71">
        <v>1</v>
      </c>
      <c r="BU61" s="71">
        <v>1</v>
      </c>
      <c r="BV61" s="71">
        <v>1</v>
      </c>
      <c r="BW61" s="71">
        <v>1</v>
      </c>
      <c r="BX61" s="71">
        <v>1</v>
      </c>
      <c r="BY61" s="71">
        <v>1</v>
      </c>
      <c r="BZ61" s="71">
        <v>1</v>
      </c>
      <c r="CA61" s="71">
        <v>1</v>
      </c>
      <c r="CB61" s="71">
        <v>1</v>
      </c>
      <c r="CC61" s="71">
        <v>1</v>
      </c>
      <c r="CD61" s="71">
        <v>1</v>
      </c>
      <c r="CE61" s="71">
        <v>1</v>
      </c>
      <c r="CF61" s="71">
        <v>1</v>
      </c>
      <c r="CG61" s="71">
        <v>1</v>
      </c>
      <c r="CH61" s="71">
        <v>1</v>
      </c>
      <c r="CI61" s="71">
        <v>1</v>
      </c>
      <c r="CJ61" s="71">
        <v>1</v>
      </c>
      <c r="CK61" s="71">
        <v>1</v>
      </c>
      <c r="CL61" s="71">
        <v>1</v>
      </c>
      <c r="CM61" s="71">
        <v>1</v>
      </c>
      <c r="CN61" s="71">
        <v>1</v>
      </c>
      <c r="CO61" s="71">
        <v>1</v>
      </c>
      <c r="CP61" s="71">
        <v>1</v>
      </c>
    </row>
    <row r="62" spans="2:94" hidden="1" outlineLevel="2" x14ac:dyDescent="0.4">
      <c r="B62" s="69"/>
      <c r="C62" s="70"/>
      <c r="D62" s="70"/>
      <c r="E62" s="70" t="s">
        <v>111</v>
      </c>
      <c r="F62" s="71">
        <f>'EDT Nueva'!F61</f>
        <v>0.75</v>
      </c>
      <c r="H62" s="71">
        <v>0</v>
      </c>
      <c r="I62" s="71">
        <v>0</v>
      </c>
      <c r="J62" s="71">
        <v>0</v>
      </c>
      <c r="K62" s="71">
        <v>0</v>
      </c>
      <c r="L62" s="71">
        <v>0</v>
      </c>
      <c r="M62" s="71">
        <v>0</v>
      </c>
      <c r="N62" s="71">
        <v>0</v>
      </c>
      <c r="O62" s="71">
        <v>0</v>
      </c>
      <c r="P62" s="71">
        <v>0</v>
      </c>
      <c r="Q62" s="71">
        <v>0</v>
      </c>
      <c r="R62" s="71">
        <v>0</v>
      </c>
      <c r="S62" s="71">
        <v>0</v>
      </c>
      <c r="T62" s="71">
        <v>0</v>
      </c>
      <c r="U62" s="71">
        <v>0</v>
      </c>
      <c r="V62" s="71">
        <v>0</v>
      </c>
      <c r="W62" s="71">
        <v>0</v>
      </c>
      <c r="X62" s="71">
        <v>0</v>
      </c>
      <c r="Y62" s="71">
        <v>0</v>
      </c>
      <c r="Z62" s="71">
        <v>0</v>
      </c>
      <c r="AA62" s="71">
        <v>0</v>
      </c>
      <c r="AB62" s="71">
        <v>0</v>
      </c>
      <c r="AC62" s="71">
        <v>0</v>
      </c>
      <c r="AD62" s="71">
        <v>0</v>
      </c>
      <c r="AE62" s="71">
        <v>0</v>
      </c>
      <c r="AF62" s="71">
        <v>0</v>
      </c>
      <c r="AG62" s="71">
        <v>0</v>
      </c>
      <c r="AH62" s="71">
        <v>0</v>
      </c>
      <c r="AI62" s="71">
        <v>0</v>
      </c>
      <c r="AJ62" s="71">
        <v>0</v>
      </c>
      <c r="AK62" s="71">
        <v>0</v>
      </c>
      <c r="AL62" s="71">
        <v>0.3</v>
      </c>
      <c r="AM62" s="71">
        <v>0.3</v>
      </c>
      <c r="AN62" s="71">
        <v>0.3</v>
      </c>
      <c r="AO62" s="71">
        <v>0.3</v>
      </c>
      <c r="AP62" s="71">
        <v>0.3</v>
      </c>
      <c r="AQ62" s="71">
        <v>0.3</v>
      </c>
      <c r="AR62" s="71">
        <v>0.3</v>
      </c>
      <c r="AS62" s="71">
        <v>0.3</v>
      </c>
      <c r="AT62" s="71">
        <v>0.3</v>
      </c>
      <c r="AU62" s="71">
        <v>0.3</v>
      </c>
      <c r="AV62" s="71">
        <v>0.3</v>
      </c>
      <c r="AW62" s="71">
        <v>0.3</v>
      </c>
      <c r="AX62" s="71">
        <v>0.3</v>
      </c>
      <c r="AY62" s="71">
        <v>0.3</v>
      </c>
      <c r="AZ62" s="71">
        <v>0.3</v>
      </c>
      <c r="BA62" s="71">
        <v>0.3</v>
      </c>
      <c r="BB62" s="71">
        <v>0.3</v>
      </c>
      <c r="BC62" s="71">
        <v>0.3</v>
      </c>
      <c r="BD62" s="71">
        <v>0.3</v>
      </c>
      <c r="BE62" s="71">
        <v>0.3</v>
      </c>
      <c r="BF62" s="71">
        <v>0.3</v>
      </c>
      <c r="BG62" s="71">
        <v>0.3</v>
      </c>
      <c r="BH62" s="71">
        <v>0.3</v>
      </c>
      <c r="BI62" s="71">
        <v>0.3</v>
      </c>
      <c r="BJ62" s="71">
        <v>0.3</v>
      </c>
      <c r="BK62" s="71">
        <v>0.3</v>
      </c>
      <c r="BL62" s="71">
        <v>0.3</v>
      </c>
      <c r="BM62" s="71">
        <v>0.3</v>
      </c>
      <c r="BN62" s="71">
        <v>0.3</v>
      </c>
      <c r="BO62" s="71">
        <v>0.3</v>
      </c>
      <c r="BP62" s="71">
        <v>0.3</v>
      </c>
      <c r="BQ62" s="71">
        <v>0.3</v>
      </c>
      <c r="BR62" s="71">
        <v>0.3</v>
      </c>
      <c r="BS62" s="71">
        <v>0.3</v>
      </c>
      <c r="BT62" s="71">
        <v>0.3</v>
      </c>
      <c r="BU62" s="71">
        <v>0.3</v>
      </c>
      <c r="BV62" s="71">
        <v>0.3</v>
      </c>
      <c r="BW62" s="71">
        <v>0.3</v>
      </c>
      <c r="BX62" s="71">
        <v>0.3</v>
      </c>
      <c r="BY62" s="71">
        <v>0.3</v>
      </c>
      <c r="BZ62" s="71">
        <v>0.3</v>
      </c>
      <c r="CA62" s="71">
        <v>0.3</v>
      </c>
      <c r="CB62" s="71">
        <v>0.3</v>
      </c>
      <c r="CC62" s="71">
        <v>0.3</v>
      </c>
      <c r="CD62" s="71">
        <v>0.3</v>
      </c>
      <c r="CE62" s="71">
        <v>0.3</v>
      </c>
      <c r="CF62" s="71">
        <v>0.3</v>
      </c>
      <c r="CG62" s="71">
        <v>0.3</v>
      </c>
      <c r="CH62" s="71">
        <v>0.3</v>
      </c>
      <c r="CI62" s="71">
        <v>0.3</v>
      </c>
      <c r="CJ62" s="71">
        <v>0.3</v>
      </c>
      <c r="CK62" s="71">
        <v>0.3</v>
      </c>
      <c r="CL62" s="71">
        <v>0.3</v>
      </c>
      <c r="CM62" s="71">
        <v>0.3</v>
      </c>
      <c r="CN62" s="71">
        <v>0.3</v>
      </c>
      <c r="CO62" s="71">
        <v>0.3</v>
      </c>
      <c r="CP62" s="71">
        <v>0.3</v>
      </c>
    </row>
    <row r="63" spans="2:94" outlineLevel="1" collapsed="1" x14ac:dyDescent="0.4">
      <c r="B63" s="85"/>
      <c r="C63" s="86"/>
      <c r="D63" s="86" t="s">
        <v>112</v>
      </c>
      <c r="E63" s="86"/>
      <c r="F63" s="87">
        <f>'EDT Nueva'!F62</f>
        <v>8.1726407806827425E-2</v>
      </c>
      <c r="H63" s="87">
        <f>SUMPRODUCT(H64:H65,$F$64:$F$65)</f>
        <v>0</v>
      </c>
      <c r="I63" s="87">
        <f t="shared" ref="I63:J63" si="532">SUMPRODUCT(I64:I65,$F$64:$F$65)</f>
        <v>0</v>
      </c>
      <c r="J63" s="87">
        <f t="shared" si="532"/>
        <v>0</v>
      </c>
      <c r="K63" s="87">
        <f t="shared" ref="K63:L63" si="533">SUMPRODUCT(K64:K65,$F$64:$F$65)</f>
        <v>0</v>
      </c>
      <c r="L63" s="87">
        <f t="shared" si="533"/>
        <v>0</v>
      </c>
      <c r="M63" s="87">
        <f t="shared" ref="M63" si="534">SUMPRODUCT(M64:M65,$F$64:$F$65)</f>
        <v>0</v>
      </c>
      <c r="N63" s="87">
        <f t="shared" ref="N63:O63" si="535">SUMPRODUCT(N64:N65,$F$64:$F$65)</f>
        <v>0</v>
      </c>
      <c r="O63" s="87">
        <f t="shared" si="535"/>
        <v>0</v>
      </c>
      <c r="P63" s="87">
        <f t="shared" ref="P63:Q63" si="536">SUMPRODUCT(P64:P65,$F$64:$F$65)</f>
        <v>0</v>
      </c>
      <c r="Q63" s="87">
        <f t="shared" si="536"/>
        <v>0</v>
      </c>
      <c r="R63" s="87">
        <f t="shared" ref="R63:U63" si="537">SUMPRODUCT(R64:R65,$F$64:$F$65)</f>
        <v>0</v>
      </c>
      <c r="S63" s="87">
        <f t="shared" si="537"/>
        <v>0</v>
      </c>
      <c r="T63" s="87">
        <f t="shared" si="537"/>
        <v>0.222</v>
      </c>
      <c r="U63" s="87">
        <f t="shared" si="537"/>
        <v>0.222</v>
      </c>
      <c r="V63" s="87">
        <f t="shared" ref="V63:W63" si="538">SUMPRODUCT(V64:V65,$F$64:$F$65)</f>
        <v>0.222</v>
      </c>
      <c r="W63" s="87">
        <f t="shared" si="538"/>
        <v>0.222</v>
      </c>
      <c r="X63" s="87">
        <f t="shared" ref="X63:Y63" si="539">SUMPRODUCT(X64:X65,$F$64:$F$65)</f>
        <v>0.222</v>
      </c>
      <c r="Y63" s="87">
        <f t="shared" si="539"/>
        <v>0.222</v>
      </c>
      <c r="Z63" s="87">
        <f t="shared" ref="Z63:AA63" si="540">SUMPRODUCT(Z64:Z65,$F$64:$F$65)</f>
        <v>0.222</v>
      </c>
      <c r="AA63" s="87">
        <f t="shared" si="540"/>
        <v>0.222</v>
      </c>
      <c r="AB63" s="87">
        <f t="shared" ref="AB63:AC63" si="541">SUMPRODUCT(AB64:AB65,$F$64:$F$65)</f>
        <v>0.222</v>
      </c>
      <c r="AC63" s="87">
        <f t="shared" si="541"/>
        <v>0.222</v>
      </c>
      <c r="AD63" s="87">
        <f t="shared" ref="AD63:AE63" si="542">SUMPRODUCT(AD64:AD65,$F$64:$F$65)</f>
        <v>0.222</v>
      </c>
      <c r="AE63" s="87">
        <f t="shared" si="542"/>
        <v>0.222</v>
      </c>
      <c r="AF63" s="87">
        <f t="shared" ref="AF63:AG63" si="543">SUMPRODUCT(AF64:AF65,$F$64:$F$65)</f>
        <v>0.222</v>
      </c>
      <c r="AG63" s="87">
        <f t="shared" si="543"/>
        <v>0.222</v>
      </c>
      <c r="AH63" s="87">
        <f t="shared" ref="AH63:AI63" si="544">SUMPRODUCT(AH64:AH65,$F$64:$F$65)</f>
        <v>0.222</v>
      </c>
      <c r="AI63" s="87">
        <f t="shared" si="544"/>
        <v>0.222</v>
      </c>
      <c r="AJ63" s="87">
        <f t="shared" ref="AJ63:AK63" si="545">SUMPRODUCT(AJ64:AJ65,$F$64:$F$65)</f>
        <v>0.222</v>
      </c>
      <c r="AK63" s="87">
        <f t="shared" si="545"/>
        <v>0.222</v>
      </c>
      <c r="AL63" s="87">
        <f t="shared" ref="AL63:AR63" si="546">SUMPRODUCT(AL64:AL65,$F$64:$F$65)</f>
        <v>0.222</v>
      </c>
      <c r="AM63" s="87">
        <f t="shared" si="546"/>
        <v>0.222</v>
      </c>
      <c r="AN63" s="87">
        <f t="shared" si="546"/>
        <v>0.222</v>
      </c>
      <c r="AO63" s="87">
        <f t="shared" si="546"/>
        <v>0.222</v>
      </c>
      <c r="AP63" s="87">
        <f t="shared" si="546"/>
        <v>0.222</v>
      </c>
      <c r="AQ63" s="87">
        <f t="shared" si="546"/>
        <v>0.222</v>
      </c>
      <c r="AR63" s="87">
        <f t="shared" si="546"/>
        <v>0.222</v>
      </c>
      <c r="AS63" s="87">
        <f t="shared" ref="AS63" si="547">SUMPRODUCT(AS64:AS65,$F$64:$F$65)</f>
        <v>0.222</v>
      </c>
      <c r="AT63" s="87">
        <f t="shared" ref="AT63:BC63" si="548">SUMPRODUCT(AT64:AT65,$F$64:$F$65)</f>
        <v>0.222</v>
      </c>
      <c r="AU63" s="87">
        <f t="shared" si="548"/>
        <v>0.222</v>
      </c>
      <c r="AV63" s="87">
        <f t="shared" si="548"/>
        <v>0.222</v>
      </c>
      <c r="AW63" s="87">
        <f t="shared" si="548"/>
        <v>0.222</v>
      </c>
      <c r="AX63" s="87">
        <f t="shared" si="548"/>
        <v>0.222</v>
      </c>
      <c r="AY63" s="87">
        <f t="shared" si="548"/>
        <v>0.222</v>
      </c>
      <c r="AZ63" s="87">
        <f t="shared" si="548"/>
        <v>0.222</v>
      </c>
      <c r="BA63" s="87">
        <f t="shared" si="548"/>
        <v>0.222</v>
      </c>
      <c r="BB63" s="87">
        <f t="shared" si="548"/>
        <v>0.222</v>
      </c>
      <c r="BC63" s="87">
        <f t="shared" si="548"/>
        <v>0.222</v>
      </c>
      <c r="BD63" s="87">
        <f t="shared" ref="BD63:BE63" si="549">SUMPRODUCT(BD64:BD65,$F$64:$F$65)</f>
        <v>0.222</v>
      </c>
      <c r="BE63" s="87">
        <f t="shared" si="549"/>
        <v>0.222</v>
      </c>
      <c r="BF63" s="87">
        <f t="shared" ref="BF63:BG63" si="550">SUMPRODUCT(BF64:BF65,$F$64:$F$65)</f>
        <v>0.222</v>
      </c>
      <c r="BG63" s="87">
        <f t="shared" si="550"/>
        <v>0.222</v>
      </c>
      <c r="BH63" s="87">
        <f t="shared" ref="BH63:BI63" si="551">SUMPRODUCT(BH64:BH65,$F$64:$F$65)</f>
        <v>0.222</v>
      </c>
      <c r="BI63" s="87">
        <f t="shared" si="551"/>
        <v>0.222</v>
      </c>
      <c r="BJ63" s="87">
        <f t="shared" ref="BJ63:BK63" si="552">SUMPRODUCT(BJ64:BJ65,$F$64:$F$65)</f>
        <v>0.222</v>
      </c>
      <c r="BK63" s="87">
        <f t="shared" si="552"/>
        <v>0.222</v>
      </c>
      <c r="BL63" s="87">
        <f t="shared" ref="BL63:BM63" si="553">SUMPRODUCT(BL64:BL65,$F$64:$F$65)</f>
        <v>0.222</v>
      </c>
      <c r="BM63" s="87">
        <f t="shared" si="553"/>
        <v>0.222</v>
      </c>
      <c r="BN63" s="87">
        <f t="shared" ref="BN63" si="554">SUMPRODUCT(BN64:BN65,$F$64:$F$65)</f>
        <v>0.222</v>
      </c>
      <c r="BO63" s="87">
        <f t="shared" ref="BO63" si="555">SUMPRODUCT(BO64:BO65,$F$64:$F$65)</f>
        <v>0.222</v>
      </c>
      <c r="BP63" s="87">
        <f t="shared" ref="BP63" si="556">SUMPRODUCT(BP64:BP65,$F$64:$F$65)</f>
        <v>0.222</v>
      </c>
      <c r="BQ63" s="87">
        <f t="shared" ref="BQ63:BR63" si="557">SUMPRODUCT(BQ64:BQ65,$F$64:$F$65)</f>
        <v>0.222</v>
      </c>
      <c r="BR63" s="87">
        <f t="shared" si="557"/>
        <v>0.222</v>
      </c>
      <c r="BS63" s="87">
        <f t="shared" ref="BS63:BT63" si="558">SUMPRODUCT(BS64:BS65,$F$64:$F$65)</f>
        <v>0.222</v>
      </c>
      <c r="BT63" s="87">
        <f t="shared" si="558"/>
        <v>0.222</v>
      </c>
      <c r="BU63" s="87">
        <f t="shared" ref="BU63:BV63" si="559">SUMPRODUCT(BU64:BU65,$F$64:$F$65)</f>
        <v>0.222</v>
      </c>
      <c r="BV63" s="87">
        <f t="shared" si="559"/>
        <v>0.222</v>
      </c>
      <c r="BW63" s="87">
        <f t="shared" ref="BW63:CP63" si="560">SUMPRODUCT(BW64:BW65,$F$64:$F$65)</f>
        <v>0.222</v>
      </c>
      <c r="BX63" s="87">
        <f t="shared" si="560"/>
        <v>0.222</v>
      </c>
      <c r="BY63" s="87">
        <f t="shared" si="560"/>
        <v>0.222</v>
      </c>
      <c r="BZ63" s="87">
        <f t="shared" si="560"/>
        <v>0.222</v>
      </c>
      <c r="CA63" s="87">
        <f t="shared" si="560"/>
        <v>0.222</v>
      </c>
      <c r="CB63" s="87">
        <f t="shared" si="560"/>
        <v>0.222</v>
      </c>
      <c r="CC63" s="87">
        <f t="shared" si="560"/>
        <v>0.222</v>
      </c>
      <c r="CD63" s="87">
        <f t="shared" si="560"/>
        <v>0.222</v>
      </c>
      <c r="CE63" s="87">
        <f t="shared" si="560"/>
        <v>0.222</v>
      </c>
      <c r="CF63" s="87">
        <f t="shared" si="560"/>
        <v>0.222</v>
      </c>
      <c r="CG63" s="87">
        <f t="shared" si="560"/>
        <v>0.222</v>
      </c>
      <c r="CH63" s="87">
        <f t="shared" si="560"/>
        <v>0.222</v>
      </c>
      <c r="CI63" s="87">
        <f t="shared" si="560"/>
        <v>0.222</v>
      </c>
      <c r="CJ63" s="87">
        <f t="shared" si="560"/>
        <v>0.222</v>
      </c>
      <c r="CK63" s="87">
        <f t="shared" si="560"/>
        <v>0.222</v>
      </c>
      <c r="CL63" s="87">
        <f t="shared" si="560"/>
        <v>0.222</v>
      </c>
      <c r="CM63" s="87">
        <f t="shared" si="560"/>
        <v>0.222</v>
      </c>
      <c r="CN63" s="87">
        <f t="shared" si="560"/>
        <v>0.222</v>
      </c>
      <c r="CO63" s="87">
        <f t="shared" si="560"/>
        <v>0.222</v>
      </c>
      <c r="CP63" s="87">
        <f t="shared" si="560"/>
        <v>0.222</v>
      </c>
    </row>
    <row r="64" spans="2:94" hidden="1" outlineLevel="2" x14ac:dyDescent="0.4">
      <c r="B64" s="69"/>
      <c r="C64" s="70"/>
      <c r="D64" s="70"/>
      <c r="E64" s="70" t="s">
        <v>113</v>
      </c>
      <c r="F64" s="71">
        <f>'EDT Nueva'!F63</f>
        <v>0.222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1</v>
      </c>
      <c r="U64" s="71">
        <v>1</v>
      </c>
      <c r="V64" s="71">
        <v>1</v>
      </c>
      <c r="W64" s="71">
        <v>1</v>
      </c>
      <c r="X64" s="71">
        <v>1</v>
      </c>
      <c r="Y64" s="71">
        <v>1</v>
      </c>
      <c r="Z64" s="71">
        <v>1</v>
      </c>
      <c r="AA64" s="71">
        <v>1</v>
      </c>
      <c r="AB64" s="71">
        <v>1</v>
      </c>
      <c r="AC64" s="71">
        <v>1</v>
      </c>
      <c r="AD64" s="71">
        <v>1</v>
      </c>
      <c r="AE64" s="71">
        <v>1</v>
      </c>
      <c r="AF64" s="71">
        <v>1</v>
      </c>
      <c r="AG64" s="71">
        <v>1</v>
      </c>
      <c r="AH64" s="71">
        <v>1</v>
      </c>
      <c r="AI64" s="71">
        <v>1</v>
      </c>
      <c r="AJ64" s="71">
        <v>1</v>
      </c>
      <c r="AK64" s="71">
        <v>1</v>
      </c>
      <c r="AL64" s="71">
        <v>1</v>
      </c>
      <c r="AM64" s="71">
        <v>1</v>
      </c>
      <c r="AN64" s="71">
        <v>1</v>
      </c>
      <c r="AO64" s="71">
        <v>1</v>
      </c>
      <c r="AP64" s="71">
        <v>1</v>
      </c>
      <c r="AQ64" s="71">
        <v>1</v>
      </c>
      <c r="AR64" s="71">
        <v>1</v>
      </c>
      <c r="AS64" s="71">
        <v>1</v>
      </c>
      <c r="AT64" s="71">
        <v>1</v>
      </c>
      <c r="AU64" s="71">
        <v>1</v>
      </c>
      <c r="AV64" s="71">
        <v>1</v>
      </c>
      <c r="AW64" s="71">
        <v>1</v>
      </c>
      <c r="AX64" s="71">
        <v>1</v>
      </c>
      <c r="AY64" s="71">
        <v>1</v>
      </c>
      <c r="AZ64" s="71">
        <v>1</v>
      </c>
      <c r="BA64" s="71">
        <v>1</v>
      </c>
      <c r="BB64" s="71">
        <v>1</v>
      </c>
      <c r="BC64" s="71">
        <v>1</v>
      </c>
      <c r="BD64" s="71">
        <v>1</v>
      </c>
      <c r="BE64" s="71">
        <v>1</v>
      </c>
      <c r="BF64" s="71">
        <v>1</v>
      </c>
      <c r="BG64" s="71">
        <v>1</v>
      </c>
      <c r="BH64" s="71">
        <v>1</v>
      </c>
      <c r="BI64" s="71">
        <v>1</v>
      </c>
      <c r="BJ64" s="71">
        <v>1</v>
      </c>
      <c r="BK64" s="71">
        <v>1</v>
      </c>
      <c r="BL64" s="71">
        <v>1</v>
      </c>
      <c r="BM64" s="71">
        <v>1</v>
      </c>
      <c r="BN64" s="71">
        <v>1</v>
      </c>
      <c r="BO64" s="71">
        <v>1</v>
      </c>
      <c r="BP64" s="71">
        <v>1</v>
      </c>
      <c r="BQ64" s="71">
        <v>1</v>
      </c>
      <c r="BR64" s="71">
        <v>1</v>
      </c>
      <c r="BS64" s="71">
        <v>1</v>
      </c>
      <c r="BT64" s="71">
        <v>1</v>
      </c>
      <c r="BU64" s="71">
        <v>1</v>
      </c>
      <c r="BV64" s="71">
        <v>1</v>
      </c>
      <c r="BW64" s="71">
        <v>1</v>
      </c>
      <c r="BX64" s="71">
        <v>1</v>
      </c>
      <c r="BY64" s="71">
        <v>1</v>
      </c>
      <c r="BZ64" s="71">
        <v>1</v>
      </c>
      <c r="CA64" s="71">
        <v>1</v>
      </c>
      <c r="CB64" s="71">
        <v>1</v>
      </c>
      <c r="CC64" s="71">
        <v>1</v>
      </c>
      <c r="CD64" s="71">
        <v>1</v>
      </c>
      <c r="CE64" s="71">
        <v>1</v>
      </c>
      <c r="CF64" s="71">
        <v>1</v>
      </c>
      <c r="CG64" s="71">
        <v>1</v>
      </c>
      <c r="CH64" s="71">
        <v>1</v>
      </c>
      <c r="CI64" s="71">
        <v>1</v>
      </c>
      <c r="CJ64" s="71">
        <v>1</v>
      </c>
      <c r="CK64" s="71">
        <v>1</v>
      </c>
      <c r="CL64" s="71">
        <v>1</v>
      </c>
      <c r="CM64" s="71">
        <v>1</v>
      </c>
      <c r="CN64" s="71">
        <v>1</v>
      </c>
      <c r="CO64" s="71">
        <v>1</v>
      </c>
      <c r="CP64" s="71">
        <v>1</v>
      </c>
    </row>
    <row r="65" spans="2:94" hidden="1" outlineLevel="2" x14ac:dyDescent="0.4">
      <c r="B65" s="69"/>
      <c r="C65" s="70"/>
      <c r="D65" s="70"/>
      <c r="E65" s="70" t="s">
        <v>114</v>
      </c>
      <c r="F65" s="71">
        <f>'EDT Nueva'!F64</f>
        <v>0.77800000000000002</v>
      </c>
      <c r="H65" s="71">
        <v>0</v>
      </c>
      <c r="I65" s="71">
        <v>0</v>
      </c>
      <c r="J65" s="71">
        <v>0</v>
      </c>
      <c r="K65" s="71">
        <v>0</v>
      </c>
      <c r="L65" s="71">
        <v>0</v>
      </c>
      <c r="M65" s="71">
        <v>0</v>
      </c>
      <c r="N65" s="71">
        <v>0</v>
      </c>
      <c r="O65" s="71">
        <v>0</v>
      </c>
      <c r="P65" s="71">
        <v>0</v>
      </c>
      <c r="Q65" s="71">
        <v>0</v>
      </c>
      <c r="R65" s="71">
        <v>0</v>
      </c>
      <c r="S65" s="71">
        <v>0</v>
      </c>
      <c r="T65" s="71">
        <v>0</v>
      </c>
      <c r="U65" s="71">
        <v>0</v>
      </c>
      <c r="V65" s="71">
        <v>0</v>
      </c>
      <c r="W65" s="71">
        <v>0</v>
      </c>
      <c r="X65" s="71">
        <v>0</v>
      </c>
      <c r="Y65" s="71">
        <v>0</v>
      </c>
      <c r="Z65" s="71">
        <v>0</v>
      </c>
      <c r="AA65" s="71">
        <v>0</v>
      </c>
      <c r="AB65" s="71">
        <v>0</v>
      </c>
      <c r="AC65" s="71">
        <v>0</v>
      </c>
      <c r="AD65" s="71">
        <v>0</v>
      </c>
      <c r="AE65" s="71">
        <v>0</v>
      </c>
      <c r="AF65" s="71">
        <v>0</v>
      </c>
      <c r="AG65" s="71">
        <v>0</v>
      </c>
      <c r="AH65" s="71">
        <v>0</v>
      </c>
      <c r="AI65" s="71">
        <v>0</v>
      </c>
      <c r="AJ65" s="71">
        <v>0</v>
      </c>
      <c r="AK65" s="71">
        <v>0</v>
      </c>
      <c r="AL65" s="71">
        <v>0</v>
      </c>
      <c r="AM65" s="71">
        <v>0</v>
      </c>
      <c r="AN65" s="71">
        <v>0</v>
      </c>
      <c r="AO65" s="71">
        <v>0</v>
      </c>
      <c r="AP65" s="71">
        <v>0</v>
      </c>
      <c r="AQ65" s="71">
        <v>0</v>
      </c>
      <c r="AR65" s="71">
        <v>0</v>
      </c>
      <c r="AS65" s="71">
        <v>0</v>
      </c>
      <c r="AT65" s="71">
        <v>0</v>
      </c>
      <c r="AU65" s="71">
        <v>0</v>
      </c>
      <c r="AV65" s="71">
        <v>0</v>
      </c>
      <c r="AW65" s="71">
        <v>0</v>
      </c>
      <c r="AX65" s="71">
        <v>0</v>
      </c>
      <c r="AY65" s="71">
        <v>0</v>
      </c>
      <c r="AZ65" s="71">
        <v>0</v>
      </c>
      <c r="BA65" s="71">
        <v>0</v>
      </c>
      <c r="BB65" s="71">
        <v>0</v>
      </c>
      <c r="BC65" s="71">
        <v>0</v>
      </c>
      <c r="BD65" s="71">
        <v>0</v>
      </c>
      <c r="BE65" s="71">
        <v>0</v>
      </c>
      <c r="BF65" s="71">
        <v>0</v>
      </c>
      <c r="BG65" s="71">
        <v>0</v>
      </c>
      <c r="BH65" s="71">
        <v>0</v>
      </c>
      <c r="BI65" s="71">
        <v>0</v>
      </c>
      <c r="BJ65" s="71">
        <v>0</v>
      </c>
      <c r="BK65" s="71">
        <v>0</v>
      </c>
      <c r="BL65" s="71">
        <v>0</v>
      </c>
      <c r="BM65" s="71">
        <v>0</v>
      </c>
      <c r="BN65" s="71">
        <v>0</v>
      </c>
      <c r="BO65" s="71">
        <v>0</v>
      </c>
      <c r="BP65" s="71">
        <v>0</v>
      </c>
      <c r="BQ65" s="71">
        <v>0</v>
      </c>
      <c r="BR65" s="71">
        <v>0</v>
      </c>
      <c r="BS65" s="71">
        <v>0</v>
      </c>
      <c r="BT65" s="71">
        <v>0</v>
      </c>
      <c r="BU65" s="71">
        <v>0</v>
      </c>
      <c r="BV65" s="71">
        <v>0</v>
      </c>
      <c r="BW65" s="71">
        <v>0</v>
      </c>
      <c r="BX65" s="71">
        <v>0</v>
      </c>
      <c r="BY65" s="71">
        <v>0</v>
      </c>
      <c r="BZ65" s="71">
        <v>0</v>
      </c>
      <c r="CA65" s="71">
        <v>0</v>
      </c>
      <c r="CB65" s="71">
        <v>0</v>
      </c>
      <c r="CC65" s="71">
        <v>0</v>
      </c>
      <c r="CD65" s="71">
        <v>0</v>
      </c>
      <c r="CE65" s="71">
        <v>0</v>
      </c>
      <c r="CF65" s="71">
        <v>0</v>
      </c>
      <c r="CG65" s="71">
        <v>0</v>
      </c>
      <c r="CH65" s="71">
        <v>0</v>
      </c>
      <c r="CI65" s="71">
        <v>0</v>
      </c>
      <c r="CJ65" s="71">
        <v>0</v>
      </c>
      <c r="CK65" s="71">
        <v>0</v>
      </c>
      <c r="CL65" s="71">
        <v>0</v>
      </c>
      <c r="CM65" s="71">
        <v>0</v>
      </c>
      <c r="CN65" s="71">
        <v>0</v>
      </c>
      <c r="CO65" s="71">
        <v>0</v>
      </c>
      <c r="CP65" s="71">
        <v>0</v>
      </c>
    </row>
    <row r="66" spans="2:94" outlineLevel="1" collapsed="1" x14ac:dyDescent="0.4">
      <c r="B66" s="85"/>
      <c r="C66" s="86"/>
      <c r="D66" s="86" t="s">
        <v>115</v>
      </c>
      <c r="E66" s="86"/>
      <c r="F66" s="87">
        <f>'EDT Nueva'!F65</f>
        <v>0.24500366121311851</v>
      </c>
      <c r="H66" s="87">
        <f>SUMPRODUCT(H67:H68,$F$67:$F$68)</f>
        <v>0</v>
      </c>
      <c r="I66" s="87">
        <f t="shared" ref="I66:J66" si="561">SUMPRODUCT(I67:I68,$F$67:$F$68)</f>
        <v>0</v>
      </c>
      <c r="J66" s="87">
        <f t="shared" si="561"/>
        <v>0</v>
      </c>
      <c r="K66" s="87">
        <f t="shared" ref="K66:L66" si="562">SUMPRODUCT(K67:K68,$F$67:$F$68)</f>
        <v>0</v>
      </c>
      <c r="L66" s="87">
        <f t="shared" si="562"/>
        <v>3.584358825743264E-2</v>
      </c>
      <c r="M66" s="87">
        <f t="shared" ref="M66" si="563">SUMPRODUCT(M67:M68,$F$67:$F$68)</f>
        <v>3.584358825743264E-2</v>
      </c>
      <c r="N66" s="87">
        <f t="shared" ref="N66:O66" si="564">SUMPRODUCT(N67:N68,$F$67:$F$68)</f>
        <v>3.584358825743264E-2</v>
      </c>
      <c r="O66" s="87">
        <f t="shared" si="564"/>
        <v>3.584358825743264E-2</v>
      </c>
      <c r="P66" s="87">
        <f t="shared" ref="P66:Q66" si="565">SUMPRODUCT(P67:P68,$F$67:$F$68)</f>
        <v>3.584358825743264E-2</v>
      </c>
      <c r="Q66" s="87">
        <f t="shared" si="565"/>
        <v>3.584358825743264E-2</v>
      </c>
      <c r="R66" s="87">
        <f t="shared" ref="R66:U66" si="566">SUMPRODUCT(R67:R68,$F$67:$F$68)</f>
        <v>3.584358825743264E-2</v>
      </c>
      <c r="S66" s="87">
        <f t="shared" si="566"/>
        <v>3.584358825743264E-2</v>
      </c>
      <c r="T66" s="87">
        <f t="shared" si="566"/>
        <v>3.584358825743264E-2</v>
      </c>
      <c r="U66" s="87">
        <f t="shared" si="566"/>
        <v>3.584358825743264E-2</v>
      </c>
      <c r="V66" s="87">
        <f t="shared" ref="V66:W66" si="567">SUMPRODUCT(V67:V68,$F$67:$F$68)</f>
        <v>3.584358825743264E-2</v>
      </c>
      <c r="W66" s="87">
        <f t="shared" si="567"/>
        <v>3.584358825743264E-2</v>
      </c>
      <c r="X66" s="87">
        <f t="shared" ref="X66:Y66" si="568">SUMPRODUCT(X67:X68,$F$67:$F$68)</f>
        <v>3.584358825743264E-2</v>
      </c>
      <c r="Y66" s="87">
        <f t="shared" si="568"/>
        <v>3.584358825743264E-2</v>
      </c>
      <c r="Z66" s="87">
        <f t="shared" ref="Z66:AA66" si="569">SUMPRODUCT(Z67:Z68,$F$67:$F$68)</f>
        <v>4.48044853217908E-2</v>
      </c>
      <c r="AA66" s="87">
        <f t="shared" si="569"/>
        <v>4.48044853217908E-2</v>
      </c>
      <c r="AB66" s="87">
        <f t="shared" ref="AB66:AC66" si="570">SUMPRODUCT(AB67:AB68,$F$67:$F$68)</f>
        <v>0.23253088300924177</v>
      </c>
      <c r="AC66" s="87">
        <f t="shared" si="570"/>
        <v>0.31317549180036885</v>
      </c>
      <c r="AD66" s="87">
        <f t="shared" ref="AD66:AE66" si="571">SUMPRODUCT(AD67:AD68,$F$67:$F$68)</f>
        <v>0.48094336347853439</v>
      </c>
      <c r="AE66" s="87">
        <f t="shared" si="571"/>
        <v>0.49737827840402871</v>
      </c>
      <c r="AF66" s="87">
        <f t="shared" ref="AF66:AG66" si="572">SUMPRODUCT(AF67:AF68,$F$67:$F$68)</f>
        <v>0.49787589857771386</v>
      </c>
      <c r="AG66" s="87">
        <f t="shared" si="572"/>
        <v>0.50119336640228174</v>
      </c>
      <c r="AH66" s="87">
        <f t="shared" ref="AH66:AI66" si="573">SUMPRODUCT(AH67:AH68,$F$67:$F$68)</f>
        <v>0.50119336640228174</v>
      </c>
      <c r="AI66" s="87">
        <f t="shared" si="573"/>
        <v>0.50119336640228174</v>
      </c>
      <c r="AJ66" s="87">
        <f t="shared" ref="AJ66:AK66" si="574">SUMPRODUCT(AJ67:AJ68,$F$67:$F$68)</f>
        <v>0.70007195607010608</v>
      </c>
      <c r="AK66" s="87">
        <f t="shared" si="574"/>
        <v>0.70742195607010605</v>
      </c>
      <c r="AL66" s="87">
        <f t="shared" ref="AL66:AM66" si="575">SUMPRODUCT(AL67:AL68,$F$67:$F$68)</f>
        <v>0.71057195607010604</v>
      </c>
      <c r="AM66" s="87">
        <f t="shared" si="575"/>
        <v>0.73566108491029969</v>
      </c>
      <c r="AN66" s="87">
        <f t="shared" ref="AN66" si="576">SUMPRODUCT(AN67:AN68,$F$67:$F$68)</f>
        <v>0.73793917321122382</v>
      </c>
      <c r="AO66" s="87">
        <f t="shared" ref="AO66" si="577">SUMPRODUCT(AO67:AO68,$F$67:$F$68)</f>
        <v>0.73793917321122382</v>
      </c>
      <c r="AP66" s="87">
        <f t="shared" ref="AP66" si="578">SUMPRODUCT(AP67:AP68,$F$67:$F$68)</f>
        <v>0.73793917321122382</v>
      </c>
      <c r="AQ66" s="87">
        <f t="shared" ref="AQ66:AR66" si="579">SUMPRODUCT(AQ67:AQ68,$F$67:$F$68)</f>
        <v>0.73793917321122382</v>
      </c>
      <c r="AR66" s="87">
        <f t="shared" si="579"/>
        <v>0.73793917321122382</v>
      </c>
      <c r="AS66" s="87">
        <f t="shared" ref="AS66" si="580">SUMPRODUCT(AS67:AS68,$F$67:$F$68)</f>
        <v>0.73793917321122382</v>
      </c>
      <c r="AT66" s="87">
        <f t="shared" ref="AT66:BC66" si="581">SUMPRODUCT(AT67:AT68,$F$67:$F$68)</f>
        <v>0.74991310458746263</v>
      </c>
      <c r="AU66" s="87">
        <f t="shared" si="581"/>
        <v>0.75655080611661685</v>
      </c>
      <c r="AV66" s="87">
        <f t="shared" si="581"/>
        <v>0.75655080611661685</v>
      </c>
      <c r="AW66" s="87">
        <f t="shared" si="581"/>
        <v>0.75655080611661685</v>
      </c>
      <c r="AX66" s="87">
        <f t="shared" si="581"/>
        <v>0.75655080611661685</v>
      </c>
      <c r="AY66" s="87">
        <f t="shared" si="581"/>
        <v>0.77646391070407939</v>
      </c>
      <c r="AZ66" s="87">
        <f t="shared" si="581"/>
        <v>0.77646391070407939</v>
      </c>
      <c r="BA66" s="87">
        <f t="shared" si="581"/>
        <v>0.77646391070407939</v>
      </c>
      <c r="BB66" s="87">
        <f t="shared" si="581"/>
        <v>0.77646391070407939</v>
      </c>
      <c r="BC66" s="87">
        <f t="shared" si="581"/>
        <v>0.77646391070407939</v>
      </c>
      <c r="BD66" s="87">
        <f t="shared" ref="BD66:BE66" si="582">SUMPRODUCT(BD67:BD68,$F$67:$F$68)</f>
        <v>0.77646391070407939</v>
      </c>
      <c r="BE66" s="87">
        <f t="shared" si="582"/>
        <v>0.77646391070407939</v>
      </c>
      <c r="BF66" s="87">
        <f t="shared" ref="BF66:BG66" si="583">SUMPRODUCT(BF67:BF68,$F$67:$F$68)</f>
        <v>0.77646391070407939</v>
      </c>
      <c r="BG66" s="87">
        <f t="shared" si="583"/>
        <v>0.77646391070407939</v>
      </c>
      <c r="BH66" s="87">
        <f t="shared" ref="BH66:BI66" si="584">SUMPRODUCT(BH67:BH68,$F$67:$F$68)</f>
        <v>0.77646391070407939</v>
      </c>
      <c r="BI66" s="87">
        <f t="shared" si="584"/>
        <v>0.77646391070407939</v>
      </c>
      <c r="BJ66" s="87">
        <f t="shared" ref="BJ66:BK66" si="585">SUMPRODUCT(BJ67:BJ68,$F$67:$F$68)</f>
        <v>0.77646391070407939</v>
      </c>
      <c r="BK66" s="87">
        <f t="shared" si="585"/>
        <v>0.77646391070407939</v>
      </c>
      <c r="BL66" s="87">
        <f t="shared" ref="BL66:BM66" si="586">SUMPRODUCT(BL67:BL68,$F$67:$F$68)</f>
        <v>0.96681149235422903</v>
      </c>
      <c r="BM66" s="87">
        <f t="shared" si="586"/>
        <v>0.96681149235422903</v>
      </c>
      <c r="BN66" s="87">
        <f t="shared" ref="BN66" si="587">SUMPRODUCT(BN67:BN68,$F$67:$F$68)</f>
        <v>0.96681149235422903</v>
      </c>
      <c r="BO66" s="87">
        <f t="shared" ref="BO66" si="588">SUMPRODUCT(BO67:BO68,$F$67:$F$68)</f>
        <v>0.96681149235422903</v>
      </c>
      <c r="BP66" s="87">
        <f t="shared" ref="BP66" si="589">SUMPRODUCT(BP67:BP68,$F$67:$F$68)</f>
        <v>0.96681149235422903</v>
      </c>
      <c r="BQ66" s="87">
        <f t="shared" ref="BQ66:BR66" si="590">SUMPRODUCT(BQ67:BQ68,$F$67:$F$68)</f>
        <v>0.73793917321122382</v>
      </c>
      <c r="BR66" s="87">
        <f t="shared" si="590"/>
        <v>0.73793917321122382</v>
      </c>
      <c r="BS66" s="87">
        <f t="shared" ref="BS66:BT66" si="591">SUMPRODUCT(BS67:BS68,$F$67:$F$68)</f>
        <v>0.73793917321122382</v>
      </c>
      <c r="BT66" s="87">
        <f t="shared" si="591"/>
        <v>0.73793917321122382</v>
      </c>
      <c r="BU66" s="87">
        <f t="shared" ref="BU66:BV66" si="592">SUMPRODUCT(BU67:BU68,$F$67:$F$68)</f>
        <v>0.73793917321122382</v>
      </c>
      <c r="BV66" s="87">
        <f t="shared" si="592"/>
        <v>0.73793917321122382</v>
      </c>
      <c r="BW66" s="87">
        <f t="shared" ref="BW66:CP66" si="593">SUMPRODUCT(BW67:BW68,$F$67:$F$68)</f>
        <v>0.73793917321122382</v>
      </c>
      <c r="BX66" s="87">
        <f t="shared" si="593"/>
        <v>0.73793917321122382</v>
      </c>
      <c r="BY66" s="87">
        <f t="shared" si="593"/>
        <v>0.73793917321122382</v>
      </c>
      <c r="BZ66" s="87">
        <f t="shared" si="593"/>
        <v>0.73793917321122382</v>
      </c>
      <c r="CA66" s="87">
        <f t="shared" si="593"/>
        <v>0.73793917321122382</v>
      </c>
      <c r="CB66" s="87">
        <f t="shared" si="593"/>
        <v>0.73793917321122382</v>
      </c>
      <c r="CC66" s="87">
        <f t="shared" si="593"/>
        <v>0.73793917321122382</v>
      </c>
      <c r="CD66" s="87">
        <f t="shared" si="593"/>
        <v>0.73793917321122382</v>
      </c>
      <c r="CE66" s="87">
        <f t="shared" si="593"/>
        <v>0.73793917321122382</v>
      </c>
      <c r="CF66" s="87">
        <f t="shared" si="593"/>
        <v>0.73793917321122382</v>
      </c>
      <c r="CG66" s="87">
        <f t="shared" si="593"/>
        <v>0.73793917321122382</v>
      </c>
      <c r="CH66" s="87">
        <f t="shared" si="593"/>
        <v>0.73793917321122382</v>
      </c>
      <c r="CI66" s="87">
        <f t="shared" si="593"/>
        <v>0.73793917321122382</v>
      </c>
      <c r="CJ66" s="87">
        <f t="shared" si="593"/>
        <v>0.73793917321122382</v>
      </c>
      <c r="CK66" s="87">
        <f t="shared" si="593"/>
        <v>0.73793917321122382</v>
      </c>
      <c r="CL66" s="87">
        <f t="shared" si="593"/>
        <v>0.73793917321122382</v>
      </c>
      <c r="CM66" s="87">
        <f t="shared" si="593"/>
        <v>0.73793917321122382</v>
      </c>
      <c r="CN66" s="87">
        <f t="shared" si="593"/>
        <v>0.73793917321122382</v>
      </c>
      <c r="CO66" s="87">
        <f t="shared" si="593"/>
        <v>0.73793917321122382</v>
      </c>
      <c r="CP66" s="87">
        <f t="shared" si="593"/>
        <v>0.77646391070407939</v>
      </c>
    </row>
    <row r="67" spans="2:94" hidden="1" outlineLevel="2" x14ac:dyDescent="0.4">
      <c r="B67" s="69"/>
      <c r="C67" s="70"/>
      <c r="D67" s="70"/>
      <c r="E67" s="70" t="s">
        <v>116</v>
      </c>
      <c r="F67" s="71">
        <f>'EDT Nueva'!F66</f>
        <v>0.66377015291541941</v>
      </c>
      <c r="H67" s="71">
        <v>0</v>
      </c>
      <c r="I67" s="71">
        <v>0</v>
      </c>
      <c r="J67" s="71">
        <v>0</v>
      </c>
      <c r="K67" s="71">
        <v>0</v>
      </c>
      <c r="L67" s="71">
        <v>5.3999999999999992E-2</v>
      </c>
      <c r="M67" s="71">
        <v>5.3999999999999992E-2</v>
      </c>
      <c r="N67" s="71">
        <v>5.3999999999999992E-2</v>
      </c>
      <c r="O67" s="71">
        <v>5.3999999999999992E-2</v>
      </c>
      <c r="P67" s="71">
        <v>5.3999999999999992E-2</v>
      </c>
      <c r="Q67" s="71">
        <v>5.3999999999999992E-2</v>
      </c>
      <c r="R67" s="71">
        <v>5.3999999999999992E-2</v>
      </c>
      <c r="S67" s="71">
        <v>5.3999999999999992E-2</v>
      </c>
      <c r="T67" s="71">
        <v>5.3999999999999992E-2</v>
      </c>
      <c r="U67" s="71">
        <v>5.3999999999999992E-2</v>
      </c>
      <c r="V67" s="71">
        <v>5.3999999999999992E-2</v>
      </c>
      <c r="W67" s="71">
        <v>5.3999999999999992E-2</v>
      </c>
      <c r="X67" s="71">
        <v>5.3999999999999992E-2</v>
      </c>
      <c r="Y67" s="71">
        <v>5.3999999999999992E-2</v>
      </c>
      <c r="Z67" s="71">
        <v>6.7499999999999991E-2</v>
      </c>
      <c r="AA67" s="71">
        <v>6.7499999999999991E-2</v>
      </c>
      <c r="AB67" s="71">
        <v>0.23475000000000001</v>
      </c>
      <c r="AC67" s="71">
        <v>0.31860000000000005</v>
      </c>
      <c r="AD67" s="71">
        <v>0.52260000000000006</v>
      </c>
      <c r="AE67" s="71">
        <v>0.52260000000000006</v>
      </c>
      <c r="AF67" s="71">
        <v>0.52260000000000006</v>
      </c>
      <c r="AG67" s="71">
        <v>0.52260000000000006</v>
      </c>
      <c r="AH67" s="71">
        <v>0.52260000000000006</v>
      </c>
      <c r="AI67" s="71">
        <v>0.52260000000000006</v>
      </c>
      <c r="AJ67" s="71">
        <v>0.69920000000000015</v>
      </c>
      <c r="AK67" s="71">
        <v>0.70655000000000012</v>
      </c>
      <c r="AL67" s="71">
        <v>0.70970000000000011</v>
      </c>
      <c r="AM67" s="71">
        <v>0.74250000000000005</v>
      </c>
      <c r="AN67" s="71">
        <v>0.745</v>
      </c>
      <c r="AO67" s="71">
        <v>0.745</v>
      </c>
      <c r="AP67" s="71">
        <v>0.745</v>
      </c>
      <c r="AQ67" s="71">
        <v>0.745</v>
      </c>
      <c r="AR67" s="71">
        <v>0.745</v>
      </c>
      <c r="AS67" s="71">
        <v>0.745</v>
      </c>
      <c r="AT67" s="71">
        <v>0.76</v>
      </c>
      <c r="AU67" s="71">
        <v>0.77</v>
      </c>
      <c r="AV67" s="71">
        <v>0.77</v>
      </c>
      <c r="AW67" s="71">
        <v>0.77</v>
      </c>
      <c r="AX67" s="71">
        <v>0.77</v>
      </c>
      <c r="AY67" s="71">
        <v>0.8</v>
      </c>
      <c r="AZ67" s="71">
        <v>0.8</v>
      </c>
      <c r="BA67" s="71">
        <v>0.8</v>
      </c>
      <c r="BB67" s="71">
        <v>0.8</v>
      </c>
      <c r="BC67" s="71">
        <v>0.8</v>
      </c>
      <c r="BD67" s="71">
        <v>0.8</v>
      </c>
      <c r="BE67" s="71">
        <v>0.8</v>
      </c>
      <c r="BF67" s="71">
        <v>0.8</v>
      </c>
      <c r="BG67" s="71">
        <v>0.8</v>
      </c>
      <c r="BH67" s="71">
        <v>0.8</v>
      </c>
      <c r="BI67" s="71">
        <v>0.8</v>
      </c>
      <c r="BJ67" s="71">
        <v>0.8</v>
      </c>
      <c r="BK67" s="71">
        <v>0.8</v>
      </c>
      <c r="BL67" s="71">
        <v>0.95</v>
      </c>
      <c r="BM67" s="71">
        <v>0.95</v>
      </c>
      <c r="BN67" s="71">
        <v>0.95</v>
      </c>
      <c r="BO67" s="71">
        <v>0.95</v>
      </c>
      <c r="BP67" s="71">
        <v>0.95</v>
      </c>
      <c r="BQ67" s="71">
        <v>0.745</v>
      </c>
      <c r="BR67" s="71">
        <v>0.745</v>
      </c>
      <c r="BS67" s="71">
        <v>0.745</v>
      </c>
      <c r="BT67" s="71">
        <v>0.745</v>
      </c>
      <c r="BU67" s="71">
        <v>0.745</v>
      </c>
      <c r="BV67" s="71">
        <v>0.745</v>
      </c>
      <c r="BW67" s="71">
        <v>0.745</v>
      </c>
      <c r="BX67" s="71">
        <v>0.745</v>
      </c>
      <c r="BY67" s="71">
        <v>0.745</v>
      </c>
      <c r="BZ67" s="71">
        <v>0.745</v>
      </c>
      <c r="CA67" s="71">
        <v>0.745</v>
      </c>
      <c r="CB67" s="71">
        <v>0.745</v>
      </c>
      <c r="CC67" s="71">
        <v>0.745</v>
      </c>
      <c r="CD67" s="71">
        <v>0.745</v>
      </c>
      <c r="CE67" s="71">
        <v>0.745</v>
      </c>
      <c r="CF67" s="71">
        <v>0.745</v>
      </c>
      <c r="CG67" s="71">
        <v>0.745</v>
      </c>
      <c r="CH67" s="71">
        <v>0.745</v>
      </c>
      <c r="CI67" s="71">
        <v>0.745</v>
      </c>
      <c r="CJ67" s="71">
        <v>0.745</v>
      </c>
      <c r="CK67" s="71">
        <v>0.745</v>
      </c>
      <c r="CL67" s="71">
        <v>0.745</v>
      </c>
      <c r="CM67" s="71">
        <v>0.745</v>
      </c>
      <c r="CN67" s="71">
        <v>0.745</v>
      </c>
      <c r="CO67" s="71">
        <v>0.745</v>
      </c>
      <c r="CP67" s="71">
        <v>0.8</v>
      </c>
    </row>
    <row r="68" spans="2:94" hidden="1" outlineLevel="2" x14ac:dyDescent="0.4">
      <c r="B68" s="69"/>
      <c r="C68" s="70"/>
      <c r="D68" s="70"/>
      <c r="E68" s="70" t="s">
        <v>117</v>
      </c>
      <c r="F68" s="71">
        <f>'EDT Nueva'!F67</f>
        <v>0.33622984708458059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0.22815000000000002</v>
      </c>
      <c r="AC68" s="71">
        <v>0.30246666666666672</v>
      </c>
      <c r="AD68" s="71">
        <v>0.39870666666666676</v>
      </c>
      <c r="AE68" s="71">
        <v>0.44758666666666674</v>
      </c>
      <c r="AF68" s="71">
        <v>0.44906666666666673</v>
      </c>
      <c r="AG68" s="71">
        <v>0.45893333333333336</v>
      </c>
      <c r="AH68" s="71">
        <v>0.45893333333333336</v>
      </c>
      <c r="AI68" s="71">
        <v>0.45893333333333336</v>
      </c>
      <c r="AJ68" s="71">
        <v>0.70179333333333349</v>
      </c>
      <c r="AK68" s="71">
        <v>0.70914333333333346</v>
      </c>
      <c r="AL68" s="71">
        <v>0.71229333333333344</v>
      </c>
      <c r="AM68" s="71">
        <v>0.72216000000000014</v>
      </c>
      <c r="AN68" s="71">
        <v>0.72399999999999998</v>
      </c>
      <c r="AO68" s="71">
        <v>0.72399999999999998</v>
      </c>
      <c r="AP68" s="71">
        <v>0.72399999999999998</v>
      </c>
      <c r="AQ68" s="71">
        <v>0.72399999999999998</v>
      </c>
      <c r="AR68" s="71">
        <v>0.72399999999999998</v>
      </c>
      <c r="AS68" s="71">
        <v>0.72399999999999998</v>
      </c>
      <c r="AT68" s="71">
        <v>0.73</v>
      </c>
      <c r="AU68" s="71">
        <v>0.73</v>
      </c>
      <c r="AV68" s="71">
        <v>0.73</v>
      </c>
      <c r="AW68" s="71">
        <v>0.73</v>
      </c>
      <c r="AX68" s="71">
        <v>0.73</v>
      </c>
      <c r="AY68" s="71">
        <v>0.73</v>
      </c>
      <c r="AZ68" s="71">
        <v>0.73</v>
      </c>
      <c r="BA68" s="71">
        <v>0.73</v>
      </c>
      <c r="BB68" s="71">
        <v>0.73</v>
      </c>
      <c r="BC68" s="71">
        <v>0.73</v>
      </c>
      <c r="BD68" s="71">
        <v>0.73</v>
      </c>
      <c r="BE68" s="71">
        <v>0.73</v>
      </c>
      <c r="BF68" s="71">
        <v>0.73</v>
      </c>
      <c r="BG68" s="71">
        <v>0.73</v>
      </c>
      <c r="BH68" s="71">
        <v>0.73</v>
      </c>
      <c r="BI68" s="71">
        <v>0.73</v>
      </c>
      <c r="BJ68" s="71">
        <v>0.73</v>
      </c>
      <c r="BK68" s="71">
        <v>0.73</v>
      </c>
      <c r="BL68" s="71">
        <v>1</v>
      </c>
      <c r="BM68" s="71">
        <v>1</v>
      </c>
      <c r="BN68" s="71">
        <v>1</v>
      </c>
      <c r="BO68" s="71">
        <v>1</v>
      </c>
      <c r="BP68" s="71">
        <v>1</v>
      </c>
      <c r="BQ68" s="71">
        <v>0.72399999999999998</v>
      </c>
      <c r="BR68" s="71">
        <v>0.72399999999999998</v>
      </c>
      <c r="BS68" s="71">
        <v>0.72399999999999998</v>
      </c>
      <c r="BT68" s="71">
        <v>0.72399999999999998</v>
      </c>
      <c r="BU68" s="71">
        <v>0.72399999999999998</v>
      </c>
      <c r="BV68" s="71">
        <v>0.72399999999999998</v>
      </c>
      <c r="BW68" s="71">
        <v>0.72399999999999998</v>
      </c>
      <c r="BX68" s="71">
        <v>0.72399999999999998</v>
      </c>
      <c r="BY68" s="71">
        <v>0.72399999999999998</v>
      </c>
      <c r="BZ68" s="71">
        <v>0.72399999999999998</v>
      </c>
      <c r="CA68" s="71">
        <v>0.72399999999999998</v>
      </c>
      <c r="CB68" s="71">
        <v>0.72399999999999998</v>
      </c>
      <c r="CC68" s="71">
        <v>0.72399999999999998</v>
      </c>
      <c r="CD68" s="71">
        <v>0.72399999999999998</v>
      </c>
      <c r="CE68" s="71">
        <v>0.72399999999999998</v>
      </c>
      <c r="CF68" s="71">
        <v>0.72399999999999998</v>
      </c>
      <c r="CG68" s="71">
        <v>0.72399999999999998</v>
      </c>
      <c r="CH68" s="71">
        <v>0.72399999999999998</v>
      </c>
      <c r="CI68" s="71">
        <v>0.72399999999999998</v>
      </c>
      <c r="CJ68" s="71">
        <v>0.72399999999999998</v>
      </c>
      <c r="CK68" s="71">
        <v>0.72399999999999998</v>
      </c>
      <c r="CL68" s="71">
        <v>0.72399999999999998</v>
      </c>
      <c r="CM68" s="71">
        <v>0.72399999999999998</v>
      </c>
      <c r="CN68" s="71">
        <v>0.72399999999999998</v>
      </c>
      <c r="CO68" s="71">
        <v>0.72399999999999998</v>
      </c>
      <c r="CP68" s="71">
        <v>0.73</v>
      </c>
    </row>
    <row r="69" spans="2:94" outlineLevel="1" collapsed="1" x14ac:dyDescent="0.4">
      <c r="B69" s="85"/>
      <c r="C69" s="86"/>
      <c r="D69" s="86" t="s">
        <v>118</v>
      </c>
      <c r="E69" s="86"/>
      <c r="F69" s="87">
        <f>'EDT Nueva'!F68</f>
        <v>5.8376005576305304E-2</v>
      </c>
      <c r="H69" s="87">
        <f>SUMPRODUCT(H70:H72,$F$70:$F$72)</f>
        <v>0</v>
      </c>
      <c r="I69" s="87">
        <f t="shared" ref="I69:J69" si="594">SUMPRODUCT(I70:I72,$F$70:$F$72)</f>
        <v>0</v>
      </c>
      <c r="J69" s="87">
        <f t="shared" si="594"/>
        <v>0</v>
      </c>
      <c r="K69" s="87">
        <f t="shared" ref="K69:L69" si="595">SUMPRODUCT(K70:K72,$F$70:$F$72)</f>
        <v>0</v>
      </c>
      <c r="L69" s="87">
        <f t="shared" si="595"/>
        <v>0</v>
      </c>
      <c r="M69" s="87">
        <f t="shared" ref="M69" si="596">SUMPRODUCT(M70:M72,$F$70:$F$72)</f>
        <v>0</v>
      </c>
      <c r="N69" s="87">
        <f t="shared" ref="N69:O69" si="597">SUMPRODUCT(N70:N72,$F$70:$F$72)</f>
        <v>0</v>
      </c>
      <c r="O69" s="87">
        <f t="shared" si="597"/>
        <v>0</v>
      </c>
      <c r="P69" s="87">
        <f t="shared" ref="P69:Q69" si="598">SUMPRODUCT(P70:P72,$F$70:$F$72)</f>
        <v>0</v>
      </c>
      <c r="Q69" s="87">
        <f t="shared" si="598"/>
        <v>0</v>
      </c>
      <c r="R69" s="87">
        <f t="shared" ref="R69:U69" si="599">SUMPRODUCT(R70:R72,$F$70:$F$72)</f>
        <v>0</v>
      </c>
      <c r="S69" s="87">
        <f t="shared" si="599"/>
        <v>0</v>
      </c>
      <c r="T69" s="87">
        <f t="shared" si="599"/>
        <v>0</v>
      </c>
      <c r="U69" s="87">
        <f t="shared" si="599"/>
        <v>0</v>
      </c>
      <c r="V69" s="87">
        <f t="shared" ref="V69:W69" si="600">SUMPRODUCT(V70:V72,$F$70:$F$72)</f>
        <v>0</v>
      </c>
      <c r="W69" s="87">
        <f t="shared" si="600"/>
        <v>0</v>
      </c>
      <c r="X69" s="87">
        <f t="shared" ref="X69:Y69" si="601">SUMPRODUCT(X70:X72,$F$70:$F$72)</f>
        <v>0</v>
      </c>
      <c r="Y69" s="87">
        <f t="shared" si="601"/>
        <v>0</v>
      </c>
      <c r="Z69" s="87">
        <f t="shared" ref="Z69:AA69" si="602">SUMPRODUCT(Z70:Z72,$F$70:$F$72)</f>
        <v>0</v>
      </c>
      <c r="AA69" s="87">
        <f t="shared" si="602"/>
        <v>0</v>
      </c>
      <c r="AB69" s="87">
        <f t="shared" ref="AB69:AC69" si="603">SUMPRODUCT(AB70:AB72,$F$70:$F$72)</f>
        <v>0</v>
      </c>
      <c r="AC69" s="87">
        <f t="shared" si="603"/>
        <v>0</v>
      </c>
      <c r="AD69" s="87">
        <f t="shared" ref="AD69:AE69" si="604">SUMPRODUCT(AD70:AD72,$F$70:$F$72)</f>
        <v>0</v>
      </c>
      <c r="AE69" s="87">
        <f t="shared" si="604"/>
        <v>0</v>
      </c>
      <c r="AF69" s="87">
        <f t="shared" ref="AF69:AG69" si="605">SUMPRODUCT(AF70:AF72,$F$70:$F$72)</f>
        <v>0</v>
      </c>
      <c r="AG69" s="87">
        <f t="shared" si="605"/>
        <v>0</v>
      </c>
      <c r="AH69" s="87">
        <f t="shared" ref="AH69:AI69" si="606">SUMPRODUCT(AH70:AH72,$F$70:$F$72)</f>
        <v>0</v>
      </c>
      <c r="AI69" s="87">
        <f t="shared" si="606"/>
        <v>0</v>
      </c>
      <c r="AJ69" s="87">
        <f t="shared" ref="AJ69:AK69" si="607">SUMPRODUCT(AJ70:AJ72,$F$70:$F$72)</f>
        <v>0</v>
      </c>
      <c r="AK69" s="87">
        <f t="shared" si="607"/>
        <v>0</v>
      </c>
      <c r="AL69" s="87">
        <f t="shared" ref="AL69:AM69" si="608">SUMPRODUCT(AL70:AL72,$F$70:$F$72)</f>
        <v>0</v>
      </c>
      <c r="AM69" s="87">
        <f t="shared" si="608"/>
        <v>0</v>
      </c>
      <c r="AN69" s="87">
        <f t="shared" ref="AN69" si="609">SUMPRODUCT(AN70:AN72,$F$70:$F$72)</f>
        <v>0</v>
      </c>
      <c r="AO69" s="87">
        <f t="shared" ref="AO69" si="610">SUMPRODUCT(AO70:AO72,$F$70:$F$72)</f>
        <v>0</v>
      </c>
      <c r="AP69" s="87">
        <f t="shared" ref="AP69" si="611">SUMPRODUCT(AP70:AP72,$F$70:$F$72)</f>
        <v>0</v>
      </c>
      <c r="AQ69" s="87">
        <f t="shared" ref="AQ69:AR69" si="612">SUMPRODUCT(AQ70:AQ72,$F$70:$F$72)</f>
        <v>0</v>
      </c>
      <c r="AR69" s="87">
        <f t="shared" si="612"/>
        <v>0</v>
      </c>
      <c r="AS69" s="87">
        <f t="shared" ref="AS69" si="613">SUMPRODUCT(AS70:AS72,$F$70:$F$72)</f>
        <v>0</v>
      </c>
      <c r="AT69" s="87">
        <f t="shared" ref="AT69:BC69" si="614">SUMPRODUCT(AT70:AT72,$F$70:$F$72)</f>
        <v>0</v>
      </c>
      <c r="AU69" s="87">
        <f t="shared" si="614"/>
        <v>0</v>
      </c>
      <c r="AV69" s="87">
        <f t="shared" si="614"/>
        <v>0</v>
      </c>
      <c r="AW69" s="87">
        <f t="shared" si="614"/>
        <v>0</v>
      </c>
      <c r="AX69" s="87">
        <f t="shared" si="614"/>
        <v>0</v>
      </c>
      <c r="AY69" s="87">
        <f t="shared" si="614"/>
        <v>0</v>
      </c>
      <c r="AZ69" s="87">
        <f t="shared" si="614"/>
        <v>0</v>
      </c>
      <c r="BA69" s="87">
        <f t="shared" si="614"/>
        <v>0</v>
      </c>
      <c r="BB69" s="87">
        <f t="shared" si="614"/>
        <v>0</v>
      </c>
      <c r="BC69" s="87">
        <f t="shared" si="614"/>
        <v>0</v>
      </c>
      <c r="BD69" s="87">
        <f t="shared" ref="BD69:BE69" si="615">SUMPRODUCT(BD70:BD72,$F$70:$F$72)</f>
        <v>0</v>
      </c>
      <c r="BE69" s="87">
        <f t="shared" si="615"/>
        <v>0</v>
      </c>
      <c r="BF69" s="87">
        <f t="shared" ref="BF69:BG69" si="616">SUMPRODUCT(BF70:BF72,$F$70:$F$72)</f>
        <v>0</v>
      </c>
      <c r="BG69" s="87">
        <f t="shared" si="616"/>
        <v>0</v>
      </c>
      <c r="BH69" s="87">
        <f t="shared" ref="BH69:BI69" si="617">SUMPRODUCT(BH70:BH72,$F$70:$F$72)</f>
        <v>0</v>
      </c>
      <c r="BI69" s="87">
        <f t="shared" si="617"/>
        <v>0</v>
      </c>
      <c r="BJ69" s="87">
        <f t="shared" ref="BJ69:BK69" si="618">SUMPRODUCT(BJ70:BJ72,$F$70:$F$72)</f>
        <v>0</v>
      </c>
      <c r="BK69" s="87">
        <f t="shared" si="618"/>
        <v>0</v>
      </c>
      <c r="BL69" s="87">
        <f t="shared" ref="BL69:BM69" si="619">SUMPRODUCT(BL70:BL72,$F$70:$F$72)</f>
        <v>0</v>
      </c>
      <c r="BM69" s="87">
        <f t="shared" si="619"/>
        <v>0</v>
      </c>
      <c r="BN69" s="87">
        <f t="shared" ref="BN69" si="620">SUMPRODUCT(BN70:BN72,$F$70:$F$72)</f>
        <v>0</v>
      </c>
      <c r="BO69" s="87">
        <f t="shared" ref="BO69" si="621">SUMPRODUCT(BO70:BO72,$F$70:$F$72)</f>
        <v>0</v>
      </c>
      <c r="BP69" s="87">
        <f t="shared" ref="BP69" si="622">SUMPRODUCT(BP70:BP72,$F$70:$F$72)</f>
        <v>0</v>
      </c>
      <c r="BQ69" s="87">
        <f t="shared" ref="BQ69:BR69" si="623">SUMPRODUCT(BQ70:BQ72,$F$70:$F$72)</f>
        <v>0</v>
      </c>
      <c r="BR69" s="87">
        <f t="shared" si="623"/>
        <v>0</v>
      </c>
      <c r="BS69" s="87">
        <f t="shared" ref="BS69:BT69" si="624">SUMPRODUCT(BS70:BS72,$F$70:$F$72)</f>
        <v>0</v>
      </c>
      <c r="BT69" s="87">
        <f t="shared" si="624"/>
        <v>0</v>
      </c>
      <c r="BU69" s="87">
        <f t="shared" ref="BU69:BV69" si="625">SUMPRODUCT(BU70:BU72,$F$70:$F$72)</f>
        <v>0</v>
      </c>
      <c r="BV69" s="87">
        <f t="shared" si="625"/>
        <v>0</v>
      </c>
      <c r="BW69" s="87">
        <f t="shared" ref="BW69:CP69" si="626">SUMPRODUCT(BW70:BW72,$F$70:$F$72)</f>
        <v>0</v>
      </c>
      <c r="BX69" s="87">
        <f t="shared" si="626"/>
        <v>0</v>
      </c>
      <c r="BY69" s="87">
        <f t="shared" si="626"/>
        <v>0</v>
      </c>
      <c r="BZ69" s="87">
        <f t="shared" si="626"/>
        <v>0</v>
      </c>
      <c r="CA69" s="87">
        <f t="shared" si="626"/>
        <v>0</v>
      </c>
      <c r="CB69" s="87">
        <f t="shared" si="626"/>
        <v>0</v>
      </c>
      <c r="CC69" s="87">
        <f t="shared" si="626"/>
        <v>0</v>
      </c>
      <c r="CD69" s="87">
        <f t="shared" si="626"/>
        <v>0</v>
      </c>
      <c r="CE69" s="87">
        <f t="shared" si="626"/>
        <v>0</v>
      </c>
      <c r="CF69" s="87">
        <f t="shared" si="626"/>
        <v>0</v>
      </c>
      <c r="CG69" s="87">
        <f t="shared" si="626"/>
        <v>0</v>
      </c>
      <c r="CH69" s="87">
        <f t="shared" si="626"/>
        <v>0</v>
      </c>
      <c r="CI69" s="87">
        <f t="shared" si="626"/>
        <v>0</v>
      </c>
      <c r="CJ69" s="87">
        <f t="shared" si="626"/>
        <v>0</v>
      </c>
      <c r="CK69" s="87">
        <f t="shared" si="626"/>
        <v>0</v>
      </c>
      <c r="CL69" s="87">
        <f t="shared" si="626"/>
        <v>0</v>
      </c>
      <c r="CM69" s="87">
        <f t="shared" si="626"/>
        <v>0</v>
      </c>
      <c r="CN69" s="87">
        <f t="shared" si="626"/>
        <v>0</v>
      </c>
      <c r="CO69" s="87">
        <f t="shared" si="626"/>
        <v>0</v>
      </c>
      <c r="CP69" s="87">
        <f t="shared" si="626"/>
        <v>0</v>
      </c>
    </row>
    <row r="70" spans="2:94" hidden="1" outlineLevel="2" x14ac:dyDescent="0.4">
      <c r="B70" s="69"/>
      <c r="C70" s="70"/>
      <c r="D70" s="70"/>
      <c r="E70" s="70" t="s">
        <v>119</v>
      </c>
      <c r="F70" s="71">
        <f>'EDT Nueva'!F69</f>
        <v>0.33333333333333331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0</v>
      </c>
      <c r="S70" s="71">
        <v>0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>
        <v>0</v>
      </c>
      <c r="AA70" s="71">
        <v>0</v>
      </c>
      <c r="AB70" s="71">
        <v>0</v>
      </c>
      <c r="AC70" s="71">
        <v>0</v>
      </c>
      <c r="AD70" s="71">
        <v>0</v>
      </c>
      <c r="AE70" s="71">
        <v>0</v>
      </c>
      <c r="AF70" s="71">
        <v>0</v>
      </c>
      <c r="AG70" s="71">
        <v>0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</v>
      </c>
      <c r="AP70" s="71">
        <v>0</v>
      </c>
      <c r="AQ70" s="71">
        <v>0</v>
      </c>
      <c r="AR70" s="71">
        <v>0</v>
      </c>
      <c r="AS70" s="71">
        <v>0</v>
      </c>
      <c r="AT70" s="71">
        <v>0</v>
      </c>
      <c r="AU70" s="71">
        <v>0</v>
      </c>
      <c r="AV70" s="71">
        <v>0</v>
      </c>
      <c r="AW70" s="71">
        <v>0</v>
      </c>
      <c r="AX70" s="71">
        <v>0</v>
      </c>
      <c r="AY70" s="71">
        <v>0</v>
      </c>
      <c r="AZ70" s="71">
        <v>0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71">
        <v>0</v>
      </c>
      <c r="BJ70" s="71">
        <v>0</v>
      </c>
      <c r="BK70" s="71">
        <v>0</v>
      </c>
      <c r="BL70" s="71">
        <v>0</v>
      </c>
      <c r="BM70" s="71">
        <v>0</v>
      </c>
      <c r="BN70" s="71">
        <v>0</v>
      </c>
      <c r="BO70" s="71">
        <v>0</v>
      </c>
      <c r="BP70" s="71">
        <v>0</v>
      </c>
      <c r="BQ70" s="71">
        <v>0</v>
      </c>
      <c r="BR70" s="71">
        <v>0</v>
      </c>
      <c r="BS70" s="71">
        <v>0</v>
      </c>
      <c r="BT70" s="71">
        <v>0</v>
      </c>
      <c r="BU70" s="71">
        <v>0</v>
      </c>
      <c r="BV70" s="71">
        <v>0</v>
      </c>
      <c r="BW70" s="71">
        <v>0</v>
      </c>
      <c r="BX70" s="71">
        <v>0</v>
      </c>
      <c r="BY70" s="71">
        <v>0</v>
      </c>
      <c r="BZ70" s="71">
        <v>0</v>
      </c>
      <c r="CA70" s="71">
        <v>0</v>
      </c>
      <c r="CB70" s="71">
        <v>0</v>
      </c>
      <c r="CC70" s="71">
        <v>0</v>
      </c>
      <c r="CD70" s="71">
        <v>0</v>
      </c>
      <c r="CE70" s="71">
        <v>0</v>
      </c>
      <c r="CF70" s="71">
        <v>0</v>
      </c>
      <c r="CG70" s="71">
        <v>0</v>
      </c>
      <c r="CH70" s="71">
        <v>0</v>
      </c>
      <c r="CI70" s="71">
        <v>0</v>
      </c>
      <c r="CJ70" s="71">
        <v>0</v>
      </c>
      <c r="CK70" s="71">
        <v>0</v>
      </c>
      <c r="CL70" s="71">
        <v>0</v>
      </c>
      <c r="CM70" s="71">
        <v>0</v>
      </c>
      <c r="CN70" s="71">
        <v>0</v>
      </c>
      <c r="CO70" s="71">
        <v>0</v>
      </c>
      <c r="CP70" s="71">
        <v>0</v>
      </c>
    </row>
    <row r="71" spans="2:94" hidden="1" outlineLevel="2" x14ac:dyDescent="0.4">
      <c r="B71" s="69"/>
      <c r="C71" s="70"/>
      <c r="D71" s="70"/>
      <c r="E71" s="77" t="s">
        <v>120</v>
      </c>
      <c r="F71" s="71">
        <f>'EDT Nueva'!F70</f>
        <v>0.33333333333333331</v>
      </c>
      <c r="H71" s="71">
        <v>0</v>
      </c>
      <c r="I71" s="71">
        <v>0</v>
      </c>
      <c r="J71" s="71">
        <v>0</v>
      </c>
      <c r="K71" s="71">
        <v>0</v>
      </c>
      <c r="L71" s="71">
        <v>0</v>
      </c>
      <c r="M71" s="71">
        <v>0</v>
      </c>
      <c r="N71" s="71">
        <v>0</v>
      </c>
      <c r="O71" s="71">
        <v>0</v>
      </c>
      <c r="P71" s="71">
        <v>0</v>
      </c>
      <c r="Q71" s="71">
        <v>0</v>
      </c>
      <c r="R71" s="71">
        <v>0</v>
      </c>
      <c r="S71" s="71">
        <v>0</v>
      </c>
      <c r="T71" s="71">
        <v>0</v>
      </c>
      <c r="U71" s="71">
        <v>0</v>
      </c>
      <c r="V71" s="71">
        <v>0</v>
      </c>
      <c r="W71" s="71">
        <v>0</v>
      </c>
      <c r="X71" s="71">
        <v>0</v>
      </c>
      <c r="Y71" s="71">
        <v>0</v>
      </c>
      <c r="Z71" s="71">
        <v>0</v>
      </c>
      <c r="AA71" s="71">
        <v>0</v>
      </c>
      <c r="AB71" s="71">
        <v>0</v>
      </c>
      <c r="AC71" s="71">
        <v>0</v>
      </c>
      <c r="AD71" s="71">
        <v>0</v>
      </c>
      <c r="AE71" s="71">
        <v>0</v>
      </c>
      <c r="AF71" s="71">
        <v>0</v>
      </c>
      <c r="AG71" s="71">
        <v>0</v>
      </c>
      <c r="AH71" s="71">
        <v>0</v>
      </c>
      <c r="AI71" s="71">
        <v>0</v>
      </c>
      <c r="AJ71" s="71">
        <v>0</v>
      </c>
      <c r="AK71" s="71">
        <v>0</v>
      </c>
      <c r="AL71" s="71">
        <v>0</v>
      </c>
      <c r="AM71" s="71">
        <v>0</v>
      </c>
      <c r="AN71" s="71">
        <v>0</v>
      </c>
      <c r="AO71" s="71">
        <v>0</v>
      </c>
      <c r="AP71" s="71">
        <v>0</v>
      </c>
      <c r="AQ71" s="71">
        <v>0</v>
      </c>
      <c r="AR71" s="71">
        <v>0</v>
      </c>
      <c r="AS71" s="71">
        <v>0</v>
      </c>
      <c r="AT71" s="71">
        <v>0</v>
      </c>
      <c r="AU71" s="71">
        <v>0</v>
      </c>
      <c r="AV71" s="71">
        <v>0</v>
      </c>
      <c r="AW71" s="71">
        <v>0</v>
      </c>
      <c r="AX71" s="71">
        <v>0</v>
      </c>
      <c r="AY71" s="71">
        <v>0</v>
      </c>
      <c r="AZ71" s="71">
        <v>0</v>
      </c>
      <c r="BA71" s="71">
        <v>0</v>
      </c>
      <c r="BB71" s="71">
        <v>0</v>
      </c>
      <c r="BC71" s="71">
        <v>0</v>
      </c>
      <c r="BD71" s="71">
        <v>0</v>
      </c>
      <c r="BE71" s="71">
        <v>0</v>
      </c>
      <c r="BF71" s="71">
        <v>0</v>
      </c>
      <c r="BG71" s="71">
        <v>0</v>
      </c>
      <c r="BH71" s="71">
        <v>0</v>
      </c>
      <c r="BI71" s="71">
        <v>0</v>
      </c>
      <c r="BJ71" s="71">
        <v>0</v>
      </c>
      <c r="BK71" s="71">
        <v>0</v>
      </c>
      <c r="BL71" s="71">
        <v>0</v>
      </c>
      <c r="BM71" s="71">
        <v>0</v>
      </c>
      <c r="BN71" s="71">
        <v>0</v>
      </c>
      <c r="BO71" s="71">
        <v>0</v>
      </c>
      <c r="BP71" s="71">
        <v>0</v>
      </c>
      <c r="BQ71" s="71">
        <v>0</v>
      </c>
      <c r="BR71" s="71">
        <v>0</v>
      </c>
      <c r="BS71" s="71">
        <v>0</v>
      </c>
      <c r="BT71" s="71">
        <v>0</v>
      </c>
      <c r="BU71" s="71">
        <v>0</v>
      </c>
      <c r="BV71" s="71">
        <v>0</v>
      </c>
      <c r="BW71" s="71">
        <v>0</v>
      </c>
      <c r="BX71" s="71">
        <v>0</v>
      </c>
      <c r="BY71" s="71">
        <v>0</v>
      </c>
      <c r="BZ71" s="71">
        <v>0</v>
      </c>
      <c r="CA71" s="71">
        <v>0</v>
      </c>
      <c r="CB71" s="71">
        <v>0</v>
      </c>
      <c r="CC71" s="71">
        <v>0</v>
      </c>
      <c r="CD71" s="71">
        <v>0</v>
      </c>
      <c r="CE71" s="71">
        <v>0</v>
      </c>
      <c r="CF71" s="71">
        <v>0</v>
      </c>
      <c r="CG71" s="71">
        <v>0</v>
      </c>
      <c r="CH71" s="71">
        <v>0</v>
      </c>
      <c r="CI71" s="71">
        <v>0</v>
      </c>
      <c r="CJ71" s="71">
        <v>0</v>
      </c>
      <c r="CK71" s="71">
        <v>0</v>
      </c>
      <c r="CL71" s="71">
        <v>0</v>
      </c>
      <c r="CM71" s="71">
        <v>0</v>
      </c>
      <c r="CN71" s="71">
        <v>0</v>
      </c>
      <c r="CO71" s="71">
        <v>0</v>
      </c>
      <c r="CP71" s="71">
        <v>0</v>
      </c>
    </row>
    <row r="72" spans="2:94" hidden="1" outlineLevel="2" x14ac:dyDescent="0.4">
      <c r="B72" s="69"/>
      <c r="C72" s="70"/>
      <c r="D72" s="70"/>
      <c r="E72" s="77" t="s">
        <v>121</v>
      </c>
      <c r="F72" s="71">
        <f>'EDT Nueva'!F71</f>
        <v>0.33333333333333331</v>
      </c>
      <c r="H72" s="71">
        <v>0</v>
      </c>
      <c r="I72" s="71">
        <v>0</v>
      </c>
      <c r="J72" s="71">
        <v>0</v>
      </c>
      <c r="K72" s="71">
        <v>0</v>
      </c>
      <c r="L72" s="71">
        <v>0</v>
      </c>
      <c r="M72" s="71">
        <v>0</v>
      </c>
      <c r="N72" s="71">
        <v>0</v>
      </c>
      <c r="O72" s="71">
        <v>0</v>
      </c>
      <c r="P72" s="71">
        <v>0</v>
      </c>
      <c r="Q72" s="71">
        <v>0</v>
      </c>
      <c r="R72" s="71">
        <v>0</v>
      </c>
      <c r="S72" s="71">
        <v>0</v>
      </c>
      <c r="T72" s="71">
        <v>0</v>
      </c>
      <c r="U72" s="71">
        <v>0</v>
      </c>
      <c r="V72" s="71">
        <v>0</v>
      </c>
      <c r="W72" s="71">
        <v>0</v>
      </c>
      <c r="X72" s="71">
        <v>0</v>
      </c>
      <c r="Y72" s="71">
        <v>0</v>
      </c>
      <c r="Z72" s="71">
        <v>0</v>
      </c>
      <c r="AA72" s="71">
        <v>0</v>
      </c>
      <c r="AB72" s="71">
        <v>0</v>
      </c>
      <c r="AC72" s="71">
        <v>0</v>
      </c>
      <c r="AD72" s="71">
        <v>0</v>
      </c>
      <c r="AE72" s="71">
        <v>0</v>
      </c>
      <c r="AF72" s="71">
        <v>0</v>
      </c>
      <c r="AG72" s="71">
        <v>0</v>
      </c>
      <c r="AH72" s="71">
        <v>0</v>
      </c>
      <c r="AI72" s="71">
        <v>0</v>
      </c>
      <c r="AJ72" s="71">
        <v>0</v>
      </c>
      <c r="AK72" s="71">
        <v>0</v>
      </c>
      <c r="AL72" s="71">
        <v>0</v>
      </c>
      <c r="AM72" s="71">
        <v>0</v>
      </c>
      <c r="AN72" s="71">
        <v>0</v>
      </c>
      <c r="AO72" s="71">
        <v>0</v>
      </c>
      <c r="AP72" s="71">
        <v>0</v>
      </c>
      <c r="AQ72" s="71">
        <v>0</v>
      </c>
      <c r="AR72" s="71">
        <v>0</v>
      </c>
      <c r="AS72" s="71">
        <v>0</v>
      </c>
      <c r="AT72" s="71">
        <v>0</v>
      </c>
      <c r="AU72" s="71">
        <v>0</v>
      </c>
      <c r="AV72" s="71">
        <v>0</v>
      </c>
      <c r="AW72" s="71">
        <v>0</v>
      </c>
      <c r="AX72" s="71">
        <v>0</v>
      </c>
      <c r="AY72" s="71">
        <v>0</v>
      </c>
      <c r="AZ72" s="71">
        <v>0</v>
      </c>
      <c r="BA72" s="71">
        <v>0</v>
      </c>
      <c r="BB72" s="71">
        <v>0</v>
      </c>
      <c r="BC72" s="71">
        <v>0</v>
      </c>
      <c r="BD72" s="71">
        <v>0</v>
      </c>
      <c r="BE72" s="71">
        <v>0</v>
      </c>
      <c r="BF72" s="71">
        <v>0</v>
      </c>
      <c r="BG72" s="71">
        <v>0</v>
      </c>
      <c r="BH72" s="71">
        <v>0</v>
      </c>
      <c r="BI72" s="71">
        <v>0</v>
      </c>
      <c r="BJ72" s="71">
        <v>0</v>
      </c>
      <c r="BK72" s="71">
        <v>0</v>
      </c>
      <c r="BL72" s="71">
        <v>0</v>
      </c>
      <c r="BM72" s="71">
        <v>0</v>
      </c>
      <c r="BN72" s="71">
        <v>0</v>
      </c>
      <c r="BO72" s="71">
        <v>0</v>
      </c>
      <c r="BP72" s="71">
        <v>0</v>
      </c>
      <c r="BQ72" s="71">
        <v>0</v>
      </c>
      <c r="BR72" s="71">
        <v>0</v>
      </c>
      <c r="BS72" s="71">
        <v>0</v>
      </c>
      <c r="BT72" s="71">
        <v>0</v>
      </c>
      <c r="BU72" s="71">
        <v>0</v>
      </c>
      <c r="BV72" s="71">
        <v>0</v>
      </c>
      <c r="BW72" s="71">
        <v>0</v>
      </c>
      <c r="BX72" s="71">
        <v>0</v>
      </c>
      <c r="BY72" s="71">
        <v>0</v>
      </c>
      <c r="BZ72" s="71">
        <v>0</v>
      </c>
      <c r="CA72" s="71">
        <v>0</v>
      </c>
      <c r="CB72" s="71">
        <v>0</v>
      </c>
      <c r="CC72" s="71">
        <v>0</v>
      </c>
      <c r="CD72" s="71">
        <v>0</v>
      </c>
      <c r="CE72" s="71">
        <v>0</v>
      </c>
      <c r="CF72" s="71">
        <v>0</v>
      </c>
      <c r="CG72" s="71">
        <v>0</v>
      </c>
      <c r="CH72" s="71">
        <v>0</v>
      </c>
      <c r="CI72" s="71">
        <v>0</v>
      </c>
      <c r="CJ72" s="71">
        <v>0</v>
      </c>
      <c r="CK72" s="71">
        <v>0</v>
      </c>
      <c r="CL72" s="71">
        <v>0</v>
      </c>
      <c r="CM72" s="71">
        <v>0</v>
      </c>
      <c r="CN72" s="71">
        <v>0</v>
      </c>
      <c r="CO72" s="71">
        <v>0</v>
      </c>
      <c r="CP72" s="71">
        <v>0</v>
      </c>
    </row>
    <row r="73" spans="2:94" outlineLevel="1" collapsed="1" x14ac:dyDescent="0.4">
      <c r="B73" s="85"/>
      <c r="C73" s="86"/>
      <c r="D73" s="86" t="s">
        <v>122</v>
      </c>
      <c r="E73" s="86"/>
      <c r="F73" s="87">
        <f>'EDT Nueva'!F72</f>
        <v>3.5025603345783182E-2</v>
      </c>
      <c r="H73" s="87">
        <f>SUMPRODUCT(H74:H76,$F$74:$F$76)</f>
        <v>0</v>
      </c>
      <c r="I73" s="87">
        <f t="shared" ref="I73:J73" si="627">SUMPRODUCT(I74:I76,$F$74:$F$76)</f>
        <v>0</v>
      </c>
      <c r="J73" s="87">
        <f t="shared" si="627"/>
        <v>0</v>
      </c>
      <c r="K73" s="87">
        <f t="shared" ref="K73:L73" si="628">SUMPRODUCT(K74:K76,$F$74:$F$76)</f>
        <v>0</v>
      </c>
      <c r="L73" s="87">
        <f t="shared" si="628"/>
        <v>0</v>
      </c>
      <c r="M73" s="87">
        <f t="shared" ref="M73" si="629">SUMPRODUCT(M74:M76,$F$74:$F$76)</f>
        <v>0</v>
      </c>
      <c r="N73" s="87">
        <f t="shared" ref="N73:O73" si="630">SUMPRODUCT(N74:N76,$F$74:$F$76)</f>
        <v>0</v>
      </c>
      <c r="O73" s="87">
        <f t="shared" si="630"/>
        <v>0</v>
      </c>
      <c r="P73" s="87">
        <f t="shared" ref="P73:Q73" si="631">SUMPRODUCT(P74:P76,$F$74:$F$76)</f>
        <v>0</v>
      </c>
      <c r="Q73" s="87">
        <f t="shared" si="631"/>
        <v>6.6666666666666666E-2</v>
      </c>
      <c r="R73" s="87">
        <f t="shared" ref="R73:U73" si="632">SUMPRODUCT(R74:R76,$F$74:$F$76)</f>
        <v>0.1333333333333333</v>
      </c>
      <c r="S73" s="87">
        <f t="shared" si="632"/>
        <v>0.15624999999999997</v>
      </c>
      <c r="T73" s="87">
        <f t="shared" si="632"/>
        <v>0.16874999999999998</v>
      </c>
      <c r="U73" s="87">
        <f t="shared" si="632"/>
        <v>0.16874999999999998</v>
      </c>
      <c r="V73" s="87">
        <f t="shared" ref="V73:W73" si="633">SUMPRODUCT(V74:V76,$F$74:$F$76)</f>
        <v>0.23749999999999996</v>
      </c>
      <c r="W73" s="87">
        <f t="shared" si="633"/>
        <v>0.52833333333333332</v>
      </c>
      <c r="X73" s="87">
        <f t="shared" ref="X73:Y73" si="634">SUMPRODUCT(X74:X76,$F$74:$F$76)</f>
        <v>0.65</v>
      </c>
      <c r="Y73" s="87">
        <f t="shared" si="634"/>
        <v>0.73333333333333328</v>
      </c>
      <c r="Z73" s="87">
        <f t="shared" ref="Z73:AA73" si="635">SUMPRODUCT(Z74:Z76,$F$74:$F$76)</f>
        <v>0.76666666666666661</v>
      </c>
      <c r="AA73" s="87">
        <f t="shared" si="635"/>
        <v>0.87999999999999989</v>
      </c>
      <c r="AB73" s="87">
        <f t="shared" ref="AB73:AC73" si="636">SUMPRODUCT(AB74:AB76,$F$74:$F$76)</f>
        <v>0.93333333333333324</v>
      </c>
      <c r="AC73" s="87">
        <f t="shared" si="636"/>
        <v>0.93666666666666654</v>
      </c>
      <c r="AD73" s="87">
        <f t="shared" ref="AD73:AE73" si="637">SUMPRODUCT(AD74:AD76,$F$74:$F$76)</f>
        <v>0.95</v>
      </c>
      <c r="AE73" s="87">
        <f t="shared" si="637"/>
        <v>0.95</v>
      </c>
      <c r="AF73" s="87">
        <f t="shared" ref="AF73:AG73" si="638">SUMPRODUCT(AF74:AF76,$F$74:$F$76)</f>
        <v>0.96666666666666645</v>
      </c>
      <c r="AG73" s="87">
        <f t="shared" si="638"/>
        <v>0.96666666666666645</v>
      </c>
      <c r="AH73" s="87">
        <f t="shared" ref="AH73:AI73" si="639">SUMPRODUCT(AH74:AH76,$F$74:$F$76)</f>
        <v>0.96666666666666645</v>
      </c>
      <c r="AI73" s="87">
        <f t="shared" si="639"/>
        <v>0.96666666666666645</v>
      </c>
      <c r="AJ73" s="87">
        <f t="shared" ref="AJ73:AK73" si="640">SUMPRODUCT(AJ74:AJ76,$F$74:$F$76)</f>
        <v>0.96666666666666645</v>
      </c>
      <c r="AK73" s="87">
        <f t="shared" si="640"/>
        <v>0.96666666666666645</v>
      </c>
      <c r="AL73" s="87">
        <f t="shared" ref="AL73:AM73" si="641">SUMPRODUCT(AL74:AL76,$F$74:$F$76)</f>
        <v>0.96666666666666645</v>
      </c>
      <c r="AM73" s="87">
        <f t="shared" si="641"/>
        <v>0.96666666666666645</v>
      </c>
      <c r="AN73" s="87">
        <f t="shared" ref="AN73" si="642">SUMPRODUCT(AN74:AN76,$F$74:$F$76)</f>
        <v>0.96666666666666645</v>
      </c>
      <c r="AO73" s="87">
        <f t="shared" ref="AO73" si="643">SUMPRODUCT(AO74:AO76,$F$74:$F$76)</f>
        <v>0.96666666666666645</v>
      </c>
      <c r="AP73" s="87">
        <f t="shared" ref="AP73" si="644">SUMPRODUCT(AP74:AP76,$F$74:$F$76)</f>
        <v>0.96666666666666645</v>
      </c>
      <c r="AQ73" s="87">
        <f t="shared" ref="AQ73:AR73" si="645">SUMPRODUCT(AQ74:AQ76,$F$74:$F$76)</f>
        <v>0.96666666666666645</v>
      </c>
      <c r="AR73" s="87">
        <f t="shared" si="645"/>
        <v>0.96666666666666645</v>
      </c>
      <c r="AS73" s="87">
        <f t="shared" ref="AS73" si="646">SUMPRODUCT(AS74:AS76,$F$74:$F$76)</f>
        <v>0.96666666666666645</v>
      </c>
      <c r="AT73" s="87">
        <f t="shared" ref="AT73:BC73" si="647">SUMPRODUCT(AT74:AT76,$F$74:$F$76)</f>
        <v>0.96666666666666645</v>
      </c>
      <c r="AU73" s="87">
        <f t="shared" si="647"/>
        <v>0.96666666666666645</v>
      </c>
      <c r="AV73" s="87">
        <f t="shared" si="647"/>
        <v>0.96666666666666645</v>
      </c>
      <c r="AW73" s="87">
        <f t="shared" si="647"/>
        <v>0.96666666666666645</v>
      </c>
      <c r="AX73" s="87">
        <f t="shared" si="647"/>
        <v>0.96666666666666645</v>
      </c>
      <c r="AY73" s="87">
        <f t="shared" si="647"/>
        <v>0.96666666666666645</v>
      </c>
      <c r="AZ73" s="87">
        <f t="shared" si="647"/>
        <v>0.96666666666666645</v>
      </c>
      <c r="BA73" s="87">
        <f t="shared" si="647"/>
        <v>0.96666666666666645</v>
      </c>
      <c r="BB73" s="87">
        <f t="shared" si="647"/>
        <v>0.96666666666666645</v>
      </c>
      <c r="BC73" s="87">
        <f t="shared" si="647"/>
        <v>0.96666666666666645</v>
      </c>
      <c r="BD73" s="87">
        <f t="shared" ref="BD73:BE73" si="648">SUMPRODUCT(BD74:BD76,$F$74:$F$76)</f>
        <v>0.96666666666666645</v>
      </c>
      <c r="BE73" s="87">
        <f t="shared" si="648"/>
        <v>0.96666666666666645</v>
      </c>
      <c r="BF73" s="87">
        <f t="shared" ref="BF73:BG73" si="649">SUMPRODUCT(BF74:BF76,$F$74:$F$76)</f>
        <v>0.96666666666666645</v>
      </c>
      <c r="BG73" s="87">
        <f t="shared" si="649"/>
        <v>0.96833333333333316</v>
      </c>
      <c r="BH73" s="87">
        <f t="shared" ref="BH73:BI73" si="650">SUMPRODUCT(BH74:BH76,$F$74:$F$76)</f>
        <v>0.96999999999999986</v>
      </c>
      <c r="BI73" s="87">
        <f t="shared" si="650"/>
        <v>0.96999999999999986</v>
      </c>
      <c r="BJ73" s="87">
        <f t="shared" ref="BJ73:BK73" si="651">SUMPRODUCT(BJ74:BJ76,$F$74:$F$76)</f>
        <v>0.96999999999999986</v>
      </c>
      <c r="BK73" s="87">
        <f t="shared" si="651"/>
        <v>0.96999999999999986</v>
      </c>
      <c r="BL73" s="87">
        <f t="shared" ref="BL73:BM73" si="652">SUMPRODUCT(BL74:BL76,$F$74:$F$76)</f>
        <v>0.99999999999999978</v>
      </c>
      <c r="BM73" s="87">
        <f t="shared" si="652"/>
        <v>0.99999999999999978</v>
      </c>
      <c r="BN73" s="87">
        <f t="shared" ref="BN73" si="653">SUMPRODUCT(BN74:BN76,$F$74:$F$76)</f>
        <v>0.99999999999999978</v>
      </c>
      <c r="BO73" s="87">
        <f t="shared" ref="BO73" si="654">SUMPRODUCT(BO74:BO76,$F$74:$F$76)</f>
        <v>0.99999999999999978</v>
      </c>
      <c r="BP73" s="87">
        <f t="shared" ref="BP73" si="655">SUMPRODUCT(BP74:BP76,$F$74:$F$76)</f>
        <v>0.99999999999999978</v>
      </c>
      <c r="BQ73" s="87">
        <f t="shared" ref="BQ73:BR73" si="656">SUMPRODUCT(BQ74:BQ76,$F$74:$F$76)</f>
        <v>0.96666666666666645</v>
      </c>
      <c r="BR73" s="87">
        <f t="shared" si="656"/>
        <v>0.96666666666666645</v>
      </c>
      <c r="BS73" s="87">
        <f t="shared" ref="BS73:BT73" si="657">SUMPRODUCT(BS74:BS76,$F$74:$F$76)</f>
        <v>0.96666666666666645</v>
      </c>
      <c r="BT73" s="87">
        <f t="shared" si="657"/>
        <v>0.96666666666666645</v>
      </c>
      <c r="BU73" s="87">
        <f t="shared" ref="BU73:BV73" si="658">SUMPRODUCT(BU74:BU76,$F$74:$F$76)</f>
        <v>0.96666666666666645</v>
      </c>
      <c r="BV73" s="87">
        <f t="shared" si="658"/>
        <v>0.96666666666666645</v>
      </c>
      <c r="BW73" s="87">
        <f t="shared" ref="BW73:CP73" si="659">SUMPRODUCT(BW74:BW76,$F$74:$F$76)</f>
        <v>0.96666666666666645</v>
      </c>
      <c r="BX73" s="87">
        <f t="shared" si="659"/>
        <v>0.96666666666666645</v>
      </c>
      <c r="BY73" s="87">
        <f t="shared" si="659"/>
        <v>0.96666666666666645</v>
      </c>
      <c r="BZ73" s="87">
        <f t="shared" si="659"/>
        <v>0.96666666666666645</v>
      </c>
      <c r="CA73" s="87">
        <f t="shared" si="659"/>
        <v>0.96666666666666645</v>
      </c>
      <c r="CB73" s="87">
        <f t="shared" si="659"/>
        <v>0.96666666666666645</v>
      </c>
      <c r="CC73" s="87">
        <f t="shared" si="659"/>
        <v>0.96666666666666645</v>
      </c>
      <c r="CD73" s="87">
        <f t="shared" si="659"/>
        <v>0.96666666666666645</v>
      </c>
      <c r="CE73" s="87">
        <f t="shared" si="659"/>
        <v>0.96666666666666645</v>
      </c>
      <c r="CF73" s="87">
        <f t="shared" si="659"/>
        <v>0.96666666666666645</v>
      </c>
      <c r="CG73" s="87">
        <f t="shared" si="659"/>
        <v>0.96666666666666645</v>
      </c>
      <c r="CH73" s="87">
        <f t="shared" si="659"/>
        <v>0.96666666666666645</v>
      </c>
      <c r="CI73" s="87">
        <f t="shared" si="659"/>
        <v>0.96666666666666645</v>
      </c>
      <c r="CJ73" s="87">
        <f t="shared" si="659"/>
        <v>0.96666666666666645</v>
      </c>
      <c r="CK73" s="87">
        <f t="shared" si="659"/>
        <v>0.96666666666666645</v>
      </c>
      <c r="CL73" s="87">
        <f t="shared" si="659"/>
        <v>0.96666666666666645</v>
      </c>
      <c r="CM73" s="87">
        <f t="shared" si="659"/>
        <v>0.96666666666666645</v>
      </c>
      <c r="CN73" s="87">
        <f t="shared" si="659"/>
        <v>0.96666666666666645</v>
      </c>
      <c r="CO73" s="87">
        <f t="shared" si="659"/>
        <v>0.96666666666666645</v>
      </c>
      <c r="CP73" s="87">
        <f t="shared" si="659"/>
        <v>0.96999999999999986</v>
      </c>
    </row>
    <row r="74" spans="2:94" hidden="1" outlineLevel="2" x14ac:dyDescent="0.4">
      <c r="B74" s="69"/>
      <c r="C74" s="70"/>
      <c r="D74" s="70"/>
      <c r="E74" s="70" t="s">
        <v>123</v>
      </c>
      <c r="F74" s="71">
        <f>'EDT Nueva'!F73</f>
        <v>0.33333333333333331</v>
      </c>
      <c r="H74" s="71">
        <v>0</v>
      </c>
      <c r="I74" s="71">
        <v>0</v>
      </c>
      <c r="J74" s="71">
        <v>0</v>
      </c>
      <c r="K74" s="71">
        <v>0</v>
      </c>
      <c r="L74" s="71">
        <v>0</v>
      </c>
      <c r="M74" s="71">
        <v>0</v>
      </c>
      <c r="N74" s="71">
        <v>0</v>
      </c>
      <c r="O74" s="71">
        <v>0</v>
      </c>
      <c r="P74" s="71">
        <v>0</v>
      </c>
      <c r="Q74" s="71">
        <v>0</v>
      </c>
      <c r="R74" s="71">
        <v>0</v>
      </c>
      <c r="S74" s="71">
        <v>0</v>
      </c>
      <c r="T74" s="71">
        <v>0</v>
      </c>
      <c r="U74" s="71">
        <v>0</v>
      </c>
      <c r="V74" s="71">
        <v>0</v>
      </c>
      <c r="W74" s="71">
        <v>0.6</v>
      </c>
      <c r="X74" s="71">
        <v>0.8</v>
      </c>
      <c r="Y74" s="71">
        <v>0.89999999999999991</v>
      </c>
      <c r="Z74" s="71">
        <v>1</v>
      </c>
      <c r="AA74" s="71">
        <v>1</v>
      </c>
      <c r="AB74" s="71">
        <v>1</v>
      </c>
      <c r="AC74" s="71">
        <v>1</v>
      </c>
      <c r="AD74" s="71">
        <v>1</v>
      </c>
      <c r="AE74" s="71">
        <v>1</v>
      </c>
      <c r="AF74" s="71">
        <v>0.99999999999999989</v>
      </c>
      <c r="AG74" s="71">
        <v>0.99999999999999989</v>
      </c>
      <c r="AH74" s="71">
        <v>0.99999999999999989</v>
      </c>
      <c r="AI74" s="71">
        <v>0.99999999999999989</v>
      </c>
      <c r="AJ74" s="71">
        <v>0.99999999999999989</v>
      </c>
      <c r="AK74" s="71">
        <v>0.99999999999999989</v>
      </c>
      <c r="AL74" s="71">
        <v>0.99999999999999989</v>
      </c>
      <c r="AM74" s="71">
        <v>0.99999999999999989</v>
      </c>
      <c r="AN74" s="71">
        <v>0.99999999999999989</v>
      </c>
      <c r="AO74" s="71">
        <v>0.99999999999999989</v>
      </c>
      <c r="AP74" s="71">
        <v>0.99999999999999989</v>
      </c>
      <c r="AQ74" s="71">
        <v>0.99999999999999989</v>
      </c>
      <c r="AR74" s="71">
        <v>0.99999999999999989</v>
      </c>
      <c r="AS74" s="71">
        <v>0.99999999999999989</v>
      </c>
      <c r="AT74" s="71">
        <v>0.99999999999999989</v>
      </c>
      <c r="AU74" s="71">
        <v>0.99999999999999989</v>
      </c>
      <c r="AV74" s="71">
        <v>0.99999999999999989</v>
      </c>
      <c r="AW74" s="71">
        <v>0.99999999999999989</v>
      </c>
      <c r="AX74" s="71">
        <v>0.99999999999999989</v>
      </c>
      <c r="AY74" s="71">
        <v>0.99999999999999989</v>
      </c>
      <c r="AZ74" s="71">
        <v>0.99999999999999989</v>
      </c>
      <c r="BA74" s="71">
        <v>0.99999999999999989</v>
      </c>
      <c r="BB74" s="71">
        <v>0.99999999999999989</v>
      </c>
      <c r="BC74" s="71">
        <v>0.99999999999999989</v>
      </c>
      <c r="BD74" s="71">
        <v>0.99999999999999989</v>
      </c>
      <c r="BE74" s="71">
        <v>0.99999999999999989</v>
      </c>
      <c r="BF74" s="71">
        <v>0.99999999999999989</v>
      </c>
      <c r="BG74" s="71">
        <v>0.99999999999999989</v>
      </c>
      <c r="BH74" s="71">
        <v>0.99999999999999989</v>
      </c>
      <c r="BI74" s="71">
        <v>0.99999999999999989</v>
      </c>
      <c r="BJ74" s="71">
        <v>0.99999999999999989</v>
      </c>
      <c r="BK74" s="71">
        <v>0.99999999999999989</v>
      </c>
      <c r="BL74" s="71">
        <v>0.99999999999999989</v>
      </c>
      <c r="BM74" s="71">
        <v>0.99999999999999989</v>
      </c>
      <c r="BN74" s="71">
        <v>0.99999999999999989</v>
      </c>
      <c r="BO74" s="71">
        <v>0.99999999999999989</v>
      </c>
      <c r="BP74" s="71">
        <v>0.99999999999999989</v>
      </c>
      <c r="BQ74" s="71">
        <v>0.99999999999999989</v>
      </c>
      <c r="BR74" s="71">
        <v>0.99999999999999989</v>
      </c>
      <c r="BS74" s="71">
        <v>0.99999999999999989</v>
      </c>
      <c r="BT74" s="71">
        <v>0.99999999999999989</v>
      </c>
      <c r="BU74" s="71">
        <v>0.99999999999999989</v>
      </c>
      <c r="BV74" s="71">
        <v>0.99999999999999989</v>
      </c>
      <c r="BW74" s="71">
        <v>0.99999999999999989</v>
      </c>
      <c r="BX74" s="71">
        <v>0.99999999999999989</v>
      </c>
      <c r="BY74" s="71">
        <v>0.99999999999999989</v>
      </c>
      <c r="BZ74" s="71">
        <v>0.99999999999999989</v>
      </c>
      <c r="CA74" s="71">
        <v>0.99999999999999989</v>
      </c>
      <c r="CB74" s="71">
        <v>0.99999999999999989</v>
      </c>
      <c r="CC74" s="71">
        <v>0.99999999999999989</v>
      </c>
      <c r="CD74" s="71">
        <v>0.99999999999999989</v>
      </c>
      <c r="CE74" s="71">
        <v>0.99999999999999989</v>
      </c>
      <c r="CF74" s="71">
        <v>0.99999999999999989</v>
      </c>
      <c r="CG74" s="71">
        <v>0.99999999999999989</v>
      </c>
      <c r="CH74" s="71">
        <v>0.99999999999999989</v>
      </c>
      <c r="CI74" s="71">
        <v>0.99999999999999989</v>
      </c>
      <c r="CJ74" s="71">
        <v>0.99999999999999989</v>
      </c>
      <c r="CK74" s="71">
        <v>0.99999999999999989</v>
      </c>
      <c r="CL74" s="71">
        <v>0.99999999999999989</v>
      </c>
      <c r="CM74" s="71">
        <v>0.99999999999999989</v>
      </c>
      <c r="CN74" s="71">
        <v>0.99999999999999989</v>
      </c>
      <c r="CO74" s="71">
        <v>0.99999999999999989</v>
      </c>
      <c r="CP74" s="71">
        <v>0.99999999999999989</v>
      </c>
    </row>
    <row r="75" spans="2:94" hidden="1" outlineLevel="2" x14ac:dyDescent="0.4">
      <c r="B75" s="69"/>
      <c r="C75" s="70"/>
      <c r="D75" s="70"/>
      <c r="E75" s="70" t="s">
        <v>124</v>
      </c>
      <c r="F75" s="71">
        <f>'EDT Nueva'!F74</f>
        <v>0.33333333333333331</v>
      </c>
      <c r="H75" s="71">
        <v>0</v>
      </c>
      <c r="I75" s="71">
        <v>0</v>
      </c>
      <c r="J75" s="71">
        <v>0</v>
      </c>
      <c r="K75" s="71">
        <v>0</v>
      </c>
      <c r="L75" s="71">
        <v>0</v>
      </c>
      <c r="M75" s="71">
        <v>0</v>
      </c>
      <c r="N75" s="71">
        <v>0</v>
      </c>
      <c r="O75" s="71">
        <v>0</v>
      </c>
      <c r="P75" s="71">
        <v>0</v>
      </c>
      <c r="Q75" s="71">
        <v>0.2</v>
      </c>
      <c r="R75" s="71">
        <v>0.39999999999999997</v>
      </c>
      <c r="S75" s="71">
        <v>0.46874999999999994</v>
      </c>
      <c r="T75" s="71">
        <v>0.50624999999999998</v>
      </c>
      <c r="U75" s="71">
        <v>0.50624999999999998</v>
      </c>
      <c r="V75" s="71">
        <v>0.71249999999999991</v>
      </c>
      <c r="W75" s="71">
        <v>0.98499999999999999</v>
      </c>
      <c r="X75" s="71">
        <v>1</v>
      </c>
      <c r="Y75" s="71">
        <v>1</v>
      </c>
      <c r="Z75" s="71">
        <v>1</v>
      </c>
      <c r="AA75" s="71">
        <v>1</v>
      </c>
      <c r="AB75" s="71">
        <v>1</v>
      </c>
      <c r="AC75" s="71">
        <v>1</v>
      </c>
      <c r="AD75" s="71">
        <v>1</v>
      </c>
      <c r="AE75" s="71">
        <v>1</v>
      </c>
      <c r="AF75" s="71">
        <v>1</v>
      </c>
      <c r="AG75" s="71">
        <v>1</v>
      </c>
      <c r="AH75" s="71">
        <v>1</v>
      </c>
      <c r="AI75" s="71">
        <v>1</v>
      </c>
      <c r="AJ75" s="71">
        <v>1</v>
      </c>
      <c r="AK75" s="71">
        <v>1</v>
      </c>
      <c r="AL75" s="71">
        <v>1</v>
      </c>
      <c r="AM75" s="71">
        <v>1</v>
      </c>
      <c r="AN75" s="71">
        <v>1</v>
      </c>
      <c r="AO75" s="71">
        <v>1</v>
      </c>
      <c r="AP75" s="71">
        <v>1</v>
      </c>
      <c r="AQ75" s="71">
        <v>1</v>
      </c>
      <c r="AR75" s="71">
        <v>1</v>
      </c>
      <c r="AS75" s="71">
        <v>1</v>
      </c>
      <c r="AT75" s="71">
        <v>1</v>
      </c>
      <c r="AU75" s="71">
        <v>1</v>
      </c>
      <c r="AV75" s="71">
        <v>1</v>
      </c>
      <c r="AW75" s="71">
        <v>1</v>
      </c>
      <c r="AX75" s="71">
        <v>1</v>
      </c>
      <c r="AY75" s="71">
        <v>1</v>
      </c>
      <c r="AZ75" s="71">
        <v>1</v>
      </c>
      <c r="BA75" s="71">
        <v>1</v>
      </c>
      <c r="BB75" s="71">
        <v>1</v>
      </c>
      <c r="BC75" s="71">
        <v>1</v>
      </c>
      <c r="BD75" s="71">
        <v>1</v>
      </c>
      <c r="BE75" s="71">
        <v>1</v>
      </c>
      <c r="BF75" s="71">
        <v>1</v>
      </c>
      <c r="BG75" s="71">
        <v>1</v>
      </c>
      <c r="BH75" s="71">
        <v>1</v>
      </c>
      <c r="BI75" s="71">
        <v>1</v>
      </c>
      <c r="BJ75" s="71">
        <v>1</v>
      </c>
      <c r="BK75" s="71">
        <v>1</v>
      </c>
      <c r="BL75" s="71">
        <v>1</v>
      </c>
      <c r="BM75" s="71">
        <v>1</v>
      </c>
      <c r="BN75" s="71">
        <v>1</v>
      </c>
      <c r="BO75" s="71">
        <v>1</v>
      </c>
      <c r="BP75" s="71">
        <v>1</v>
      </c>
      <c r="BQ75" s="71">
        <v>1</v>
      </c>
      <c r="BR75" s="71">
        <v>1</v>
      </c>
      <c r="BS75" s="71">
        <v>1</v>
      </c>
      <c r="BT75" s="71">
        <v>1</v>
      </c>
      <c r="BU75" s="71">
        <v>1</v>
      </c>
      <c r="BV75" s="71">
        <v>1</v>
      </c>
      <c r="BW75" s="71">
        <v>1</v>
      </c>
      <c r="BX75" s="71">
        <v>1</v>
      </c>
      <c r="BY75" s="71">
        <v>1</v>
      </c>
      <c r="BZ75" s="71">
        <v>1</v>
      </c>
      <c r="CA75" s="71">
        <v>1</v>
      </c>
      <c r="CB75" s="71">
        <v>1</v>
      </c>
      <c r="CC75" s="71">
        <v>1</v>
      </c>
      <c r="CD75" s="71">
        <v>1</v>
      </c>
      <c r="CE75" s="71">
        <v>1</v>
      </c>
      <c r="CF75" s="71">
        <v>1</v>
      </c>
      <c r="CG75" s="71">
        <v>1</v>
      </c>
      <c r="CH75" s="71">
        <v>1</v>
      </c>
      <c r="CI75" s="71">
        <v>1</v>
      </c>
      <c r="CJ75" s="71">
        <v>1</v>
      </c>
      <c r="CK75" s="71">
        <v>1</v>
      </c>
      <c r="CL75" s="71">
        <v>1</v>
      </c>
      <c r="CM75" s="71">
        <v>1</v>
      </c>
      <c r="CN75" s="71">
        <v>1</v>
      </c>
      <c r="CO75" s="71">
        <v>1</v>
      </c>
      <c r="CP75" s="71">
        <v>1</v>
      </c>
    </row>
    <row r="76" spans="2:94" hidden="1" outlineLevel="2" x14ac:dyDescent="0.4">
      <c r="B76" s="69"/>
      <c r="C76" s="70"/>
      <c r="D76" s="70"/>
      <c r="E76" s="70" t="s">
        <v>125</v>
      </c>
      <c r="F76" s="71">
        <f>'EDT Nueva'!F75</f>
        <v>0.33333333333333331</v>
      </c>
      <c r="H76" s="71">
        <v>0</v>
      </c>
      <c r="I76" s="71">
        <v>0</v>
      </c>
      <c r="J76" s="71">
        <v>0</v>
      </c>
      <c r="K76" s="71">
        <v>0</v>
      </c>
      <c r="L76" s="71">
        <v>0</v>
      </c>
      <c r="M76" s="71">
        <v>0</v>
      </c>
      <c r="N76" s="71">
        <v>0</v>
      </c>
      <c r="O76" s="71">
        <v>0</v>
      </c>
      <c r="P76" s="71">
        <v>0</v>
      </c>
      <c r="Q76" s="71">
        <v>0</v>
      </c>
      <c r="R76" s="71">
        <v>0</v>
      </c>
      <c r="S76" s="71">
        <v>0</v>
      </c>
      <c r="T76" s="71">
        <v>0</v>
      </c>
      <c r="U76" s="71">
        <v>0</v>
      </c>
      <c r="V76" s="71">
        <v>0</v>
      </c>
      <c r="W76" s="71">
        <v>0</v>
      </c>
      <c r="X76" s="71">
        <v>0.15</v>
      </c>
      <c r="Y76" s="71">
        <v>0.3</v>
      </c>
      <c r="Z76" s="71">
        <v>0.3</v>
      </c>
      <c r="AA76" s="71">
        <v>0.64</v>
      </c>
      <c r="AB76" s="71">
        <v>0.79999999999999993</v>
      </c>
      <c r="AC76" s="71">
        <v>0.80999999999999994</v>
      </c>
      <c r="AD76" s="71">
        <v>0.84999999999999987</v>
      </c>
      <c r="AE76" s="71">
        <v>0.84999999999999987</v>
      </c>
      <c r="AF76" s="71">
        <v>0.89999999999999991</v>
      </c>
      <c r="AG76" s="71">
        <v>0.89999999999999991</v>
      </c>
      <c r="AH76" s="71">
        <v>0.89999999999999991</v>
      </c>
      <c r="AI76" s="71">
        <v>0.89999999999999991</v>
      </c>
      <c r="AJ76" s="71">
        <v>0.89999999999999991</v>
      </c>
      <c r="AK76" s="71">
        <v>0.89999999999999991</v>
      </c>
      <c r="AL76" s="71">
        <v>0.89999999999999991</v>
      </c>
      <c r="AM76" s="71">
        <v>0.89999999999999991</v>
      </c>
      <c r="AN76" s="71">
        <v>0.89999999999999991</v>
      </c>
      <c r="AO76" s="71">
        <v>0.89999999999999991</v>
      </c>
      <c r="AP76" s="71">
        <v>0.89999999999999991</v>
      </c>
      <c r="AQ76" s="71">
        <v>0.89999999999999991</v>
      </c>
      <c r="AR76" s="71">
        <v>0.89999999999999991</v>
      </c>
      <c r="AS76" s="71">
        <v>0.89999999999999991</v>
      </c>
      <c r="AT76" s="71">
        <v>0.89999999999999991</v>
      </c>
      <c r="AU76" s="71">
        <v>0.89999999999999991</v>
      </c>
      <c r="AV76" s="71">
        <v>0.89999999999999991</v>
      </c>
      <c r="AW76" s="71">
        <v>0.89999999999999991</v>
      </c>
      <c r="AX76" s="71">
        <v>0.89999999999999991</v>
      </c>
      <c r="AY76" s="71">
        <v>0.89999999999999991</v>
      </c>
      <c r="AZ76" s="71">
        <v>0.89999999999999991</v>
      </c>
      <c r="BA76" s="71">
        <v>0.89999999999999991</v>
      </c>
      <c r="BB76" s="71">
        <v>0.89999999999999991</v>
      </c>
      <c r="BC76" s="71">
        <v>0.89999999999999991</v>
      </c>
      <c r="BD76" s="71">
        <v>0.89999999999999991</v>
      </c>
      <c r="BE76" s="71">
        <v>0.89999999999999991</v>
      </c>
      <c r="BF76" s="71">
        <v>0.89999999999999991</v>
      </c>
      <c r="BG76" s="71">
        <v>0.90500000000000003</v>
      </c>
      <c r="BH76" s="71">
        <v>0.91</v>
      </c>
      <c r="BI76" s="71">
        <v>0.91</v>
      </c>
      <c r="BJ76" s="71">
        <v>0.91</v>
      </c>
      <c r="BK76" s="71">
        <v>0.91</v>
      </c>
      <c r="BL76" s="74">
        <v>1</v>
      </c>
      <c r="BM76" s="74">
        <v>1</v>
      </c>
      <c r="BN76" s="74">
        <v>1</v>
      </c>
      <c r="BO76" s="74">
        <v>1</v>
      </c>
      <c r="BP76" s="74">
        <v>1</v>
      </c>
      <c r="BQ76" s="71">
        <v>0.89999999999999991</v>
      </c>
      <c r="BR76" s="71">
        <v>0.89999999999999991</v>
      </c>
      <c r="BS76" s="71">
        <v>0.89999999999999991</v>
      </c>
      <c r="BT76" s="71">
        <v>0.89999999999999991</v>
      </c>
      <c r="BU76" s="71">
        <v>0.89999999999999991</v>
      </c>
      <c r="BV76" s="71">
        <v>0.89999999999999991</v>
      </c>
      <c r="BW76" s="71">
        <v>0.89999999999999991</v>
      </c>
      <c r="BX76" s="71">
        <v>0.89999999999999991</v>
      </c>
      <c r="BY76" s="71">
        <v>0.89999999999999991</v>
      </c>
      <c r="BZ76" s="71">
        <v>0.89999999999999991</v>
      </c>
      <c r="CA76" s="71">
        <v>0.89999999999999991</v>
      </c>
      <c r="CB76" s="71">
        <v>0.89999999999999991</v>
      </c>
      <c r="CC76" s="71">
        <v>0.89999999999999991</v>
      </c>
      <c r="CD76" s="71">
        <v>0.89999999999999991</v>
      </c>
      <c r="CE76" s="71">
        <v>0.89999999999999991</v>
      </c>
      <c r="CF76" s="71">
        <v>0.89999999999999991</v>
      </c>
      <c r="CG76" s="71">
        <v>0.89999999999999991</v>
      </c>
      <c r="CH76" s="71">
        <v>0.89999999999999991</v>
      </c>
      <c r="CI76" s="71">
        <v>0.89999999999999991</v>
      </c>
      <c r="CJ76" s="71">
        <v>0.89999999999999991</v>
      </c>
      <c r="CK76" s="71">
        <v>0.89999999999999991</v>
      </c>
      <c r="CL76" s="71">
        <v>0.89999999999999991</v>
      </c>
      <c r="CM76" s="71">
        <v>0.89999999999999991</v>
      </c>
      <c r="CN76" s="71">
        <v>0.89999999999999991</v>
      </c>
      <c r="CO76" s="71">
        <v>0.89999999999999991</v>
      </c>
      <c r="CP76" s="71">
        <v>0.91</v>
      </c>
    </row>
    <row r="77" spans="2:94" outlineLevel="1" collapsed="1" x14ac:dyDescent="0.4">
      <c r="B77" s="85"/>
      <c r="C77" s="86"/>
      <c r="D77" s="86" t="s">
        <v>126</v>
      </c>
      <c r="E77" s="86"/>
      <c r="F77" s="87">
        <f>'EDT Nueva'!F76</f>
        <v>8.1726407806827425E-2</v>
      </c>
      <c r="H77" s="87">
        <f>SUMPRODUCT(H78:H83,$F$78:$F$83)</f>
        <v>0</v>
      </c>
      <c r="I77" s="87">
        <f t="shared" ref="I77:J77" si="660">SUMPRODUCT(I78:I83,$F$78:$F$83)</f>
        <v>0</v>
      </c>
      <c r="J77" s="87">
        <f t="shared" si="660"/>
        <v>0</v>
      </c>
      <c r="K77" s="87">
        <f t="shared" ref="K77:L77" si="661">SUMPRODUCT(K78:K83,$F$78:$F$83)</f>
        <v>0</v>
      </c>
      <c r="L77" s="87">
        <f t="shared" si="661"/>
        <v>0</v>
      </c>
      <c r="M77" s="87">
        <f t="shared" ref="M77" si="662">SUMPRODUCT(M78:M83,$F$78:$F$83)</f>
        <v>0</v>
      </c>
      <c r="N77" s="87">
        <f t="shared" ref="N77:O77" si="663">SUMPRODUCT(N78:N83,$F$78:$F$83)</f>
        <v>0</v>
      </c>
      <c r="O77" s="87">
        <f t="shared" si="663"/>
        <v>0</v>
      </c>
      <c r="P77" s="87">
        <f t="shared" ref="P77:Q77" si="664">SUMPRODUCT(P78:P83,$F$78:$F$83)</f>
        <v>0</v>
      </c>
      <c r="Q77" s="87">
        <f t="shared" si="664"/>
        <v>0</v>
      </c>
      <c r="R77" s="87">
        <f t="shared" ref="R77:U77" si="665">SUMPRODUCT(R78:R83,$F$78:$F$83)</f>
        <v>0</v>
      </c>
      <c r="S77" s="87">
        <f t="shared" si="665"/>
        <v>0</v>
      </c>
      <c r="T77" s="87">
        <f t="shared" si="665"/>
        <v>0</v>
      </c>
      <c r="U77" s="87">
        <f t="shared" si="665"/>
        <v>0</v>
      </c>
      <c r="V77" s="87">
        <f t="shared" ref="V77:W77" si="666">SUMPRODUCT(V78:V83,$F$78:$F$83)</f>
        <v>0</v>
      </c>
      <c r="W77" s="87">
        <f t="shared" si="666"/>
        <v>0</v>
      </c>
      <c r="X77" s="87">
        <f t="shared" ref="X77:Y77" si="667">SUMPRODUCT(X78:X83,$F$78:$F$83)</f>
        <v>0</v>
      </c>
      <c r="Y77" s="87">
        <f t="shared" si="667"/>
        <v>0</v>
      </c>
      <c r="Z77" s="87">
        <f t="shared" ref="Z77:AA77" si="668">SUMPRODUCT(Z78:Z83,$F$78:$F$83)</f>
        <v>0</v>
      </c>
      <c r="AA77" s="87">
        <f t="shared" si="668"/>
        <v>0</v>
      </c>
      <c r="AB77" s="87">
        <f t="shared" ref="AB77:AC77" si="669">SUMPRODUCT(AB78:AB83,$F$78:$F$83)</f>
        <v>0</v>
      </c>
      <c r="AC77" s="87">
        <f t="shared" si="669"/>
        <v>0</v>
      </c>
      <c r="AD77" s="87">
        <f t="shared" ref="AD77:AE77" si="670">SUMPRODUCT(AD78:AD83,$F$78:$F$83)</f>
        <v>0</v>
      </c>
      <c r="AE77" s="87">
        <f t="shared" si="670"/>
        <v>0</v>
      </c>
      <c r="AF77" s="87">
        <f t="shared" ref="AF77:AG77" si="671">SUMPRODUCT(AF78:AF83,$F$78:$F$83)</f>
        <v>0</v>
      </c>
      <c r="AG77" s="87">
        <f t="shared" si="671"/>
        <v>0.1111111111111111</v>
      </c>
      <c r="AH77" s="87">
        <f t="shared" ref="AH77:AI77" si="672">SUMPRODUCT(AH78:AH83,$F$78:$F$83)</f>
        <v>0.1111111111111111</v>
      </c>
      <c r="AI77" s="87">
        <f t="shared" si="672"/>
        <v>0.1111111111111111</v>
      </c>
      <c r="AJ77" s="87">
        <f t="shared" ref="AJ77:AK77" si="673">SUMPRODUCT(AJ78:AJ83,$F$78:$F$83)</f>
        <v>0.1111111111111111</v>
      </c>
      <c r="AK77" s="87">
        <f t="shared" si="673"/>
        <v>0.1111111111111111</v>
      </c>
      <c r="AL77" s="87">
        <f t="shared" ref="AL77:AM77" si="674">SUMPRODUCT(AL78:AL83,$F$78:$F$83)</f>
        <v>0.1111111111111111</v>
      </c>
      <c r="AM77" s="87">
        <f t="shared" si="674"/>
        <v>0.1111111111111111</v>
      </c>
      <c r="AN77" s="87">
        <f t="shared" ref="AN77" si="675">SUMPRODUCT(AN78:AN83,$F$78:$F$83)</f>
        <v>0.1111111111111111</v>
      </c>
      <c r="AO77" s="87">
        <f t="shared" ref="AO77" si="676">SUMPRODUCT(AO78:AO83,$F$78:$F$83)</f>
        <v>0.1111111111111111</v>
      </c>
      <c r="AP77" s="87">
        <f t="shared" ref="AP77" si="677">SUMPRODUCT(AP78:AP83,$F$78:$F$83)</f>
        <v>0.1111111111111111</v>
      </c>
      <c r="AQ77" s="87">
        <f t="shared" ref="AQ77:AR77" si="678">SUMPRODUCT(AQ78:AQ83,$F$78:$F$83)</f>
        <v>0.1111111111111111</v>
      </c>
      <c r="AR77" s="87">
        <f t="shared" si="678"/>
        <v>0.1111111111111111</v>
      </c>
      <c r="AS77" s="87">
        <f t="shared" ref="AS77" si="679">SUMPRODUCT(AS78:AS83,$F$78:$F$83)</f>
        <v>0.1111111111111111</v>
      </c>
      <c r="AT77" s="87">
        <f t="shared" ref="AT77:BC77" si="680">SUMPRODUCT(AT78:AT83,$F$78:$F$83)</f>
        <v>0.1111111111111111</v>
      </c>
      <c r="AU77" s="87">
        <f t="shared" si="680"/>
        <v>0.1111111111111111</v>
      </c>
      <c r="AV77" s="87">
        <f t="shared" si="680"/>
        <v>0.1111111111111111</v>
      </c>
      <c r="AW77" s="87">
        <f t="shared" si="680"/>
        <v>0.1111111111111111</v>
      </c>
      <c r="AX77" s="87">
        <f t="shared" si="680"/>
        <v>0.1111111111111111</v>
      </c>
      <c r="AY77" s="87">
        <f t="shared" si="680"/>
        <v>0.1111111111111111</v>
      </c>
      <c r="AZ77" s="87">
        <f t="shared" si="680"/>
        <v>0.1111111111111111</v>
      </c>
      <c r="BA77" s="87">
        <f t="shared" si="680"/>
        <v>0.1111111111111111</v>
      </c>
      <c r="BB77" s="87">
        <f t="shared" si="680"/>
        <v>0.1111111111111111</v>
      </c>
      <c r="BC77" s="87">
        <f t="shared" si="680"/>
        <v>0.1111111111111111</v>
      </c>
      <c r="BD77" s="87">
        <f t="shared" ref="BD77:BE77" si="681">SUMPRODUCT(BD78:BD83,$F$78:$F$83)</f>
        <v>0.1111111111111111</v>
      </c>
      <c r="BE77" s="87">
        <f t="shared" si="681"/>
        <v>0.1111111111111111</v>
      </c>
      <c r="BF77" s="87">
        <f t="shared" ref="BF77:BG77" si="682">SUMPRODUCT(BF78:BF83,$F$78:$F$83)</f>
        <v>0.1111111111111111</v>
      </c>
      <c r="BG77" s="87">
        <f t="shared" si="682"/>
        <v>0.1111111111111111</v>
      </c>
      <c r="BH77" s="87">
        <f t="shared" ref="BH77:BI77" si="683">SUMPRODUCT(BH78:BH83,$F$78:$F$83)</f>
        <v>0.1111111111111111</v>
      </c>
      <c r="BI77" s="87">
        <f t="shared" si="683"/>
        <v>0.1111111111111111</v>
      </c>
      <c r="BJ77" s="87">
        <f t="shared" ref="BJ77:BK77" si="684">SUMPRODUCT(BJ78:BJ83,$F$78:$F$83)</f>
        <v>0.1111111111111111</v>
      </c>
      <c r="BK77" s="87">
        <f t="shared" si="684"/>
        <v>0.1111111111111111</v>
      </c>
      <c r="BL77" s="87">
        <f t="shared" ref="BL77:BM77" si="685">SUMPRODUCT(BL78:BL83,$F$78:$F$83)</f>
        <v>0.1111111111111111</v>
      </c>
      <c r="BM77" s="87">
        <f t="shared" si="685"/>
        <v>0.1111111111111111</v>
      </c>
      <c r="BN77" s="87">
        <f t="shared" ref="BN77" si="686">SUMPRODUCT(BN78:BN83,$F$78:$F$83)</f>
        <v>0.1111111111111111</v>
      </c>
      <c r="BO77" s="87">
        <f t="shared" ref="BO77" si="687">SUMPRODUCT(BO78:BO83,$F$78:$F$83)</f>
        <v>0.1111111111111111</v>
      </c>
      <c r="BP77" s="87">
        <f t="shared" ref="BP77" si="688">SUMPRODUCT(BP78:BP83,$F$78:$F$83)</f>
        <v>0.1111111111111111</v>
      </c>
      <c r="BQ77" s="87">
        <f t="shared" ref="BQ77:BR77" si="689">SUMPRODUCT(BQ78:BQ83,$F$78:$F$83)</f>
        <v>0.1111111111111111</v>
      </c>
      <c r="BR77" s="87">
        <f t="shared" si="689"/>
        <v>0.1111111111111111</v>
      </c>
      <c r="BS77" s="87">
        <f t="shared" ref="BS77:BT77" si="690">SUMPRODUCT(BS78:BS83,$F$78:$F$83)</f>
        <v>0.1111111111111111</v>
      </c>
      <c r="BT77" s="87">
        <f t="shared" si="690"/>
        <v>0.1111111111111111</v>
      </c>
      <c r="BU77" s="87">
        <f t="shared" ref="BU77:BV77" si="691">SUMPRODUCT(BU78:BU83,$F$78:$F$83)</f>
        <v>0.1111111111111111</v>
      </c>
      <c r="BV77" s="87">
        <f t="shared" si="691"/>
        <v>0.1111111111111111</v>
      </c>
      <c r="BW77" s="87">
        <f t="shared" ref="BW77:CP77" si="692">SUMPRODUCT(BW78:BW83,$F$78:$F$83)</f>
        <v>0.1111111111111111</v>
      </c>
      <c r="BX77" s="87">
        <f t="shared" si="692"/>
        <v>0.1111111111111111</v>
      </c>
      <c r="BY77" s="87">
        <f t="shared" si="692"/>
        <v>0.1111111111111111</v>
      </c>
      <c r="BZ77" s="87">
        <f t="shared" si="692"/>
        <v>0.1111111111111111</v>
      </c>
      <c r="CA77" s="87">
        <f t="shared" si="692"/>
        <v>0.1111111111111111</v>
      </c>
      <c r="CB77" s="87">
        <f t="shared" si="692"/>
        <v>0.1111111111111111</v>
      </c>
      <c r="CC77" s="87">
        <f t="shared" si="692"/>
        <v>0.1111111111111111</v>
      </c>
      <c r="CD77" s="87">
        <f t="shared" si="692"/>
        <v>0.1111111111111111</v>
      </c>
      <c r="CE77" s="87">
        <f t="shared" si="692"/>
        <v>0.1111111111111111</v>
      </c>
      <c r="CF77" s="87">
        <f t="shared" si="692"/>
        <v>0.1111111111111111</v>
      </c>
      <c r="CG77" s="87">
        <f t="shared" si="692"/>
        <v>0.1111111111111111</v>
      </c>
      <c r="CH77" s="87">
        <f t="shared" si="692"/>
        <v>0.1111111111111111</v>
      </c>
      <c r="CI77" s="87">
        <f t="shared" si="692"/>
        <v>0.1111111111111111</v>
      </c>
      <c r="CJ77" s="87">
        <f t="shared" si="692"/>
        <v>0.1111111111111111</v>
      </c>
      <c r="CK77" s="87">
        <f t="shared" si="692"/>
        <v>0.1111111111111111</v>
      </c>
      <c r="CL77" s="87">
        <f t="shared" si="692"/>
        <v>0.1111111111111111</v>
      </c>
      <c r="CM77" s="87">
        <f t="shared" si="692"/>
        <v>0.1111111111111111</v>
      </c>
      <c r="CN77" s="87">
        <f t="shared" si="692"/>
        <v>0.1111111111111111</v>
      </c>
      <c r="CO77" s="87">
        <f t="shared" si="692"/>
        <v>0.1111111111111111</v>
      </c>
      <c r="CP77" s="87">
        <f t="shared" si="692"/>
        <v>0.1111111111111111</v>
      </c>
    </row>
    <row r="78" spans="2:94" hidden="1" outlineLevel="2" x14ac:dyDescent="0.4">
      <c r="B78" s="69"/>
      <c r="C78" s="70"/>
      <c r="D78" s="70"/>
      <c r="E78" s="70" t="s">
        <v>127</v>
      </c>
      <c r="F78" s="71">
        <f>'EDT Nueva'!F77</f>
        <v>0.22222222222222221</v>
      </c>
      <c r="H78" s="71">
        <v>0</v>
      </c>
      <c r="I78" s="71">
        <v>0</v>
      </c>
      <c r="J78" s="71">
        <v>0</v>
      </c>
      <c r="K78" s="71">
        <v>0</v>
      </c>
      <c r="L78" s="71">
        <v>0</v>
      </c>
      <c r="M78" s="71">
        <v>0</v>
      </c>
      <c r="N78" s="71">
        <v>0</v>
      </c>
      <c r="O78" s="71">
        <v>0</v>
      </c>
      <c r="P78" s="71">
        <v>0</v>
      </c>
      <c r="Q78" s="71">
        <v>0</v>
      </c>
      <c r="R78" s="71">
        <v>0</v>
      </c>
      <c r="S78" s="71">
        <v>0</v>
      </c>
      <c r="T78" s="71">
        <v>0</v>
      </c>
      <c r="U78" s="71">
        <v>0</v>
      </c>
      <c r="V78" s="71">
        <v>0</v>
      </c>
      <c r="W78" s="71">
        <v>0</v>
      </c>
      <c r="X78" s="71">
        <v>0</v>
      </c>
      <c r="Y78" s="71">
        <v>0</v>
      </c>
      <c r="Z78" s="71">
        <v>0</v>
      </c>
      <c r="AA78" s="71">
        <v>0</v>
      </c>
      <c r="AB78" s="71">
        <v>0</v>
      </c>
      <c r="AC78" s="71">
        <v>0</v>
      </c>
      <c r="AD78" s="71">
        <v>0</v>
      </c>
      <c r="AE78" s="71">
        <v>0</v>
      </c>
      <c r="AF78" s="71">
        <v>0</v>
      </c>
      <c r="AG78" s="71">
        <v>0</v>
      </c>
      <c r="AH78" s="71">
        <v>0</v>
      </c>
      <c r="AI78" s="71">
        <v>0</v>
      </c>
      <c r="AJ78" s="71">
        <v>0</v>
      </c>
      <c r="AK78" s="71">
        <v>0</v>
      </c>
      <c r="AL78" s="71">
        <v>0</v>
      </c>
      <c r="AM78" s="71">
        <v>0</v>
      </c>
      <c r="AN78" s="71">
        <v>0</v>
      </c>
      <c r="AO78" s="71">
        <v>0</v>
      </c>
      <c r="AP78" s="71">
        <v>0</v>
      </c>
      <c r="AQ78" s="71">
        <v>0</v>
      </c>
      <c r="AR78" s="71">
        <v>0</v>
      </c>
      <c r="AS78" s="71">
        <v>0</v>
      </c>
      <c r="AT78" s="71">
        <v>0</v>
      </c>
      <c r="AU78" s="71">
        <v>0</v>
      </c>
      <c r="AV78" s="71">
        <v>0</v>
      </c>
      <c r="AW78" s="71">
        <v>0</v>
      </c>
      <c r="AX78" s="71">
        <v>0</v>
      </c>
      <c r="AY78" s="71">
        <v>0</v>
      </c>
      <c r="AZ78" s="71">
        <v>0</v>
      </c>
      <c r="BA78" s="71">
        <v>0</v>
      </c>
      <c r="BB78" s="71">
        <v>0</v>
      </c>
      <c r="BC78" s="71">
        <v>0</v>
      </c>
      <c r="BD78" s="71">
        <v>0</v>
      </c>
      <c r="BE78" s="71">
        <v>0</v>
      </c>
      <c r="BF78" s="71">
        <v>0</v>
      </c>
      <c r="BG78" s="71">
        <v>0</v>
      </c>
      <c r="BH78" s="71">
        <v>0</v>
      </c>
      <c r="BI78" s="71">
        <v>0</v>
      </c>
      <c r="BJ78" s="71">
        <v>0</v>
      </c>
      <c r="BK78" s="71">
        <v>0</v>
      </c>
      <c r="BL78" s="71">
        <v>0</v>
      </c>
      <c r="BM78" s="71">
        <v>0</v>
      </c>
      <c r="BN78" s="71">
        <v>0</v>
      </c>
      <c r="BO78" s="71">
        <v>0</v>
      </c>
      <c r="BP78" s="71">
        <v>0</v>
      </c>
      <c r="BQ78" s="71">
        <v>0</v>
      </c>
      <c r="BR78" s="71">
        <v>0</v>
      </c>
      <c r="BS78" s="71">
        <v>0</v>
      </c>
      <c r="BT78" s="71">
        <v>0</v>
      </c>
      <c r="BU78" s="71">
        <v>0</v>
      </c>
      <c r="BV78" s="71">
        <v>0</v>
      </c>
      <c r="BW78" s="71">
        <v>0</v>
      </c>
      <c r="BX78" s="71">
        <v>0</v>
      </c>
      <c r="BY78" s="71">
        <v>0</v>
      </c>
      <c r="BZ78" s="71">
        <v>0</v>
      </c>
      <c r="CA78" s="71">
        <v>0</v>
      </c>
      <c r="CB78" s="71">
        <v>0</v>
      </c>
      <c r="CC78" s="71">
        <v>0</v>
      </c>
      <c r="CD78" s="71">
        <v>0</v>
      </c>
      <c r="CE78" s="71">
        <v>0</v>
      </c>
      <c r="CF78" s="71">
        <v>0</v>
      </c>
      <c r="CG78" s="71">
        <v>0</v>
      </c>
      <c r="CH78" s="71">
        <v>0</v>
      </c>
      <c r="CI78" s="71">
        <v>0</v>
      </c>
      <c r="CJ78" s="71">
        <v>0</v>
      </c>
      <c r="CK78" s="71">
        <v>0</v>
      </c>
      <c r="CL78" s="71">
        <v>0</v>
      </c>
      <c r="CM78" s="71">
        <v>0</v>
      </c>
      <c r="CN78" s="71">
        <v>0</v>
      </c>
      <c r="CO78" s="71">
        <v>0</v>
      </c>
      <c r="CP78" s="71">
        <v>0</v>
      </c>
    </row>
    <row r="79" spans="2:94" hidden="1" outlineLevel="2" x14ac:dyDescent="0.4">
      <c r="B79" s="69"/>
      <c r="C79" s="70"/>
      <c r="D79" s="70"/>
      <c r="E79" s="70" t="s">
        <v>128</v>
      </c>
      <c r="F79" s="71">
        <f>'EDT Nueva'!F78</f>
        <v>0.1111111111111111</v>
      </c>
      <c r="H79" s="71">
        <v>0</v>
      </c>
      <c r="I79" s="71">
        <v>0</v>
      </c>
      <c r="J79" s="71">
        <v>0</v>
      </c>
      <c r="K79" s="71">
        <v>0</v>
      </c>
      <c r="L79" s="71">
        <v>0</v>
      </c>
      <c r="M79" s="71">
        <v>0</v>
      </c>
      <c r="N79" s="71">
        <v>0</v>
      </c>
      <c r="O79" s="71">
        <v>0</v>
      </c>
      <c r="P79" s="71">
        <v>0</v>
      </c>
      <c r="Q79" s="71">
        <v>0</v>
      </c>
      <c r="R79" s="71">
        <v>0</v>
      </c>
      <c r="S79" s="71">
        <v>0</v>
      </c>
      <c r="T79" s="71">
        <v>0</v>
      </c>
      <c r="U79" s="71">
        <v>0</v>
      </c>
      <c r="V79" s="71">
        <v>0</v>
      </c>
      <c r="W79" s="71">
        <v>0</v>
      </c>
      <c r="X79" s="71">
        <v>0</v>
      </c>
      <c r="Y79" s="71">
        <v>0</v>
      </c>
      <c r="Z79" s="71">
        <v>0</v>
      </c>
      <c r="AA79" s="71">
        <v>0</v>
      </c>
      <c r="AB79" s="71">
        <v>0</v>
      </c>
      <c r="AC79" s="71">
        <v>0</v>
      </c>
      <c r="AD79" s="71">
        <v>0</v>
      </c>
      <c r="AE79" s="71">
        <v>0</v>
      </c>
      <c r="AF79" s="71">
        <v>0</v>
      </c>
      <c r="AG79" s="71">
        <v>0</v>
      </c>
      <c r="AH79" s="71">
        <v>0</v>
      </c>
      <c r="AI79" s="71">
        <v>0</v>
      </c>
      <c r="AJ79" s="71">
        <v>0</v>
      </c>
      <c r="AK79" s="71">
        <v>0</v>
      </c>
      <c r="AL79" s="71">
        <v>0</v>
      </c>
      <c r="AM79" s="71">
        <v>0</v>
      </c>
      <c r="AN79" s="71">
        <v>0</v>
      </c>
      <c r="AO79" s="71">
        <v>0</v>
      </c>
      <c r="AP79" s="71">
        <v>0</v>
      </c>
      <c r="AQ79" s="71">
        <v>0</v>
      </c>
      <c r="AR79" s="71">
        <v>0</v>
      </c>
      <c r="AS79" s="71">
        <v>0</v>
      </c>
      <c r="AT79" s="71">
        <v>0</v>
      </c>
      <c r="AU79" s="71">
        <v>0</v>
      </c>
      <c r="AV79" s="71">
        <v>0</v>
      </c>
      <c r="AW79" s="71">
        <v>0</v>
      </c>
      <c r="AX79" s="71">
        <v>0</v>
      </c>
      <c r="AY79" s="71">
        <v>0</v>
      </c>
      <c r="AZ79" s="71">
        <v>0</v>
      </c>
      <c r="BA79" s="71">
        <v>0</v>
      </c>
      <c r="BB79" s="71">
        <v>0</v>
      </c>
      <c r="BC79" s="71">
        <v>0</v>
      </c>
      <c r="BD79" s="71">
        <v>0</v>
      </c>
      <c r="BE79" s="71">
        <v>0</v>
      </c>
      <c r="BF79" s="71">
        <v>0</v>
      </c>
      <c r="BG79" s="71">
        <v>0</v>
      </c>
      <c r="BH79" s="71">
        <v>0</v>
      </c>
      <c r="BI79" s="71">
        <v>0</v>
      </c>
      <c r="BJ79" s="71">
        <v>0</v>
      </c>
      <c r="BK79" s="71">
        <v>0</v>
      </c>
      <c r="BL79" s="71">
        <v>0</v>
      </c>
      <c r="BM79" s="71">
        <v>0</v>
      </c>
      <c r="BN79" s="71">
        <v>0</v>
      </c>
      <c r="BO79" s="71">
        <v>0</v>
      </c>
      <c r="BP79" s="71">
        <v>0</v>
      </c>
      <c r="BQ79" s="71">
        <v>0</v>
      </c>
      <c r="BR79" s="71">
        <v>0</v>
      </c>
      <c r="BS79" s="71">
        <v>0</v>
      </c>
      <c r="BT79" s="71">
        <v>0</v>
      </c>
      <c r="BU79" s="71">
        <v>0</v>
      </c>
      <c r="BV79" s="71">
        <v>0</v>
      </c>
      <c r="BW79" s="71">
        <v>0</v>
      </c>
      <c r="BX79" s="71">
        <v>0</v>
      </c>
      <c r="BY79" s="71">
        <v>0</v>
      </c>
      <c r="BZ79" s="71">
        <v>0</v>
      </c>
      <c r="CA79" s="71">
        <v>0</v>
      </c>
      <c r="CB79" s="71">
        <v>0</v>
      </c>
      <c r="CC79" s="71">
        <v>0</v>
      </c>
      <c r="CD79" s="71">
        <v>0</v>
      </c>
      <c r="CE79" s="71">
        <v>0</v>
      </c>
      <c r="CF79" s="71">
        <v>0</v>
      </c>
      <c r="CG79" s="71">
        <v>0</v>
      </c>
      <c r="CH79" s="71">
        <v>0</v>
      </c>
      <c r="CI79" s="71">
        <v>0</v>
      </c>
      <c r="CJ79" s="71">
        <v>0</v>
      </c>
      <c r="CK79" s="71">
        <v>0</v>
      </c>
      <c r="CL79" s="71">
        <v>0</v>
      </c>
      <c r="CM79" s="71">
        <v>0</v>
      </c>
      <c r="CN79" s="71">
        <v>0</v>
      </c>
      <c r="CO79" s="71">
        <v>0</v>
      </c>
      <c r="CP79" s="71">
        <v>0</v>
      </c>
    </row>
    <row r="80" spans="2:94" hidden="1" outlineLevel="2" x14ac:dyDescent="0.4">
      <c r="B80" s="69"/>
      <c r="C80" s="70"/>
      <c r="D80" s="70"/>
      <c r="E80" s="70" t="s">
        <v>129</v>
      </c>
      <c r="F80" s="71">
        <f>'EDT Nueva'!F79</f>
        <v>0.1111111111111111</v>
      </c>
      <c r="H80" s="71">
        <v>0</v>
      </c>
      <c r="I80" s="71">
        <v>0</v>
      </c>
      <c r="J80" s="71">
        <v>0</v>
      </c>
      <c r="K80" s="71">
        <v>0</v>
      </c>
      <c r="L80" s="71">
        <v>0</v>
      </c>
      <c r="M80" s="71">
        <v>0</v>
      </c>
      <c r="N80" s="71">
        <v>0</v>
      </c>
      <c r="O80" s="71">
        <v>0</v>
      </c>
      <c r="P80" s="71">
        <v>0</v>
      </c>
      <c r="Q80" s="71">
        <v>0</v>
      </c>
      <c r="R80" s="71">
        <v>0</v>
      </c>
      <c r="S80" s="71">
        <v>0</v>
      </c>
      <c r="T80" s="71">
        <v>0</v>
      </c>
      <c r="U80" s="71">
        <v>0</v>
      </c>
      <c r="V80" s="71">
        <v>0</v>
      </c>
      <c r="W80" s="71">
        <v>0</v>
      </c>
      <c r="X80" s="71">
        <v>0</v>
      </c>
      <c r="Y80" s="71">
        <v>0</v>
      </c>
      <c r="Z80" s="71">
        <v>0</v>
      </c>
      <c r="AA80" s="71">
        <v>0</v>
      </c>
      <c r="AB80" s="71">
        <v>0</v>
      </c>
      <c r="AC80" s="71">
        <v>0</v>
      </c>
      <c r="AD80" s="71">
        <v>0</v>
      </c>
      <c r="AE80" s="71">
        <v>0</v>
      </c>
      <c r="AF80" s="71">
        <v>0</v>
      </c>
      <c r="AG80" s="71">
        <v>0</v>
      </c>
      <c r="AH80" s="71">
        <v>0</v>
      </c>
      <c r="AI80" s="71">
        <v>0</v>
      </c>
      <c r="AJ80" s="71">
        <v>0</v>
      </c>
      <c r="AK80" s="71">
        <v>0</v>
      </c>
      <c r="AL80" s="71">
        <v>0</v>
      </c>
      <c r="AM80" s="71">
        <v>0</v>
      </c>
      <c r="AN80" s="71">
        <v>0</v>
      </c>
      <c r="AO80" s="71">
        <v>0</v>
      </c>
      <c r="AP80" s="71">
        <v>0</v>
      </c>
      <c r="AQ80" s="71">
        <v>0</v>
      </c>
      <c r="AR80" s="71">
        <v>0</v>
      </c>
      <c r="AS80" s="71">
        <v>0</v>
      </c>
      <c r="AT80" s="71">
        <v>0</v>
      </c>
      <c r="AU80" s="71">
        <v>0</v>
      </c>
      <c r="AV80" s="71">
        <v>0</v>
      </c>
      <c r="AW80" s="71">
        <v>0</v>
      </c>
      <c r="AX80" s="71">
        <v>0</v>
      </c>
      <c r="AY80" s="71">
        <v>0</v>
      </c>
      <c r="AZ80" s="71">
        <v>0</v>
      </c>
      <c r="BA80" s="71">
        <v>0</v>
      </c>
      <c r="BB80" s="71">
        <v>0</v>
      </c>
      <c r="BC80" s="71">
        <v>0</v>
      </c>
      <c r="BD80" s="71">
        <v>0</v>
      </c>
      <c r="BE80" s="71">
        <v>0</v>
      </c>
      <c r="BF80" s="71">
        <v>0</v>
      </c>
      <c r="BG80" s="71">
        <v>0</v>
      </c>
      <c r="BH80" s="71">
        <v>0</v>
      </c>
      <c r="BI80" s="71">
        <v>0</v>
      </c>
      <c r="BJ80" s="71">
        <v>0</v>
      </c>
      <c r="BK80" s="71">
        <v>0</v>
      </c>
      <c r="BL80" s="71">
        <v>0</v>
      </c>
      <c r="BM80" s="71">
        <v>0</v>
      </c>
      <c r="BN80" s="71">
        <v>0</v>
      </c>
      <c r="BO80" s="71">
        <v>0</v>
      </c>
      <c r="BP80" s="71">
        <v>0</v>
      </c>
      <c r="BQ80" s="71">
        <v>0</v>
      </c>
      <c r="BR80" s="71">
        <v>0</v>
      </c>
      <c r="BS80" s="71">
        <v>0</v>
      </c>
      <c r="BT80" s="71">
        <v>0</v>
      </c>
      <c r="BU80" s="71">
        <v>0</v>
      </c>
      <c r="BV80" s="71">
        <v>0</v>
      </c>
      <c r="BW80" s="71">
        <v>0</v>
      </c>
      <c r="BX80" s="71">
        <v>0</v>
      </c>
      <c r="BY80" s="71">
        <v>0</v>
      </c>
      <c r="BZ80" s="71">
        <v>0</v>
      </c>
      <c r="CA80" s="71">
        <v>0</v>
      </c>
      <c r="CB80" s="71">
        <v>0</v>
      </c>
      <c r="CC80" s="71">
        <v>0</v>
      </c>
      <c r="CD80" s="71">
        <v>0</v>
      </c>
      <c r="CE80" s="71">
        <v>0</v>
      </c>
      <c r="CF80" s="71">
        <v>0</v>
      </c>
      <c r="CG80" s="71">
        <v>0</v>
      </c>
      <c r="CH80" s="71">
        <v>0</v>
      </c>
      <c r="CI80" s="71">
        <v>0</v>
      </c>
      <c r="CJ80" s="71">
        <v>0</v>
      </c>
      <c r="CK80" s="71">
        <v>0</v>
      </c>
      <c r="CL80" s="71">
        <v>0</v>
      </c>
      <c r="CM80" s="71">
        <v>0</v>
      </c>
      <c r="CN80" s="71">
        <v>0</v>
      </c>
      <c r="CO80" s="71">
        <v>0</v>
      </c>
      <c r="CP80" s="71">
        <v>0</v>
      </c>
    </row>
    <row r="81" spans="2:94" hidden="1" outlineLevel="2" x14ac:dyDescent="0.4">
      <c r="B81" s="69"/>
      <c r="C81" s="70"/>
      <c r="D81" s="70"/>
      <c r="E81" s="70" t="s">
        <v>130</v>
      </c>
      <c r="F81" s="71">
        <f>'EDT Nueva'!F80</f>
        <v>0.22222222222222221</v>
      </c>
      <c r="H81" s="71">
        <v>0</v>
      </c>
      <c r="I81" s="71">
        <v>0</v>
      </c>
      <c r="J81" s="71">
        <v>0</v>
      </c>
      <c r="K81" s="71">
        <v>0</v>
      </c>
      <c r="L81" s="71">
        <v>0</v>
      </c>
      <c r="M81" s="71">
        <v>0</v>
      </c>
      <c r="N81" s="71">
        <v>0</v>
      </c>
      <c r="O81" s="71">
        <v>0</v>
      </c>
      <c r="P81" s="71">
        <v>0</v>
      </c>
      <c r="Q81" s="71">
        <v>0</v>
      </c>
      <c r="R81" s="71">
        <v>0</v>
      </c>
      <c r="S81" s="71">
        <v>0</v>
      </c>
      <c r="T81" s="71">
        <v>0</v>
      </c>
      <c r="U81" s="71">
        <v>0</v>
      </c>
      <c r="V81" s="71">
        <v>0</v>
      </c>
      <c r="W81" s="71">
        <v>0</v>
      </c>
      <c r="X81" s="71">
        <v>0</v>
      </c>
      <c r="Y81" s="71">
        <v>0</v>
      </c>
      <c r="Z81" s="71">
        <v>0</v>
      </c>
      <c r="AA81" s="71">
        <v>0</v>
      </c>
      <c r="AB81" s="71">
        <v>0</v>
      </c>
      <c r="AC81" s="71">
        <v>0</v>
      </c>
      <c r="AD81" s="71">
        <v>0</v>
      </c>
      <c r="AE81" s="71">
        <v>0</v>
      </c>
      <c r="AF81" s="71">
        <v>0</v>
      </c>
      <c r="AG81" s="71">
        <v>0</v>
      </c>
      <c r="AH81" s="71">
        <v>0</v>
      </c>
      <c r="AI81" s="71">
        <v>0</v>
      </c>
      <c r="AJ81" s="71">
        <v>0</v>
      </c>
      <c r="AK81" s="71">
        <v>0</v>
      </c>
      <c r="AL81" s="71">
        <v>0</v>
      </c>
      <c r="AM81" s="71">
        <v>0</v>
      </c>
      <c r="AN81" s="71">
        <v>0</v>
      </c>
      <c r="AO81" s="71">
        <v>0</v>
      </c>
      <c r="AP81" s="71">
        <v>0</v>
      </c>
      <c r="AQ81" s="71">
        <v>0</v>
      </c>
      <c r="AR81" s="71">
        <v>0</v>
      </c>
      <c r="AS81" s="71">
        <v>0</v>
      </c>
      <c r="AT81" s="71">
        <v>0</v>
      </c>
      <c r="AU81" s="71">
        <v>0</v>
      </c>
      <c r="AV81" s="71">
        <v>0</v>
      </c>
      <c r="AW81" s="71">
        <v>0</v>
      </c>
      <c r="AX81" s="71">
        <v>0</v>
      </c>
      <c r="AY81" s="71">
        <v>0</v>
      </c>
      <c r="AZ81" s="71">
        <v>0</v>
      </c>
      <c r="BA81" s="71">
        <v>0</v>
      </c>
      <c r="BB81" s="71">
        <v>0</v>
      </c>
      <c r="BC81" s="71">
        <v>0</v>
      </c>
      <c r="BD81" s="71">
        <v>0</v>
      </c>
      <c r="BE81" s="71">
        <v>0</v>
      </c>
      <c r="BF81" s="71">
        <v>0</v>
      </c>
      <c r="BG81" s="71">
        <v>0</v>
      </c>
      <c r="BH81" s="71">
        <v>0</v>
      </c>
      <c r="BI81" s="71">
        <v>0</v>
      </c>
      <c r="BJ81" s="71">
        <v>0</v>
      </c>
      <c r="BK81" s="71">
        <v>0</v>
      </c>
      <c r="BL81" s="71">
        <v>0</v>
      </c>
      <c r="BM81" s="71">
        <v>0</v>
      </c>
      <c r="BN81" s="71">
        <v>0</v>
      </c>
      <c r="BO81" s="71">
        <v>0</v>
      </c>
      <c r="BP81" s="71">
        <v>0</v>
      </c>
      <c r="BQ81" s="71">
        <v>0</v>
      </c>
      <c r="BR81" s="71">
        <v>0</v>
      </c>
      <c r="BS81" s="71">
        <v>0</v>
      </c>
      <c r="BT81" s="71">
        <v>0</v>
      </c>
      <c r="BU81" s="71">
        <v>0</v>
      </c>
      <c r="BV81" s="71">
        <v>0</v>
      </c>
      <c r="BW81" s="71">
        <v>0</v>
      </c>
      <c r="BX81" s="71">
        <v>0</v>
      </c>
      <c r="BY81" s="71">
        <v>0</v>
      </c>
      <c r="BZ81" s="71">
        <v>0</v>
      </c>
      <c r="CA81" s="71">
        <v>0</v>
      </c>
      <c r="CB81" s="71">
        <v>0</v>
      </c>
      <c r="CC81" s="71">
        <v>0</v>
      </c>
      <c r="CD81" s="71">
        <v>0</v>
      </c>
      <c r="CE81" s="71">
        <v>0</v>
      </c>
      <c r="CF81" s="71">
        <v>0</v>
      </c>
      <c r="CG81" s="71">
        <v>0</v>
      </c>
      <c r="CH81" s="71">
        <v>0</v>
      </c>
      <c r="CI81" s="71">
        <v>0</v>
      </c>
      <c r="CJ81" s="71">
        <v>0</v>
      </c>
      <c r="CK81" s="71">
        <v>0</v>
      </c>
      <c r="CL81" s="71">
        <v>0</v>
      </c>
      <c r="CM81" s="71">
        <v>0</v>
      </c>
      <c r="CN81" s="71">
        <v>0</v>
      </c>
      <c r="CO81" s="71">
        <v>0</v>
      </c>
      <c r="CP81" s="71">
        <v>0</v>
      </c>
    </row>
    <row r="82" spans="2:94" hidden="1" outlineLevel="2" x14ac:dyDescent="0.4">
      <c r="B82" s="69"/>
      <c r="C82" s="70"/>
      <c r="D82" s="70"/>
      <c r="E82" s="70" t="s">
        <v>131</v>
      </c>
      <c r="F82" s="71">
        <f>'EDT Nueva'!F81</f>
        <v>0.1111111111111111</v>
      </c>
      <c r="H82" s="71">
        <v>0</v>
      </c>
      <c r="I82" s="71">
        <v>0</v>
      </c>
      <c r="J82" s="71">
        <v>0</v>
      </c>
      <c r="K82" s="71">
        <v>0</v>
      </c>
      <c r="L82" s="71">
        <v>0</v>
      </c>
      <c r="M82" s="71">
        <v>0</v>
      </c>
      <c r="N82" s="71">
        <v>0</v>
      </c>
      <c r="O82" s="71">
        <v>0</v>
      </c>
      <c r="P82" s="71">
        <v>0</v>
      </c>
      <c r="Q82" s="71">
        <v>0</v>
      </c>
      <c r="R82" s="71">
        <v>0</v>
      </c>
      <c r="S82" s="71">
        <v>0</v>
      </c>
      <c r="T82" s="71">
        <v>0</v>
      </c>
      <c r="U82" s="71">
        <v>0</v>
      </c>
      <c r="V82" s="71">
        <v>0</v>
      </c>
      <c r="W82" s="71">
        <v>0</v>
      </c>
      <c r="X82" s="71">
        <v>0</v>
      </c>
      <c r="Y82" s="71">
        <v>0</v>
      </c>
      <c r="Z82" s="71">
        <v>0</v>
      </c>
      <c r="AA82" s="71">
        <v>0</v>
      </c>
      <c r="AB82" s="71">
        <v>0</v>
      </c>
      <c r="AC82" s="71">
        <v>0</v>
      </c>
      <c r="AD82" s="71">
        <v>0</v>
      </c>
      <c r="AE82" s="71">
        <v>0</v>
      </c>
      <c r="AF82" s="71">
        <v>0</v>
      </c>
      <c r="AG82" s="71">
        <v>1</v>
      </c>
      <c r="AH82" s="71">
        <v>1</v>
      </c>
      <c r="AI82" s="71">
        <v>1</v>
      </c>
      <c r="AJ82" s="71">
        <v>1</v>
      </c>
      <c r="AK82" s="71">
        <v>1</v>
      </c>
      <c r="AL82" s="71">
        <v>1</v>
      </c>
      <c r="AM82" s="71">
        <v>1</v>
      </c>
      <c r="AN82" s="71">
        <v>1</v>
      </c>
      <c r="AO82" s="71">
        <v>1</v>
      </c>
      <c r="AP82" s="71">
        <v>1</v>
      </c>
      <c r="AQ82" s="71">
        <v>1</v>
      </c>
      <c r="AR82" s="71">
        <v>1</v>
      </c>
      <c r="AS82" s="71">
        <v>1</v>
      </c>
      <c r="AT82" s="71">
        <v>1</v>
      </c>
      <c r="AU82" s="71">
        <v>1</v>
      </c>
      <c r="AV82" s="71">
        <v>1</v>
      </c>
      <c r="AW82" s="71">
        <v>1</v>
      </c>
      <c r="AX82" s="71">
        <v>1</v>
      </c>
      <c r="AY82" s="71">
        <v>1</v>
      </c>
      <c r="AZ82" s="71">
        <v>1</v>
      </c>
      <c r="BA82" s="71">
        <v>1</v>
      </c>
      <c r="BB82" s="71">
        <v>1</v>
      </c>
      <c r="BC82" s="71">
        <v>1</v>
      </c>
      <c r="BD82" s="71">
        <v>1</v>
      </c>
      <c r="BE82" s="71">
        <v>1</v>
      </c>
      <c r="BF82" s="71">
        <v>1</v>
      </c>
      <c r="BG82" s="71">
        <v>1</v>
      </c>
      <c r="BH82" s="71">
        <v>1</v>
      </c>
      <c r="BI82" s="71">
        <v>1</v>
      </c>
      <c r="BJ82" s="71">
        <v>1</v>
      </c>
      <c r="BK82" s="71">
        <v>1</v>
      </c>
      <c r="BL82" s="71">
        <v>1</v>
      </c>
      <c r="BM82" s="71">
        <v>1</v>
      </c>
      <c r="BN82" s="71">
        <v>1</v>
      </c>
      <c r="BO82" s="71">
        <v>1</v>
      </c>
      <c r="BP82" s="71">
        <v>1</v>
      </c>
      <c r="BQ82" s="71">
        <v>1</v>
      </c>
      <c r="BR82" s="71">
        <v>1</v>
      </c>
      <c r="BS82" s="71">
        <v>1</v>
      </c>
      <c r="BT82" s="71">
        <v>1</v>
      </c>
      <c r="BU82" s="71">
        <v>1</v>
      </c>
      <c r="BV82" s="71">
        <v>1</v>
      </c>
      <c r="BW82" s="71">
        <v>1</v>
      </c>
      <c r="BX82" s="71">
        <v>1</v>
      </c>
      <c r="BY82" s="71">
        <v>1</v>
      </c>
      <c r="BZ82" s="71">
        <v>1</v>
      </c>
      <c r="CA82" s="71">
        <v>1</v>
      </c>
      <c r="CB82" s="71">
        <v>1</v>
      </c>
      <c r="CC82" s="71">
        <v>1</v>
      </c>
      <c r="CD82" s="71">
        <v>1</v>
      </c>
      <c r="CE82" s="71">
        <v>1</v>
      </c>
      <c r="CF82" s="71">
        <v>1</v>
      </c>
      <c r="CG82" s="71">
        <v>1</v>
      </c>
      <c r="CH82" s="71">
        <v>1</v>
      </c>
      <c r="CI82" s="71">
        <v>1</v>
      </c>
      <c r="CJ82" s="71">
        <v>1</v>
      </c>
      <c r="CK82" s="71">
        <v>1</v>
      </c>
      <c r="CL82" s="71">
        <v>1</v>
      </c>
      <c r="CM82" s="71">
        <v>1</v>
      </c>
      <c r="CN82" s="71">
        <v>1</v>
      </c>
      <c r="CO82" s="71">
        <v>1</v>
      </c>
      <c r="CP82" s="71">
        <v>1</v>
      </c>
    </row>
    <row r="83" spans="2:94" hidden="1" outlineLevel="2" x14ac:dyDescent="0.4">
      <c r="B83" s="69"/>
      <c r="C83" s="70"/>
      <c r="D83" s="70"/>
      <c r="E83" s="70" t="s">
        <v>132</v>
      </c>
      <c r="F83" s="71">
        <f>'EDT Nueva'!F82</f>
        <v>0.22222222222222221</v>
      </c>
      <c r="H83" s="71">
        <v>0</v>
      </c>
      <c r="I83" s="71">
        <v>0</v>
      </c>
      <c r="J83" s="71">
        <v>0</v>
      </c>
      <c r="K83" s="71">
        <v>0</v>
      </c>
      <c r="L83" s="71">
        <v>0</v>
      </c>
      <c r="M83" s="71">
        <v>0</v>
      </c>
      <c r="N83" s="71">
        <v>0</v>
      </c>
      <c r="O83" s="71">
        <v>0</v>
      </c>
      <c r="P83" s="71">
        <v>0</v>
      </c>
      <c r="Q83" s="71">
        <v>0</v>
      </c>
      <c r="R83" s="71">
        <v>0</v>
      </c>
      <c r="S83" s="71">
        <v>0</v>
      </c>
      <c r="T83" s="71">
        <v>0</v>
      </c>
      <c r="U83" s="71">
        <v>0</v>
      </c>
      <c r="V83" s="71">
        <v>0</v>
      </c>
      <c r="W83" s="71">
        <v>0</v>
      </c>
      <c r="X83" s="71">
        <v>0</v>
      </c>
      <c r="Y83" s="71">
        <v>0</v>
      </c>
      <c r="Z83" s="71">
        <v>0</v>
      </c>
      <c r="AA83" s="71">
        <v>0</v>
      </c>
      <c r="AB83" s="71">
        <v>0</v>
      </c>
      <c r="AC83" s="71">
        <v>0</v>
      </c>
      <c r="AD83" s="71">
        <v>0</v>
      </c>
      <c r="AE83" s="71">
        <v>0</v>
      </c>
      <c r="AF83" s="71">
        <v>0</v>
      </c>
      <c r="AG83" s="71">
        <v>0</v>
      </c>
      <c r="AH83" s="71">
        <v>0</v>
      </c>
      <c r="AI83" s="71">
        <v>0</v>
      </c>
      <c r="AJ83" s="71">
        <v>0</v>
      </c>
      <c r="AK83" s="71">
        <v>0</v>
      </c>
      <c r="AL83" s="71">
        <v>0</v>
      </c>
      <c r="AM83" s="71">
        <v>0</v>
      </c>
      <c r="AN83" s="71">
        <v>0</v>
      </c>
      <c r="AO83" s="71">
        <v>0</v>
      </c>
      <c r="AP83" s="71">
        <v>0</v>
      </c>
      <c r="AQ83" s="71">
        <v>0</v>
      </c>
      <c r="AR83" s="71">
        <v>0</v>
      </c>
      <c r="AS83" s="71">
        <v>0</v>
      </c>
      <c r="AT83" s="71">
        <v>0</v>
      </c>
      <c r="AU83" s="71">
        <v>0</v>
      </c>
      <c r="AV83" s="71">
        <v>0</v>
      </c>
      <c r="AW83" s="71">
        <v>0</v>
      </c>
      <c r="AX83" s="71">
        <v>0</v>
      </c>
      <c r="AY83" s="71">
        <v>0</v>
      </c>
      <c r="AZ83" s="71">
        <v>0</v>
      </c>
      <c r="BA83" s="71">
        <v>0</v>
      </c>
      <c r="BB83" s="71">
        <v>0</v>
      </c>
      <c r="BC83" s="71">
        <v>0</v>
      </c>
      <c r="BD83" s="71">
        <v>0</v>
      </c>
      <c r="BE83" s="71">
        <v>0</v>
      </c>
      <c r="BF83" s="71">
        <v>0</v>
      </c>
      <c r="BG83" s="71">
        <v>0</v>
      </c>
      <c r="BH83" s="71">
        <v>0</v>
      </c>
      <c r="BI83" s="71">
        <v>0</v>
      </c>
      <c r="BJ83" s="71">
        <v>0</v>
      </c>
      <c r="BK83" s="71">
        <v>0</v>
      </c>
      <c r="BL83" s="71">
        <v>0</v>
      </c>
      <c r="BM83" s="71">
        <v>0</v>
      </c>
      <c r="BN83" s="71">
        <v>0</v>
      </c>
      <c r="BO83" s="71">
        <v>0</v>
      </c>
      <c r="BP83" s="71">
        <v>0</v>
      </c>
      <c r="BQ83" s="71">
        <v>0</v>
      </c>
      <c r="BR83" s="71">
        <v>0</v>
      </c>
      <c r="BS83" s="71">
        <v>0</v>
      </c>
      <c r="BT83" s="71">
        <v>0</v>
      </c>
      <c r="BU83" s="71">
        <v>0</v>
      </c>
      <c r="BV83" s="71">
        <v>0</v>
      </c>
      <c r="BW83" s="71">
        <v>0</v>
      </c>
      <c r="BX83" s="71">
        <v>0</v>
      </c>
      <c r="BY83" s="71">
        <v>0</v>
      </c>
      <c r="BZ83" s="71">
        <v>0</v>
      </c>
      <c r="CA83" s="71">
        <v>0</v>
      </c>
      <c r="CB83" s="71">
        <v>0</v>
      </c>
      <c r="CC83" s="71">
        <v>0</v>
      </c>
      <c r="CD83" s="71">
        <v>0</v>
      </c>
      <c r="CE83" s="71">
        <v>0</v>
      </c>
      <c r="CF83" s="71">
        <v>0</v>
      </c>
      <c r="CG83" s="71">
        <v>0</v>
      </c>
      <c r="CH83" s="71">
        <v>0</v>
      </c>
      <c r="CI83" s="71">
        <v>0</v>
      </c>
      <c r="CJ83" s="71">
        <v>0</v>
      </c>
      <c r="CK83" s="71">
        <v>0</v>
      </c>
      <c r="CL83" s="71">
        <v>0</v>
      </c>
      <c r="CM83" s="71">
        <v>0</v>
      </c>
      <c r="CN83" s="71">
        <v>0</v>
      </c>
      <c r="CO83" s="71">
        <v>0</v>
      </c>
      <c r="CP83" s="71">
        <v>0</v>
      </c>
    </row>
    <row r="84" spans="2:94" outlineLevel="1" collapsed="1" x14ac:dyDescent="0.4">
      <c r="B84" s="85"/>
      <c r="C84" s="86"/>
      <c r="D84" s="86" t="s">
        <v>133</v>
      </c>
      <c r="E84" s="86"/>
      <c r="F84" s="87">
        <f>'EDT Nueva'!F83</f>
        <v>8.1726407806827439E-2</v>
      </c>
      <c r="H84" s="87">
        <f>SUMPRODUCT(H85:H87,$F$85:$F$87)</f>
        <v>0</v>
      </c>
      <c r="I84" s="87">
        <f t="shared" ref="I84:J84" si="693">SUMPRODUCT(I85:I87,$F$85:$F$87)</f>
        <v>0</v>
      </c>
      <c r="J84" s="87">
        <f t="shared" si="693"/>
        <v>0</v>
      </c>
      <c r="K84" s="87">
        <f t="shared" ref="K84:L84" si="694">SUMPRODUCT(K85:K87,$F$85:$F$87)</f>
        <v>0</v>
      </c>
      <c r="L84" s="87">
        <f t="shared" si="694"/>
        <v>0</v>
      </c>
      <c r="M84" s="87">
        <f t="shared" ref="M84" si="695">SUMPRODUCT(M85:M87,$F$85:$F$87)</f>
        <v>0</v>
      </c>
      <c r="N84" s="87">
        <f t="shared" ref="N84:O84" si="696">SUMPRODUCT(N85:N87,$F$85:$F$87)</f>
        <v>0</v>
      </c>
      <c r="O84" s="87">
        <f t="shared" si="696"/>
        <v>0</v>
      </c>
      <c r="P84" s="87">
        <f t="shared" ref="P84:Q84" si="697">SUMPRODUCT(P85:P87,$F$85:$F$87)</f>
        <v>0</v>
      </c>
      <c r="Q84" s="87">
        <f t="shared" si="697"/>
        <v>0</v>
      </c>
      <c r="R84" s="87">
        <f t="shared" ref="R84:U84" si="698">SUMPRODUCT(R85:R87,$F$85:$F$87)</f>
        <v>0</v>
      </c>
      <c r="S84" s="87">
        <f t="shared" si="698"/>
        <v>0</v>
      </c>
      <c r="T84" s="87">
        <f t="shared" si="698"/>
        <v>0</v>
      </c>
      <c r="U84" s="87">
        <f t="shared" si="698"/>
        <v>0</v>
      </c>
      <c r="V84" s="87">
        <f t="shared" ref="V84:W84" si="699">SUMPRODUCT(V85:V87,$F$85:$F$87)</f>
        <v>0</v>
      </c>
      <c r="W84" s="87">
        <f t="shared" si="699"/>
        <v>0</v>
      </c>
      <c r="X84" s="87">
        <f t="shared" ref="X84:Y84" si="700">SUMPRODUCT(X85:X87,$F$85:$F$87)</f>
        <v>0</v>
      </c>
      <c r="Y84" s="87">
        <f t="shared" si="700"/>
        <v>0</v>
      </c>
      <c r="Z84" s="87">
        <f t="shared" ref="Z84:AA84" si="701">SUMPRODUCT(Z85:Z87,$F$85:$F$87)</f>
        <v>0</v>
      </c>
      <c r="AA84" s="87">
        <f t="shared" si="701"/>
        <v>0</v>
      </c>
      <c r="AB84" s="87">
        <f t="shared" ref="AB84:AC84" si="702">SUMPRODUCT(AB85:AB87,$F$85:$F$87)</f>
        <v>0</v>
      </c>
      <c r="AC84" s="87">
        <f t="shared" si="702"/>
        <v>5.779703098471986E-2</v>
      </c>
      <c r="AD84" s="87">
        <f t="shared" ref="AD84:AE84" si="703">SUMPRODUCT(AD85:AD87,$F$85:$F$87)</f>
        <v>5.779703098471986E-2</v>
      </c>
      <c r="AE84" s="87">
        <f t="shared" si="703"/>
        <v>5.779703098471986E-2</v>
      </c>
      <c r="AF84" s="87">
        <f t="shared" ref="AF84:AG84" si="704">SUMPRODUCT(AF85:AF87,$F$85:$F$87)</f>
        <v>6.2093805178268242E-2</v>
      </c>
      <c r="AG84" s="87">
        <f t="shared" si="704"/>
        <v>6.2093805178268242E-2</v>
      </c>
      <c r="AH84" s="87">
        <f t="shared" ref="AH84:AI84" si="705">SUMPRODUCT(AH85:AH87,$F$85:$F$87)</f>
        <v>6.2093805178268242E-2</v>
      </c>
      <c r="AI84" s="87">
        <f t="shared" si="705"/>
        <v>6.2093805178268242E-2</v>
      </c>
      <c r="AJ84" s="87">
        <f t="shared" ref="AJ84:AK84" si="706">SUMPRODUCT(AJ85:AJ87,$F$85:$F$87)</f>
        <v>6.2093805178268242E-2</v>
      </c>
      <c r="AK84" s="87">
        <f t="shared" si="706"/>
        <v>6.2093805178268242E-2</v>
      </c>
      <c r="AL84" s="87">
        <f t="shared" ref="AL84:AM84" si="707">SUMPRODUCT(AL85:AL87,$F$85:$F$87)</f>
        <v>6.2093805178268242E-2</v>
      </c>
      <c r="AM84" s="87">
        <f t="shared" si="707"/>
        <v>6.2093805178268242E-2</v>
      </c>
      <c r="AN84" s="87">
        <f t="shared" ref="AN84" si="708">SUMPRODUCT(AN85:AN87,$F$85:$F$87)</f>
        <v>6.2093805178268242E-2</v>
      </c>
      <c r="AO84" s="87">
        <f t="shared" ref="AO84" si="709">SUMPRODUCT(AO85:AO87,$F$85:$F$87)</f>
        <v>6.2093805178268242E-2</v>
      </c>
      <c r="AP84" s="87">
        <f t="shared" ref="AP84" si="710">SUMPRODUCT(AP85:AP87,$F$85:$F$87)</f>
        <v>6.2093805178268242E-2</v>
      </c>
      <c r="AQ84" s="87">
        <f t="shared" ref="AQ84:AR84" si="711">SUMPRODUCT(AQ85:AQ87,$F$85:$F$87)</f>
        <v>6.2093805178268242E-2</v>
      </c>
      <c r="AR84" s="87">
        <f t="shared" si="711"/>
        <v>6.2093805178268242E-2</v>
      </c>
      <c r="AS84" s="87">
        <f t="shared" ref="AS84" si="712">SUMPRODUCT(AS85:AS87,$F$85:$F$87)</f>
        <v>6.2093805178268242E-2</v>
      </c>
      <c r="AT84" s="87">
        <f t="shared" ref="AT84:BC84" si="713">SUMPRODUCT(AT85:AT87,$F$85:$F$87)</f>
        <v>6.2093805178268242E-2</v>
      </c>
      <c r="AU84" s="87">
        <f t="shared" si="713"/>
        <v>6.2093805178268242E-2</v>
      </c>
      <c r="AV84" s="87">
        <f t="shared" si="713"/>
        <v>6.2093805178268242E-2</v>
      </c>
      <c r="AW84" s="87">
        <f t="shared" si="713"/>
        <v>6.2093805178268242E-2</v>
      </c>
      <c r="AX84" s="87">
        <f t="shared" si="713"/>
        <v>6.2093805178268242E-2</v>
      </c>
      <c r="AY84" s="87">
        <f t="shared" si="713"/>
        <v>0.15539999999999998</v>
      </c>
      <c r="AZ84" s="87">
        <f t="shared" si="713"/>
        <v>0.15539999999999998</v>
      </c>
      <c r="BA84" s="87">
        <f t="shared" si="713"/>
        <v>0.16206000000000001</v>
      </c>
      <c r="BB84" s="87">
        <f t="shared" si="713"/>
        <v>0.16649999999999998</v>
      </c>
      <c r="BC84" s="87">
        <f t="shared" si="713"/>
        <v>0.16872000000000001</v>
      </c>
      <c r="BD84" s="87">
        <f t="shared" ref="BD84:BE84" si="714">SUMPRODUCT(BD85:BD87,$F$85:$F$87)</f>
        <v>0.16872000000000001</v>
      </c>
      <c r="BE84" s="87">
        <f t="shared" si="714"/>
        <v>0.17538000000000001</v>
      </c>
      <c r="BF84" s="87">
        <f t="shared" ref="BF84:BG84" si="715">SUMPRODUCT(BF85:BF87,$F$85:$F$87)</f>
        <v>0.17981999999999998</v>
      </c>
      <c r="BG84" s="87">
        <f t="shared" si="715"/>
        <v>0.17981999999999998</v>
      </c>
      <c r="BH84" s="87">
        <f t="shared" ref="BH84:BI84" si="716">SUMPRODUCT(BH85:BH87,$F$85:$F$87)</f>
        <v>0.17981999999999998</v>
      </c>
      <c r="BI84" s="87">
        <f t="shared" si="716"/>
        <v>0.17981999999999998</v>
      </c>
      <c r="BJ84" s="87">
        <f t="shared" ref="BJ84:BK84" si="717">SUMPRODUCT(BJ85:BJ87,$F$85:$F$87)</f>
        <v>0.17981999999999998</v>
      </c>
      <c r="BK84" s="87">
        <f t="shared" si="717"/>
        <v>0.17981999999999998</v>
      </c>
      <c r="BL84" s="87">
        <f t="shared" ref="BL84:BM84" si="718">SUMPRODUCT(BL85:BL87,$F$85:$F$87)</f>
        <v>0.17981999999999998</v>
      </c>
      <c r="BM84" s="87">
        <f t="shared" si="718"/>
        <v>0.17981999999999998</v>
      </c>
      <c r="BN84" s="87">
        <f t="shared" ref="BN84" si="719">SUMPRODUCT(BN85:BN87,$F$85:$F$87)</f>
        <v>0.17981999999999998</v>
      </c>
      <c r="BO84" s="87">
        <f t="shared" ref="BO84" si="720">SUMPRODUCT(BO85:BO87,$F$85:$F$87)</f>
        <v>0.17981999999999998</v>
      </c>
      <c r="BP84" s="87">
        <f t="shared" ref="BP84" si="721">SUMPRODUCT(BP85:BP87,$F$85:$F$87)</f>
        <v>0.17981999999999998</v>
      </c>
      <c r="BQ84" s="87">
        <f t="shared" ref="BQ84:BR84" si="722">SUMPRODUCT(BQ85:BQ87,$F$85:$F$87)</f>
        <v>6.2093805178268242E-2</v>
      </c>
      <c r="BR84" s="87">
        <f t="shared" si="722"/>
        <v>6.2093805178268242E-2</v>
      </c>
      <c r="BS84" s="87">
        <f t="shared" ref="BS84:BT84" si="723">SUMPRODUCT(BS85:BS87,$F$85:$F$87)</f>
        <v>6.2093805178268242E-2</v>
      </c>
      <c r="BT84" s="87">
        <f t="shared" si="723"/>
        <v>6.2093805178268242E-2</v>
      </c>
      <c r="BU84" s="87">
        <f t="shared" ref="BU84:BV84" si="724">SUMPRODUCT(BU85:BU87,$F$85:$F$87)</f>
        <v>6.2093805178268242E-2</v>
      </c>
      <c r="BV84" s="87">
        <f t="shared" si="724"/>
        <v>6.2093805178268242E-2</v>
      </c>
      <c r="BW84" s="87">
        <f t="shared" ref="BW84:CP84" si="725">SUMPRODUCT(BW85:BW87,$F$85:$F$87)</f>
        <v>6.2093805178268242E-2</v>
      </c>
      <c r="BX84" s="87">
        <f t="shared" si="725"/>
        <v>6.2093805178268242E-2</v>
      </c>
      <c r="BY84" s="87">
        <f t="shared" si="725"/>
        <v>6.2093805178268242E-2</v>
      </c>
      <c r="BZ84" s="87">
        <f t="shared" si="725"/>
        <v>6.2093805178268242E-2</v>
      </c>
      <c r="CA84" s="87">
        <f t="shared" si="725"/>
        <v>6.2093805178268242E-2</v>
      </c>
      <c r="CB84" s="87">
        <f t="shared" si="725"/>
        <v>6.2093805178268242E-2</v>
      </c>
      <c r="CC84" s="87">
        <f t="shared" si="725"/>
        <v>6.2093805178268242E-2</v>
      </c>
      <c r="CD84" s="87">
        <f t="shared" si="725"/>
        <v>6.2093805178268242E-2</v>
      </c>
      <c r="CE84" s="87">
        <f t="shared" si="725"/>
        <v>6.2093805178268242E-2</v>
      </c>
      <c r="CF84" s="87">
        <f t="shared" si="725"/>
        <v>6.2093805178268242E-2</v>
      </c>
      <c r="CG84" s="87">
        <f t="shared" si="725"/>
        <v>6.2093805178268242E-2</v>
      </c>
      <c r="CH84" s="87">
        <f t="shared" si="725"/>
        <v>6.2093805178268242E-2</v>
      </c>
      <c r="CI84" s="87">
        <f t="shared" si="725"/>
        <v>6.2093805178268242E-2</v>
      </c>
      <c r="CJ84" s="87">
        <f t="shared" si="725"/>
        <v>6.2093805178268242E-2</v>
      </c>
      <c r="CK84" s="87">
        <f t="shared" si="725"/>
        <v>6.2093805178268242E-2</v>
      </c>
      <c r="CL84" s="87">
        <f t="shared" si="725"/>
        <v>6.2093805178268242E-2</v>
      </c>
      <c r="CM84" s="87">
        <f t="shared" si="725"/>
        <v>6.2093805178268242E-2</v>
      </c>
      <c r="CN84" s="87">
        <f t="shared" si="725"/>
        <v>6.2093805178268242E-2</v>
      </c>
      <c r="CO84" s="87">
        <f t="shared" si="725"/>
        <v>6.2093805178268242E-2</v>
      </c>
      <c r="CP84" s="87">
        <f t="shared" si="725"/>
        <v>0.17981999999999998</v>
      </c>
    </row>
    <row r="85" spans="2:94" hidden="1" outlineLevel="2" x14ac:dyDescent="0.4">
      <c r="B85" s="69"/>
      <c r="C85" s="70"/>
      <c r="D85" s="70"/>
      <c r="E85" s="70" t="s">
        <v>134</v>
      </c>
      <c r="F85" s="71">
        <f>'EDT Nueva'!F84</f>
        <v>0.222</v>
      </c>
      <c r="H85" s="71">
        <v>0</v>
      </c>
      <c r="I85" s="71">
        <v>0</v>
      </c>
      <c r="J85" s="71">
        <v>0</v>
      </c>
      <c r="K85" s="71">
        <v>0</v>
      </c>
      <c r="L85" s="71">
        <v>0</v>
      </c>
      <c r="M85" s="71">
        <v>0</v>
      </c>
      <c r="N85" s="71">
        <v>0</v>
      </c>
      <c r="O85" s="71">
        <v>0</v>
      </c>
      <c r="P85" s="71">
        <v>0</v>
      </c>
      <c r="Q85" s="71">
        <v>0</v>
      </c>
      <c r="R85" s="71">
        <v>0</v>
      </c>
      <c r="S85" s="71">
        <v>0</v>
      </c>
      <c r="T85" s="71">
        <v>0</v>
      </c>
      <c r="U85" s="71">
        <v>0</v>
      </c>
      <c r="V85" s="71">
        <v>0</v>
      </c>
      <c r="W85" s="71">
        <v>0</v>
      </c>
      <c r="X85" s="71">
        <v>0</v>
      </c>
      <c r="Y85" s="71">
        <v>0</v>
      </c>
      <c r="Z85" s="71">
        <v>0</v>
      </c>
      <c r="AA85" s="71">
        <v>0</v>
      </c>
      <c r="AB85" s="71">
        <v>0</v>
      </c>
      <c r="AC85" s="71">
        <v>0.26034698641765702</v>
      </c>
      <c r="AD85" s="71">
        <v>0.26034698641765702</v>
      </c>
      <c r="AE85" s="71">
        <v>0.26034698641765702</v>
      </c>
      <c r="AF85" s="71">
        <v>0.27970182512733444</v>
      </c>
      <c r="AG85" s="71">
        <v>0.27970182512733444</v>
      </c>
      <c r="AH85" s="71">
        <v>0.27970182512733444</v>
      </c>
      <c r="AI85" s="71">
        <v>0.27970182512733444</v>
      </c>
      <c r="AJ85" s="71">
        <v>0.27970182512733444</v>
      </c>
      <c r="AK85" s="71">
        <v>0.27970182512733444</v>
      </c>
      <c r="AL85" s="71">
        <v>0.27970182512733444</v>
      </c>
      <c r="AM85" s="71">
        <v>0.27970182512733444</v>
      </c>
      <c r="AN85" s="71">
        <v>0.27970182512733444</v>
      </c>
      <c r="AO85" s="71">
        <v>0.27970182512733444</v>
      </c>
      <c r="AP85" s="71">
        <v>0.27970182512733444</v>
      </c>
      <c r="AQ85" s="71">
        <v>0.27970182512733444</v>
      </c>
      <c r="AR85" s="71">
        <v>0.27970182512733444</v>
      </c>
      <c r="AS85" s="71">
        <v>0.27970182512733444</v>
      </c>
      <c r="AT85" s="71">
        <v>0.27970182512733444</v>
      </c>
      <c r="AU85" s="71">
        <v>0.27970182512733444</v>
      </c>
      <c r="AV85" s="71">
        <v>0.27970182512733444</v>
      </c>
      <c r="AW85" s="71">
        <v>0.27970182512733444</v>
      </c>
      <c r="AX85" s="71">
        <v>0.27970182512733444</v>
      </c>
      <c r="AY85" s="71">
        <v>0.4</v>
      </c>
      <c r="AZ85" s="71">
        <v>0.4</v>
      </c>
      <c r="BA85" s="71">
        <v>0.4</v>
      </c>
      <c r="BB85" s="71">
        <v>0.4</v>
      </c>
      <c r="BC85" s="71">
        <v>0.4</v>
      </c>
      <c r="BD85" s="71">
        <v>0.4</v>
      </c>
      <c r="BE85" s="71">
        <v>0.4</v>
      </c>
      <c r="BF85" s="71">
        <v>0.4</v>
      </c>
      <c r="BG85" s="71">
        <v>0.4</v>
      </c>
      <c r="BH85" s="71">
        <v>0.4</v>
      </c>
      <c r="BI85" s="71">
        <v>0.4</v>
      </c>
      <c r="BJ85" s="71">
        <v>0.4</v>
      </c>
      <c r="BK85" s="71">
        <v>0.4</v>
      </c>
      <c r="BL85" s="71">
        <v>0.4</v>
      </c>
      <c r="BM85" s="71">
        <v>0.4</v>
      </c>
      <c r="BN85" s="71">
        <v>0.4</v>
      </c>
      <c r="BO85" s="71">
        <v>0.4</v>
      </c>
      <c r="BP85" s="71">
        <v>0.4</v>
      </c>
      <c r="BQ85" s="71">
        <v>0.27970182512733444</v>
      </c>
      <c r="BR85" s="71">
        <v>0.27970182512733444</v>
      </c>
      <c r="BS85" s="71">
        <v>0.27970182512733444</v>
      </c>
      <c r="BT85" s="71">
        <v>0.27970182512733444</v>
      </c>
      <c r="BU85" s="71">
        <v>0.27970182512733444</v>
      </c>
      <c r="BV85" s="71">
        <v>0.27970182512733444</v>
      </c>
      <c r="BW85" s="71">
        <v>0.27970182512733444</v>
      </c>
      <c r="BX85" s="71">
        <v>0.27970182512733444</v>
      </c>
      <c r="BY85" s="71">
        <v>0.27970182512733444</v>
      </c>
      <c r="BZ85" s="71">
        <v>0.27970182512733444</v>
      </c>
      <c r="CA85" s="71">
        <v>0.27970182512733444</v>
      </c>
      <c r="CB85" s="71">
        <v>0.27970182512733444</v>
      </c>
      <c r="CC85" s="71">
        <v>0.27970182512733444</v>
      </c>
      <c r="CD85" s="71">
        <v>0.27970182512733444</v>
      </c>
      <c r="CE85" s="71">
        <v>0.27970182512733444</v>
      </c>
      <c r="CF85" s="71">
        <v>0.27970182512733444</v>
      </c>
      <c r="CG85" s="71">
        <v>0.27970182512733444</v>
      </c>
      <c r="CH85" s="71">
        <v>0.27970182512733444</v>
      </c>
      <c r="CI85" s="71">
        <v>0.27970182512733444</v>
      </c>
      <c r="CJ85" s="71">
        <v>0.27970182512733444</v>
      </c>
      <c r="CK85" s="71">
        <v>0.27970182512733444</v>
      </c>
      <c r="CL85" s="71">
        <v>0.27970182512733444</v>
      </c>
      <c r="CM85" s="71">
        <v>0.27970182512733444</v>
      </c>
      <c r="CN85" s="71">
        <v>0.27970182512733444</v>
      </c>
      <c r="CO85" s="71">
        <v>0.27970182512733444</v>
      </c>
      <c r="CP85" s="71">
        <v>0.4</v>
      </c>
    </row>
    <row r="86" spans="2:94" hidden="1" outlineLevel="2" x14ac:dyDescent="0.4">
      <c r="B86" s="69"/>
      <c r="C86" s="70"/>
      <c r="D86" s="70"/>
      <c r="E86" s="70" t="s">
        <v>135</v>
      </c>
      <c r="F86" s="71">
        <f>'EDT Nueva'!F85</f>
        <v>0.222</v>
      </c>
      <c r="H86" s="71">
        <v>0</v>
      </c>
      <c r="I86" s="71">
        <v>0</v>
      </c>
      <c r="J86" s="71">
        <v>0</v>
      </c>
      <c r="K86" s="71">
        <v>0</v>
      </c>
      <c r="L86" s="71">
        <v>0</v>
      </c>
      <c r="M86" s="71">
        <v>0</v>
      </c>
      <c r="N86" s="71">
        <v>0</v>
      </c>
      <c r="O86" s="71">
        <v>0</v>
      </c>
      <c r="P86" s="71">
        <v>0</v>
      </c>
      <c r="Q86" s="71">
        <v>0</v>
      </c>
      <c r="R86" s="71">
        <v>0</v>
      </c>
      <c r="S86" s="71">
        <v>0</v>
      </c>
      <c r="T86" s="71">
        <v>0</v>
      </c>
      <c r="U86" s="71">
        <v>0</v>
      </c>
      <c r="V86" s="71">
        <v>0</v>
      </c>
      <c r="W86" s="71">
        <v>0</v>
      </c>
      <c r="X86" s="71">
        <v>0</v>
      </c>
      <c r="Y86" s="71">
        <v>0</v>
      </c>
      <c r="Z86" s="71">
        <v>0</v>
      </c>
      <c r="AA86" s="71">
        <v>0</v>
      </c>
      <c r="AB86" s="71">
        <v>0</v>
      </c>
      <c r="AC86" s="71">
        <v>0</v>
      </c>
      <c r="AD86" s="71">
        <v>0</v>
      </c>
      <c r="AE86" s="71">
        <v>0</v>
      </c>
      <c r="AF86" s="71">
        <v>0</v>
      </c>
      <c r="AG86" s="71">
        <v>0</v>
      </c>
      <c r="AH86" s="71">
        <v>0</v>
      </c>
      <c r="AI86" s="71">
        <v>0</v>
      </c>
      <c r="AJ86" s="71">
        <v>0</v>
      </c>
      <c r="AK86" s="71">
        <v>0</v>
      </c>
      <c r="AL86" s="71">
        <v>0</v>
      </c>
      <c r="AM86" s="71">
        <v>0</v>
      </c>
      <c r="AN86" s="71">
        <v>0</v>
      </c>
      <c r="AO86" s="71">
        <v>0</v>
      </c>
      <c r="AP86" s="71">
        <v>0</v>
      </c>
      <c r="AQ86" s="71">
        <v>0</v>
      </c>
      <c r="AR86" s="71">
        <v>0</v>
      </c>
      <c r="AS86" s="71">
        <v>0</v>
      </c>
      <c r="AT86" s="71">
        <v>0</v>
      </c>
      <c r="AU86" s="71">
        <v>0</v>
      </c>
      <c r="AV86" s="71">
        <v>0</v>
      </c>
      <c r="AW86" s="71">
        <v>0</v>
      </c>
      <c r="AX86" s="71">
        <v>0</v>
      </c>
      <c r="AY86" s="71">
        <v>0.3</v>
      </c>
      <c r="AZ86" s="71">
        <v>0.3</v>
      </c>
      <c r="BA86" s="71">
        <v>0.33</v>
      </c>
      <c r="BB86" s="71">
        <v>0.35</v>
      </c>
      <c r="BC86" s="74">
        <v>0.36</v>
      </c>
      <c r="BD86" s="71">
        <v>0.36</v>
      </c>
      <c r="BE86" s="71">
        <v>0.39</v>
      </c>
      <c r="BF86" s="71">
        <v>0.41</v>
      </c>
      <c r="BG86" s="71">
        <v>0.41</v>
      </c>
      <c r="BH86" s="71">
        <v>0.41</v>
      </c>
      <c r="BI86" s="71">
        <v>0.41</v>
      </c>
      <c r="BJ86" s="71">
        <v>0.41</v>
      </c>
      <c r="BK86" s="71">
        <v>0.41</v>
      </c>
      <c r="BL86" s="71">
        <v>0.41</v>
      </c>
      <c r="BM86" s="71">
        <v>0.41</v>
      </c>
      <c r="BN86" s="71">
        <v>0.41</v>
      </c>
      <c r="BO86" s="71">
        <v>0.41</v>
      </c>
      <c r="BP86" s="71">
        <v>0.41</v>
      </c>
      <c r="BQ86" s="71">
        <v>0</v>
      </c>
      <c r="BR86" s="71">
        <v>0</v>
      </c>
      <c r="BS86" s="71">
        <v>0</v>
      </c>
      <c r="BT86" s="71">
        <v>0</v>
      </c>
      <c r="BU86" s="71">
        <v>0</v>
      </c>
      <c r="BV86" s="71">
        <v>0</v>
      </c>
      <c r="BW86" s="71">
        <v>0</v>
      </c>
      <c r="BX86" s="71">
        <v>0</v>
      </c>
      <c r="BY86" s="71">
        <v>0</v>
      </c>
      <c r="BZ86" s="71">
        <v>0</v>
      </c>
      <c r="CA86" s="71">
        <v>0</v>
      </c>
      <c r="CB86" s="71">
        <v>0</v>
      </c>
      <c r="CC86" s="71">
        <v>0</v>
      </c>
      <c r="CD86" s="71">
        <v>0</v>
      </c>
      <c r="CE86" s="71">
        <v>0</v>
      </c>
      <c r="CF86" s="71">
        <v>0</v>
      </c>
      <c r="CG86" s="71">
        <v>0</v>
      </c>
      <c r="CH86" s="71">
        <v>0</v>
      </c>
      <c r="CI86" s="71">
        <v>0</v>
      </c>
      <c r="CJ86" s="71">
        <v>0</v>
      </c>
      <c r="CK86" s="71">
        <v>0</v>
      </c>
      <c r="CL86" s="71">
        <v>0</v>
      </c>
      <c r="CM86" s="71">
        <v>0</v>
      </c>
      <c r="CN86" s="71">
        <v>0</v>
      </c>
      <c r="CO86" s="71">
        <v>0</v>
      </c>
      <c r="CP86" s="71">
        <v>0.41</v>
      </c>
    </row>
    <row r="87" spans="2:94" hidden="1" outlineLevel="2" x14ac:dyDescent="0.4">
      <c r="B87" s="69"/>
      <c r="C87" s="70"/>
      <c r="D87" s="70"/>
      <c r="E87" s="70" t="s">
        <v>136</v>
      </c>
      <c r="F87" s="71">
        <f>'EDT Nueva'!F86</f>
        <v>0.55600000000000005</v>
      </c>
      <c r="H87" s="71">
        <v>0</v>
      </c>
      <c r="I87" s="71">
        <v>0</v>
      </c>
      <c r="J87" s="71">
        <v>0</v>
      </c>
      <c r="K87" s="71">
        <v>0</v>
      </c>
      <c r="L87" s="71">
        <v>0</v>
      </c>
      <c r="M87" s="71">
        <v>0</v>
      </c>
      <c r="N87" s="71">
        <v>0</v>
      </c>
      <c r="O87" s="71">
        <v>0</v>
      </c>
      <c r="P87" s="71">
        <v>0</v>
      </c>
      <c r="Q87" s="71">
        <v>0</v>
      </c>
      <c r="R87" s="71">
        <v>0</v>
      </c>
      <c r="S87" s="71">
        <v>0</v>
      </c>
      <c r="T87" s="71">
        <v>0</v>
      </c>
      <c r="U87" s="71">
        <v>0</v>
      </c>
      <c r="V87" s="71">
        <v>0</v>
      </c>
      <c r="W87" s="71">
        <v>0</v>
      </c>
      <c r="X87" s="71">
        <v>0</v>
      </c>
      <c r="Y87" s="71">
        <v>0</v>
      </c>
      <c r="Z87" s="71">
        <v>0</v>
      </c>
      <c r="AA87" s="71">
        <v>0</v>
      </c>
      <c r="AB87" s="71">
        <v>0</v>
      </c>
      <c r="AC87" s="71">
        <v>0</v>
      </c>
      <c r="AD87" s="71">
        <v>0</v>
      </c>
      <c r="AE87" s="71">
        <v>0</v>
      </c>
      <c r="AF87" s="71">
        <v>0</v>
      </c>
      <c r="AG87" s="71">
        <v>0</v>
      </c>
      <c r="AH87" s="71">
        <v>0</v>
      </c>
      <c r="AI87" s="71">
        <v>0</v>
      </c>
      <c r="AJ87" s="71">
        <v>0</v>
      </c>
      <c r="AK87" s="71">
        <v>0</v>
      </c>
      <c r="AL87" s="71">
        <v>0</v>
      </c>
      <c r="AM87" s="71">
        <v>0</v>
      </c>
      <c r="AN87" s="71">
        <v>0</v>
      </c>
      <c r="AO87" s="71">
        <v>0</v>
      </c>
      <c r="AP87" s="71">
        <v>0</v>
      </c>
      <c r="AQ87" s="71">
        <v>0</v>
      </c>
      <c r="AR87" s="71">
        <v>0</v>
      </c>
      <c r="AS87" s="71">
        <v>0</v>
      </c>
      <c r="AT87" s="71">
        <v>0</v>
      </c>
      <c r="AU87" s="71">
        <v>0</v>
      </c>
      <c r="AV87" s="71">
        <v>0</v>
      </c>
      <c r="AW87" s="71">
        <v>0</v>
      </c>
      <c r="AX87" s="71">
        <v>0</v>
      </c>
      <c r="AY87" s="71">
        <v>0</v>
      </c>
      <c r="AZ87" s="71">
        <v>0</v>
      </c>
      <c r="BA87" s="71">
        <v>0</v>
      </c>
      <c r="BB87" s="71">
        <v>0</v>
      </c>
      <c r="BC87" s="71">
        <v>0</v>
      </c>
      <c r="BD87" s="71">
        <v>0</v>
      </c>
      <c r="BE87" s="71">
        <v>0</v>
      </c>
      <c r="BF87" s="71">
        <v>0</v>
      </c>
      <c r="BG87" s="71">
        <v>0</v>
      </c>
      <c r="BH87" s="71">
        <v>0</v>
      </c>
      <c r="BI87" s="71">
        <v>0</v>
      </c>
      <c r="BJ87" s="71">
        <v>0</v>
      </c>
      <c r="BK87" s="71">
        <v>0</v>
      </c>
      <c r="BL87" s="71">
        <v>0</v>
      </c>
      <c r="BM87" s="71">
        <v>0</v>
      </c>
      <c r="BN87" s="71">
        <v>0</v>
      </c>
      <c r="BO87" s="71">
        <v>0</v>
      </c>
      <c r="BP87" s="71">
        <v>0</v>
      </c>
      <c r="BQ87" s="71">
        <v>0</v>
      </c>
      <c r="BR87" s="71">
        <v>0</v>
      </c>
      <c r="BS87" s="71">
        <v>0</v>
      </c>
      <c r="BT87" s="71">
        <v>0</v>
      </c>
      <c r="BU87" s="71">
        <v>0</v>
      </c>
      <c r="BV87" s="71">
        <v>0</v>
      </c>
      <c r="BW87" s="71">
        <v>0</v>
      </c>
      <c r="BX87" s="71">
        <v>0</v>
      </c>
      <c r="BY87" s="71">
        <v>0</v>
      </c>
      <c r="BZ87" s="71">
        <v>0</v>
      </c>
      <c r="CA87" s="71">
        <v>0</v>
      </c>
      <c r="CB87" s="71">
        <v>0</v>
      </c>
      <c r="CC87" s="71">
        <v>0</v>
      </c>
      <c r="CD87" s="71">
        <v>0</v>
      </c>
      <c r="CE87" s="71">
        <v>0</v>
      </c>
      <c r="CF87" s="71">
        <v>0</v>
      </c>
      <c r="CG87" s="71">
        <v>0</v>
      </c>
      <c r="CH87" s="71">
        <v>0</v>
      </c>
      <c r="CI87" s="71">
        <v>0</v>
      </c>
      <c r="CJ87" s="71">
        <v>0</v>
      </c>
      <c r="CK87" s="71">
        <v>0</v>
      </c>
      <c r="CL87" s="71">
        <v>0</v>
      </c>
      <c r="CM87" s="71">
        <v>0</v>
      </c>
      <c r="CN87" s="71">
        <v>0</v>
      </c>
      <c r="CO87" s="71">
        <v>0</v>
      </c>
      <c r="CP87" s="71">
        <v>0</v>
      </c>
    </row>
    <row r="88" spans="2:94" outlineLevel="1" x14ac:dyDescent="0.4">
      <c r="B88" s="85"/>
      <c r="C88" s="86"/>
      <c r="D88" s="86" t="s">
        <v>137</v>
      </c>
      <c r="E88" s="86"/>
      <c r="F88" s="87">
        <f>'EDT Nueva'!F87</f>
        <v>8.1726407806827425E-2</v>
      </c>
      <c r="H88" s="87">
        <f>SUMPRODUCT(H89:H91,$F$89:$F$91)</f>
        <v>0</v>
      </c>
      <c r="I88" s="87">
        <f t="shared" ref="I88:J88" si="726">SUMPRODUCT(I89:I91,$F$89:$F$91)</f>
        <v>0</v>
      </c>
      <c r="J88" s="87">
        <f t="shared" si="726"/>
        <v>0</v>
      </c>
      <c r="K88" s="87">
        <f t="shared" ref="K88:L88" si="727">SUMPRODUCT(K89:K91,$F$89:$F$91)</f>
        <v>0</v>
      </c>
      <c r="L88" s="87">
        <f t="shared" si="727"/>
        <v>0</v>
      </c>
      <c r="M88" s="87">
        <f t="shared" ref="M88" si="728">SUMPRODUCT(M89:M91,$F$89:$F$91)</f>
        <v>0</v>
      </c>
      <c r="N88" s="87">
        <f t="shared" ref="N88:O88" si="729">SUMPRODUCT(N89:N91,$F$89:$F$91)</f>
        <v>0</v>
      </c>
      <c r="O88" s="87">
        <f t="shared" si="729"/>
        <v>0</v>
      </c>
      <c r="P88" s="87">
        <f t="shared" ref="P88:Q88" si="730">SUMPRODUCT(P89:P91,$F$89:$F$91)</f>
        <v>0</v>
      </c>
      <c r="Q88" s="87">
        <f t="shared" si="730"/>
        <v>0</v>
      </c>
      <c r="R88" s="87">
        <f t="shared" ref="R88:U88" si="731">SUMPRODUCT(R89:R91,$F$89:$F$91)</f>
        <v>0</v>
      </c>
      <c r="S88" s="87">
        <f t="shared" si="731"/>
        <v>0</v>
      </c>
      <c r="T88" s="87">
        <f t="shared" si="731"/>
        <v>0</v>
      </c>
      <c r="U88" s="87">
        <f t="shared" si="731"/>
        <v>0</v>
      </c>
      <c r="V88" s="87">
        <f t="shared" ref="V88:W88" si="732">SUMPRODUCT(V89:V91,$F$89:$F$91)</f>
        <v>0</v>
      </c>
      <c r="W88" s="87">
        <f t="shared" si="732"/>
        <v>0</v>
      </c>
      <c r="X88" s="87">
        <f t="shared" ref="X88:Y88" si="733">SUMPRODUCT(X89:X91,$F$89:$F$91)</f>
        <v>0</v>
      </c>
      <c r="Y88" s="87">
        <f t="shared" si="733"/>
        <v>0</v>
      </c>
      <c r="Z88" s="87">
        <f t="shared" ref="Z88:AA88" si="734">SUMPRODUCT(Z89:Z91,$F$89:$F$91)</f>
        <v>0</v>
      </c>
      <c r="AA88" s="87">
        <f t="shared" si="734"/>
        <v>0</v>
      </c>
      <c r="AB88" s="87">
        <f t="shared" ref="AB88:AC88" si="735">SUMPRODUCT(AB89:AB91,$F$89:$F$91)</f>
        <v>0</v>
      </c>
      <c r="AC88" s="87">
        <f t="shared" si="735"/>
        <v>0</v>
      </c>
      <c r="AD88" s="87">
        <f t="shared" ref="AD88:AE88" si="736">SUMPRODUCT(AD89:AD91,$F$89:$F$91)</f>
        <v>0</v>
      </c>
      <c r="AE88" s="87">
        <f t="shared" si="736"/>
        <v>3.0000000000000006E-2</v>
      </c>
      <c r="AF88" s="87">
        <f t="shared" ref="AF88:AG88" si="737">SUMPRODUCT(AF89:AF91,$F$89:$F$91)</f>
        <v>5.3333333333333337E-2</v>
      </c>
      <c r="AG88" s="87">
        <f t="shared" si="737"/>
        <v>5.5000000000000007E-2</v>
      </c>
      <c r="AH88" s="87">
        <f t="shared" ref="AH88:AI88" si="738">SUMPRODUCT(AH89:AH91,$F$89:$F$91)</f>
        <v>9.8765432098765454E-2</v>
      </c>
      <c r="AI88" s="87">
        <f t="shared" si="738"/>
        <v>0.12376543209876545</v>
      </c>
      <c r="AJ88" s="87">
        <f t="shared" ref="AJ88:AK88" si="739">SUMPRODUCT(AJ89:AJ91,$F$89:$F$91)</f>
        <v>0.16543209876543213</v>
      </c>
      <c r="AK88" s="87">
        <f t="shared" si="739"/>
        <v>0.2120987654320988</v>
      </c>
      <c r="AL88" s="87">
        <f t="shared" ref="AL88:AM88" si="740">SUMPRODUCT(AL89:AL91,$F$89:$F$91)</f>
        <v>0.22012345679012346</v>
      </c>
      <c r="AM88" s="87">
        <f t="shared" si="740"/>
        <v>0.24419753086419754</v>
      </c>
      <c r="AN88" s="87">
        <f t="shared" ref="AN88" si="741">SUMPRODUCT(AN89:AN91,$F$89:$F$91)</f>
        <v>0.24419753086419754</v>
      </c>
      <c r="AO88" s="87">
        <f t="shared" ref="AO88" si="742">SUMPRODUCT(AO89:AO91,$F$89:$F$91)</f>
        <v>0.24419753086419754</v>
      </c>
      <c r="AP88" s="87">
        <f t="shared" ref="AP88" si="743">SUMPRODUCT(AP89:AP91,$F$89:$F$91)</f>
        <v>0.24419753086419754</v>
      </c>
      <c r="AQ88" s="87">
        <f t="shared" ref="AQ88:AR88" si="744">SUMPRODUCT(AQ89:AQ91,$F$89:$F$91)</f>
        <v>0.24419753086419754</v>
      </c>
      <c r="AR88" s="87">
        <f t="shared" si="744"/>
        <v>0.24419753086419754</v>
      </c>
      <c r="AS88" s="87">
        <f t="shared" ref="AS88" si="745">SUMPRODUCT(AS89:AS91,$F$89:$F$91)</f>
        <v>0.24419753086419754</v>
      </c>
      <c r="AT88" s="87">
        <f t="shared" ref="AT88:BC88" si="746">SUMPRODUCT(AT89:AT91,$F$89:$F$91)</f>
        <v>0.24419753086419754</v>
      </c>
      <c r="AU88" s="87">
        <f t="shared" si="746"/>
        <v>0.24419753086419754</v>
      </c>
      <c r="AV88" s="87">
        <f t="shared" si="746"/>
        <v>0.24419753086419754</v>
      </c>
      <c r="AW88" s="87">
        <f t="shared" si="746"/>
        <v>0.24419753086419754</v>
      </c>
      <c r="AX88" s="87">
        <f t="shared" si="746"/>
        <v>0.24419753086419754</v>
      </c>
      <c r="AY88" s="87">
        <f t="shared" si="746"/>
        <v>0.28385000000000005</v>
      </c>
      <c r="AZ88" s="87">
        <f t="shared" si="746"/>
        <v>0.29100000000000004</v>
      </c>
      <c r="BA88" s="87">
        <f t="shared" si="746"/>
        <v>0.30400000000000005</v>
      </c>
      <c r="BB88" s="87">
        <f t="shared" si="746"/>
        <v>0.317</v>
      </c>
      <c r="BC88" s="87">
        <f t="shared" si="746"/>
        <v>0.317</v>
      </c>
      <c r="BD88" s="87">
        <f t="shared" ref="BD88:BE88" si="747">SUMPRODUCT(BD89:BD91,$F$89:$F$91)</f>
        <v>0.317</v>
      </c>
      <c r="BE88" s="87">
        <f t="shared" si="747"/>
        <v>0.33</v>
      </c>
      <c r="BF88" s="87">
        <f t="shared" ref="BF88:BG88" si="748">SUMPRODUCT(BF89:BF91,$F$89:$F$91)</f>
        <v>0.34300000000000003</v>
      </c>
      <c r="BG88" s="87">
        <f t="shared" si="748"/>
        <v>0.35599999999999998</v>
      </c>
      <c r="BH88" s="87">
        <f t="shared" ref="BH88:BI88" si="749">SUMPRODUCT(BH89:BH91,$F$89:$F$91)</f>
        <v>0.36899999999999999</v>
      </c>
      <c r="BI88" s="87">
        <f t="shared" si="749"/>
        <v>0.39500000000000002</v>
      </c>
      <c r="BJ88" s="87">
        <f t="shared" ref="BJ88:BK88" si="750">SUMPRODUCT(BJ89:BJ91,$F$89:$F$91)</f>
        <v>0.41450000000000004</v>
      </c>
      <c r="BK88" s="87">
        <f t="shared" si="750"/>
        <v>0.42749999999999999</v>
      </c>
      <c r="BL88" s="87">
        <f t="shared" ref="BL88:BM88" si="751">SUMPRODUCT(BL89:BL91,$F$89:$F$91)</f>
        <v>0.45350000000000001</v>
      </c>
      <c r="BM88" s="87">
        <f t="shared" si="751"/>
        <v>0.46650000000000003</v>
      </c>
      <c r="BN88" s="87">
        <f t="shared" ref="BN88" si="752">SUMPRODUCT(BN89:BN91,$F$89:$F$91)</f>
        <v>0.47300000000000003</v>
      </c>
      <c r="BO88" s="87">
        <f t="shared" ref="BO88" si="753">SUMPRODUCT(BO89:BO91,$F$89:$F$91)</f>
        <v>0.48600000000000004</v>
      </c>
      <c r="BP88" s="87">
        <f t="shared" ref="BP88" si="754">SUMPRODUCT(BP89:BP91,$F$89:$F$91)</f>
        <v>0.49900000000000005</v>
      </c>
      <c r="BQ88" s="87">
        <f t="shared" ref="BQ88:BR88" si="755">SUMPRODUCT(BQ89:BQ91,$F$89:$F$91)</f>
        <v>0.24419753086419754</v>
      </c>
      <c r="BR88" s="87">
        <f t="shared" si="755"/>
        <v>0.24419753086419754</v>
      </c>
      <c r="BS88" s="87">
        <f t="shared" ref="BS88:BT88" si="756">SUMPRODUCT(BS89:BS91,$F$89:$F$91)</f>
        <v>0.24419753086419754</v>
      </c>
      <c r="BT88" s="87">
        <f t="shared" si="756"/>
        <v>0.24419753086419754</v>
      </c>
      <c r="BU88" s="87">
        <f t="shared" ref="BU88:BV88" si="757">SUMPRODUCT(BU89:BU91,$F$89:$F$91)</f>
        <v>0.24419753086419754</v>
      </c>
      <c r="BV88" s="87">
        <f t="shared" si="757"/>
        <v>0.24419753086419754</v>
      </c>
      <c r="BW88" s="87">
        <f t="shared" ref="BW88:CP88" si="758">SUMPRODUCT(BW89:BW91,$F$89:$F$91)</f>
        <v>0.24419753086419754</v>
      </c>
      <c r="BX88" s="87">
        <f t="shared" si="758"/>
        <v>0.24419753086419754</v>
      </c>
      <c r="BY88" s="87">
        <f t="shared" si="758"/>
        <v>0.24419753086419754</v>
      </c>
      <c r="BZ88" s="87">
        <f t="shared" si="758"/>
        <v>0.24419753086419754</v>
      </c>
      <c r="CA88" s="87">
        <f t="shared" si="758"/>
        <v>0.24419753086419754</v>
      </c>
      <c r="CB88" s="87">
        <f t="shared" si="758"/>
        <v>0.24419753086419754</v>
      </c>
      <c r="CC88" s="87">
        <f t="shared" si="758"/>
        <v>0.24419753086419754</v>
      </c>
      <c r="CD88" s="87">
        <f t="shared" si="758"/>
        <v>0.24419753086419754</v>
      </c>
      <c r="CE88" s="87">
        <f t="shared" si="758"/>
        <v>0.24419753086419754</v>
      </c>
      <c r="CF88" s="87">
        <f t="shared" si="758"/>
        <v>0.24419753086419754</v>
      </c>
      <c r="CG88" s="87">
        <f t="shared" si="758"/>
        <v>0.24419753086419754</v>
      </c>
      <c r="CH88" s="87">
        <f t="shared" si="758"/>
        <v>0.24419753086419754</v>
      </c>
      <c r="CI88" s="87">
        <f t="shared" si="758"/>
        <v>0.24419753086419754</v>
      </c>
      <c r="CJ88" s="87">
        <f t="shared" si="758"/>
        <v>0.24419753086419754</v>
      </c>
      <c r="CK88" s="87">
        <f t="shared" si="758"/>
        <v>0.24419753086419754</v>
      </c>
      <c r="CL88" s="87">
        <f t="shared" si="758"/>
        <v>0.24419753086419754</v>
      </c>
      <c r="CM88" s="87">
        <f t="shared" si="758"/>
        <v>0.24419753086419754</v>
      </c>
      <c r="CN88" s="87">
        <f t="shared" si="758"/>
        <v>0.24419753086419754</v>
      </c>
      <c r="CO88" s="87">
        <f t="shared" si="758"/>
        <v>0.24419753086419754</v>
      </c>
      <c r="CP88" s="87">
        <f t="shared" si="758"/>
        <v>0.41450000000000004</v>
      </c>
    </row>
    <row r="89" spans="2:94" outlineLevel="2" x14ac:dyDescent="0.4">
      <c r="B89" s="69"/>
      <c r="C89" s="70"/>
      <c r="D89" s="70"/>
      <c r="E89" s="70" t="s">
        <v>138</v>
      </c>
      <c r="F89" s="71">
        <f>'EDT Nueva'!F88</f>
        <v>0.2</v>
      </c>
      <c r="H89" s="71">
        <v>0</v>
      </c>
      <c r="I89" s="71">
        <v>0</v>
      </c>
      <c r="J89" s="71">
        <v>0</v>
      </c>
      <c r="K89" s="71">
        <v>0</v>
      </c>
      <c r="L89" s="71">
        <v>0</v>
      </c>
      <c r="M89" s="71">
        <v>0</v>
      </c>
      <c r="N89" s="71">
        <v>0</v>
      </c>
      <c r="O89" s="71">
        <v>0</v>
      </c>
      <c r="P89" s="71">
        <v>0</v>
      </c>
      <c r="Q89" s="71">
        <v>0</v>
      </c>
      <c r="R89" s="71">
        <v>0</v>
      </c>
      <c r="S89" s="71">
        <v>0</v>
      </c>
      <c r="T89" s="71">
        <v>0</v>
      </c>
      <c r="U89" s="71">
        <v>0</v>
      </c>
      <c r="V89" s="71">
        <v>0</v>
      </c>
      <c r="W89" s="71">
        <v>0</v>
      </c>
      <c r="X89" s="71">
        <v>0</v>
      </c>
      <c r="Y89" s="71">
        <v>0</v>
      </c>
      <c r="Z89" s="71">
        <v>0</v>
      </c>
      <c r="AA89" s="71">
        <v>0</v>
      </c>
      <c r="AB89" s="71">
        <v>0</v>
      </c>
      <c r="AC89" s="71">
        <v>0</v>
      </c>
      <c r="AD89" s="71">
        <v>0</v>
      </c>
      <c r="AE89" s="71">
        <v>0.15000000000000002</v>
      </c>
      <c r="AF89" s="71">
        <v>0.26666666666666666</v>
      </c>
      <c r="AG89" s="71">
        <v>0.27500000000000002</v>
      </c>
      <c r="AH89" s="71">
        <v>0.33333333333333337</v>
      </c>
      <c r="AI89" s="71">
        <v>0.45833333333333337</v>
      </c>
      <c r="AJ89" s="71">
        <v>0.66666666666666674</v>
      </c>
      <c r="AK89" s="71">
        <v>0.9</v>
      </c>
      <c r="AL89" s="71">
        <v>0.9</v>
      </c>
      <c r="AM89" s="71">
        <v>0.9</v>
      </c>
      <c r="AN89" s="71">
        <v>0.9</v>
      </c>
      <c r="AO89" s="71">
        <v>0.9</v>
      </c>
      <c r="AP89" s="71">
        <v>0.9</v>
      </c>
      <c r="AQ89" s="71">
        <v>0.9</v>
      </c>
      <c r="AR89" s="71">
        <v>0.9</v>
      </c>
      <c r="AS89" s="71">
        <v>0.9</v>
      </c>
      <c r="AT89" s="71">
        <v>0.9</v>
      </c>
      <c r="AU89" s="71">
        <v>0.9</v>
      </c>
      <c r="AV89" s="71">
        <v>0.9</v>
      </c>
      <c r="AW89" s="71">
        <v>0.9</v>
      </c>
      <c r="AX89" s="71">
        <v>0.9</v>
      </c>
      <c r="AY89" s="71">
        <v>1</v>
      </c>
      <c r="AZ89" s="71">
        <v>1</v>
      </c>
      <c r="BA89" s="71">
        <v>1</v>
      </c>
      <c r="BB89" s="71">
        <v>1</v>
      </c>
      <c r="BC89" s="71">
        <v>1</v>
      </c>
      <c r="BD89" s="71">
        <v>1</v>
      </c>
      <c r="BE89" s="71">
        <v>1</v>
      </c>
      <c r="BF89" s="71">
        <v>1</v>
      </c>
      <c r="BG89" s="71">
        <v>1</v>
      </c>
      <c r="BH89" s="71">
        <v>1</v>
      </c>
      <c r="BI89" s="71">
        <v>1</v>
      </c>
      <c r="BJ89" s="71">
        <v>1</v>
      </c>
      <c r="BK89" s="71">
        <v>1</v>
      </c>
      <c r="BL89" s="71">
        <v>1</v>
      </c>
      <c r="BM89" s="71">
        <v>1</v>
      </c>
      <c r="BN89" s="71">
        <v>1</v>
      </c>
      <c r="BO89" s="71">
        <v>1</v>
      </c>
      <c r="BP89" s="71">
        <v>1</v>
      </c>
      <c r="BQ89" s="71">
        <v>0.9</v>
      </c>
      <c r="BR89" s="71">
        <v>0.9</v>
      </c>
      <c r="BS89" s="71">
        <v>0.9</v>
      </c>
      <c r="BT89" s="71">
        <v>0.9</v>
      </c>
      <c r="BU89" s="71">
        <v>0.9</v>
      </c>
      <c r="BV89" s="71">
        <v>0.9</v>
      </c>
      <c r="BW89" s="71">
        <v>0.9</v>
      </c>
      <c r="BX89" s="71">
        <v>0.9</v>
      </c>
      <c r="BY89" s="71">
        <v>0.9</v>
      </c>
      <c r="BZ89" s="71">
        <v>0.9</v>
      </c>
      <c r="CA89" s="71">
        <v>0.9</v>
      </c>
      <c r="CB89" s="71">
        <v>0.9</v>
      </c>
      <c r="CC89" s="71">
        <v>0.9</v>
      </c>
      <c r="CD89" s="71">
        <v>0.9</v>
      </c>
      <c r="CE89" s="71">
        <v>0.9</v>
      </c>
      <c r="CF89" s="71">
        <v>0.9</v>
      </c>
      <c r="CG89" s="71">
        <v>0.9</v>
      </c>
      <c r="CH89" s="71">
        <v>0.9</v>
      </c>
      <c r="CI89" s="71">
        <v>0.9</v>
      </c>
      <c r="CJ89" s="71">
        <v>0.9</v>
      </c>
      <c r="CK89" s="71">
        <v>0.9</v>
      </c>
      <c r="CL89" s="71">
        <v>0.9</v>
      </c>
      <c r="CM89" s="71">
        <v>0.9</v>
      </c>
      <c r="CN89" s="71">
        <v>0.9</v>
      </c>
      <c r="CO89" s="71">
        <v>0.9</v>
      </c>
      <c r="CP89" s="71">
        <v>1</v>
      </c>
    </row>
    <row r="90" spans="2:94" outlineLevel="2" x14ac:dyDescent="0.4">
      <c r="B90" s="69"/>
      <c r="C90" s="70"/>
      <c r="D90" s="70"/>
      <c r="E90" s="70" t="s">
        <v>139</v>
      </c>
      <c r="F90" s="71">
        <f>'EDT Nueva'!F89</f>
        <v>0.15</v>
      </c>
      <c r="H90" s="71">
        <v>0</v>
      </c>
      <c r="I90" s="71">
        <v>0</v>
      </c>
      <c r="J90" s="71">
        <v>0</v>
      </c>
      <c r="K90" s="71">
        <v>0</v>
      </c>
      <c r="L90" s="71">
        <v>0</v>
      </c>
      <c r="M90" s="71">
        <v>0</v>
      </c>
      <c r="N90" s="71">
        <v>0</v>
      </c>
      <c r="O90" s="71">
        <v>0</v>
      </c>
      <c r="P90" s="71">
        <v>0</v>
      </c>
      <c r="Q90" s="71">
        <v>0</v>
      </c>
      <c r="R90" s="71">
        <v>0</v>
      </c>
      <c r="S90" s="71">
        <v>0</v>
      </c>
      <c r="T90" s="71">
        <v>0</v>
      </c>
      <c r="U90" s="71">
        <v>0</v>
      </c>
      <c r="V90" s="71">
        <v>0</v>
      </c>
      <c r="W90" s="71">
        <v>0</v>
      </c>
      <c r="X90" s="71">
        <v>0</v>
      </c>
      <c r="Y90" s="71">
        <v>0</v>
      </c>
      <c r="Z90" s="71">
        <v>0</v>
      </c>
      <c r="AA90" s="71">
        <v>0</v>
      </c>
      <c r="AB90" s="71">
        <v>0</v>
      </c>
      <c r="AC90" s="71">
        <v>0</v>
      </c>
      <c r="AD90" s="71">
        <v>0</v>
      </c>
      <c r="AE90" s="71">
        <v>0</v>
      </c>
      <c r="AF90" s="71">
        <v>0</v>
      </c>
      <c r="AG90" s="71">
        <v>0</v>
      </c>
      <c r="AH90" s="71">
        <v>0</v>
      </c>
      <c r="AI90" s="71">
        <v>0</v>
      </c>
      <c r="AJ90" s="71">
        <v>0</v>
      </c>
      <c r="AK90" s="71">
        <v>0</v>
      </c>
      <c r="AL90" s="71">
        <v>0</v>
      </c>
      <c r="AM90" s="71">
        <v>0</v>
      </c>
      <c r="AN90" s="71">
        <v>0</v>
      </c>
      <c r="AO90" s="71">
        <v>0</v>
      </c>
      <c r="AP90" s="71">
        <v>0</v>
      </c>
      <c r="AQ90" s="71">
        <v>0</v>
      </c>
      <c r="AR90" s="71">
        <v>0</v>
      </c>
      <c r="AS90" s="71">
        <v>0</v>
      </c>
      <c r="AT90" s="71">
        <v>0</v>
      </c>
      <c r="AU90" s="71">
        <v>0</v>
      </c>
      <c r="AV90" s="71">
        <v>0</v>
      </c>
      <c r="AW90" s="71">
        <v>0</v>
      </c>
      <c r="AX90" s="71">
        <v>0</v>
      </c>
      <c r="AY90" s="71">
        <v>0</v>
      </c>
      <c r="AZ90" s="71">
        <v>0</v>
      </c>
      <c r="BA90" s="71">
        <v>0</v>
      </c>
      <c r="BB90" s="71">
        <v>0</v>
      </c>
      <c r="BC90" s="71">
        <v>0</v>
      </c>
      <c r="BD90" s="71">
        <v>0</v>
      </c>
      <c r="BE90" s="71">
        <v>0</v>
      </c>
      <c r="BF90" s="71">
        <v>0</v>
      </c>
      <c r="BG90" s="71">
        <v>0</v>
      </c>
      <c r="BH90" s="71">
        <v>0</v>
      </c>
      <c r="BI90" s="71">
        <v>0</v>
      </c>
      <c r="BJ90" s="71">
        <v>0</v>
      </c>
      <c r="BK90" s="71">
        <v>0</v>
      </c>
      <c r="BL90" s="71">
        <v>0</v>
      </c>
      <c r="BM90" s="71">
        <v>0</v>
      </c>
      <c r="BN90" s="71">
        <v>0</v>
      </c>
      <c r="BO90" s="71">
        <v>0</v>
      </c>
      <c r="BP90" s="71">
        <v>0</v>
      </c>
      <c r="BQ90" s="71">
        <v>0</v>
      </c>
      <c r="BR90" s="71">
        <v>0</v>
      </c>
      <c r="BS90" s="71">
        <v>0</v>
      </c>
      <c r="BT90" s="71">
        <v>0</v>
      </c>
      <c r="BU90" s="71">
        <v>0</v>
      </c>
      <c r="BV90" s="71">
        <v>0</v>
      </c>
      <c r="BW90" s="71">
        <v>0</v>
      </c>
      <c r="BX90" s="71">
        <v>0</v>
      </c>
      <c r="BY90" s="71">
        <v>0</v>
      </c>
      <c r="BZ90" s="71">
        <v>0</v>
      </c>
      <c r="CA90" s="71">
        <v>0</v>
      </c>
      <c r="CB90" s="71">
        <v>0</v>
      </c>
      <c r="CC90" s="71">
        <v>0</v>
      </c>
      <c r="CD90" s="71">
        <v>0</v>
      </c>
      <c r="CE90" s="71">
        <v>0</v>
      </c>
      <c r="CF90" s="71">
        <v>0</v>
      </c>
      <c r="CG90" s="71">
        <v>0</v>
      </c>
      <c r="CH90" s="71">
        <v>0</v>
      </c>
      <c r="CI90" s="71">
        <v>0</v>
      </c>
      <c r="CJ90" s="71">
        <v>0</v>
      </c>
      <c r="CK90" s="71">
        <v>0</v>
      </c>
      <c r="CL90" s="71">
        <v>0</v>
      </c>
      <c r="CM90" s="71">
        <v>0</v>
      </c>
      <c r="CN90" s="71">
        <v>0</v>
      </c>
      <c r="CO90" s="71">
        <v>0</v>
      </c>
      <c r="CP90" s="71">
        <v>0</v>
      </c>
    </row>
    <row r="91" spans="2:94" outlineLevel="2" x14ac:dyDescent="0.4">
      <c r="B91" s="69"/>
      <c r="C91" s="70"/>
      <c r="D91" s="70"/>
      <c r="E91" s="70" t="s">
        <v>140</v>
      </c>
      <c r="F91" s="71">
        <f>'EDT Nueva'!F90</f>
        <v>0.65</v>
      </c>
      <c r="H91" s="71">
        <v>0</v>
      </c>
      <c r="I91" s="71">
        <v>0</v>
      </c>
      <c r="J91" s="71">
        <v>0</v>
      </c>
      <c r="K91" s="71">
        <v>0</v>
      </c>
      <c r="L91" s="71">
        <v>0</v>
      </c>
      <c r="M91" s="71">
        <v>0</v>
      </c>
      <c r="N91" s="71">
        <v>0</v>
      </c>
      <c r="O91" s="71">
        <v>0</v>
      </c>
      <c r="P91" s="71">
        <v>0</v>
      </c>
      <c r="Q91" s="71">
        <v>0</v>
      </c>
      <c r="R91" s="71">
        <v>0</v>
      </c>
      <c r="S91" s="71">
        <v>0</v>
      </c>
      <c r="T91" s="71">
        <v>0</v>
      </c>
      <c r="U91" s="71">
        <v>0</v>
      </c>
      <c r="V91" s="71">
        <v>0</v>
      </c>
      <c r="W91" s="71">
        <v>0</v>
      </c>
      <c r="X91" s="71">
        <v>0</v>
      </c>
      <c r="Y91" s="71">
        <v>0</v>
      </c>
      <c r="Z91" s="71">
        <v>0</v>
      </c>
      <c r="AA91" s="71">
        <v>0</v>
      </c>
      <c r="AB91" s="71">
        <v>0</v>
      </c>
      <c r="AC91" s="71">
        <v>0</v>
      </c>
      <c r="AD91" s="71">
        <v>0</v>
      </c>
      <c r="AE91" s="71">
        <v>0</v>
      </c>
      <c r="AF91" s="71">
        <v>0</v>
      </c>
      <c r="AG91" s="71">
        <v>0</v>
      </c>
      <c r="AH91" s="71">
        <v>4.9382716049382713E-2</v>
      </c>
      <c r="AI91" s="71">
        <v>4.9382716049382713E-2</v>
      </c>
      <c r="AJ91" s="71">
        <v>4.9382716049382713E-2</v>
      </c>
      <c r="AK91" s="71">
        <v>4.9382716049382713E-2</v>
      </c>
      <c r="AL91" s="71">
        <v>6.1728395061728392E-2</v>
      </c>
      <c r="AM91" s="71">
        <v>9.8765432098765427E-2</v>
      </c>
      <c r="AN91" s="71">
        <v>9.8765432098765427E-2</v>
      </c>
      <c r="AO91" s="71">
        <v>9.8765432098765427E-2</v>
      </c>
      <c r="AP91" s="71">
        <v>9.8765432098765427E-2</v>
      </c>
      <c r="AQ91" s="71">
        <v>9.8765432098765427E-2</v>
      </c>
      <c r="AR91" s="71">
        <v>9.8765432098765427E-2</v>
      </c>
      <c r="AS91" s="71">
        <v>9.8765432098765427E-2</v>
      </c>
      <c r="AT91" s="71">
        <v>9.8765432098765427E-2</v>
      </c>
      <c r="AU91" s="71">
        <v>9.8765432098765427E-2</v>
      </c>
      <c r="AV91" s="71">
        <v>9.8765432098765427E-2</v>
      </c>
      <c r="AW91" s="71">
        <v>9.8765432098765427E-2</v>
      </c>
      <c r="AX91" s="71">
        <v>9.8765432098765427E-2</v>
      </c>
      <c r="AY91" s="71">
        <v>0.129</v>
      </c>
      <c r="AZ91" s="71">
        <v>0.14000000000000001</v>
      </c>
      <c r="BA91" s="71">
        <v>0.16</v>
      </c>
      <c r="BB91" s="71">
        <v>0.18</v>
      </c>
      <c r="BC91" s="71">
        <v>0.18</v>
      </c>
      <c r="BD91" s="71">
        <v>0.18</v>
      </c>
      <c r="BE91" s="71">
        <v>0.2</v>
      </c>
      <c r="BF91" s="71">
        <v>0.22</v>
      </c>
      <c r="BG91" s="71">
        <v>0.24</v>
      </c>
      <c r="BH91" s="71">
        <v>0.26</v>
      </c>
      <c r="BI91" s="71">
        <v>0.3</v>
      </c>
      <c r="BJ91" s="71">
        <v>0.33</v>
      </c>
      <c r="BK91" s="71">
        <v>0.35</v>
      </c>
      <c r="BL91" s="71">
        <v>0.39</v>
      </c>
      <c r="BM91" s="71">
        <v>0.41</v>
      </c>
      <c r="BN91" s="71">
        <v>0.42</v>
      </c>
      <c r="BO91" s="71">
        <v>0.44</v>
      </c>
      <c r="BP91" s="279">
        <v>0.46</v>
      </c>
      <c r="BQ91" s="71">
        <v>9.8765432098765427E-2</v>
      </c>
      <c r="BR91" s="71">
        <v>9.8765432098765427E-2</v>
      </c>
      <c r="BS91" s="71">
        <v>9.8765432098765427E-2</v>
      </c>
      <c r="BT91" s="71">
        <v>9.8765432098765427E-2</v>
      </c>
      <c r="BU91" s="71">
        <v>9.8765432098765427E-2</v>
      </c>
      <c r="BV91" s="71">
        <v>9.8765432098765427E-2</v>
      </c>
      <c r="BW91" s="71">
        <v>9.8765432098765427E-2</v>
      </c>
      <c r="BX91" s="71">
        <v>9.8765432098765427E-2</v>
      </c>
      <c r="BY91" s="71">
        <v>9.8765432098765427E-2</v>
      </c>
      <c r="BZ91" s="71">
        <v>9.8765432098765427E-2</v>
      </c>
      <c r="CA91" s="71">
        <v>9.8765432098765427E-2</v>
      </c>
      <c r="CB91" s="71">
        <v>9.8765432098765427E-2</v>
      </c>
      <c r="CC91" s="71">
        <v>9.8765432098765427E-2</v>
      </c>
      <c r="CD91" s="71">
        <v>9.8765432098765427E-2</v>
      </c>
      <c r="CE91" s="71">
        <v>9.8765432098765427E-2</v>
      </c>
      <c r="CF91" s="71">
        <v>9.8765432098765427E-2</v>
      </c>
      <c r="CG91" s="71">
        <v>9.8765432098765427E-2</v>
      </c>
      <c r="CH91" s="71">
        <v>9.8765432098765427E-2</v>
      </c>
      <c r="CI91" s="71">
        <v>9.8765432098765427E-2</v>
      </c>
      <c r="CJ91" s="71">
        <v>9.8765432098765427E-2</v>
      </c>
      <c r="CK91" s="71">
        <v>9.8765432098765427E-2</v>
      </c>
      <c r="CL91" s="71">
        <v>9.8765432098765427E-2</v>
      </c>
      <c r="CM91" s="71">
        <v>9.8765432098765427E-2</v>
      </c>
      <c r="CN91" s="71">
        <v>9.8765432098765427E-2</v>
      </c>
      <c r="CO91" s="71">
        <v>9.8765432098765427E-2</v>
      </c>
      <c r="CP91" s="279">
        <v>0.33</v>
      </c>
    </row>
    <row r="92" spans="2:94" outlineLevel="1" collapsed="1" x14ac:dyDescent="0.4">
      <c r="B92" s="85"/>
      <c r="C92" s="86"/>
      <c r="D92" s="86" t="s">
        <v>251</v>
      </c>
      <c r="E92" s="86"/>
      <c r="F92" s="87">
        <f>'EDT Nueva'!F91</f>
        <v>0</v>
      </c>
      <c r="H92" s="87">
        <f t="shared" ref="H92:BZ92" si="759">SUMPRODUCT(H93:H93,$F$93:$F$93)</f>
        <v>0</v>
      </c>
      <c r="I92" s="87">
        <f t="shared" si="759"/>
        <v>0</v>
      </c>
      <c r="J92" s="87">
        <f t="shared" si="759"/>
        <v>0</v>
      </c>
      <c r="K92" s="87">
        <f t="shared" si="759"/>
        <v>0</v>
      </c>
      <c r="L92" s="87">
        <f t="shared" si="759"/>
        <v>0</v>
      </c>
      <c r="M92" s="87">
        <f t="shared" si="759"/>
        <v>0</v>
      </c>
      <c r="N92" s="87">
        <f t="shared" si="759"/>
        <v>0</v>
      </c>
      <c r="O92" s="87">
        <f t="shared" si="759"/>
        <v>0</v>
      </c>
      <c r="P92" s="87">
        <f t="shared" si="759"/>
        <v>0</v>
      </c>
      <c r="Q92" s="87">
        <f t="shared" si="759"/>
        <v>0</v>
      </c>
      <c r="R92" s="87">
        <f t="shared" si="759"/>
        <v>0</v>
      </c>
      <c r="S92" s="87">
        <f t="shared" si="759"/>
        <v>0</v>
      </c>
      <c r="T92" s="87">
        <f t="shared" si="759"/>
        <v>0</v>
      </c>
      <c r="U92" s="87">
        <f t="shared" si="759"/>
        <v>0</v>
      </c>
      <c r="V92" s="87">
        <f t="shared" si="759"/>
        <v>0</v>
      </c>
      <c r="W92" s="87">
        <f t="shared" si="759"/>
        <v>0</v>
      </c>
      <c r="X92" s="87">
        <f t="shared" si="759"/>
        <v>0</v>
      </c>
      <c r="Y92" s="87">
        <f t="shared" si="759"/>
        <v>0</v>
      </c>
      <c r="Z92" s="87">
        <f t="shared" si="759"/>
        <v>0</v>
      </c>
      <c r="AA92" s="87">
        <f t="shared" si="759"/>
        <v>0</v>
      </c>
      <c r="AB92" s="87">
        <f t="shared" si="759"/>
        <v>0</v>
      </c>
      <c r="AC92" s="87">
        <f t="shared" si="759"/>
        <v>0</v>
      </c>
      <c r="AD92" s="87">
        <f t="shared" si="759"/>
        <v>0</v>
      </c>
      <c r="AE92" s="87">
        <f t="shared" si="759"/>
        <v>0</v>
      </c>
      <c r="AF92" s="87">
        <f t="shared" si="759"/>
        <v>0</v>
      </c>
      <c r="AG92" s="87">
        <f t="shared" si="759"/>
        <v>0</v>
      </c>
      <c r="AH92" s="87">
        <f t="shared" si="759"/>
        <v>0</v>
      </c>
      <c r="AI92" s="87">
        <f t="shared" si="759"/>
        <v>0</v>
      </c>
      <c r="AJ92" s="87">
        <f t="shared" si="759"/>
        <v>0</v>
      </c>
      <c r="AK92" s="87">
        <f t="shared" si="759"/>
        <v>0</v>
      </c>
      <c r="AL92" s="87">
        <f t="shared" si="759"/>
        <v>0</v>
      </c>
      <c r="AM92" s="87">
        <f t="shared" si="759"/>
        <v>0</v>
      </c>
      <c r="AN92" s="87">
        <f t="shared" si="759"/>
        <v>0</v>
      </c>
      <c r="AO92" s="87">
        <f t="shared" si="759"/>
        <v>0</v>
      </c>
      <c r="AP92" s="87">
        <f t="shared" si="759"/>
        <v>0</v>
      </c>
      <c r="AQ92" s="87">
        <f t="shared" si="759"/>
        <v>0</v>
      </c>
      <c r="AR92" s="87">
        <f t="shared" si="759"/>
        <v>0</v>
      </c>
      <c r="AS92" s="87">
        <f t="shared" si="759"/>
        <v>0</v>
      </c>
      <c r="AT92" s="87">
        <f t="shared" si="759"/>
        <v>0</v>
      </c>
      <c r="AU92" s="87">
        <f t="shared" si="759"/>
        <v>0</v>
      </c>
      <c r="AV92" s="87">
        <f t="shared" si="759"/>
        <v>0</v>
      </c>
      <c r="AW92" s="87">
        <f t="shared" si="759"/>
        <v>0</v>
      </c>
      <c r="AX92" s="87">
        <f t="shared" si="759"/>
        <v>0</v>
      </c>
      <c r="AY92" s="87">
        <f t="shared" si="759"/>
        <v>0</v>
      </c>
      <c r="AZ92" s="87">
        <f t="shared" si="759"/>
        <v>0</v>
      </c>
      <c r="BA92" s="87">
        <f t="shared" si="759"/>
        <v>0</v>
      </c>
      <c r="BB92" s="87">
        <f t="shared" si="759"/>
        <v>0</v>
      </c>
      <c r="BC92" s="87">
        <f t="shared" si="759"/>
        <v>0</v>
      </c>
      <c r="BD92" s="87">
        <f t="shared" si="759"/>
        <v>0</v>
      </c>
      <c r="BE92" s="87">
        <f t="shared" si="759"/>
        <v>0</v>
      </c>
      <c r="BF92" s="87">
        <f t="shared" si="759"/>
        <v>0</v>
      </c>
      <c r="BG92" s="87">
        <f t="shared" si="759"/>
        <v>0</v>
      </c>
      <c r="BH92" s="87">
        <f t="shared" si="759"/>
        <v>0</v>
      </c>
      <c r="BI92" s="87">
        <f t="shared" si="759"/>
        <v>0</v>
      </c>
      <c r="BJ92" s="87">
        <f t="shared" si="759"/>
        <v>0</v>
      </c>
      <c r="BK92" s="87">
        <f t="shared" si="759"/>
        <v>0</v>
      </c>
      <c r="BL92" s="87">
        <f t="shared" si="759"/>
        <v>0</v>
      </c>
      <c r="BM92" s="87">
        <f t="shared" si="759"/>
        <v>0</v>
      </c>
      <c r="BN92" s="87">
        <f t="shared" si="759"/>
        <v>0</v>
      </c>
      <c r="BO92" s="87">
        <f t="shared" si="759"/>
        <v>0</v>
      </c>
      <c r="BP92" s="87">
        <f t="shared" si="759"/>
        <v>0</v>
      </c>
      <c r="BQ92" s="87">
        <f t="shared" si="759"/>
        <v>0</v>
      </c>
      <c r="BR92" s="87">
        <f t="shared" si="759"/>
        <v>0</v>
      </c>
      <c r="BS92" s="87">
        <f t="shared" si="759"/>
        <v>0</v>
      </c>
      <c r="BT92" s="87">
        <f t="shared" si="759"/>
        <v>0</v>
      </c>
      <c r="BU92" s="87">
        <f t="shared" si="759"/>
        <v>0</v>
      </c>
      <c r="BV92" s="87">
        <f t="shared" si="759"/>
        <v>0</v>
      </c>
      <c r="BW92" s="87">
        <f t="shared" si="759"/>
        <v>0</v>
      </c>
      <c r="BX92" s="87">
        <f t="shared" si="759"/>
        <v>0</v>
      </c>
      <c r="BY92" s="87">
        <f t="shared" si="759"/>
        <v>0</v>
      </c>
      <c r="BZ92" s="87">
        <f t="shared" si="759"/>
        <v>0</v>
      </c>
      <c r="CA92" s="87">
        <f t="shared" ref="CA92:CP92" si="760">SUMPRODUCT(CA93:CA93,$F$93:$F$93)</f>
        <v>0</v>
      </c>
      <c r="CB92" s="87">
        <f t="shared" si="760"/>
        <v>0</v>
      </c>
      <c r="CC92" s="87">
        <f t="shared" si="760"/>
        <v>0</v>
      </c>
      <c r="CD92" s="87">
        <f t="shared" si="760"/>
        <v>0</v>
      </c>
      <c r="CE92" s="87">
        <f t="shared" si="760"/>
        <v>0</v>
      </c>
      <c r="CF92" s="87">
        <f t="shared" si="760"/>
        <v>0</v>
      </c>
      <c r="CG92" s="87">
        <f t="shared" si="760"/>
        <v>0</v>
      </c>
      <c r="CH92" s="87">
        <f t="shared" si="760"/>
        <v>0</v>
      </c>
      <c r="CI92" s="87">
        <f t="shared" si="760"/>
        <v>0</v>
      </c>
      <c r="CJ92" s="87">
        <f t="shared" si="760"/>
        <v>0</v>
      </c>
      <c r="CK92" s="87">
        <f t="shared" si="760"/>
        <v>0</v>
      </c>
      <c r="CL92" s="87">
        <f t="shared" si="760"/>
        <v>0</v>
      </c>
      <c r="CM92" s="87">
        <f t="shared" si="760"/>
        <v>0</v>
      </c>
      <c r="CN92" s="87">
        <f t="shared" si="760"/>
        <v>0</v>
      </c>
      <c r="CO92" s="87">
        <f t="shared" si="760"/>
        <v>0</v>
      </c>
      <c r="CP92" s="87">
        <f t="shared" si="760"/>
        <v>0</v>
      </c>
    </row>
    <row r="93" spans="2:94" hidden="1" outlineLevel="2" x14ac:dyDescent="0.4">
      <c r="B93" s="69"/>
      <c r="C93" s="70"/>
      <c r="D93" s="70"/>
      <c r="E93" s="78" t="s">
        <v>15</v>
      </c>
      <c r="F93" s="71">
        <f>'EDT Nueva'!F92</f>
        <v>1E-117</v>
      </c>
      <c r="H93" s="71">
        <v>0</v>
      </c>
      <c r="I93" s="71">
        <v>0</v>
      </c>
      <c r="J93" s="71">
        <v>0</v>
      </c>
      <c r="K93" s="71">
        <v>0</v>
      </c>
      <c r="L93" s="71">
        <v>0</v>
      </c>
      <c r="M93" s="71">
        <v>0</v>
      </c>
      <c r="N93" s="71">
        <v>0</v>
      </c>
      <c r="O93" s="71">
        <v>0</v>
      </c>
      <c r="P93" s="71">
        <v>0</v>
      </c>
      <c r="Q93" s="71">
        <v>0</v>
      </c>
      <c r="R93" s="71">
        <v>0</v>
      </c>
      <c r="S93" s="71">
        <v>0</v>
      </c>
      <c r="T93" s="71">
        <v>0</v>
      </c>
      <c r="U93" s="71">
        <v>0</v>
      </c>
      <c r="V93" s="71">
        <v>0</v>
      </c>
      <c r="W93" s="71">
        <v>0</v>
      </c>
      <c r="X93" s="71">
        <v>0</v>
      </c>
      <c r="Y93" s="71">
        <v>0</v>
      </c>
      <c r="Z93" s="71">
        <v>0</v>
      </c>
      <c r="AA93" s="71">
        <v>0</v>
      </c>
      <c r="AB93" s="71">
        <v>0</v>
      </c>
      <c r="AC93" s="71">
        <v>0</v>
      </c>
      <c r="AD93" s="71">
        <v>0</v>
      </c>
      <c r="AE93" s="71">
        <v>0</v>
      </c>
      <c r="AF93" s="71">
        <v>0</v>
      </c>
      <c r="AG93" s="71">
        <v>0</v>
      </c>
      <c r="AH93" s="71">
        <v>0</v>
      </c>
      <c r="AI93" s="71">
        <v>0</v>
      </c>
      <c r="AJ93" s="71">
        <v>0</v>
      </c>
      <c r="AK93" s="71">
        <v>0</v>
      </c>
      <c r="AL93" s="71">
        <v>0</v>
      </c>
      <c r="AM93" s="71">
        <v>0</v>
      </c>
      <c r="AN93" s="71">
        <v>0</v>
      </c>
      <c r="AO93" s="71">
        <v>0</v>
      </c>
      <c r="AP93" s="71">
        <v>0</v>
      </c>
      <c r="AQ93" s="71">
        <v>0</v>
      </c>
      <c r="AR93" s="71">
        <v>0</v>
      </c>
      <c r="AS93" s="272">
        <v>0</v>
      </c>
      <c r="AT93" s="272">
        <v>0</v>
      </c>
      <c r="AU93" s="272">
        <v>0</v>
      </c>
      <c r="AV93" s="272">
        <v>0</v>
      </c>
      <c r="AW93" s="272">
        <v>0</v>
      </c>
      <c r="AX93" s="272">
        <v>0</v>
      </c>
      <c r="AY93" s="272">
        <v>0</v>
      </c>
      <c r="AZ93" s="272">
        <v>0</v>
      </c>
      <c r="BA93" s="272">
        <v>0</v>
      </c>
      <c r="BB93" s="272">
        <v>0</v>
      </c>
      <c r="BC93" s="272">
        <v>0</v>
      </c>
      <c r="BD93" s="272">
        <v>0</v>
      </c>
      <c r="BE93" s="272">
        <v>0</v>
      </c>
      <c r="BF93" s="272">
        <v>0</v>
      </c>
      <c r="BG93" s="272">
        <v>0</v>
      </c>
      <c r="BH93" s="272">
        <v>0</v>
      </c>
      <c r="BI93" s="272">
        <v>0</v>
      </c>
      <c r="BJ93" s="272">
        <v>0</v>
      </c>
      <c r="BK93" s="272">
        <v>0</v>
      </c>
      <c r="BL93" s="272">
        <v>0</v>
      </c>
      <c r="BM93" s="272">
        <v>0</v>
      </c>
      <c r="BN93" s="272">
        <v>0</v>
      </c>
      <c r="BO93" s="272">
        <v>0</v>
      </c>
      <c r="BP93" s="272">
        <v>0</v>
      </c>
      <c r="BQ93" s="272">
        <v>0</v>
      </c>
      <c r="BR93" s="272">
        <v>0</v>
      </c>
      <c r="BS93" s="272">
        <v>0</v>
      </c>
      <c r="BT93" s="272">
        <v>0</v>
      </c>
      <c r="BU93" s="272">
        <v>0</v>
      </c>
      <c r="BV93" s="272">
        <v>0</v>
      </c>
      <c r="BW93" s="272">
        <v>0</v>
      </c>
      <c r="BX93" s="272">
        <v>0</v>
      </c>
      <c r="BY93" s="272">
        <v>0</v>
      </c>
      <c r="BZ93" s="272">
        <v>0</v>
      </c>
      <c r="CA93" s="272">
        <v>0</v>
      </c>
      <c r="CB93" s="272">
        <v>0</v>
      </c>
      <c r="CC93" s="272">
        <v>0</v>
      </c>
      <c r="CD93" s="272">
        <v>0</v>
      </c>
      <c r="CE93" s="272">
        <v>0</v>
      </c>
      <c r="CF93" s="272">
        <v>0</v>
      </c>
      <c r="CG93" s="272">
        <v>0</v>
      </c>
      <c r="CH93" s="272">
        <v>0</v>
      </c>
      <c r="CI93" s="272">
        <v>0</v>
      </c>
      <c r="CJ93" s="272">
        <v>0</v>
      </c>
      <c r="CK93" s="272">
        <v>0</v>
      </c>
      <c r="CL93" s="272">
        <v>0</v>
      </c>
      <c r="CM93" s="272">
        <v>0</v>
      </c>
      <c r="CN93" s="272">
        <v>0</v>
      </c>
      <c r="CO93" s="272">
        <v>0</v>
      </c>
      <c r="CP93" s="272">
        <v>0</v>
      </c>
    </row>
    <row r="94" spans="2:94" x14ac:dyDescent="0.4">
      <c r="BM94" s="67"/>
    </row>
    <row r="95" spans="2:94" x14ac:dyDescent="0.4">
      <c r="BM95" s="67"/>
    </row>
    <row r="96" spans="2:94" x14ac:dyDescent="0.4">
      <c r="B96" s="447" t="s">
        <v>229</v>
      </c>
      <c r="C96" s="447"/>
      <c r="D96" s="447"/>
      <c r="E96" s="447"/>
      <c r="F96" s="448"/>
      <c r="G96" s="82"/>
      <c r="H96" s="307">
        <f>H6-'Plan 39'!H5</f>
        <v>0</v>
      </c>
      <c r="I96" s="307">
        <f>I6-'Plan 39'!I5</f>
        <v>4.2234186769964717E-2</v>
      </c>
      <c r="J96" s="307">
        <f>J6-'Plan 39'!J5</f>
        <v>5.47534931256662E-2</v>
      </c>
      <c r="K96" s="307">
        <f>K6-'Plan 39'!K5</f>
        <v>5.3608508834893889E-2</v>
      </c>
      <c r="L96" s="307">
        <f>L6-'Plan 39'!L5</f>
        <v>6.8284105086287808E-2</v>
      </c>
      <c r="M96" s="307">
        <f>M6-'Plan 39'!M5</f>
        <v>6.4569260485913826E-2</v>
      </c>
      <c r="N96" s="307">
        <f>N6-'Plan 39'!N5</f>
        <v>0.13551974118982435</v>
      </c>
      <c r="O96" s="307">
        <f>O6-'Plan 39'!O5</f>
        <v>0.1461722172914488</v>
      </c>
      <c r="P96" s="307">
        <f>P6-'Plan 39'!P5</f>
        <v>0.15251687417454005</v>
      </c>
      <c r="Q96" s="307">
        <f>Q6-'Plan 39'!Q5</f>
        <v>0.146459351309976</v>
      </c>
      <c r="R96" s="307">
        <f>R6-'Plan 39'!R5</f>
        <v>0.11929315370291738</v>
      </c>
      <c r="S96" s="307">
        <f>S6-'Plan 39'!S5</f>
        <v>9.4859048961364545E-2</v>
      </c>
      <c r="T96" s="307">
        <f>T6-'Plan 39'!T5</f>
        <v>9.0759522996388398E-2</v>
      </c>
      <c r="U96" s="307">
        <f>U6-'Plan 39'!U5</f>
        <v>7.4722684933187955E-2</v>
      </c>
      <c r="V96" s="307">
        <f>V6-'Plan 39'!V5</f>
        <v>7.2204751136170753E-2</v>
      </c>
      <c r="W96" s="307">
        <f>W6-'Plan 39'!W5</f>
        <v>6.4798741590162801E-2</v>
      </c>
      <c r="X96" s="307">
        <f>X6-'Plan 39'!X5</f>
        <v>6.0353063130887508E-2</v>
      </c>
      <c r="Y96" s="307">
        <f>Y6-'Plan 39'!Y5</f>
        <v>4.3607901681508188E-2</v>
      </c>
      <c r="Z96" s="307">
        <f>Z6-'Plan 39'!Z5</f>
        <v>2.5603463832962969E-2</v>
      </c>
      <c r="AA96" s="307">
        <f>AA6-'Plan 39'!AA5</f>
        <v>5.4686245858396321E-3</v>
      </c>
      <c r="AB96" s="307">
        <f>AB6-'Plan 39'!AB5</f>
        <v>-1.9096289221328222E-2</v>
      </c>
      <c r="AC96" s="307">
        <f>AC6-'Plan 39'!AC5</f>
        <v>-4.0441681934121898E-2</v>
      </c>
      <c r="AD96" s="307">
        <f>AD6-'Plan 39'!AD5</f>
        <v>-6.2981187449341225E-2</v>
      </c>
      <c r="AE96" s="307">
        <f>AE6-'Plan 39'!AE5</f>
        <v>-9.8503401067741581E-2</v>
      </c>
      <c r="AF96" s="307">
        <f>AF6-'Plan 39'!AF5</f>
        <v>-0.12722551673531868</v>
      </c>
      <c r="AG96" s="307">
        <f>AG6-'Plan 39'!AG5</f>
        <v>-0.16258003424547862</v>
      </c>
      <c r="AH96" s="307">
        <f>AH6-'Plan 39'!AH5</f>
        <v>-0.19812950372661264</v>
      </c>
      <c r="AI96" s="307">
        <f>AI6-'Plan 39'!AI5</f>
        <v>-0.21560449194566267</v>
      </c>
      <c r="AJ96" s="307">
        <f>AJ6-'Plan 39'!AJ5</f>
        <v>-0.22967852969433444</v>
      </c>
      <c r="AK96" s="307">
        <f>AK6-'Plan 39'!AK5</f>
        <v>-0.2535051733960495</v>
      </c>
      <c r="AL96" s="307">
        <f>AL6-'Plan 39'!AL5</f>
        <v>-0.26001805146469159</v>
      </c>
      <c r="AM96" s="307">
        <f>AM6-'Plan 39'!AM5</f>
        <v>-0.2638268737881776</v>
      </c>
      <c r="AN96" s="307">
        <f>AN6-'Plan 39'!AN5</f>
        <v>-0.2655061813571663</v>
      </c>
      <c r="AO96" s="307">
        <f>AO6-'Plan 39'!AO5</f>
        <v>-0.26793327781848986</v>
      </c>
      <c r="AP96" s="307">
        <f>AP6-'Plan 39'!AP5</f>
        <v>-0.27267956628060652</v>
      </c>
      <c r="AQ96" s="307">
        <f>AQ6-'Plan 39'!AQ5</f>
        <v>-0.27260715659276424</v>
      </c>
      <c r="AR96" s="307">
        <f>AR6-'Plan 39'!AR5</f>
        <v>-0.27257095174884316</v>
      </c>
      <c r="AS96" s="307">
        <f>AS6-'Plan 39'!AS5</f>
        <v>-0.27257095174884316</v>
      </c>
      <c r="AT96" s="307">
        <f>AT6-'Plan 39'!AT5</f>
        <v>-0.2703234208109544</v>
      </c>
      <c r="AU96" s="307">
        <f>AU6-'Plan 39'!AU5</f>
        <v>-0.26910919604028749</v>
      </c>
      <c r="AV96" s="307">
        <f>AV6-'Plan 39'!AV5</f>
        <v>-0.26910919604028749</v>
      </c>
      <c r="AW96" s="307">
        <f>AW6-'Plan 39'!AW5</f>
        <v>-0.26803511900396015</v>
      </c>
      <c r="AX96" s="307">
        <f>AX6-'Plan 39'!AX5</f>
        <v>-0.26803511900396015</v>
      </c>
      <c r="AY96" s="307">
        <f>AY6-'Plan 39'!AY5</f>
        <v>-0.26216301624852079</v>
      </c>
      <c r="AZ96" s="307">
        <f>AZ6-'Plan 39'!AZ5</f>
        <v>-0.25937955344453612</v>
      </c>
      <c r="BA96" s="307">
        <f>BA6-'Plan 39'!BA5</f>
        <v>-0.2555190483336538</v>
      </c>
      <c r="BB96" s="307">
        <f>BB6-'Plan 39'!BB5</f>
        <v>-0.25124817960681067</v>
      </c>
      <c r="BC96" s="307">
        <f>BC6-'Plan 39'!BC5</f>
        <v>-0.24979789039614242</v>
      </c>
      <c r="BD96" s="307">
        <f>BD6-'Plan 39'!BD5</f>
        <v>-0.24979789039614242</v>
      </c>
      <c r="BE96" s="307">
        <f>BE6-'Plan 39'!BE5</f>
        <v>-0.24517339031169116</v>
      </c>
      <c r="BF96" s="307">
        <f>BF6-'Plan 39'!BF5</f>
        <v>-0.24275809062834752</v>
      </c>
      <c r="BG96" s="307">
        <f>BG6-'Plan 39'!BG5</f>
        <v>-0.24151189619356339</v>
      </c>
      <c r="BH96" s="307">
        <f>BH6-'Plan 39'!BH5</f>
        <v>-0.24074735623577026</v>
      </c>
      <c r="BI96" s="307">
        <f>BI6-'Plan 39'!BI5</f>
        <v>-0.24014395335871042</v>
      </c>
      <c r="BJ96" s="307">
        <f>BJ6-'Plan 39'!BJ5</f>
        <v>-0.23910510265982754</v>
      </c>
      <c r="BK96" s="307">
        <f>BK6-'Plan 39'!BK5</f>
        <v>-0.23862237700169187</v>
      </c>
      <c r="BL96" s="307">
        <f>BL6-'Plan 39'!BL5</f>
        <v>-0.21970061680732877</v>
      </c>
      <c r="BM96" s="307">
        <f>BM6-'Plan 39'!BM5</f>
        <v>-0.21921789114919299</v>
      </c>
      <c r="BN96" s="307">
        <f>BN6-'Plan 39'!BN5</f>
        <v>-0.21885584550705461</v>
      </c>
      <c r="BO96" s="307">
        <f>BO6-'Plan 39'!BO5</f>
        <v>-0.21731016876819453</v>
      </c>
      <c r="BP96" s="307">
        <f>BP6-'Plan 39'!BP5</f>
        <v>-0.21599459769844831</v>
      </c>
      <c r="BQ96" s="307">
        <f>BQ6-'Plan 39'!BQ5</f>
        <v>-0.27257095174884316</v>
      </c>
      <c r="BR96" s="307">
        <f>BR6-'Plan 39'!BR5</f>
        <v>-0.27257095174884316</v>
      </c>
      <c r="BS96" s="307">
        <f>BS6-'Plan 39'!BS5</f>
        <v>-0.27257095174884316</v>
      </c>
      <c r="BT96" s="307">
        <f>BT6-'Plan 39'!BT5</f>
        <v>-0.27257095174884316</v>
      </c>
      <c r="BU96" s="307">
        <f>BU6-'Plan 39'!BU5</f>
        <v>-0.27257095174884316</v>
      </c>
      <c r="BV96" s="307">
        <f>BV6-'Plan 39'!BV5</f>
        <v>-0.27257095174884316</v>
      </c>
      <c r="BW96" s="307">
        <f>BW6-'Plan 39'!BW5</f>
        <v>-0.27257095174884316</v>
      </c>
      <c r="BX96" s="307">
        <f>BX6-'Plan 39'!BX5</f>
        <v>-0.27257095174884316</v>
      </c>
      <c r="BY96" s="307">
        <f>BY6-'Plan 39'!BY5</f>
        <v>-0.27257095174884316</v>
      </c>
      <c r="BZ96" s="307">
        <f>BZ6-'Plan 39'!BZ5</f>
        <v>-0.27257095174884316</v>
      </c>
      <c r="CA96" s="307">
        <f>CA6-'Plan 39'!CA5</f>
        <v>-0.27257095174884316</v>
      </c>
      <c r="CB96" s="307">
        <f>CB6-'Plan 39'!CB5</f>
        <v>-0.27257095174884316</v>
      </c>
      <c r="CC96" s="307">
        <f>CC6-'Plan 39'!CC5</f>
        <v>-0.27257095174884316</v>
      </c>
      <c r="CD96" s="307">
        <f>CD6-'Plan 39'!CD5</f>
        <v>-0.27257095174884316</v>
      </c>
      <c r="CE96" s="307">
        <f>CE6-'Plan 39'!CE5</f>
        <v>-0.27257095174884316</v>
      </c>
      <c r="CF96" s="307">
        <f>CF6-'Plan 39'!CF5</f>
        <v>-0.27257095174884316</v>
      </c>
      <c r="CG96" s="307">
        <f>CG6-'Plan 39'!CG5</f>
        <v>-0.27257095174884316</v>
      </c>
      <c r="CH96" s="307">
        <f>CH6-'Plan 39'!CH5</f>
        <v>-0.27257095174884316</v>
      </c>
      <c r="CI96" s="307">
        <f>CI6-'Plan 39'!CI5</f>
        <v>-0.27257095174884316</v>
      </c>
      <c r="CJ96" s="307">
        <f>CJ6-'Plan 39'!CJ5</f>
        <v>-0.27257095174884316</v>
      </c>
      <c r="CK96" s="307">
        <f>CK6-'Plan 39'!CK5</f>
        <v>-0.27257095174884316</v>
      </c>
      <c r="CL96" s="307">
        <f>CL6-'Plan 39'!CL5</f>
        <v>-0.27257095174884316</v>
      </c>
      <c r="CM96" s="307">
        <f>CM6-'Plan 39'!CM5</f>
        <v>-0.27257095174884316</v>
      </c>
      <c r="CN96" s="307">
        <f>CN6-'Plan 39'!CN5</f>
        <v>-0.27257095174884316</v>
      </c>
      <c r="CO96" s="307">
        <f>CO6-'Plan 39'!CO5</f>
        <v>-0.27257095174884316</v>
      </c>
      <c r="CP96" s="307">
        <f>CP6-'Plan 39'!CP5</f>
        <v>-0.23910510265982754</v>
      </c>
    </row>
    <row r="97" spans="2:109" x14ac:dyDescent="0.4">
      <c r="B97" s="449" t="s">
        <v>353</v>
      </c>
      <c r="C97" s="450"/>
      <c r="D97" s="450"/>
      <c r="E97" s="450"/>
      <c r="F97" s="451"/>
      <c r="G97" s="66"/>
      <c r="H97" s="66">
        <f>H7-'Plan 39'!H6</f>
        <v>0</v>
      </c>
      <c r="I97" s="66">
        <f>I7-'Plan 39'!I6</f>
        <v>5.5587876296452905E-2</v>
      </c>
      <c r="J97" s="66">
        <f>J7-'Plan 39'!J6</f>
        <v>7.0230305938819584E-2</v>
      </c>
      <c r="K97" s="66">
        <f>K7-'Plan 39'!K6</f>
        <v>6.3663782470703978E-2</v>
      </c>
      <c r="L97" s="66">
        <f>L7-'Plan 39'!L6</f>
        <v>7.7058472040542586E-2</v>
      </c>
      <c r="M97" s="66">
        <f>M7-'Plan 39'!M6</f>
        <v>6.8844390126183819E-2</v>
      </c>
      <c r="N97" s="66">
        <f>N7-'Plan 39'!N6</f>
        <v>0.15871401203756119</v>
      </c>
      <c r="O97" s="66">
        <f>O7-'Plan 39'!O6</f>
        <v>0.17423244050376069</v>
      </c>
      <c r="P97" s="66">
        <f>P7-'Plan 39'!P6</f>
        <v>0.18451993750137163</v>
      </c>
      <c r="Q97" s="66">
        <f>Q7-'Plan 39'!Q6</f>
        <v>0.18011282285099933</v>
      </c>
      <c r="R97" s="66">
        <f>R7-'Plan 39'!R6</f>
        <v>0.14765191165661606</v>
      </c>
      <c r="S97" s="66">
        <f>S7-'Plan 39'!S6</f>
        <v>0.1192796046315393</v>
      </c>
      <c r="T97" s="66">
        <f>T7-'Plan 39'!T6</f>
        <v>0.11199326957011219</v>
      </c>
      <c r="U97" s="66">
        <f>U7-'Plan 39'!U6</f>
        <v>9.415894976052569E-2</v>
      </c>
      <c r="V97" s="66">
        <f>V7-'Plan 39'!V6</f>
        <v>9.2552259466212927E-2</v>
      </c>
      <c r="W97" s="66">
        <f>W7-'Plan 39'!W6</f>
        <v>8.4775277821941053E-2</v>
      </c>
      <c r="X97" s="66">
        <f>X7-'Plan 39'!X6</f>
        <v>8.3173214283625341E-2</v>
      </c>
      <c r="Y97" s="66">
        <f>Y7-'Plan 39'!Y6</f>
        <v>6.8443520768428523E-2</v>
      </c>
      <c r="Z97" s="66">
        <f>Z7-'Plan 39'!Z6</f>
        <v>4.6469076949618104E-2</v>
      </c>
      <c r="AA97" s="66">
        <f>AA7-'Plan 39'!AA6</f>
        <v>2.2237742956841888E-2</v>
      </c>
      <c r="AB97" s="66">
        <f>AB7-'Plan 39'!AB6</f>
        <v>-9.4765363582937079E-3</v>
      </c>
      <c r="AC97" s="66">
        <f>AC7-'Plan 39'!AC6</f>
        <v>-3.8761986509095014E-2</v>
      </c>
      <c r="AD97" s="66">
        <f>AD7-'Plan 39'!AD6</f>
        <v>-6.6940298262612052E-2</v>
      </c>
      <c r="AE97" s="66">
        <f>AE7-'Plan 39'!AE6</f>
        <v>-9.7730573298517309E-2</v>
      </c>
      <c r="AF97" s="66">
        <f>AF7-'Plan 39'!AF6</f>
        <v>-0.11384072148228019</v>
      </c>
      <c r="AG97" s="66">
        <f>AG7-'Plan 39'!AG6</f>
        <v>-0.14071757617014391</v>
      </c>
      <c r="AH97" s="66">
        <f>AH7-'Plan 39'!AH6</f>
        <v>-0.16424124839480037</v>
      </c>
      <c r="AI97" s="66">
        <f>AI7-'Plan 39'!AI6</f>
        <v>-0.17006087641326972</v>
      </c>
      <c r="AJ97" s="66">
        <f>AJ7-'Plan 39'!AJ6</f>
        <v>-0.18888784315809204</v>
      </c>
      <c r="AK97" s="66">
        <f>AK7-'Plan 39'!AK6</f>
        <v>-0.2106375863844796</v>
      </c>
      <c r="AL97" s="66">
        <f>AL7-'Plan 39'!AL6</f>
        <v>-0.21644701772045394</v>
      </c>
      <c r="AM97" s="66">
        <f>AM7-'Plan 39'!AM6</f>
        <v>-0.21669773514581148</v>
      </c>
      <c r="AN97" s="66">
        <f>AN7-'Plan 39'!AN6</f>
        <v>-0.21269248098861437</v>
      </c>
      <c r="AO97" s="66">
        <f>AO7-'Plan 39'!AO6</f>
        <v>-0.21047058889235926</v>
      </c>
      <c r="AP97" s="66">
        <f>AP7-'Plan 39'!AP6</f>
        <v>-0.2095336414392911</v>
      </c>
      <c r="AQ97" s="66">
        <f>AQ7-'Plan 39'!AQ6</f>
        <v>-0.20943994669398425</v>
      </c>
      <c r="AR97" s="66">
        <f>AR7-'Plan 39'!AR6</f>
        <v>-0.20939309932133088</v>
      </c>
      <c r="AS97" s="66">
        <f>AS7-'Plan 39'!AS6</f>
        <v>-0.20939309932133088</v>
      </c>
      <c r="AT97" s="66">
        <f>AT7-'Plan 39'!AT6</f>
        <v>-0.20734725732389736</v>
      </c>
      <c r="AU97" s="66">
        <f>AU7-'Plan 39'!AU6</f>
        <v>-0.20625415196198449</v>
      </c>
      <c r="AV97" s="66">
        <f>AV7-'Plan 39'!AV6</f>
        <v>-0.20625415196198449</v>
      </c>
      <c r="AW97" s="66">
        <f>AW7-'Plan 39'!AW6</f>
        <v>-0.20486434657326669</v>
      </c>
      <c r="AX97" s="66">
        <f>AX7-'Plan 39'!AX6</f>
        <v>-0.20486434657326669</v>
      </c>
      <c r="AY97" s="66">
        <f>AY7-'Plan 39'!AY6</f>
        <v>-0.20189441843579126</v>
      </c>
      <c r="AZ97" s="66">
        <f>AZ7-'Plan 39'!AZ6</f>
        <v>-0.19846451762842232</v>
      </c>
      <c r="BA97" s="66">
        <f>BA7-'Plan 39'!BA6</f>
        <v>-0.19394151145914051</v>
      </c>
      <c r="BB97" s="66">
        <f>BB7-'Plan 39'!BB6</f>
        <v>-0.1888341812912675</v>
      </c>
      <c r="BC97" s="66">
        <f>BC7-'Plan 39'!BC6</f>
        <v>-0.18701090766182971</v>
      </c>
      <c r="BD97" s="66">
        <f>BD7-'Plan 39'!BD6</f>
        <v>-0.18701090766182971</v>
      </c>
      <c r="BE97" s="66">
        <f>BE7-'Plan 39'!BE6</f>
        <v>-0.18149932777268662</v>
      </c>
      <c r="BF97" s="66">
        <f>BF7-'Plan 39'!BF6</f>
        <v>-0.17879301705553363</v>
      </c>
      <c r="BG97" s="66">
        <f>BG7-'Plan 39'!BG6</f>
        <v>-0.17750996820419762</v>
      </c>
      <c r="BH97" s="66">
        <f>BH7-'Plan 39'!BH6</f>
        <v>-0.17685015769143675</v>
      </c>
      <c r="BI97" s="66">
        <f>BI7-'Plan 39'!BI6</f>
        <v>-0.17669399978259204</v>
      </c>
      <c r="BJ97" s="66">
        <f>BJ7-'Plan 39'!BJ6</f>
        <v>-0.17581823849365696</v>
      </c>
      <c r="BK97" s="66">
        <f>BK7-'Plan 39'!BK6</f>
        <v>-0.17550592267596765</v>
      </c>
      <c r="BL97" s="66">
        <f>BL7-'Plan 39'!BL6</f>
        <v>-0.16566430217480521</v>
      </c>
      <c r="BM97" s="66">
        <f>BM7-'Plan 39'!BM6</f>
        <v>-0.16535198635711579</v>
      </c>
      <c r="BN97" s="66">
        <f>BN7-'Plan 39'!BN6</f>
        <v>-0.16503967053942636</v>
      </c>
      <c r="BO97" s="66">
        <f>BO7-'Plan 39'!BO6</f>
        <v>-0.16347594441160485</v>
      </c>
      <c r="BP97" s="66">
        <f>BP7-'Plan 39'!BP6</f>
        <v>-0.16208596563131905</v>
      </c>
      <c r="BQ97" s="66">
        <f>BQ7-'Plan 39'!BQ6</f>
        <v>-0.20939309932133088</v>
      </c>
      <c r="BR97" s="66">
        <f>BR7-'Plan 39'!BR6</f>
        <v>-0.20939309932133088</v>
      </c>
      <c r="BS97" s="66">
        <f>BS7-'Plan 39'!BS6</f>
        <v>-0.20939309932133088</v>
      </c>
      <c r="BT97" s="66">
        <f>BT7-'Plan 39'!BT6</f>
        <v>-0.20939309932133088</v>
      </c>
      <c r="BU97" s="66">
        <f>BU7-'Plan 39'!BU6</f>
        <v>-0.20939309932133088</v>
      </c>
      <c r="BV97" s="66">
        <f>BV7-'Plan 39'!BV6</f>
        <v>-0.20939309932133088</v>
      </c>
      <c r="BW97" s="66">
        <f>BW7-'Plan 39'!BW6</f>
        <v>-0.20939309932133088</v>
      </c>
      <c r="BX97" s="66">
        <f>BX7-'Plan 39'!BX6</f>
        <v>-0.20939309932133088</v>
      </c>
      <c r="BY97" s="66">
        <f>BY7-'Plan 39'!BY6</f>
        <v>-0.20939309932133088</v>
      </c>
      <c r="BZ97" s="66">
        <f>BZ7-'Plan 39'!BZ6</f>
        <v>-0.20939309932133088</v>
      </c>
      <c r="CA97" s="66">
        <f>CA7-'Plan 39'!CA6</f>
        <v>-0.20939309932133088</v>
      </c>
      <c r="CB97" s="66">
        <f>CB7-'Plan 39'!CB6</f>
        <v>-0.20939309932133088</v>
      </c>
      <c r="CC97" s="66">
        <f>CC7-'Plan 39'!CC6</f>
        <v>-0.20939309932133088</v>
      </c>
      <c r="CD97" s="66">
        <f>CD7-'Plan 39'!CD6</f>
        <v>-0.20939309932133088</v>
      </c>
      <c r="CE97" s="66">
        <f>CE7-'Plan 39'!CE6</f>
        <v>-0.20939309932133088</v>
      </c>
      <c r="CF97" s="66">
        <f>CF7-'Plan 39'!CF6</f>
        <v>-0.20939309932133088</v>
      </c>
      <c r="CG97" s="66">
        <f>CG7-'Plan 39'!CG6</f>
        <v>-0.20939309932133088</v>
      </c>
      <c r="CH97" s="66">
        <f>CH7-'Plan 39'!CH6</f>
        <v>-0.20939309932133088</v>
      </c>
      <c r="CI97" s="66">
        <f>CI7-'Plan 39'!CI6</f>
        <v>-0.20939309932133088</v>
      </c>
      <c r="CJ97" s="66">
        <f>CJ7-'Plan 39'!CJ6</f>
        <v>-0.20939309932133088</v>
      </c>
      <c r="CK97" s="66">
        <f>CK7-'Plan 39'!CK6</f>
        <v>-0.20939309932133088</v>
      </c>
      <c r="CL97" s="66">
        <f>CL7-'Plan 39'!CL6</f>
        <v>-0.20939309932133088</v>
      </c>
      <c r="CM97" s="66">
        <f>CM7-'Plan 39'!CM6</f>
        <v>-0.20939309932133088</v>
      </c>
      <c r="CN97" s="66">
        <f>CN7-'Plan 39'!CN6</f>
        <v>-0.20939309932133088</v>
      </c>
      <c r="CO97" s="66">
        <f>CO7-'Plan 39'!CO6</f>
        <v>-0.20939309932133088</v>
      </c>
      <c r="CP97" s="66">
        <f>CP7-'Plan 39'!CP6</f>
        <v>-0.17581823849365696</v>
      </c>
    </row>
    <row r="98" spans="2:109" x14ac:dyDescent="0.4">
      <c r="B98" s="449" t="s">
        <v>354</v>
      </c>
      <c r="C98" s="450"/>
      <c r="D98" s="450"/>
      <c r="E98" s="450"/>
      <c r="F98" s="451"/>
      <c r="G98" s="66"/>
      <c r="H98" s="66">
        <f>H46-'Plan 39'!H45</f>
        <v>0</v>
      </c>
      <c r="I98" s="66">
        <f>I46-'Plan 39'!I45</f>
        <v>-3.1937615344893432E-3</v>
      </c>
      <c r="J98" s="66">
        <f>J46-'Plan 39'!J45</f>
        <v>2.1028866397939314E-3</v>
      </c>
      <c r="K98" s="66">
        <f>K46-'Plan 39'!K45</f>
        <v>1.9401449429428674E-2</v>
      </c>
      <c r="L98" s="66">
        <f>L46-'Plan 39'!L45</f>
        <v>3.8434565181115113E-2</v>
      </c>
      <c r="M98" s="66">
        <f>M46-'Plan 39'!M45</f>
        <v>5.0025686748648837E-2</v>
      </c>
      <c r="N98" s="66">
        <f>N46-'Plan 39'!N45</f>
        <v>5.6615095777748925E-2</v>
      </c>
      <c r="O98" s="66">
        <f>O46-'Plan 39'!O45</f>
        <v>5.0714076904716465E-2</v>
      </c>
      <c r="P98" s="66">
        <f>P46-'Plan 39'!P45</f>
        <v>4.3645576582090354E-2</v>
      </c>
      <c r="Q98" s="66">
        <f>Q46-'Plan 39'!Q45</f>
        <v>3.1973526070554398E-2</v>
      </c>
      <c r="R98" s="66">
        <f>R46-'Plan 39'!R45</f>
        <v>2.281942726620978E-2</v>
      </c>
      <c r="S98" s="66">
        <f>S46-'Plan 39'!S45</f>
        <v>1.1782702282029323E-2</v>
      </c>
      <c r="T98" s="66">
        <f>T46-'Plan 39'!T45</f>
        <v>1.8524389796112595E-2</v>
      </c>
      <c r="U98" s="66">
        <f>U46-'Plan 39'!U45</f>
        <v>8.60240918044064E-3</v>
      </c>
      <c r="V98" s="66">
        <f>V46-'Plan 39'!V45</f>
        <v>2.984513934453259E-3</v>
      </c>
      <c r="W98" s="66">
        <f>W46-'Plan 39'!W45</f>
        <v>-3.1594847441535345E-3</v>
      </c>
      <c r="X98" s="66">
        <f>X46-'Plan 39'!X45</f>
        <v>-1.7278863596933564E-2</v>
      </c>
      <c r="Y98" s="66">
        <f>Y46-'Plan 39'!Y45</f>
        <v>-4.0880450226913112E-2</v>
      </c>
      <c r="Z98" s="66">
        <f>Z46-'Plan 39'!Z45</f>
        <v>-4.5379315280175914E-2</v>
      </c>
      <c r="AA98" s="66">
        <f>AA46-'Plan 39'!AA45</f>
        <v>-5.1578279264821669E-2</v>
      </c>
      <c r="AB98" s="66">
        <f>AB46-'Plan 39'!AB45</f>
        <v>-5.1821749469353029E-2</v>
      </c>
      <c r="AC98" s="66">
        <f>AC46-'Plan 39'!AC45</f>
        <v>-4.6155841813606213E-2</v>
      </c>
      <c r="AD98" s="66">
        <f>AD46-'Plan 39'!AD45</f>
        <v>-4.9512678914668928E-2</v>
      </c>
      <c r="AE98" s="66">
        <f>AE46-'Plan 39'!AE45</f>
        <v>-0.10113248570228622</v>
      </c>
      <c r="AF98" s="66">
        <f>AF46-'Plan 39'!AF45</f>
        <v>-0.17275928368524113</v>
      </c>
      <c r="AG98" s="66">
        <f>AG46-'Plan 39'!AG45</f>
        <v>-0.23695398260518619</v>
      </c>
      <c r="AH98" s="66">
        <f>AH46-'Plan 39'!AH45</f>
        <v>-0.31341404050485838</v>
      </c>
      <c r="AI98" s="66">
        <f>AI46-'Plan 39'!AI45</f>
        <v>-0.37053942643695303</v>
      </c>
      <c r="AJ98" s="66">
        <f>AJ46-'Plan 39'!AJ45</f>
        <v>-0.3684444636780439</v>
      </c>
      <c r="AK98" s="66">
        <f>AK46-'Plan 39'!AK45</f>
        <v>-0.39933652006885317</v>
      </c>
      <c r="AL98" s="66">
        <f>AL46-'Plan 39'!AL45</f>
        <v>-0.40824245525801428</v>
      </c>
      <c r="AM98" s="66">
        <f>AM46-'Plan 39'!AM45</f>
        <v>-0.42415560313537704</v>
      </c>
      <c r="AN98" s="66">
        <f>AN46-'Plan 39'!AN45</f>
        <v>-0.44517323482208626</v>
      </c>
      <c r="AO98" s="66">
        <f>AO46-'Plan 39'!AO45</f>
        <v>-0.4634157365646816</v>
      </c>
      <c r="AP98" s="66">
        <f>AP46-'Plan 39'!AP45</f>
        <v>-0.48749583886490755</v>
      </c>
      <c r="AQ98" s="66">
        <f>AQ46-'Plan 39'!AQ45</f>
        <v>-0.48749583886490755</v>
      </c>
      <c r="AR98" s="66">
        <f>AR46-'Plan 39'!AR45</f>
        <v>-0.48749583886490755</v>
      </c>
      <c r="AS98" s="66">
        <f>AS46-'Plan 39'!AS45</f>
        <v>-0.48749583886490755</v>
      </c>
      <c r="AT98" s="66">
        <f>AT46-'Plan 39'!AT45</f>
        <v>-0.48456218183861444</v>
      </c>
      <c r="AU98" s="66">
        <f>AU46-'Plan 39'!AU45</f>
        <v>-0.48293592066193169</v>
      </c>
      <c r="AV98" s="66">
        <f>AV46-'Plan 39'!AV45</f>
        <v>-0.48293592066193169</v>
      </c>
      <c r="AW98" s="66">
        <f>AW46-'Plan 39'!AW45</f>
        <v>-0.48293592066193169</v>
      </c>
      <c r="AX98" s="66">
        <f>AX46-'Plan 39'!AX45</f>
        <v>-0.48293592066193169</v>
      </c>
      <c r="AY98" s="66">
        <f>AY46-'Plan 39'!AY45</f>
        <v>-0.46719090313983924</v>
      </c>
      <c r="AZ98" s="66">
        <f>AZ46-'Plan 39'!AZ45</f>
        <v>-0.46660655932402051</v>
      </c>
      <c r="BA98" s="66">
        <f>BA46-'Plan 39'!BA45</f>
        <v>-0.46499981814653812</v>
      </c>
      <c r="BB98" s="66">
        <f>BB46-'Plan 39'!BB45</f>
        <v>-0.46357450959438706</v>
      </c>
      <c r="BC98" s="66">
        <f>BC46-'Plan 39'!BC45</f>
        <v>-0.46339307696905596</v>
      </c>
      <c r="BD98" s="66">
        <f>BD46-'Plan 39'!BD45</f>
        <v>-0.46339307696905596</v>
      </c>
      <c r="BE98" s="66">
        <f>BE46-'Plan 39'!BE45</f>
        <v>-0.46178633579157369</v>
      </c>
      <c r="BF98" s="66">
        <f>BF46-'Plan 39'!BF45</f>
        <v>-0.46036102723942263</v>
      </c>
      <c r="BG98" s="66">
        <f>BG46-'Plan 39'!BG45</f>
        <v>-0.45924020793235765</v>
      </c>
      <c r="BH98" s="66">
        <f>BH46-'Plan 39'!BH45</f>
        <v>-0.45811938862529256</v>
      </c>
      <c r="BI98" s="66">
        <f>BI46-'Plan 39'!BI45</f>
        <v>-0.45599450202231506</v>
      </c>
      <c r="BJ98" s="66">
        <f>BJ46-'Plan 39'!BJ45</f>
        <v>-0.45440083707008194</v>
      </c>
      <c r="BK98" s="66">
        <f>BK46-'Plan 39'!BK45</f>
        <v>-0.4533383937685932</v>
      </c>
      <c r="BL98" s="66">
        <f>BL46-'Plan 39'!BL45</f>
        <v>-0.40352688465789255</v>
      </c>
      <c r="BM98" s="66">
        <f>BM46-'Plan 39'!BM45</f>
        <v>-0.4024644413564038</v>
      </c>
      <c r="BN98" s="66">
        <f>BN46-'Plan 39'!BN45</f>
        <v>-0.40193321970565943</v>
      </c>
      <c r="BO98" s="66">
        <f>BO46-'Plan 39'!BO45</f>
        <v>-0.40044894522623042</v>
      </c>
      <c r="BP98" s="66">
        <f>BP46-'Plan 39'!BP45</f>
        <v>-0.39938650192474168</v>
      </c>
      <c r="BQ98" s="66">
        <f>BQ46-'Plan 39'!BQ45</f>
        <v>-0.48749583886490755</v>
      </c>
      <c r="BR98" s="66">
        <f>BR46-'Plan 39'!BR45</f>
        <v>-0.48749583886490755</v>
      </c>
      <c r="BS98" s="66">
        <f>BS46-'Plan 39'!BS45</f>
        <v>-0.48749583886490755</v>
      </c>
      <c r="BT98" s="66">
        <f>BT46-'Plan 39'!BT45</f>
        <v>-0.48749583886490755</v>
      </c>
      <c r="BU98" s="66">
        <f>BU46-'Plan 39'!BU45</f>
        <v>-0.48749583886490755</v>
      </c>
      <c r="BV98" s="66">
        <f>BV46-'Plan 39'!BV45</f>
        <v>-0.48749583886490755</v>
      </c>
      <c r="BW98" s="66">
        <f>BW46-'Plan 39'!BW45</f>
        <v>-0.48749583886490755</v>
      </c>
      <c r="BX98" s="66">
        <f>BX46-'Plan 39'!BX45</f>
        <v>-0.48749583886490755</v>
      </c>
      <c r="BY98" s="66">
        <f>BY46-'Plan 39'!BY45</f>
        <v>-0.48749583886490755</v>
      </c>
      <c r="BZ98" s="66">
        <f>BZ46-'Plan 39'!BZ45</f>
        <v>-0.48749583886490755</v>
      </c>
      <c r="CA98" s="66">
        <f>CA46-'Plan 39'!CA45</f>
        <v>-0.48749583886490755</v>
      </c>
      <c r="CB98" s="66">
        <f>CB46-'Plan 39'!CB45</f>
        <v>-0.48749583886490755</v>
      </c>
      <c r="CC98" s="66">
        <f>CC46-'Plan 39'!CC45</f>
        <v>-0.48749583886490755</v>
      </c>
      <c r="CD98" s="66">
        <f>CD46-'Plan 39'!CD45</f>
        <v>-0.48749583886490755</v>
      </c>
      <c r="CE98" s="66">
        <f>CE46-'Plan 39'!CE45</f>
        <v>-0.48749583886490755</v>
      </c>
      <c r="CF98" s="66">
        <f>CF46-'Plan 39'!CF45</f>
        <v>-0.48749583886490755</v>
      </c>
      <c r="CG98" s="66">
        <f>CG46-'Plan 39'!CG45</f>
        <v>-0.48749583886490755</v>
      </c>
      <c r="CH98" s="66">
        <f>CH46-'Plan 39'!CH45</f>
        <v>-0.48749583886490755</v>
      </c>
      <c r="CI98" s="66">
        <f>CI46-'Plan 39'!CI45</f>
        <v>-0.48749583886490755</v>
      </c>
      <c r="CJ98" s="66">
        <f>CJ46-'Plan 39'!CJ45</f>
        <v>-0.48749583886490755</v>
      </c>
      <c r="CK98" s="66">
        <f>CK46-'Plan 39'!CK45</f>
        <v>-0.48749583886490755</v>
      </c>
      <c r="CL98" s="66">
        <f>CL46-'Plan 39'!CL45</f>
        <v>-0.48749583886490755</v>
      </c>
      <c r="CM98" s="66">
        <f>CM46-'Plan 39'!CM45</f>
        <v>-0.48749583886490755</v>
      </c>
      <c r="CN98" s="66">
        <f>CN46-'Plan 39'!CN45</f>
        <v>-0.48749583886490755</v>
      </c>
      <c r="CO98" s="66">
        <f>CO46-'Plan 39'!CO45</f>
        <v>-0.48749583886490755</v>
      </c>
      <c r="CP98" s="66">
        <f>CP46-'Plan 39'!CP45</f>
        <v>-0.45440083707008194</v>
      </c>
    </row>
    <row r="99" spans="2:109" x14ac:dyDescent="0.4">
      <c r="DE99"/>
    </row>
    <row r="100" spans="2:109" x14ac:dyDescent="0.4">
      <c r="B100" s="323" t="s">
        <v>447</v>
      </c>
      <c r="C100" s="323"/>
      <c r="D100" s="323"/>
      <c r="E100" s="323"/>
      <c r="F100" s="323"/>
      <c r="G100" s="323"/>
      <c r="H100" s="323"/>
      <c r="I100" s="324"/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  <c r="Y100" s="324"/>
      <c r="Z100" s="324"/>
      <c r="AA100" s="324"/>
      <c r="AB100" s="324"/>
      <c r="AC100" s="324"/>
      <c r="AD100" s="324"/>
      <c r="AE100" s="324"/>
      <c r="AF100" s="324"/>
      <c r="AG100" s="324"/>
      <c r="AH100" s="324"/>
      <c r="AI100" s="324"/>
      <c r="AJ100" s="324"/>
      <c r="AK100" s="324"/>
      <c r="AL100" s="324"/>
      <c r="AM100" s="324"/>
      <c r="AN100" s="324"/>
      <c r="AO100" s="324"/>
      <c r="AP100" s="324"/>
      <c r="AQ100" s="324"/>
      <c r="AR100" s="324"/>
      <c r="AS100" s="324"/>
      <c r="AT100" s="324"/>
      <c r="AU100" s="324"/>
      <c r="AV100" s="324"/>
      <c r="AW100" s="324"/>
      <c r="AX100" s="324"/>
      <c r="AY100" s="324"/>
      <c r="AZ100" s="324"/>
      <c r="BA100" s="324"/>
      <c r="BB100" s="324"/>
      <c r="BC100" s="324"/>
      <c r="BD100" s="324"/>
      <c r="BE100" s="324"/>
      <c r="BF100" s="324"/>
      <c r="BG100" s="324"/>
      <c r="BH100" s="324"/>
      <c r="BI100" s="324"/>
      <c r="BJ100" s="324"/>
      <c r="BK100" s="324"/>
      <c r="BL100" s="324"/>
      <c r="BM100" s="357"/>
      <c r="BN100" s="324"/>
      <c r="BO100" s="324"/>
      <c r="BP100" s="324"/>
      <c r="BQ100" s="324"/>
      <c r="BR100" s="324"/>
      <c r="BS100" s="324"/>
      <c r="BT100" s="324"/>
      <c r="BU100" s="324"/>
      <c r="BV100" s="324"/>
      <c r="BW100" s="324"/>
      <c r="BX100" s="324"/>
      <c r="BY100" s="324"/>
      <c r="BZ100" s="324"/>
      <c r="CA100" s="324"/>
      <c r="CB100" s="324"/>
      <c r="CC100" s="324"/>
      <c r="CD100" s="324"/>
      <c r="CE100" s="324"/>
      <c r="CF100" s="324"/>
      <c r="CG100" s="324"/>
      <c r="CH100" s="324"/>
      <c r="CI100" s="324"/>
      <c r="CJ100" s="324"/>
      <c r="CK100" s="324"/>
      <c r="CL100" s="324"/>
      <c r="CM100" s="324"/>
      <c r="CN100" s="324"/>
      <c r="CO100" s="324"/>
      <c r="CP100" s="324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</row>
    <row r="101" spans="2:109" outlineLevel="1" x14ac:dyDescent="0.4">
      <c r="B101" s="452" t="s">
        <v>451</v>
      </c>
      <c r="C101" s="453"/>
      <c r="D101" s="453"/>
      <c r="E101" s="453"/>
      <c r="F101" s="327"/>
      <c r="G101" s="327"/>
      <c r="H101" s="328">
        <f t="shared" ref="H101:AM101" si="761">IF(MOD(H5-$H$5,14)=0,H6, "")</f>
        <v>0</v>
      </c>
      <c r="I101" s="328" t="str">
        <f t="shared" si="761"/>
        <v/>
      </c>
      <c r="J101" s="328">
        <f t="shared" si="761"/>
        <v>0.10235533218768098</v>
      </c>
      <c r="K101" s="328" t="str">
        <f t="shared" si="761"/>
        <v/>
      </c>
      <c r="L101" s="328">
        <f t="shared" si="761"/>
        <v>0.17883461778899412</v>
      </c>
      <c r="M101" s="328" t="str">
        <f t="shared" si="761"/>
        <v/>
      </c>
      <c r="N101" s="328">
        <f t="shared" si="761"/>
        <v>0.31333235028057671</v>
      </c>
      <c r="O101" s="328" t="str">
        <f t="shared" si="761"/>
        <v/>
      </c>
      <c r="P101" s="328">
        <f t="shared" si="761"/>
        <v>0.38658474947173488</v>
      </c>
      <c r="Q101" s="328" t="str">
        <f t="shared" si="761"/>
        <v/>
      </c>
      <c r="R101" s="328">
        <f t="shared" si="761"/>
        <v>0.42979411462287836</v>
      </c>
      <c r="S101" s="328" t="str">
        <f t="shared" si="761"/>
        <v/>
      </c>
      <c r="T101" s="328">
        <f t="shared" si="761"/>
        <v>0.46533225340257373</v>
      </c>
      <c r="U101" s="328" t="str">
        <f t="shared" si="761"/>
        <v/>
      </c>
      <c r="V101" s="328">
        <f t="shared" si="761"/>
        <v>0.49750883554724357</v>
      </c>
      <c r="W101" s="328" t="str">
        <f t="shared" si="761"/>
        <v/>
      </c>
      <c r="X101" s="328">
        <f t="shared" si="761"/>
        <v>0.54031007332414593</v>
      </c>
      <c r="Y101" s="328" t="str">
        <f t="shared" si="761"/>
        <v/>
      </c>
      <c r="Z101" s="328">
        <f t="shared" si="761"/>
        <v>0.57247904041258846</v>
      </c>
      <c r="AA101" s="328" t="str">
        <f t="shared" si="761"/>
        <v/>
      </c>
      <c r="AB101" s="328">
        <f t="shared" si="761"/>
        <v>0.61037207018897099</v>
      </c>
      <c r="AC101" s="328" t="str">
        <f t="shared" si="761"/>
        <v/>
      </c>
      <c r="AD101" s="328">
        <f t="shared" si="761"/>
        <v>0.64574520618269327</v>
      </c>
      <c r="AE101" s="328" t="str">
        <f t="shared" si="761"/>
        <v/>
      </c>
      <c r="AF101" s="328">
        <f t="shared" si="761"/>
        <v>0.65998105621028769</v>
      </c>
      <c r="AG101" s="328" t="str">
        <f t="shared" si="761"/>
        <v/>
      </c>
      <c r="AH101" s="328">
        <f t="shared" si="761"/>
        <v>0.66697235865993831</v>
      </c>
      <c r="AI101" s="328" t="str">
        <f t="shared" si="761"/>
        <v/>
      </c>
      <c r="AJ101" s="328">
        <f t="shared" si="761"/>
        <v>0.70439989204253095</v>
      </c>
      <c r="AK101" s="328" t="str">
        <f t="shared" si="761"/>
        <v/>
      </c>
      <c r="AL101" s="328">
        <f t="shared" si="761"/>
        <v>0.71793004029153129</v>
      </c>
      <c r="AM101" s="328" t="str">
        <f t="shared" si="761"/>
        <v/>
      </c>
      <c r="AN101" s="328">
        <f t="shared" ref="AN101:BS101" si="762">IF(MOD(AN5-$H$5,14)=0,AN6, "")</f>
        <v>0.72487920198370381</v>
      </c>
      <c r="AO101" s="328" t="str">
        <f t="shared" si="762"/>
        <v/>
      </c>
      <c r="AP101" s="328">
        <f t="shared" si="762"/>
        <v>0.7273204337193937</v>
      </c>
      <c r="AQ101" s="328" t="str">
        <f t="shared" si="762"/>
        <v/>
      </c>
      <c r="AR101" s="328">
        <f t="shared" si="762"/>
        <v>0.72742904825115706</v>
      </c>
      <c r="AS101" s="328" t="str">
        <f t="shared" si="762"/>
        <v/>
      </c>
      <c r="AT101" s="328">
        <f t="shared" si="762"/>
        <v>0.72967657918904583</v>
      </c>
      <c r="AU101" s="328" t="str">
        <f t="shared" si="762"/>
        <v/>
      </c>
      <c r="AV101" s="328">
        <f t="shared" si="762"/>
        <v>0.73089080395971273</v>
      </c>
      <c r="AW101" s="328" t="str">
        <f t="shared" si="762"/>
        <v/>
      </c>
      <c r="AX101" s="328">
        <f t="shared" si="762"/>
        <v>0.73196488099604007</v>
      </c>
      <c r="AY101" s="328" t="str">
        <f t="shared" si="762"/>
        <v/>
      </c>
      <c r="AZ101" s="328">
        <f t="shared" si="762"/>
        <v>0.74062044655546411</v>
      </c>
      <c r="BA101" s="328" t="str">
        <f t="shared" si="762"/>
        <v/>
      </c>
      <c r="BB101" s="328">
        <f t="shared" si="762"/>
        <v>0.74875182039318955</v>
      </c>
      <c r="BC101" s="328" t="str">
        <f t="shared" si="762"/>
        <v/>
      </c>
      <c r="BD101" s="328">
        <f t="shared" si="762"/>
        <v>0.7502021096038578</v>
      </c>
      <c r="BE101" s="328" t="str">
        <f t="shared" si="762"/>
        <v/>
      </c>
      <c r="BF101" s="328">
        <f t="shared" si="762"/>
        <v>0.7572419093716527</v>
      </c>
      <c r="BG101" s="328" t="str">
        <f t="shared" si="762"/>
        <v/>
      </c>
      <c r="BH101" s="328">
        <f t="shared" si="762"/>
        <v>0.75925264376422996</v>
      </c>
      <c r="BI101" s="328" t="str">
        <f t="shared" si="762"/>
        <v/>
      </c>
      <c r="BJ101" s="328">
        <f t="shared" si="762"/>
        <v>0.76089489734017268</v>
      </c>
      <c r="BK101" s="328" t="str">
        <f t="shared" si="762"/>
        <v/>
      </c>
      <c r="BL101" s="328">
        <f t="shared" si="762"/>
        <v>0.78029938319267145</v>
      </c>
      <c r="BM101" s="358" t="str">
        <f t="shared" si="762"/>
        <v/>
      </c>
      <c r="BN101" s="328">
        <f t="shared" si="762"/>
        <v>0.78114415449294561</v>
      </c>
      <c r="BO101" s="328" t="str">
        <f t="shared" si="762"/>
        <v/>
      </c>
      <c r="BP101" s="328">
        <f t="shared" si="762"/>
        <v>0.78400540230155191</v>
      </c>
      <c r="BQ101" s="328" t="str">
        <f t="shared" si="762"/>
        <v/>
      </c>
      <c r="BR101" s="328">
        <f t="shared" si="762"/>
        <v>0.72742904825115706</v>
      </c>
      <c r="BS101" s="328" t="str">
        <f t="shared" si="762"/>
        <v/>
      </c>
      <c r="BT101" s="328">
        <f t="shared" ref="BT101:CP101" si="763">IF(MOD(BT5-$H$5,14)=0,BT6, "")</f>
        <v>0.72742904825115706</v>
      </c>
      <c r="BU101" s="328" t="str">
        <f t="shared" si="763"/>
        <v/>
      </c>
      <c r="BV101" s="328">
        <f t="shared" si="763"/>
        <v>0.72742904825115706</v>
      </c>
      <c r="BW101" s="328" t="str">
        <f t="shared" si="763"/>
        <v/>
      </c>
      <c r="BX101" s="328">
        <f t="shared" si="763"/>
        <v>0.72742904825115706</v>
      </c>
      <c r="BY101" s="328" t="str">
        <f t="shared" si="763"/>
        <v/>
      </c>
      <c r="BZ101" s="328">
        <f t="shared" si="763"/>
        <v>0.72742904825115706</v>
      </c>
      <c r="CA101" s="328" t="str">
        <f t="shared" si="763"/>
        <v/>
      </c>
      <c r="CB101" s="328">
        <f t="shared" si="763"/>
        <v>0.72742904825115706</v>
      </c>
      <c r="CC101" s="328" t="str">
        <f t="shared" si="763"/>
        <v/>
      </c>
      <c r="CD101" s="328">
        <f t="shared" si="763"/>
        <v>0.72742904825115706</v>
      </c>
      <c r="CE101" s="328" t="str">
        <f t="shared" si="763"/>
        <v/>
      </c>
      <c r="CF101" s="328">
        <f t="shared" si="763"/>
        <v>0.72742904825115706</v>
      </c>
      <c r="CG101" s="328" t="str">
        <f t="shared" si="763"/>
        <v/>
      </c>
      <c r="CH101" s="328">
        <f t="shared" si="763"/>
        <v>0.72742904825115706</v>
      </c>
      <c r="CI101" s="328" t="str">
        <f t="shared" si="763"/>
        <v/>
      </c>
      <c r="CJ101" s="328">
        <f t="shared" si="763"/>
        <v>0.72742904825115706</v>
      </c>
      <c r="CK101" s="328" t="str">
        <f t="shared" si="763"/>
        <v/>
      </c>
      <c r="CL101" s="328">
        <f t="shared" si="763"/>
        <v>0.72742904825115706</v>
      </c>
      <c r="CM101" s="328" t="str">
        <f t="shared" si="763"/>
        <v/>
      </c>
      <c r="CN101" s="328">
        <f t="shared" si="763"/>
        <v>0.72742904825115706</v>
      </c>
      <c r="CO101" s="328" t="str">
        <f t="shared" si="763"/>
        <v/>
      </c>
      <c r="CP101" s="329">
        <f t="shared" si="763"/>
        <v>0.76089489734017268</v>
      </c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</row>
    <row r="102" spans="2:109" outlineLevel="1" x14ac:dyDescent="0.4">
      <c r="B102" s="454" t="s">
        <v>452</v>
      </c>
      <c r="C102" s="455"/>
      <c r="D102" s="455"/>
      <c r="E102" s="455"/>
      <c r="F102" s="234"/>
      <c r="G102" s="234"/>
      <c r="H102" s="321">
        <f t="shared" ref="H102:AM102" si="764">IF(MOD(H5-$H$5,28)=0,H6, "")</f>
        <v>0</v>
      </c>
      <c r="I102" s="321" t="str">
        <f t="shared" si="764"/>
        <v/>
      </c>
      <c r="J102" s="321" t="str">
        <f t="shared" si="764"/>
        <v/>
      </c>
      <c r="K102" s="321" t="str">
        <f t="shared" si="764"/>
        <v/>
      </c>
      <c r="L102" s="321">
        <f t="shared" si="764"/>
        <v>0.17883461778899412</v>
      </c>
      <c r="M102" s="321" t="str">
        <f t="shared" si="764"/>
        <v/>
      </c>
      <c r="N102" s="321" t="str">
        <f t="shared" si="764"/>
        <v/>
      </c>
      <c r="O102" s="321" t="str">
        <f t="shared" si="764"/>
        <v/>
      </c>
      <c r="P102" s="321">
        <f t="shared" si="764"/>
        <v>0.38658474947173488</v>
      </c>
      <c r="Q102" s="321" t="str">
        <f t="shared" si="764"/>
        <v/>
      </c>
      <c r="R102" s="321" t="str">
        <f t="shared" si="764"/>
        <v/>
      </c>
      <c r="S102" s="321" t="str">
        <f t="shared" si="764"/>
        <v/>
      </c>
      <c r="T102" s="321">
        <f t="shared" si="764"/>
        <v>0.46533225340257373</v>
      </c>
      <c r="U102" s="321" t="str">
        <f t="shared" si="764"/>
        <v/>
      </c>
      <c r="V102" s="321" t="str">
        <f t="shared" si="764"/>
        <v/>
      </c>
      <c r="W102" s="321" t="str">
        <f t="shared" si="764"/>
        <v/>
      </c>
      <c r="X102" s="321">
        <f t="shared" si="764"/>
        <v>0.54031007332414593</v>
      </c>
      <c r="Y102" s="321" t="str">
        <f t="shared" si="764"/>
        <v/>
      </c>
      <c r="Z102" s="321" t="str">
        <f t="shared" si="764"/>
        <v/>
      </c>
      <c r="AA102" s="321" t="str">
        <f t="shared" si="764"/>
        <v/>
      </c>
      <c r="AB102" s="321">
        <f t="shared" si="764"/>
        <v>0.61037207018897099</v>
      </c>
      <c r="AC102" s="321" t="str">
        <f t="shared" si="764"/>
        <v/>
      </c>
      <c r="AD102" s="321" t="str">
        <f t="shared" si="764"/>
        <v/>
      </c>
      <c r="AE102" s="321" t="str">
        <f t="shared" si="764"/>
        <v/>
      </c>
      <c r="AF102" s="321">
        <f t="shared" si="764"/>
        <v>0.65998105621028769</v>
      </c>
      <c r="AG102" s="321" t="str">
        <f t="shared" si="764"/>
        <v/>
      </c>
      <c r="AH102" s="321" t="str">
        <f t="shared" si="764"/>
        <v/>
      </c>
      <c r="AI102" s="321" t="str">
        <f t="shared" si="764"/>
        <v/>
      </c>
      <c r="AJ102" s="321">
        <f t="shared" si="764"/>
        <v>0.70439989204253095</v>
      </c>
      <c r="AK102" s="321" t="str">
        <f t="shared" si="764"/>
        <v/>
      </c>
      <c r="AL102" s="321" t="str">
        <f t="shared" si="764"/>
        <v/>
      </c>
      <c r="AM102" s="321" t="str">
        <f t="shared" si="764"/>
        <v/>
      </c>
      <c r="AN102" s="321">
        <f t="shared" ref="AN102:BS102" si="765">IF(MOD(AN5-$H$5,28)=0,AN6, "")</f>
        <v>0.72487920198370381</v>
      </c>
      <c r="AO102" s="321" t="str">
        <f t="shared" si="765"/>
        <v/>
      </c>
      <c r="AP102" s="321" t="str">
        <f t="shared" si="765"/>
        <v/>
      </c>
      <c r="AQ102" s="321" t="str">
        <f t="shared" si="765"/>
        <v/>
      </c>
      <c r="AR102" s="321">
        <f t="shared" si="765"/>
        <v>0.72742904825115706</v>
      </c>
      <c r="AS102" s="321" t="str">
        <f t="shared" si="765"/>
        <v/>
      </c>
      <c r="AT102" s="321" t="str">
        <f t="shared" si="765"/>
        <v/>
      </c>
      <c r="AU102" s="321" t="str">
        <f t="shared" si="765"/>
        <v/>
      </c>
      <c r="AV102" s="321">
        <f t="shared" si="765"/>
        <v>0.73089080395971273</v>
      </c>
      <c r="AW102" s="321" t="str">
        <f t="shared" si="765"/>
        <v/>
      </c>
      <c r="AX102" s="321" t="str">
        <f t="shared" si="765"/>
        <v/>
      </c>
      <c r="AY102" s="321" t="str">
        <f t="shared" si="765"/>
        <v/>
      </c>
      <c r="AZ102" s="321">
        <f t="shared" si="765"/>
        <v>0.74062044655546411</v>
      </c>
      <c r="BA102" s="321" t="str">
        <f t="shared" si="765"/>
        <v/>
      </c>
      <c r="BB102" s="321" t="str">
        <f t="shared" si="765"/>
        <v/>
      </c>
      <c r="BC102" s="321" t="str">
        <f t="shared" si="765"/>
        <v/>
      </c>
      <c r="BD102" s="321">
        <f t="shared" si="765"/>
        <v>0.7502021096038578</v>
      </c>
      <c r="BE102" s="321" t="str">
        <f t="shared" si="765"/>
        <v/>
      </c>
      <c r="BF102" s="321" t="str">
        <f t="shared" si="765"/>
        <v/>
      </c>
      <c r="BG102" s="321" t="str">
        <f t="shared" si="765"/>
        <v/>
      </c>
      <c r="BH102" s="321">
        <f t="shared" si="765"/>
        <v>0.75925264376422996</v>
      </c>
      <c r="BI102" s="321" t="str">
        <f t="shared" si="765"/>
        <v/>
      </c>
      <c r="BJ102" s="321" t="str">
        <f t="shared" si="765"/>
        <v/>
      </c>
      <c r="BK102" s="321" t="str">
        <f t="shared" si="765"/>
        <v/>
      </c>
      <c r="BL102" s="321">
        <f t="shared" si="765"/>
        <v>0.78029938319267145</v>
      </c>
      <c r="BM102" s="359" t="str">
        <f t="shared" si="765"/>
        <v/>
      </c>
      <c r="BN102" s="321" t="str">
        <f t="shared" si="765"/>
        <v/>
      </c>
      <c r="BO102" s="321" t="str">
        <f t="shared" si="765"/>
        <v/>
      </c>
      <c r="BP102" s="321">
        <f t="shared" si="765"/>
        <v>0.78400540230155191</v>
      </c>
      <c r="BQ102" s="321" t="str">
        <f t="shared" si="765"/>
        <v/>
      </c>
      <c r="BR102" s="321" t="str">
        <f t="shared" si="765"/>
        <v/>
      </c>
      <c r="BS102" s="321" t="str">
        <f t="shared" si="765"/>
        <v/>
      </c>
      <c r="BT102" s="321">
        <f t="shared" ref="BT102:CP102" si="766">IF(MOD(BT5-$H$5,28)=0,BT6, "")</f>
        <v>0.72742904825115706</v>
      </c>
      <c r="BU102" s="321" t="str">
        <f t="shared" si="766"/>
        <v/>
      </c>
      <c r="BV102" s="321" t="str">
        <f t="shared" si="766"/>
        <v/>
      </c>
      <c r="BW102" s="321" t="str">
        <f t="shared" si="766"/>
        <v/>
      </c>
      <c r="BX102" s="321">
        <f t="shared" si="766"/>
        <v>0.72742904825115706</v>
      </c>
      <c r="BY102" s="321" t="str">
        <f t="shared" si="766"/>
        <v/>
      </c>
      <c r="BZ102" s="321" t="str">
        <f t="shared" si="766"/>
        <v/>
      </c>
      <c r="CA102" s="321" t="str">
        <f t="shared" si="766"/>
        <v/>
      </c>
      <c r="CB102" s="321">
        <f t="shared" si="766"/>
        <v>0.72742904825115706</v>
      </c>
      <c r="CC102" s="321" t="str">
        <f t="shared" si="766"/>
        <v/>
      </c>
      <c r="CD102" s="321" t="str">
        <f t="shared" si="766"/>
        <v/>
      </c>
      <c r="CE102" s="321" t="str">
        <f t="shared" si="766"/>
        <v/>
      </c>
      <c r="CF102" s="321">
        <f t="shared" si="766"/>
        <v>0.72742904825115706</v>
      </c>
      <c r="CG102" s="321" t="str">
        <f t="shared" si="766"/>
        <v/>
      </c>
      <c r="CH102" s="321" t="str">
        <f t="shared" si="766"/>
        <v/>
      </c>
      <c r="CI102" s="321" t="str">
        <f t="shared" si="766"/>
        <v/>
      </c>
      <c r="CJ102" s="321">
        <f t="shared" si="766"/>
        <v>0.72742904825115706</v>
      </c>
      <c r="CK102" s="321" t="str">
        <f t="shared" si="766"/>
        <v/>
      </c>
      <c r="CL102" s="321" t="str">
        <f t="shared" si="766"/>
        <v/>
      </c>
      <c r="CM102" s="321" t="str">
        <f t="shared" si="766"/>
        <v/>
      </c>
      <c r="CN102" s="321">
        <f t="shared" si="766"/>
        <v>0.72742904825115706</v>
      </c>
      <c r="CO102" s="321" t="str">
        <f t="shared" si="766"/>
        <v/>
      </c>
      <c r="CP102" s="330" t="str">
        <f t="shared" si="766"/>
        <v/>
      </c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</row>
    <row r="103" spans="2:109" outlineLevel="1" x14ac:dyDescent="0.4">
      <c r="B103" s="454" t="s">
        <v>454</v>
      </c>
      <c r="C103" s="455"/>
      <c r="D103" s="455"/>
      <c r="E103" s="455"/>
      <c r="F103" s="234"/>
      <c r="G103" s="234"/>
      <c r="H103" s="321">
        <f t="shared" ref="H103:AM103" si="767">IF(MOD(H5-$H$5,14)=0,H96, "")</f>
        <v>0</v>
      </c>
      <c r="I103" s="321" t="str">
        <f t="shared" si="767"/>
        <v/>
      </c>
      <c r="J103" s="321">
        <f t="shared" si="767"/>
        <v>5.47534931256662E-2</v>
      </c>
      <c r="K103" s="321" t="str">
        <f t="shared" si="767"/>
        <v/>
      </c>
      <c r="L103" s="321">
        <f t="shared" si="767"/>
        <v>6.8284105086287808E-2</v>
      </c>
      <c r="M103" s="321" t="str">
        <f t="shared" si="767"/>
        <v/>
      </c>
      <c r="N103" s="321">
        <f t="shared" si="767"/>
        <v>0.13551974118982435</v>
      </c>
      <c r="O103" s="321" t="str">
        <f t="shared" si="767"/>
        <v/>
      </c>
      <c r="P103" s="321">
        <f t="shared" si="767"/>
        <v>0.15251687417454005</v>
      </c>
      <c r="Q103" s="321" t="str">
        <f t="shared" si="767"/>
        <v/>
      </c>
      <c r="R103" s="321">
        <f t="shared" si="767"/>
        <v>0.11929315370291738</v>
      </c>
      <c r="S103" s="321" t="str">
        <f t="shared" si="767"/>
        <v/>
      </c>
      <c r="T103" s="321">
        <f t="shared" si="767"/>
        <v>9.0759522996388398E-2</v>
      </c>
      <c r="U103" s="321" t="str">
        <f t="shared" si="767"/>
        <v/>
      </c>
      <c r="V103" s="321">
        <f t="shared" si="767"/>
        <v>7.2204751136170753E-2</v>
      </c>
      <c r="W103" s="321" t="str">
        <f t="shared" si="767"/>
        <v/>
      </c>
      <c r="X103" s="321">
        <f t="shared" si="767"/>
        <v>6.0353063130887508E-2</v>
      </c>
      <c r="Y103" s="321" t="str">
        <f t="shared" si="767"/>
        <v/>
      </c>
      <c r="Z103" s="321">
        <f t="shared" si="767"/>
        <v>2.5603463832962969E-2</v>
      </c>
      <c r="AA103" s="321" t="str">
        <f t="shared" si="767"/>
        <v/>
      </c>
      <c r="AB103" s="321">
        <f t="shared" si="767"/>
        <v>-1.9096289221328222E-2</v>
      </c>
      <c r="AC103" s="321" t="str">
        <f t="shared" si="767"/>
        <v/>
      </c>
      <c r="AD103" s="321">
        <f t="shared" si="767"/>
        <v>-6.2981187449341225E-2</v>
      </c>
      <c r="AE103" s="321" t="str">
        <f t="shared" si="767"/>
        <v/>
      </c>
      <c r="AF103" s="321">
        <f t="shared" si="767"/>
        <v>-0.12722551673531868</v>
      </c>
      <c r="AG103" s="321" t="str">
        <f t="shared" si="767"/>
        <v/>
      </c>
      <c r="AH103" s="321">
        <f t="shared" si="767"/>
        <v>-0.19812950372661264</v>
      </c>
      <c r="AI103" s="321" t="str">
        <f t="shared" si="767"/>
        <v/>
      </c>
      <c r="AJ103" s="321">
        <f t="shared" si="767"/>
        <v>-0.22967852969433444</v>
      </c>
      <c r="AK103" s="321" t="str">
        <f t="shared" si="767"/>
        <v/>
      </c>
      <c r="AL103" s="321">
        <f t="shared" si="767"/>
        <v>-0.26001805146469159</v>
      </c>
      <c r="AM103" s="321" t="str">
        <f t="shared" si="767"/>
        <v/>
      </c>
      <c r="AN103" s="321">
        <f t="shared" ref="AN103:BS103" si="768">IF(MOD(AN5-$H$5,14)=0,AN96, "")</f>
        <v>-0.2655061813571663</v>
      </c>
      <c r="AO103" s="321" t="str">
        <f t="shared" si="768"/>
        <v/>
      </c>
      <c r="AP103" s="321">
        <f t="shared" si="768"/>
        <v>-0.27267956628060652</v>
      </c>
      <c r="AQ103" s="321" t="str">
        <f t="shared" si="768"/>
        <v/>
      </c>
      <c r="AR103" s="321">
        <f t="shared" si="768"/>
        <v>-0.27257095174884316</v>
      </c>
      <c r="AS103" s="321" t="str">
        <f t="shared" si="768"/>
        <v/>
      </c>
      <c r="AT103" s="321">
        <f t="shared" si="768"/>
        <v>-0.2703234208109544</v>
      </c>
      <c r="AU103" s="321" t="str">
        <f t="shared" si="768"/>
        <v/>
      </c>
      <c r="AV103" s="321">
        <f t="shared" si="768"/>
        <v>-0.26910919604028749</v>
      </c>
      <c r="AW103" s="321" t="str">
        <f t="shared" si="768"/>
        <v/>
      </c>
      <c r="AX103" s="321">
        <f t="shared" si="768"/>
        <v>-0.26803511900396015</v>
      </c>
      <c r="AY103" s="321" t="str">
        <f t="shared" si="768"/>
        <v/>
      </c>
      <c r="AZ103" s="321">
        <f t="shared" si="768"/>
        <v>-0.25937955344453612</v>
      </c>
      <c r="BA103" s="321" t="str">
        <f t="shared" si="768"/>
        <v/>
      </c>
      <c r="BB103" s="321">
        <f t="shared" si="768"/>
        <v>-0.25124817960681067</v>
      </c>
      <c r="BC103" s="321" t="str">
        <f t="shared" si="768"/>
        <v/>
      </c>
      <c r="BD103" s="321">
        <f t="shared" si="768"/>
        <v>-0.24979789039614242</v>
      </c>
      <c r="BE103" s="321" t="str">
        <f t="shared" si="768"/>
        <v/>
      </c>
      <c r="BF103" s="321">
        <f t="shared" si="768"/>
        <v>-0.24275809062834752</v>
      </c>
      <c r="BG103" s="321" t="str">
        <f t="shared" si="768"/>
        <v/>
      </c>
      <c r="BH103" s="321">
        <f t="shared" si="768"/>
        <v>-0.24074735623577026</v>
      </c>
      <c r="BI103" s="321" t="str">
        <f t="shared" si="768"/>
        <v/>
      </c>
      <c r="BJ103" s="321">
        <f t="shared" si="768"/>
        <v>-0.23910510265982754</v>
      </c>
      <c r="BK103" s="321" t="str">
        <f t="shared" si="768"/>
        <v/>
      </c>
      <c r="BL103" s="321">
        <f t="shared" si="768"/>
        <v>-0.21970061680732877</v>
      </c>
      <c r="BM103" s="359" t="str">
        <f t="shared" si="768"/>
        <v/>
      </c>
      <c r="BN103" s="321">
        <f t="shared" si="768"/>
        <v>-0.21885584550705461</v>
      </c>
      <c r="BO103" s="321" t="str">
        <f t="shared" si="768"/>
        <v/>
      </c>
      <c r="BP103" s="321">
        <f t="shared" si="768"/>
        <v>-0.21599459769844831</v>
      </c>
      <c r="BQ103" s="321" t="str">
        <f t="shared" si="768"/>
        <v/>
      </c>
      <c r="BR103" s="321">
        <f t="shared" si="768"/>
        <v>-0.27257095174884316</v>
      </c>
      <c r="BS103" s="321" t="str">
        <f t="shared" si="768"/>
        <v/>
      </c>
      <c r="BT103" s="321">
        <f t="shared" ref="BT103:CP103" si="769">IF(MOD(BT5-$H$5,14)=0,BT96, "")</f>
        <v>-0.27257095174884316</v>
      </c>
      <c r="BU103" s="321" t="str">
        <f t="shared" si="769"/>
        <v/>
      </c>
      <c r="BV103" s="321">
        <f t="shared" si="769"/>
        <v>-0.27257095174884316</v>
      </c>
      <c r="BW103" s="321" t="str">
        <f t="shared" si="769"/>
        <v/>
      </c>
      <c r="BX103" s="321">
        <f t="shared" si="769"/>
        <v>-0.27257095174884316</v>
      </c>
      <c r="BY103" s="321" t="str">
        <f t="shared" si="769"/>
        <v/>
      </c>
      <c r="BZ103" s="321">
        <f t="shared" si="769"/>
        <v>-0.27257095174884316</v>
      </c>
      <c r="CA103" s="321" t="str">
        <f t="shared" si="769"/>
        <v/>
      </c>
      <c r="CB103" s="321">
        <f t="shared" si="769"/>
        <v>-0.27257095174884316</v>
      </c>
      <c r="CC103" s="321" t="str">
        <f t="shared" si="769"/>
        <v/>
      </c>
      <c r="CD103" s="321">
        <f t="shared" si="769"/>
        <v>-0.27257095174884316</v>
      </c>
      <c r="CE103" s="321" t="str">
        <f t="shared" si="769"/>
        <v/>
      </c>
      <c r="CF103" s="321">
        <f t="shared" si="769"/>
        <v>-0.27257095174884316</v>
      </c>
      <c r="CG103" s="321" t="str">
        <f t="shared" si="769"/>
        <v/>
      </c>
      <c r="CH103" s="321">
        <f t="shared" si="769"/>
        <v>-0.27257095174884316</v>
      </c>
      <c r="CI103" s="321" t="str">
        <f t="shared" si="769"/>
        <v/>
      </c>
      <c r="CJ103" s="321">
        <f t="shared" si="769"/>
        <v>-0.27257095174884316</v>
      </c>
      <c r="CK103" s="321" t="str">
        <f t="shared" si="769"/>
        <v/>
      </c>
      <c r="CL103" s="321">
        <f t="shared" si="769"/>
        <v>-0.27257095174884316</v>
      </c>
      <c r="CM103" s="321" t="str">
        <f t="shared" si="769"/>
        <v/>
      </c>
      <c r="CN103" s="321">
        <f t="shared" si="769"/>
        <v>-0.27257095174884316</v>
      </c>
      <c r="CO103" s="321" t="str">
        <f t="shared" si="769"/>
        <v/>
      </c>
      <c r="CP103" s="330">
        <f t="shared" si="769"/>
        <v>-0.23910510265982754</v>
      </c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</row>
    <row r="104" spans="2:109" outlineLevel="1" x14ac:dyDescent="0.4">
      <c r="B104" s="454" t="s">
        <v>453</v>
      </c>
      <c r="C104" s="455"/>
      <c r="D104" s="455"/>
      <c r="E104" s="455"/>
      <c r="F104" s="234"/>
      <c r="G104" s="234"/>
      <c r="H104" s="321">
        <f>IF(MOD(H5-$H$5,14)=0,H96, "")</f>
        <v>0</v>
      </c>
      <c r="I104" s="321" t="str">
        <f t="shared" ref="I104:AM104" si="770">IF(MOD(I5-$H$5,28)=0,I96, "")</f>
        <v/>
      </c>
      <c r="J104" s="321" t="str">
        <f t="shared" si="770"/>
        <v/>
      </c>
      <c r="K104" s="321" t="str">
        <f t="shared" si="770"/>
        <v/>
      </c>
      <c r="L104" s="321">
        <f t="shared" si="770"/>
        <v>6.8284105086287808E-2</v>
      </c>
      <c r="M104" s="321" t="str">
        <f t="shared" si="770"/>
        <v/>
      </c>
      <c r="N104" s="321" t="str">
        <f t="shared" si="770"/>
        <v/>
      </c>
      <c r="O104" s="321" t="str">
        <f t="shared" si="770"/>
        <v/>
      </c>
      <c r="P104" s="321">
        <f t="shared" si="770"/>
        <v>0.15251687417454005</v>
      </c>
      <c r="Q104" s="321" t="str">
        <f t="shared" si="770"/>
        <v/>
      </c>
      <c r="R104" s="321" t="str">
        <f t="shared" si="770"/>
        <v/>
      </c>
      <c r="S104" s="321" t="str">
        <f t="shared" si="770"/>
        <v/>
      </c>
      <c r="T104" s="321">
        <f t="shared" si="770"/>
        <v>9.0759522996388398E-2</v>
      </c>
      <c r="U104" s="321" t="str">
        <f t="shared" si="770"/>
        <v/>
      </c>
      <c r="V104" s="321" t="str">
        <f t="shared" si="770"/>
        <v/>
      </c>
      <c r="W104" s="321" t="str">
        <f t="shared" si="770"/>
        <v/>
      </c>
      <c r="X104" s="321">
        <f t="shared" si="770"/>
        <v>6.0353063130887508E-2</v>
      </c>
      <c r="Y104" s="321" t="str">
        <f t="shared" si="770"/>
        <v/>
      </c>
      <c r="Z104" s="321" t="str">
        <f t="shared" si="770"/>
        <v/>
      </c>
      <c r="AA104" s="321" t="str">
        <f t="shared" si="770"/>
        <v/>
      </c>
      <c r="AB104" s="321">
        <f t="shared" si="770"/>
        <v>-1.9096289221328222E-2</v>
      </c>
      <c r="AC104" s="321" t="str">
        <f t="shared" si="770"/>
        <v/>
      </c>
      <c r="AD104" s="321" t="str">
        <f t="shared" si="770"/>
        <v/>
      </c>
      <c r="AE104" s="321" t="str">
        <f t="shared" si="770"/>
        <v/>
      </c>
      <c r="AF104" s="321">
        <f t="shared" si="770"/>
        <v>-0.12722551673531868</v>
      </c>
      <c r="AG104" s="321" t="str">
        <f t="shared" si="770"/>
        <v/>
      </c>
      <c r="AH104" s="321" t="str">
        <f t="shared" si="770"/>
        <v/>
      </c>
      <c r="AI104" s="321" t="str">
        <f t="shared" si="770"/>
        <v/>
      </c>
      <c r="AJ104" s="321">
        <f t="shared" si="770"/>
        <v>-0.22967852969433444</v>
      </c>
      <c r="AK104" s="321" t="str">
        <f t="shared" si="770"/>
        <v/>
      </c>
      <c r="AL104" s="321" t="str">
        <f t="shared" si="770"/>
        <v/>
      </c>
      <c r="AM104" s="321" t="str">
        <f t="shared" si="770"/>
        <v/>
      </c>
      <c r="AN104" s="321">
        <f t="shared" ref="AN104:BS104" si="771">IF(MOD(AN5-$H$5,28)=0,AN96, "")</f>
        <v>-0.2655061813571663</v>
      </c>
      <c r="AO104" s="321" t="str">
        <f t="shared" si="771"/>
        <v/>
      </c>
      <c r="AP104" s="321" t="str">
        <f t="shared" si="771"/>
        <v/>
      </c>
      <c r="AQ104" s="321" t="str">
        <f t="shared" si="771"/>
        <v/>
      </c>
      <c r="AR104" s="321">
        <f t="shared" si="771"/>
        <v>-0.27257095174884316</v>
      </c>
      <c r="AS104" s="321" t="str">
        <f t="shared" si="771"/>
        <v/>
      </c>
      <c r="AT104" s="321" t="str">
        <f t="shared" si="771"/>
        <v/>
      </c>
      <c r="AU104" s="321" t="str">
        <f t="shared" si="771"/>
        <v/>
      </c>
      <c r="AV104" s="321">
        <f t="shared" si="771"/>
        <v>-0.26910919604028749</v>
      </c>
      <c r="AW104" s="321" t="str">
        <f t="shared" si="771"/>
        <v/>
      </c>
      <c r="AX104" s="321" t="str">
        <f t="shared" si="771"/>
        <v/>
      </c>
      <c r="AY104" s="321" t="str">
        <f t="shared" si="771"/>
        <v/>
      </c>
      <c r="AZ104" s="321">
        <f t="shared" si="771"/>
        <v>-0.25937955344453612</v>
      </c>
      <c r="BA104" s="321" t="str">
        <f t="shared" si="771"/>
        <v/>
      </c>
      <c r="BB104" s="321" t="str">
        <f t="shared" si="771"/>
        <v/>
      </c>
      <c r="BC104" s="321" t="str">
        <f t="shared" si="771"/>
        <v/>
      </c>
      <c r="BD104" s="321">
        <f t="shared" si="771"/>
        <v>-0.24979789039614242</v>
      </c>
      <c r="BE104" s="321" t="str">
        <f t="shared" si="771"/>
        <v/>
      </c>
      <c r="BF104" s="321" t="str">
        <f t="shared" si="771"/>
        <v/>
      </c>
      <c r="BG104" s="321" t="str">
        <f t="shared" si="771"/>
        <v/>
      </c>
      <c r="BH104" s="321">
        <f t="shared" si="771"/>
        <v>-0.24074735623577026</v>
      </c>
      <c r="BI104" s="321" t="str">
        <f t="shared" si="771"/>
        <v/>
      </c>
      <c r="BJ104" s="321" t="str">
        <f t="shared" si="771"/>
        <v/>
      </c>
      <c r="BK104" s="321" t="str">
        <f t="shared" si="771"/>
        <v/>
      </c>
      <c r="BL104" s="321">
        <f t="shared" si="771"/>
        <v>-0.21970061680732877</v>
      </c>
      <c r="BM104" s="359" t="str">
        <f t="shared" si="771"/>
        <v/>
      </c>
      <c r="BN104" s="321" t="str">
        <f t="shared" si="771"/>
        <v/>
      </c>
      <c r="BO104" s="321" t="str">
        <f t="shared" si="771"/>
        <v/>
      </c>
      <c r="BP104" s="321">
        <f t="shared" si="771"/>
        <v>-0.21599459769844831</v>
      </c>
      <c r="BQ104" s="321" t="str">
        <f t="shared" si="771"/>
        <v/>
      </c>
      <c r="BR104" s="321" t="str">
        <f t="shared" si="771"/>
        <v/>
      </c>
      <c r="BS104" s="321" t="str">
        <f t="shared" si="771"/>
        <v/>
      </c>
      <c r="BT104" s="321">
        <f t="shared" ref="BT104:CP104" si="772">IF(MOD(BT5-$H$5,28)=0,BT96, "")</f>
        <v>-0.27257095174884316</v>
      </c>
      <c r="BU104" s="321" t="str">
        <f t="shared" si="772"/>
        <v/>
      </c>
      <c r="BV104" s="321" t="str">
        <f t="shared" si="772"/>
        <v/>
      </c>
      <c r="BW104" s="321" t="str">
        <f t="shared" si="772"/>
        <v/>
      </c>
      <c r="BX104" s="321">
        <f t="shared" si="772"/>
        <v>-0.27257095174884316</v>
      </c>
      <c r="BY104" s="321" t="str">
        <f t="shared" si="772"/>
        <v/>
      </c>
      <c r="BZ104" s="321" t="str">
        <f t="shared" si="772"/>
        <v/>
      </c>
      <c r="CA104" s="321" t="str">
        <f t="shared" si="772"/>
        <v/>
      </c>
      <c r="CB104" s="321">
        <f t="shared" si="772"/>
        <v>-0.27257095174884316</v>
      </c>
      <c r="CC104" s="321" t="str">
        <f t="shared" si="772"/>
        <v/>
      </c>
      <c r="CD104" s="321" t="str">
        <f t="shared" si="772"/>
        <v/>
      </c>
      <c r="CE104" s="321" t="str">
        <f t="shared" si="772"/>
        <v/>
      </c>
      <c r="CF104" s="321">
        <f t="shared" si="772"/>
        <v>-0.27257095174884316</v>
      </c>
      <c r="CG104" s="321" t="str">
        <f t="shared" si="772"/>
        <v/>
      </c>
      <c r="CH104" s="321" t="str">
        <f t="shared" si="772"/>
        <v/>
      </c>
      <c r="CI104" s="321" t="str">
        <f t="shared" si="772"/>
        <v/>
      </c>
      <c r="CJ104" s="321">
        <f t="shared" si="772"/>
        <v>-0.27257095174884316</v>
      </c>
      <c r="CK104" s="321" t="str">
        <f t="shared" si="772"/>
        <v/>
      </c>
      <c r="CL104" s="321" t="str">
        <f t="shared" si="772"/>
        <v/>
      </c>
      <c r="CM104" s="321" t="str">
        <f t="shared" si="772"/>
        <v/>
      </c>
      <c r="CN104" s="321">
        <f t="shared" si="772"/>
        <v>-0.27257095174884316</v>
      </c>
      <c r="CO104" s="321" t="str">
        <f t="shared" si="772"/>
        <v/>
      </c>
      <c r="CP104" s="330" t="str">
        <f t="shared" si="772"/>
        <v/>
      </c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</row>
    <row r="105" spans="2:109" outlineLevel="1" x14ac:dyDescent="0.4">
      <c r="B105" s="454" t="s">
        <v>468</v>
      </c>
      <c r="C105" s="455"/>
      <c r="D105" s="455"/>
      <c r="E105" s="455"/>
      <c r="F105" s="322"/>
      <c r="G105" s="322"/>
      <c r="H105" s="321">
        <f t="shared" ref="H105:AM105" si="773">IF(MOD(H5-$H$5,14)=0,H6, NA())</f>
        <v>0</v>
      </c>
      <c r="I105" s="321" t="e">
        <f t="shared" si="773"/>
        <v>#N/A</v>
      </c>
      <c r="J105" s="321">
        <f t="shared" si="773"/>
        <v>0.10235533218768098</v>
      </c>
      <c r="K105" s="321" t="e">
        <f t="shared" si="773"/>
        <v>#N/A</v>
      </c>
      <c r="L105" s="321">
        <f t="shared" si="773"/>
        <v>0.17883461778899412</v>
      </c>
      <c r="M105" s="321" t="e">
        <f t="shared" si="773"/>
        <v>#N/A</v>
      </c>
      <c r="N105" s="321">
        <f t="shared" si="773"/>
        <v>0.31333235028057671</v>
      </c>
      <c r="O105" s="321" t="e">
        <f t="shared" si="773"/>
        <v>#N/A</v>
      </c>
      <c r="P105" s="321">
        <f t="shared" si="773"/>
        <v>0.38658474947173488</v>
      </c>
      <c r="Q105" s="321" t="e">
        <f t="shared" si="773"/>
        <v>#N/A</v>
      </c>
      <c r="R105" s="321">
        <f t="shared" si="773"/>
        <v>0.42979411462287836</v>
      </c>
      <c r="S105" s="321" t="e">
        <f t="shared" si="773"/>
        <v>#N/A</v>
      </c>
      <c r="T105" s="321">
        <f t="shared" si="773"/>
        <v>0.46533225340257373</v>
      </c>
      <c r="U105" s="321" t="e">
        <f t="shared" si="773"/>
        <v>#N/A</v>
      </c>
      <c r="V105" s="321">
        <f t="shared" si="773"/>
        <v>0.49750883554724357</v>
      </c>
      <c r="W105" s="321" t="e">
        <f t="shared" si="773"/>
        <v>#N/A</v>
      </c>
      <c r="X105" s="321">
        <f t="shared" si="773"/>
        <v>0.54031007332414593</v>
      </c>
      <c r="Y105" s="321" t="e">
        <f t="shared" si="773"/>
        <v>#N/A</v>
      </c>
      <c r="Z105" s="321">
        <f t="shared" si="773"/>
        <v>0.57247904041258846</v>
      </c>
      <c r="AA105" s="321" t="e">
        <f t="shared" si="773"/>
        <v>#N/A</v>
      </c>
      <c r="AB105" s="321">
        <f t="shared" si="773"/>
        <v>0.61037207018897099</v>
      </c>
      <c r="AC105" s="321" t="e">
        <f t="shared" si="773"/>
        <v>#N/A</v>
      </c>
      <c r="AD105" s="321">
        <f t="shared" si="773"/>
        <v>0.64574520618269327</v>
      </c>
      <c r="AE105" s="321" t="e">
        <f t="shared" si="773"/>
        <v>#N/A</v>
      </c>
      <c r="AF105" s="321">
        <f t="shared" si="773"/>
        <v>0.65998105621028769</v>
      </c>
      <c r="AG105" s="321" t="e">
        <f t="shared" si="773"/>
        <v>#N/A</v>
      </c>
      <c r="AH105" s="321">
        <f t="shared" si="773"/>
        <v>0.66697235865993831</v>
      </c>
      <c r="AI105" s="321" t="e">
        <f t="shared" si="773"/>
        <v>#N/A</v>
      </c>
      <c r="AJ105" s="321">
        <f t="shared" si="773"/>
        <v>0.70439989204253095</v>
      </c>
      <c r="AK105" s="321" t="e">
        <f t="shared" si="773"/>
        <v>#N/A</v>
      </c>
      <c r="AL105" s="321">
        <f t="shared" si="773"/>
        <v>0.71793004029153129</v>
      </c>
      <c r="AM105" s="321" t="e">
        <f t="shared" si="773"/>
        <v>#N/A</v>
      </c>
      <c r="AN105" s="321">
        <f t="shared" ref="AN105:BS105" si="774">IF(MOD(AN5-$H$5,14)=0,AN6, NA())</f>
        <v>0.72487920198370381</v>
      </c>
      <c r="AO105" s="321" t="e">
        <f t="shared" si="774"/>
        <v>#N/A</v>
      </c>
      <c r="AP105" s="321">
        <f t="shared" si="774"/>
        <v>0.7273204337193937</v>
      </c>
      <c r="AQ105" s="321" t="e">
        <f t="shared" si="774"/>
        <v>#N/A</v>
      </c>
      <c r="AR105" s="321">
        <f t="shared" si="774"/>
        <v>0.72742904825115706</v>
      </c>
      <c r="AS105" s="321" t="e">
        <f t="shared" si="774"/>
        <v>#N/A</v>
      </c>
      <c r="AT105" s="321">
        <f t="shared" si="774"/>
        <v>0.72967657918904583</v>
      </c>
      <c r="AU105" s="321" t="e">
        <f t="shared" si="774"/>
        <v>#N/A</v>
      </c>
      <c r="AV105" s="321">
        <f t="shared" si="774"/>
        <v>0.73089080395971273</v>
      </c>
      <c r="AW105" s="321" t="e">
        <f t="shared" si="774"/>
        <v>#N/A</v>
      </c>
      <c r="AX105" s="321">
        <f t="shared" si="774"/>
        <v>0.73196488099604007</v>
      </c>
      <c r="AY105" s="321" t="e">
        <f t="shared" si="774"/>
        <v>#N/A</v>
      </c>
      <c r="AZ105" s="321">
        <f t="shared" si="774"/>
        <v>0.74062044655546411</v>
      </c>
      <c r="BA105" s="321" t="e">
        <f t="shared" si="774"/>
        <v>#N/A</v>
      </c>
      <c r="BB105" s="321">
        <f t="shared" si="774"/>
        <v>0.74875182039318955</v>
      </c>
      <c r="BC105" s="321" t="e">
        <f t="shared" si="774"/>
        <v>#N/A</v>
      </c>
      <c r="BD105" s="321">
        <f t="shared" si="774"/>
        <v>0.7502021096038578</v>
      </c>
      <c r="BE105" s="321" t="e">
        <f t="shared" si="774"/>
        <v>#N/A</v>
      </c>
      <c r="BF105" s="321">
        <f t="shared" si="774"/>
        <v>0.7572419093716527</v>
      </c>
      <c r="BG105" s="321" t="e">
        <f t="shared" si="774"/>
        <v>#N/A</v>
      </c>
      <c r="BH105" s="321">
        <f t="shared" si="774"/>
        <v>0.75925264376422996</v>
      </c>
      <c r="BI105" s="321" t="e">
        <f t="shared" si="774"/>
        <v>#N/A</v>
      </c>
      <c r="BJ105" s="321">
        <f t="shared" si="774"/>
        <v>0.76089489734017268</v>
      </c>
      <c r="BK105" s="321" t="e">
        <f t="shared" si="774"/>
        <v>#N/A</v>
      </c>
      <c r="BL105" s="321">
        <f t="shared" si="774"/>
        <v>0.78029938319267145</v>
      </c>
      <c r="BM105" s="359" t="e">
        <f t="shared" si="774"/>
        <v>#N/A</v>
      </c>
      <c r="BN105" s="321">
        <f t="shared" si="774"/>
        <v>0.78114415449294561</v>
      </c>
      <c r="BO105" s="321" t="e">
        <f t="shared" si="774"/>
        <v>#N/A</v>
      </c>
      <c r="BP105" s="321">
        <f t="shared" si="774"/>
        <v>0.78400540230155191</v>
      </c>
      <c r="BQ105" s="321" t="e">
        <f t="shared" si="774"/>
        <v>#N/A</v>
      </c>
      <c r="BR105" s="321">
        <f t="shared" si="774"/>
        <v>0.72742904825115706</v>
      </c>
      <c r="BS105" s="321" t="e">
        <f t="shared" si="774"/>
        <v>#N/A</v>
      </c>
      <c r="BT105" s="321">
        <f t="shared" ref="BT105:CP105" si="775">IF(MOD(BT5-$H$5,14)=0,BT6, NA())</f>
        <v>0.72742904825115706</v>
      </c>
      <c r="BU105" s="321" t="e">
        <f t="shared" si="775"/>
        <v>#N/A</v>
      </c>
      <c r="BV105" s="321">
        <f t="shared" si="775"/>
        <v>0.72742904825115706</v>
      </c>
      <c r="BW105" s="321" t="e">
        <f t="shared" si="775"/>
        <v>#N/A</v>
      </c>
      <c r="BX105" s="321">
        <f t="shared" si="775"/>
        <v>0.72742904825115706</v>
      </c>
      <c r="BY105" s="321" t="e">
        <f t="shared" si="775"/>
        <v>#N/A</v>
      </c>
      <c r="BZ105" s="321">
        <f t="shared" si="775"/>
        <v>0.72742904825115706</v>
      </c>
      <c r="CA105" s="321" t="e">
        <f t="shared" si="775"/>
        <v>#N/A</v>
      </c>
      <c r="CB105" s="321">
        <f t="shared" si="775"/>
        <v>0.72742904825115706</v>
      </c>
      <c r="CC105" s="321" t="e">
        <f t="shared" si="775"/>
        <v>#N/A</v>
      </c>
      <c r="CD105" s="321">
        <f t="shared" si="775"/>
        <v>0.72742904825115706</v>
      </c>
      <c r="CE105" s="321" t="e">
        <f t="shared" si="775"/>
        <v>#N/A</v>
      </c>
      <c r="CF105" s="321">
        <f t="shared" si="775"/>
        <v>0.72742904825115706</v>
      </c>
      <c r="CG105" s="321" t="e">
        <f t="shared" si="775"/>
        <v>#N/A</v>
      </c>
      <c r="CH105" s="321">
        <f t="shared" si="775"/>
        <v>0.72742904825115706</v>
      </c>
      <c r="CI105" s="321" t="e">
        <f t="shared" si="775"/>
        <v>#N/A</v>
      </c>
      <c r="CJ105" s="321">
        <f t="shared" si="775"/>
        <v>0.72742904825115706</v>
      </c>
      <c r="CK105" s="321" t="e">
        <f t="shared" si="775"/>
        <v>#N/A</v>
      </c>
      <c r="CL105" s="321">
        <f t="shared" si="775"/>
        <v>0.72742904825115706</v>
      </c>
      <c r="CM105" s="321" t="e">
        <f t="shared" si="775"/>
        <v>#N/A</v>
      </c>
      <c r="CN105" s="321">
        <f t="shared" si="775"/>
        <v>0.72742904825115706</v>
      </c>
      <c r="CO105" s="321" t="e">
        <f t="shared" si="775"/>
        <v>#N/A</v>
      </c>
      <c r="CP105" s="330">
        <f t="shared" si="775"/>
        <v>0.76089489734017268</v>
      </c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</row>
    <row r="106" spans="2:109" outlineLevel="1" x14ac:dyDescent="0.4">
      <c r="B106" s="456" t="s">
        <v>469</v>
      </c>
      <c r="C106" s="457"/>
      <c r="D106" s="457"/>
      <c r="E106" s="457"/>
      <c r="F106" s="334"/>
      <c r="G106" s="334"/>
      <c r="H106" s="332">
        <f>IF(MOD(H5-$H$5,28)=0,H6, NA())</f>
        <v>0</v>
      </c>
      <c r="I106" s="332" t="e">
        <f t="shared" ref="I106:BT106" si="776">IF(MOD(I5-$H$5,28)=0,I6, NA())</f>
        <v>#N/A</v>
      </c>
      <c r="J106" s="332" t="e">
        <f t="shared" si="776"/>
        <v>#N/A</v>
      </c>
      <c r="K106" s="332" t="e">
        <f t="shared" si="776"/>
        <v>#N/A</v>
      </c>
      <c r="L106" s="332">
        <f t="shared" si="776"/>
        <v>0.17883461778899412</v>
      </c>
      <c r="M106" s="332" t="e">
        <f t="shared" si="776"/>
        <v>#N/A</v>
      </c>
      <c r="N106" s="332" t="e">
        <f t="shared" si="776"/>
        <v>#N/A</v>
      </c>
      <c r="O106" s="332" t="e">
        <f t="shared" si="776"/>
        <v>#N/A</v>
      </c>
      <c r="P106" s="332">
        <f t="shared" si="776"/>
        <v>0.38658474947173488</v>
      </c>
      <c r="Q106" s="332" t="e">
        <f t="shared" si="776"/>
        <v>#N/A</v>
      </c>
      <c r="R106" s="332" t="e">
        <f t="shared" si="776"/>
        <v>#N/A</v>
      </c>
      <c r="S106" s="332" t="e">
        <f t="shared" si="776"/>
        <v>#N/A</v>
      </c>
      <c r="T106" s="332">
        <f t="shared" si="776"/>
        <v>0.46533225340257373</v>
      </c>
      <c r="U106" s="332" t="e">
        <f t="shared" si="776"/>
        <v>#N/A</v>
      </c>
      <c r="V106" s="332" t="e">
        <f t="shared" si="776"/>
        <v>#N/A</v>
      </c>
      <c r="W106" s="332" t="e">
        <f t="shared" si="776"/>
        <v>#N/A</v>
      </c>
      <c r="X106" s="332">
        <f t="shared" si="776"/>
        <v>0.54031007332414593</v>
      </c>
      <c r="Y106" s="332" t="e">
        <f t="shared" si="776"/>
        <v>#N/A</v>
      </c>
      <c r="Z106" s="332" t="e">
        <f t="shared" si="776"/>
        <v>#N/A</v>
      </c>
      <c r="AA106" s="332" t="e">
        <f t="shared" si="776"/>
        <v>#N/A</v>
      </c>
      <c r="AB106" s="332">
        <f t="shared" si="776"/>
        <v>0.61037207018897099</v>
      </c>
      <c r="AC106" s="332" t="e">
        <f t="shared" si="776"/>
        <v>#N/A</v>
      </c>
      <c r="AD106" s="332" t="e">
        <f t="shared" si="776"/>
        <v>#N/A</v>
      </c>
      <c r="AE106" s="332" t="e">
        <f t="shared" si="776"/>
        <v>#N/A</v>
      </c>
      <c r="AF106" s="332">
        <f t="shared" si="776"/>
        <v>0.65998105621028769</v>
      </c>
      <c r="AG106" s="332" t="e">
        <f t="shared" si="776"/>
        <v>#N/A</v>
      </c>
      <c r="AH106" s="332" t="e">
        <f t="shared" si="776"/>
        <v>#N/A</v>
      </c>
      <c r="AI106" s="332" t="e">
        <f t="shared" si="776"/>
        <v>#N/A</v>
      </c>
      <c r="AJ106" s="332">
        <f t="shared" si="776"/>
        <v>0.70439989204253095</v>
      </c>
      <c r="AK106" s="332" t="e">
        <f t="shared" si="776"/>
        <v>#N/A</v>
      </c>
      <c r="AL106" s="332" t="e">
        <f t="shared" si="776"/>
        <v>#N/A</v>
      </c>
      <c r="AM106" s="332" t="e">
        <f t="shared" si="776"/>
        <v>#N/A</v>
      </c>
      <c r="AN106" s="332">
        <f t="shared" si="776"/>
        <v>0.72487920198370381</v>
      </c>
      <c r="AO106" s="332" t="e">
        <f t="shared" si="776"/>
        <v>#N/A</v>
      </c>
      <c r="AP106" s="332" t="e">
        <f t="shared" si="776"/>
        <v>#N/A</v>
      </c>
      <c r="AQ106" s="332" t="e">
        <f t="shared" si="776"/>
        <v>#N/A</v>
      </c>
      <c r="AR106" s="332">
        <f t="shared" si="776"/>
        <v>0.72742904825115706</v>
      </c>
      <c r="AS106" s="332" t="e">
        <f t="shared" si="776"/>
        <v>#N/A</v>
      </c>
      <c r="AT106" s="332" t="e">
        <f t="shared" si="776"/>
        <v>#N/A</v>
      </c>
      <c r="AU106" s="332" t="e">
        <f t="shared" si="776"/>
        <v>#N/A</v>
      </c>
      <c r="AV106" s="332">
        <f t="shared" si="776"/>
        <v>0.73089080395971273</v>
      </c>
      <c r="AW106" s="332" t="e">
        <f t="shared" si="776"/>
        <v>#N/A</v>
      </c>
      <c r="AX106" s="332" t="e">
        <f t="shared" si="776"/>
        <v>#N/A</v>
      </c>
      <c r="AY106" s="332" t="e">
        <f t="shared" si="776"/>
        <v>#N/A</v>
      </c>
      <c r="AZ106" s="332">
        <f t="shared" si="776"/>
        <v>0.74062044655546411</v>
      </c>
      <c r="BA106" s="332" t="e">
        <f t="shared" si="776"/>
        <v>#N/A</v>
      </c>
      <c r="BB106" s="332" t="e">
        <f t="shared" si="776"/>
        <v>#N/A</v>
      </c>
      <c r="BC106" s="332" t="e">
        <f t="shared" si="776"/>
        <v>#N/A</v>
      </c>
      <c r="BD106" s="332">
        <f t="shared" si="776"/>
        <v>0.7502021096038578</v>
      </c>
      <c r="BE106" s="332" t="e">
        <f t="shared" si="776"/>
        <v>#N/A</v>
      </c>
      <c r="BF106" s="332" t="e">
        <f t="shared" si="776"/>
        <v>#N/A</v>
      </c>
      <c r="BG106" s="332" t="e">
        <f t="shared" si="776"/>
        <v>#N/A</v>
      </c>
      <c r="BH106" s="332">
        <f t="shared" si="776"/>
        <v>0.75925264376422996</v>
      </c>
      <c r="BI106" s="332" t="e">
        <f t="shared" si="776"/>
        <v>#N/A</v>
      </c>
      <c r="BJ106" s="332" t="e">
        <f t="shared" si="776"/>
        <v>#N/A</v>
      </c>
      <c r="BK106" s="332" t="e">
        <f t="shared" si="776"/>
        <v>#N/A</v>
      </c>
      <c r="BL106" s="332">
        <f t="shared" si="776"/>
        <v>0.78029938319267145</v>
      </c>
      <c r="BM106" s="360" t="e">
        <f t="shared" si="776"/>
        <v>#N/A</v>
      </c>
      <c r="BN106" s="332" t="e">
        <f t="shared" si="776"/>
        <v>#N/A</v>
      </c>
      <c r="BO106" s="332" t="e">
        <f t="shared" si="776"/>
        <v>#N/A</v>
      </c>
      <c r="BP106" s="332">
        <f t="shared" si="776"/>
        <v>0.78400540230155191</v>
      </c>
      <c r="BQ106" s="332" t="e">
        <f t="shared" si="776"/>
        <v>#N/A</v>
      </c>
      <c r="BR106" s="332" t="e">
        <f t="shared" si="776"/>
        <v>#N/A</v>
      </c>
      <c r="BS106" s="332" t="e">
        <f t="shared" si="776"/>
        <v>#N/A</v>
      </c>
      <c r="BT106" s="332">
        <f t="shared" si="776"/>
        <v>0.72742904825115706</v>
      </c>
      <c r="BU106" s="332" t="e">
        <f t="shared" ref="BU106:CP106" si="777">IF(MOD(BU5-$H$5,28)=0,BU6, NA())</f>
        <v>#N/A</v>
      </c>
      <c r="BV106" s="332" t="e">
        <f t="shared" si="777"/>
        <v>#N/A</v>
      </c>
      <c r="BW106" s="332" t="e">
        <f t="shared" si="777"/>
        <v>#N/A</v>
      </c>
      <c r="BX106" s="332">
        <f t="shared" si="777"/>
        <v>0.72742904825115706</v>
      </c>
      <c r="BY106" s="332" t="e">
        <f t="shared" si="777"/>
        <v>#N/A</v>
      </c>
      <c r="BZ106" s="332" t="e">
        <f t="shared" si="777"/>
        <v>#N/A</v>
      </c>
      <c r="CA106" s="332" t="e">
        <f t="shared" si="777"/>
        <v>#N/A</v>
      </c>
      <c r="CB106" s="332">
        <f t="shared" si="777"/>
        <v>0.72742904825115706</v>
      </c>
      <c r="CC106" s="332" t="e">
        <f t="shared" si="777"/>
        <v>#N/A</v>
      </c>
      <c r="CD106" s="332" t="e">
        <f t="shared" si="777"/>
        <v>#N/A</v>
      </c>
      <c r="CE106" s="332" t="e">
        <f t="shared" si="777"/>
        <v>#N/A</v>
      </c>
      <c r="CF106" s="332">
        <f t="shared" si="777"/>
        <v>0.72742904825115706</v>
      </c>
      <c r="CG106" s="332" t="e">
        <f t="shared" si="777"/>
        <v>#N/A</v>
      </c>
      <c r="CH106" s="332" t="e">
        <f t="shared" si="777"/>
        <v>#N/A</v>
      </c>
      <c r="CI106" s="332" t="e">
        <f t="shared" si="777"/>
        <v>#N/A</v>
      </c>
      <c r="CJ106" s="332">
        <f t="shared" si="777"/>
        <v>0.72742904825115706</v>
      </c>
      <c r="CK106" s="332" t="e">
        <f t="shared" si="777"/>
        <v>#N/A</v>
      </c>
      <c r="CL106" s="332" t="e">
        <f t="shared" si="777"/>
        <v>#N/A</v>
      </c>
      <c r="CM106" s="332" t="e">
        <f t="shared" si="777"/>
        <v>#N/A</v>
      </c>
      <c r="CN106" s="332">
        <f t="shared" si="777"/>
        <v>0.72742904825115706</v>
      </c>
      <c r="CO106" s="332" t="e">
        <f t="shared" si="777"/>
        <v>#N/A</v>
      </c>
      <c r="CP106" s="332" t="e">
        <f t="shared" si="777"/>
        <v>#N/A</v>
      </c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</row>
    <row r="107" spans="2:109" outlineLevel="1" x14ac:dyDescent="0.4">
      <c r="B107" s="452" t="s">
        <v>457</v>
      </c>
      <c r="C107" s="453"/>
      <c r="D107" s="453"/>
      <c r="E107" s="453"/>
      <c r="F107" s="327"/>
      <c r="G107" s="327"/>
      <c r="H107" s="328">
        <f t="shared" ref="H107:AM107" si="778">IF(MOD(H5-$H$5,14)=0,H7, "")</f>
        <v>0</v>
      </c>
      <c r="I107" s="328" t="str">
        <f t="shared" si="778"/>
        <v/>
      </c>
      <c r="J107" s="328">
        <f t="shared" si="778"/>
        <v>0.12581393398292939</v>
      </c>
      <c r="K107" s="328" t="str">
        <f t="shared" si="778"/>
        <v/>
      </c>
      <c r="L107" s="328">
        <f t="shared" si="778"/>
        <v>0.20587010599124519</v>
      </c>
      <c r="M107" s="328" t="str">
        <f t="shared" si="778"/>
        <v/>
      </c>
      <c r="N107" s="328">
        <f t="shared" si="778"/>
        <v>0.36531350655976202</v>
      </c>
      <c r="O107" s="328" t="str">
        <f t="shared" si="778"/>
        <v/>
      </c>
      <c r="P107" s="328">
        <f t="shared" si="778"/>
        <v>0.4546649697618762</v>
      </c>
      <c r="Q107" s="328" t="str">
        <f t="shared" si="778"/>
        <v/>
      </c>
      <c r="R107" s="328">
        <f t="shared" si="778"/>
        <v>0.50858532668640044</v>
      </c>
      <c r="S107" s="328" t="str">
        <f t="shared" si="778"/>
        <v/>
      </c>
      <c r="T107" s="328">
        <f t="shared" si="778"/>
        <v>0.54887209851902818</v>
      </c>
      <c r="U107" s="328" t="str">
        <f t="shared" si="778"/>
        <v/>
      </c>
      <c r="V107" s="328">
        <f t="shared" si="778"/>
        <v>0.58768563409806485</v>
      </c>
      <c r="W107" s="328" t="str">
        <f t="shared" si="778"/>
        <v/>
      </c>
      <c r="X107" s="328">
        <f t="shared" si="778"/>
        <v>0.63501553315235137</v>
      </c>
      <c r="Y107" s="328" t="str">
        <f t="shared" si="778"/>
        <v/>
      </c>
      <c r="Z107" s="328">
        <f t="shared" si="778"/>
        <v>0.67047868711639536</v>
      </c>
      <c r="AA107" s="328" t="str">
        <f t="shared" si="778"/>
        <v/>
      </c>
      <c r="AB107" s="328">
        <f t="shared" si="778"/>
        <v>0.69870687896218853</v>
      </c>
      <c r="AC107" s="328" t="str">
        <f t="shared" si="778"/>
        <v/>
      </c>
      <c r="AD107" s="328">
        <f t="shared" si="778"/>
        <v>0.71863911968354177</v>
      </c>
      <c r="AE107" s="328" t="str">
        <f t="shared" si="778"/>
        <v/>
      </c>
      <c r="AF107" s="328">
        <f t="shared" si="778"/>
        <v>0.73406880449813894</v>
      </c>
      <c r="AG107" s="328" t="str">
        <f t="shared" si="778"/>
        <v/>
      </c>
      <c r="AH107" s="328">
        <f t="shared" si="778"/>
        <v>0.73890027151526771</v>
      </c>
      <c r="AI107" s="328" t="str">
        <f t="shared" si="778"/>
        <v/>
      </c>
      <c r="AJ107" s="328">
        <f t="shared" si="778"/>
        <v>0.77140500744683993</v>
      </c>
      <c r="AK107" s="328" t="str">
        <f t="shared" si="778"/>
        <v/>
      </c>
      <c r="AL107" s="328">
        <f t="shared" si="778"/>
        <v>0.78086495454124094</v>
      </c>
      <c r="AM107" s="328" t="str">
        <f t="shared" si="778"/>
        <v/>
      </c>
      <c r="AN107" s="328">
        <f t="shared" ref="AN107:BS107" si="779">IF(MOD(AN5-$H$5,14)=0,AN7, "")</f>
        <v>0.78730751901138585</v>
      </c>
      <c r="AO107" s="328" t="str">
        <f t="shared" si="779"/>
        <v/>
      </c>
      <c r="AP107" s="328">
        <f t="shared" si="779"/>
        <v>0.79046635856070913</v>
      </c>
      <c r="AQ107" s="328" t="str">
        <f t="shared" si="779"/>
        <v/>
      </c>
      <c r="AR107" s="328">
        <f t="shared" si="779"/>
        <v>0.79060690067866934</v>
      </c>
      <c r="AS107" s="328" t="str">
        <f t="shared" si="779"/>
        <v/>
      </c>
      <c r="AT107" s="328">
        <f t="shared" si="779"/>
        <v>0.79265274267610286</v>
      </c>
      <c r="AU107" s="328" t="str">
        <f t="shared" si="779"/>
        <v/>
      </c>
      <c r="AV107" s="328">
        <f t="shared" si="779"/>
        <v>0.79374584803801573</v>
      </c>
      <c r="AW107" s="328" t="str">
        <f t="shared" si="779"/>
        <v/>
      </c>
      <c r="AX107" s="328">
        <f t="shared" si="779"/>
        <v>0.79513565342673354</v>
      </c>
      <c r="AY107" s="328" t="str">
        <f t="shared" si="779"/>
        <v/>
      </c>
      <c r="AZ107" s="328">
        <f t="shared" si="779"/>
        <v>0.8015354823715779</v>
      </c>
      <c r="BA107" s="328" t="str">
        <f t="shared" si="779"/>
        <v/>
      </c>
      <c r="BB107" s="328">
        <f t="shared" si="779"/>
        <v>0.81116581870873272</v>
      </c>
      <c r="BC107" s="328" t="str">
        <f t="shared" si="779"/>
        <v/>
      </c>
      <c r="BD107" s="328">
        <f t="shared" si="779"/>
        <v>0.81298909233817052</v>
      </c>
      <c r="BE107" s="328" t="str">
        <f t="shared" si="779"/>
        <v/>
      </c>
      <c r="BF107" s="328">
        <f t="shared" si="779"/>
        <v>0.82120698294446659</v>
      </c>
      <c r="BG107" s="328" t="str">
        <f t="shared" si="779"/>
        <v/>
      </c>
      <c r="BH107" s="328">
        <f t="shared" si="779"/>
        <v>0.82314984230856347</v>
      </c>
      <c r="BI107" s="328" t="str">
        <f t="shared" si="779"/>
        <v/>
      </c>
      <c r="BJ107" s="328">
        <f t="shared" si="779"/>
        <v>0.82418176150634326</v>
      </c>
      <c r="BK107" s="328" t="str">
        <f t="shared" si="779"/>
        <v/>
      </c>
      <c r="BL107" s="328">
        <f t="shared" si="779"/>
        <v>0.83433569782519501</v>
      </c>
      <c r="BM107" s="358" t="str">
        <f t="shared" si="779"/>
        <v/>
      </c>
      <c r="BN107" s="328">
        <f t="shared" si="779"/>
        <v>0.83496032946057386</v>
      </c>
      <c r="BO107" s="328" t="str">
        <f t="shared" si="779"/>
        <v/>
      </c>
      <c r="BP107" s="328">
        <f t="shared" si="779"/>
        <v>0.83791403436868117</v>
      </c>
      <c r="BQ107" s="328" t="str">
        <f t="shared" si="779"/>
        <v/>
      </c>
      <c r="BR107" s="328">
        <f t="shared" si="779"/>
        <v>0.79060690067866934</v>
      </c>
      <c r="BS107" s="328" t="str">
        <f t="shared" si="779"/>
        <v/>
      </c>
      <c r="BT107" s="328">
        <f t="shared" ref="BT107:CP107" si="780">IF(MOD(BT5-$H$5,14)=0,BT7, "")</f>
        <v>0.79060690067866934</v>
      </c>
      <c r="BU107" s="328" t="str">
        <f t="shared" si="780"/>
        <v/>
      </c>
      <c r="BV107" s="328">
        <f t="shared" si="780"/>
        <v>0.79060690067866934</v>
      </c>
      <c r="BW107" s="328" t="str">
        <f t="shared" si="780"/>
        <v/>
      </c>
      <c r="BX107" s="328">
        <f t="shared" si="780"/>
        <v>0.79060690067866934</v>
      </c>
      <c r="BY107" s="328" t="str">
        <f t="shared" si="780"/>
        <v/>
      </c>
      <c r="BZ107" s="328">
        <f t="shared" si="780"/>
        <v>0.79060690067866934</v>
      </c>
      <c r="CA107" s="328" t="str">
        <f t="shared" si="780"/>
        <v/>
      </c>
      <c r="CB107" s="328">
        <f t="shared" si="780"/>
        <v>0.79060690067866934</v>
      </c>
      <c r="CC107" s="328" t="str">
        <f t="shared" si="780"/>
        <v/>
      </c>
      <c r="CD107" s="328">
        <f t="shared" si="780"/>
        <v>0.79060690067866934</v>
      </c>
      <c r="CE107" s="328" t="str">
        <f t="shared" si="780"/>
        <v/>
      </c>
      <c r="CF107" s="328">
        <f t="shared" si="780"/>
        <v>0.79060690067866934</v>
      </c>
      <c r="CG107" s="328" t="str">
        <f t="shared" si="780"/>
        <v/>
      </c>
      <c r="CH107" s="328">
        <f t="shared" si="780"/>
        <v>0.79060690067866934</v>
      </c>
      <c r="CI107" s="328" t="str">
        <f t="shared" si="780"/>
        <v/>
      </c>
      <c r="CJ107" s="328">
        <f t="shared" si="780"/>
        <v>0.79060690067866934</v>
      </c>
      <c r="CK107" s="328" t="str">
        <f t="shared" si="780"/>
        <v/>
      </c>
      <c r="CL107" s="328">
        <f t="shared" si="780"/>
        <v>0.79060690067866934</v>
      </c>
      <c r="CM107" s="328" t="str">
        <f t="shared" si="780"/>
        <v/>
      </c>
      <c r="CN107" s="328">
        <f t="shared" si="780"/>
        <v>0.79060690067866934</v>
      </c>
      <c r="CO107" s="328" t="str">
        <f t="shared" si="780"/>
        <v/>
      </c>
      <c r="CP107" s="329">
        <f t="shared" si="780"/>
        <v>0.82418176150634326</v>
      </c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</row>
    <row r="108" spans="2:109" outlineLevel="1" x14ac:dyDescent="0.4">
      <c r="B108" s="454" t="s">
        <v>458</v>
      </c>
      <c r="C108" s="455"/>
      <c r="D108" s="455"/>
      <c r="E108" s="455"/>
      <c r="F108" s="234"/>
      <c r="G108" s="234"/>
      <c r="H108" s="321">
        <f t="shared" ref="H108:AM108" si="781">IF(MOD(H5-$H$5,28)=0,H7, "")</f>
        <v>0</v>
      </c>
      <c r="I108" s="321" t="str">
        <f t="shared" si="781"/>
        <v/>
      </c>
      <c r="J108" s="321" t="str">
        <f t="shared" si="781"/>
        <v/>
      </c>
      <c r="K108" s="321" t="str">
        <f t="shared" si="781"/>
        <v/>
      </c>
      <c r="L108" s="321">
        <f t="shared" si="781"/>
        <v>0.20587010599124519</v>
      </c>
      <c r="M108" s="321" t="str">
        <f t="shared" si="781"/>
        <v/>
      </c>
      <c r="N108" s="321" t="str">
        <f t="shared" si="781"/>
        <v/>
      </c>
      <c r="O108" s="321" t="str">
        <f t="shared" si="781"/>
        <v/>
      </c>
      <c r="P108" s="321">
        <f t="shared" si="781"/>
        <v>0.4546649697618762</v>
      </c>
      <c r="Q108" s="321" t="str">
        <f t="shared" si="781"/>
        <v/>
      </c>
      <c r="R108" s="321" t="str">
        <f t="shared" si="781"/>
        <v/>
      </c>
      <c r="S108" s="321" t="str">
        <f t="shared" si="781"/>
        <v/>
      </c>
      <c r="T108" s="321">
        <f t="shared" si="781"/>
        <v>0.54887209851902818</v>
      </c>
      <c r="U108" s="321" t="str">
        <f t="shared" si="781"/>
        <v/>
      </c>
      <c r="V108" s="321" t="str">
        <f t="shared" si="781"/>
        <v/>
      </c>
      <c r="W108" s="321" t="str">
        <f t="shared" si="781"/>
        <v/>
      </c>
      <c r="X108" s="321">
        <f t="shared" si="781"/>
        <v>0.63501553315235137</v>
      </c>
      <c r="Y108" s="321" t="str">
        <f t="shared" si="781"/>
        <v/>
      </c>
      <c r="Z108" s="321" t="str">
        <f t="shared" si="781"/>
        <v/>
      </c>
      <c r="AA108" s="321" t="str">
        <f t="shared" si="781"/>
        <v/>
      </c>
      <c r="AB108" s="321">
        <f t="shared" si="781"/>
        <v>0.69870687896218853</v>
      </c>
      <c r="AC108" s="321" t="str">
        <f t="shared" si="781"/>
        <v/>
      </c>
      <c r="AD108" s="321" t="str">
        <f t="shared" si="781"/>
        <v/>
      </c>
      <c r="AE108" s="321" t="str">
        <f t="shared" si="781"/>
        <v/>
      </c>
      <c r="AF108" s="321">
        <f t="shared" si="781"/>
        <v>0.73406880449813894</v>
      </c>
      <c r="AG108" s="321" t="str">
        <f t="shared" si="781"/>
        <v/>
      </c>
      <c r="AH108" s="321" t="str">
        <f t="shared" si="781"/>
        <v/>
      </c>
      <c r="AI108" s="321" t="str">
        <f t="shared" si="781"/>
        <v/>
      </c>
      <c r="AJ108" s="321">
        <f t="shared" si="781"/>
        <v>0.77140500744683993</v>
      </c>
      <c r="AK108" s="321" t="str">
        <f t="shared" si="781"/>
        <v/>
      </c>
      <c r="AL108" s="321" t="str">
        <f t="shared" si="781"/>
        <v/>
      </c>
      <c r="AM108" s="321" t="str">
        <f t="shared" si="781"/>
        <v/>
      </c>
      <c r="AN108" s="321">
        <f t="shared" ref="AN108:BS108" si="782">IF(MOD(AN5-$H$5,28)=0,AN7, "")</f>
        <v>0.78730751901138585</v>
      </c>
      <c r="AO108" s="321" t="str">
        <f t="shared" si="782"/>
        <v/>
      </c>
      <c r="AP108" s="321" t="str">
        <f t="shared" si="782"/>
        <v/>
      </c>
      <c r="AQ108" s="321" t="str">
        <f t="shared" si="782"/>
        <v/>
      </c>
      <c r="AR108" s="321">
        <f t="shared" si="782"/>
        <v>0.79060690067866934</v>
      </c>
      <c r="AS108" s="321" t="str">
        <f t="shared" si="782"/>
        <v/>
      </c>
      <c r="AT108" s="321" t="str">
        <f t="shared" si="782"/>
        <v/>
      </c>
      <c r="AU108" s="321" t="str">
        <f t="shared" si="782"/>
        <v/>
      </c>
      <c r="AV108" s="321">
        <f t="shared" si="782"/>
        <v>0.79374584803801573</v>
      </c>
      <c r="AW108" s="321" t="str">
        <f t="shared" si="782"/>
        <v/>
      </c>
      <c r="AX108" s="321" t="str">
        <f t="shared" si="782"/>
        <v/>
      </c>
      <c r="AY108" s="321" t="str">
        <f t="shared" si="782"/>
        <v/>
      </c>
      <c r="AZ108" s="321">
        <f t="shared" si="782"/>
        <v>0.8015354823715779</v>
      </c>
      <c r="BA108" s="321" t="str">
        <f t="shared" si="782"/>
        <v/>
      </c>
      <c r="BB108" s="321" t="str">
        <f t="shared" si="782"/>
        <v/>
      </c>
      <c r="BC108" s="321" t="str">
        <f t="shared" si="782"/>
        <v/>
      </c>
      <c r="BD108" s="321">
        <f t="shared" si="782"/>
        <v>0.81298909233817052</v>
      </c>
      <c r="BE108" s="321" t="str">
        <f t="shared" si="782"/>
        <v/>
      </c>
      <c r="BF108" s="321" t="str">
        <f t="shared" si="782"/>
        <v/>
      </c>
      <c r="BG108" s="321" t="str">
        <f t="shared" si="782"/>
        <v/>
      </c>
      <c r="BH108" s="321">
        <f t="shared" si="782"/>
        <v>0.82314984230856347</v>
      </c>
      <c r="BI108" s="321" t="str">
        <f t="shared" si="782"/>
        <v/>
      </c>
      <c r="BJ108" s="321" t="str">
        <f t="shared" si="782"/>
        <v/>
      </c>
      <c r="BK108" s="321" t="str">
        <f t="shared" si="782"/>
        <v/>
      </c>
      <c r="BL108" s="321">
        <f t="shared" si="782"/>
        <v>0.83433569782519501</v>
      </c>
      <c r="BM108" s="359" t="str">
        <f t="shared" si="782"/>
        <v/>
      </c>
      <c r="BN108" s="321" t="str">
        <f t="shared" si="782"/>
        <v/>
      </c>
      <c r="BO108" s="321" t="str">
        <f t="shared" si="782"/>
        <v/>
      </c>
      <c r="BP108" s="321">
        <f t="shared" si="782"/>
        <v>0.83791403436868117</v>
      </c>
      <c r="BQ108" s="321" t="str">
        <f t="shared" si="782"/>
        <v/>
      </c>
      <c r="BR108" s="321" t="str">
        <f t="shared" si="782"/>
        <v/>
      </c>
      <c r="BS108" s="321" t="str">
        <f t="shared" si="782"/>
        <v/>
      </c>
      <c r="BT108" s="321">
        <f t="shared" ref="BT108:CP108" si="783">IF(MOD(BT5-$H$5,28)=0,BT7, "")</f>
        <v>0.79060690067866934</v>
      </c>
      <c r="BU108" s="321" t="str">
        <f t="shared" si="783"/>
        <v/>
      </c>
      <c r="BV108" s="321" t="str">
        <f t="shared" si="783"/>
        <v/>
      </c>
      <c r="BW108" s="321" t="str">
        <f t="shared" si="783"/>
        <v/>
      </c>
      <c r="BX108" s="321">
        <f t="shared" si="783"/>
        <v>0.79060690067866934</v>
      </c>
      <c r="BY108" s="321" t="str">
        <f t="shared" si="783"/>
        <v/>
      </c>
      <c r="BZ108" s="321" t="str">
        <f t="shared" si="783"/>
        <v/>
      </c>
      <c r="CA108" s="321" t="str">
        <f t="shared" si="783"/>
        <v/>
      </c>
      <c r="CB108" s="321">
        <f t="shared" si="783"/>
        <v>0.79060690067866934</v>
      </c>
      <c r="CC108" s="321" t="str">
        <f t="shared" si="783"/>
        <v/>
      </c>
      <c r="CD108" s="321" t="str">
        <f t="shared" si="783"/>
        <v/>
      </c>
      <c r="CE108" s="321" t="str">
        <f t="shared" si="783"/>
        <v/>
      </c>
      <c r="CF108" s="321">
        <f t="shared" si="783"/>
        <v>0.79060690067866934</v>
      </c>
      <c r="CG108" s="321" t="str">
        <f t="shared" si="783"/>
        <v/>
      </c>
      <c r="CH108" s="321" t="str">
        <f t="shared" si="783"/>
        <v/>
      </c>
      <c r="CI108" s="321" t="str">
        <f t="shared" si="783"/>
        <v/>
      </c>
      <c r="CJ108" s="321">
        <f t="shared" si="783"/>
        <v>0.79060690067866934</v>
      </c>
      <c r="CK108" s="321" t="str">
        <f t="shared" si="783"/>
        <v/>
      </c>
      <c r="CL108" s="321" t="str">
        <f t="shared" si="783"/>
        <v/>
      </c>
      <c r="CM108" s="321" t="str">
        <f t="shared" si="783"/>
        <v/>
      </c>
      <c r="CN108" s="321">
        <f t="shared" si="783"/>
        <v>0.79060690067866934</v>
      </c>
      <c r="CO108" s="321" t="str">
        <f t="shared" si="783"/>
        <v/>
      </c>
      <c r="CP108" s="330" t="str">
        <f t="shared" si="783"/>
        <v/>
      </c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</row>
    <row r="109" spans="2:109" outlineLevel="1" x14ac:dyDescent="0.4">
      <c r="B109" s="454" t="s">
        <v>466</v>
      </c>
      <c r="C109" s="455"/>
      <c r="D109" s="455"/>
      <c r="E109" s="455"/>
      <c r="F109" s="234"/>
      <c r="G109" s="234"/>
      <c r="H109" s="321">
        <f t="shared" ref="H109:AM109" si="784">IF(MOD(H5-$H$5,14)=0,H97, "")</f>
        <v>0</v>
      </c>
      <c r="I109" s="321" t="str">
        <f t="shared" si="784"/>
        <v/>
      </c>
      <c r="J109" s="321">
        <f t="shared" si="784"/>
        <v>7.0230305938819584E-2</v>
      </c>
      <c r="K109" s="321" t="str">
        <f t="shared" si="784"/>
        <v/>
      </c>
      <c r="L109" s="321">
        <f t="shared" si="784"/>
        <v>7.7058472040542586E-2</v>
      </c>
      <c r="M109" s="321" t="str">
        <f t="shared" si="784"/>
        <v/>
      </c>
      <c r="N109" s="321">
        <f t="shared" si="784"/>
        <v>0.15871401203756119</v>
      </c>
      <c r="O109" s="321" t="str">
        <f t="shared" si="784"/>
        <v/>
      </c>
      <c r="P109" s="321">
        <f t="shared" si="784"/>
        <v>0.18451993750137163</v>
      </c>
      <c r="Q109" s="321" t="str">
        <f t="shared" si="784"/>
        <v/>
      </c>
      <c r="R109" s="321">
        <f t="shared" si="784"/>
        <v>0.14765191165661606</v>
      </c>
      <c r="S109" s="321" t="str">
        <f t="shared" si="784"/>
        <v/>
      </c>
      <c r="T109" s="321">
        <f t="shared" si="784"/>
        <v>0.11199326957011219</v>
      </c>
      <c r="U109" s="321" t="str">
        <f t="shared" si="784"/>
        <v/>
      </c>
      <c r="V109" s="321">
        <f t="shared" si="784"/>
        <v>9.2552259466212927E-2</v>
      </c>
      <c r="W109" s="321" t="str">
        <f t="shared" si="784"/>
        <v/>
      </c>
      <c r="X109" s="321">
        <f t="shared" si="784"/>
        <v>8.3173214283625341E-2</v>
      </c>
      <c r="Y109" s="321" t="str">
        <f t="shared" si="784"/>
        <v/>
      </c>
      <c r="Z109" s="321">
        <f t="shared" si="784"/>
        <v>4.6469076949618104E-2</v>
      </c>
      <c r="AA109" s="321" t="str">
        <f t="shared" si="784"/>
        <v/>
      </c>
      <c r="AB109" s="321">
        <f t="shared" si="784"/>
        <v>-9.4765363582937079E-3</v>
      </c>
      <c r="AC109" s="321" t="str">
        <f t="shared" si="784"/>
        <v/>
      </c>
      <c r="AD109" s="321">
        <f t="shared" si="784"/>
        <v>-6.6940298262612052E-2</v>
      </c>
      <c r="AE109" s="321" t="str">
        <f t="shared" si="784"/>
        <v/>
      </c>
      <c r="AF109" s="321">
        <f t="shared" si="784"/>
        <v>-0.11384072148228019</v>
      </c>
      <c r="AG109" s="321" t="str">
        <f t="shared" si="784"/>
        <v/>
      </c>
      <c r="AH109" s="321">
        <f t="shared" si="784"/>
        <v>-0.16424124839480037</v>
      </c>
      <c r="AI109" s="321" t="str">
        <f t="shared" si="784"/>
        <v/>
      </c>
      <c r="AJ109" s="321">
        <f t="shared" si="784"/>
        <v>-0.18888784315809204</v>
      </c>
      <c r="AK109" s="321" t="str">
        <f t="shared" si="784"/>
        <v/>
      </c>
      <c r="AL109" s="321">
        <f t="shared" si="784"/>
        <v>-0.21644701772045394</v>
      </c>
      <c r="AM109" s="321" t="str">
        <f t="shared" si="784"/>
        <v/>
      </c>
      <c r="AN109" s="321">
        <f t="shared" ref="AN109:BS109" si="785">IF(MOD(AN5-$H$5,14)=0,AN97, "")</f>
        <v>-0.21269248098861437</v>
      </c>
      <c r="AO109" s="321" t="str">
        <f t="shared" si="785"/>
        <v/>
      </c>
      <c r="AP109" s="321">
        <f t="shared" si="785"/>
        <v>-0.2095336414392911</v>
      </c>
      <c r="AQ109" s="321" t="str">
        <f t="shared" si="785"/>
        <v/>
      </c>
      <c r="AR109" s="321">
        <f t="shared" si="785"/>
        <v>-0.20939309932133088</v>
      </c>
      <c r="AS109" s="321" t="str">
        <f t="shared" si="785"/>
        <v/>
      </c>
      <c r="AT109" s="321">
        <f t="shared" si="785"/>
        <v>-0.20734725732389736</v>
      </c>
      <c r="AU109" s="321" t="str">
        <f t="shared" si="785"/>
        <v/>
      </c>
      <c r="AV109" s="321">
        <f t="shared" si="785"/>
        <v>-0.20625415196198449</v>
      </c>
      <c r="AW109" s="321" t="str">
        <f t="shared" si="785"/>
        <v/>
      </c>
      <c r="AX109" s="321">
        <f t="shared" si="785"/>
        <v>-0.20486434657326669</v>
      </c>
      <c r="AY109" s="321" t="str">
        <f t="shared" si="785"/>
        <v/>
      </c>
      <c r="AZ109" s="321">
        <f t="shared" si="785"/>
        <v>-0.19846451762842232</v>
      </c>
      <c r="BA109" s="321" t="str">
        <f t="shared" si="785"/>
        <v/>
      </c>
      <c r="BB109" s="321">
        <f t="shared" si="785"/>
        <v>-0.1888341812912675</v>
      </c>
      <c r="BC109" s="321" t="str">
        <f t="shared" si="785"/>
        <v/>
      </c>
      <c r="BD109" s="321">
        <f t="shared" si="785"/>
        <v>-0.18701090766182971</v>
      </c>
      <c r="BE109" s="321" t="str">
        <f t="shared" si="785"/>
        <v/>
      </c>
      <c r="BF109" s="321">
        <f t="shared" si="785"/>
        <v>-0.17879301705553363</v>
      </c>
      <c r="BG109" s="321" t="str">
        <f t="shared" si="785"/>
        <v/>
      </c>
      <c r="BH109" s="321">
        <f t="shared" si="785"/>
        <v>-0.17685015769143675</v>
      </c>
      <c r="BI109" s="321" t="str">
        <f t="shared" si="785"/>
        <v/>
      </c>
      <c r="BJ109" s="321">
        <f t="shared" si="785"/>
        <v>-0.17581823849365696</v>
      </c>
      <c r="BK109" s="321" t="str">
        <f t="shared" si="785"/>
        <v/>
      </c>
      <c r="BL109" s="321">
        <f t="shared" si="785"/>
        <v>-0.16566430217480521</v>
      </c>
      <c r="BM109" s="359" t="str">
        <f t="shared" si="785"/>
        <v/>
      </c>
      <c r="BN109" s="321">
        <f t="shared" si="785"/>
        <v>-0.16503967053942636</v>
      </c>
      <c r="BO109" s="321" t="str">
        <f t="shared" si="785"/>
        <v/>
      </c>
      <c r="BP109" s="321">
        <f t="shared" si="785"/>
        <v>-0.16208596563131905</v>
      </c>
      <c r="BQ109" s="321" t="str">
        <f t="shared" si="785"/>
        <v/>
      </c>
      <c r="BR109" s="321">
        <f t="shared" si="785"/>
        <v>-0.20939309932133088</v>
      </c>
      <c r="BS109" s="321" t="str">
        <f t="shared" si="785"/>
        <v/>
      </c>
      <c r="BT109" s="321">
        <f t="shared" ref="BT109:CP109" si="786">IF(MOD(BT5-$H$5,14)=0,BT97, "")</f>
        <v>-0.20939309932133088</v>
      </c>
      <c r="BU109" s="321" t="str">
        <f t="shared" si="786"/>
        <v/>
      </c>
      <c r="BV109" s="321">
        <f t="shared" si="786"/>
        <v>-0.20939309932133088</v>
      </c>
      <c r="BW109" s="321" t="str">
        <f t="shared" si="786"/>
        <v/>
      </c>
      <c r="BX109" s="321">
        <f t="shared" si="786"/>
        <v>-0.20939309932133088</v>
      </c>
      <c r="BY109" s="321" t="str">
        <f t="shared" si="786"/>
        <v/>
      </c>
      <c r="BZ109" s="321">
        <f t="shared" si="786"/>
        <v>-0.20939309932133088</v>
      </c>
      <c r="CA109" s="321" t="str">
        <f t="shared" si="786"/>
        <v/>
      </c>
      <c r="CB109" s="321">
        <f t="shared" si="786"/>
        <v>-0.20939309932133088</v>
      </c>
      <c r="CC109" s="321" t="str">
        <f t="shared" si="786"/>
        <v/>
      </c>
      <c r="CD109" s="321">
        <f t="shared" si="786"/>
        <v>-0.20939309932133088</v>
      </c>
      <c r="CE109" s="321" t="str">
        <f t="shared" si="786"/>
        <v/>
      </c>
      <c r="CF109" s="321">
        <f t="shared" si="786"/>
        <v>-0.20939309932133088</v>
      </c>
      <c r="CG109" s="321" t="str">
        <f t="shared" si="786"/>
        <v/>
      </c>
      <c r="CH109" s="321">
        <f t="shared" si="786"/>
        <v>-0.20939309932133088</v>
      </c>
      <c r="CI109" s="321" t="str">
        <f t="shared" si="786"/>
        <v/>
      </c>
      <c r="CJ109" s="321">
        <f t="shared" si="786"/>
        <v>-0.20939309932133088</v>
      </c>
      <c r="CK109" s="321" t="str">
        <f t="shared" si="786"/>
        <v/>
      </c>
      <c r="CL109" s="321">
        <f t="shared" si="786"/>
        <v>-0.20939309932133088</v>
      </c>
      <c r="CM109" s="321" t="str">
        <f t="shared" si="786"/>
        <v/>
      </c>
      <c r="CN109" s="321">
        <f t="shared" si="786"/>
        <v>-0.20939309932133088</v>
      </c>
      <c r="CO109" s="321" t="str">
        <f t="shared" si="786"/>
        <v/>
      </c>
      <c r="CP109" s="330">
        <f t="shared" si="786"/>
        <v>-0.17581823849365696</v>
      </c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</row>
    <row r="110" spans="2:109" outlineLevel="1" x14ac:dyDescent="0.4">
      <c r="B110" s="454" t="s">
        <v>467</v>
      </c>
      <c r="C110" s="455"/>
      <c r="D110" s="455"/>
      <c r="E110" s="455"/>
      <c r="F110" s="234"/>
      <c r="G110" s="234"/>
      <c r="H110" s="321">
        <f t="shared" ref="H110:AM110" si="787">IF(MOD(H5-$H$5,28)=0,H97, "")</f>
        <v>0</v>
      </c>
      <c r="I110" s="321" t="str">
        <f t="shared" si="787"/>
        <v/>
      </c>
      <c r="J110" s="321" t="str">
        <f t="shared" si="787"/>
        <v/>
      </c>
      <c r="K110" s="321" t="str">
        <f t="shared" si="787"/>
        <v/>
      </c>
      <c r="L110" s="321">
        <f t="shared" si="787"/>
        <v>7.7058472040542586E-2</v>
      </c>
      <c r="M110" s="321" t="str">
        <f t="shared" si="787"/>
        <v/>
      </c>
      <c r="N110" s="321" t="str">
        <f t="shared" si="787"/>
        <v/>
      </c>
      <c r="O110" s="321" t="str">
        <f t="shared" si="787"/>
        <v/>
      </c>
      <c r="P110" s="321">
        <f t="shared" si="787"/>
        <v>0.18451993750137163</v>
      </c>
      <c r="Q110" s="321" t="str">
        <f t="shared" si="787"/>
        <v/>
      </c>
      <c r="R110" s="321" t="str">
        <f t="shared" si="787"/>
        <v/>
      </c>
      <c r="S110" s="321" t="str">
        <f t="shared" si="787"/>
        <v/>
      </c>
      <c r="T110" s="321">
        <f t="shared" si="787"/>
        <v>0.11199326957011219</v>
      </c>
      <c r="U110" s="321" t="str">
        <f t="shared" si="787"/>
        <v/>
      </c>
      <c r="V110" s="321" t="str">
        <f t="shared" si="787"/>
        <v/>
      </c>
      <c r="W110" s="321" t="str">
        <f t="shared" si="787"/>
        <v/>
      </c>
      <c r="X110" s="321">
        <f t="shared" si="787"/>
        <v>8.3173214283625341E-2</v>
      </c>
      <c r="Y110" s="321" t="str">
        <f t="shared" si="787"/>
        <v/>
      </c>
      <c r="Z110" s="321" t="str">
        <f t="shared" si="787"/>
        <v/>
      </c>
      <c r="AA110" s="321" t="str">
        <f t="shared" si="787"/>
        <v/>
      </c>
      <c r="AB110" s="321">
        <f t="shared" si="787"/>
        <v>-9.4765363582937079E-3</v>
      </c>
      <c r="AC110" s="321" t="str">
        <f t="shared" si="787"/>
        <v/>
      </c>
      <c r="AD110" s="321" t="str">
        <f t="shared" si="787"/>
        <v/>
      </c>
      <c r="AE110" s="321" t="str">
        <f t="shared" si="787"/>
        <v/>
      </c>
      <c r="AF110" s="321">
        <f t="shared" si="787"/>
        <v>-0.11384072148228019</v>
      </c>
      <c r="AG110" s="321" t="str">
        <f t="shared" si="787"/>
        <v/>
      </c>
      <c r="AH110" s="321" t="str">
        <f t="shared" si="787"/>
        <v/>
      </c>
      <c r="AI110" s="321" t="str">
        <f t="shared" si="787"/>
        <v/>
      </c>
      <c r="AJ110" s="321">
        <f t="shared" si="787"/>
        <v>-0.18888784315809204</v>
      </c>
      <c r="AK110" s="321" t="str">
        <f t="shared" si="787"/>
        <v/>
      </c>
      <c r="AL110" s="321" t="str">
        <f t="shared" si="787"/>
        <v/>
      </c>
      <c r="AM110" s="321" t="str">
        <f t="shared" si="787"/>
        <v/>
      </c>
      <c r="AN110" s="321">
        <f t="shared" ref="AN110:BS110" si="788">IF(MOD(AN5-$H$5,28)=0,AN97, "")</f>
        <v>-0.21269248098861437</v>
      </c>
      <c r="AO110" s="321" t="str">
        <f t="shared" si="788"/>
        <v/>
      </c>
      <c r="AP110" s="321" t="str">
        <f t="shared" si="788"/>
        <v/>
      </c>
      <c r="AQ110" s="321" t="str">
        <f t="shared" si="788"/>
        <v/>
      </c>
      <c r="AR110" s="321">
        <f t="shared" si="788"/>
        <v>-0.20939309932133088</v>
      </c>
      <c r="AS110" s="321" t="str">
        <f t="shared" si="788"/>
        <v/>
      </c>
      <c r="AT110" s="321" t="str">
        <f t="shared" si="788"/>
        <v/>
      </c>
      <c r="AU110" s="321" t="str">
        <f t="shared" si="788"/>
        <v/>
      </c>
      <c r="AV110" s="321">
        <f t="shared" si="788"/>
        <v>-0.20625415196198449</v>
      </c>
      <c r="AW110" s="321" t="str">
        <f t="shared" si="788"/>
        <v/>
      </c>
      <c r="AX110" s="321" t="str">
        <f t="shared" si="788"/>
        <v/>
      </c>
      <c r="AY110" s="321" t="str">
        <f t="shared" si="788"/>
        <v/>
      </c>
      <c r="AZ110" s="321">
        <f t="shared" si="788"/>
        <v>-0.19846451762842232</v>
      </c>
      <c r="BA110" s="321" t="str">
        <f t="shared" si="788"/>
        <v/>
      </c>
      <c r="BB110" s="321" t="str">
        <f t="shared" si="788"/>
        <v/>
      </c>
      <c r="BC110" s="321" t="str">
        <f t="shared" si="788"/>
        <v/>
      </c>
      <c r="BD110" s="321">
        <f t="shared" si="788"/>
        <v>-0.18701090766182971</v>
      </c>
      <c r="BE110" s="321" t="str">
        <f t="shared" si="788"/>
        <v/>
      </c>
      <c r="BF110" s="321" t="str">
        <f t="shared" si="788"/>
        <v/>
      </c>
      <c r="BG110" s="321" t="str">
        <f t="shared" si="788"/>
        <v/>
      </c>
      <c r="BH110" s="321">
        <f t="shared" si="788"/>
        <v>-0.17685015769143675</v>
      </c>
      <c r="BI110" s="321" t="str">
        <f t="shared" si="788"/>
        <v/>
      </c>
      <c r="BJ110" s="321" t="str">
        <f t="shared" si="788"/>
        <v/>
      </c>
      <c r="BK110" s="321" t="str">
        <f t="shared" si="788"/>
        <v/>
      </c>
      <c r="BL110" s="321">
        <f t="shared" si="788"/>
        <v>-0.16566430217480521</v>
      </c>
      <c r="BM110" s="359" t="str">
        <f t="shared" si="788"/>
        <v/>
      </c>
      <c r="BN110" s="321" t="str">
        <f t="shared" si="788"/>
        <v/>
      </c>
      <c r="BO110" s="321" t="str">
        <f t="shared" si="788"/>
        <v/>
      </c>
      <c r="BP110" s="321">
        <f t="shared" si="788"/>
        <v>-0.16208596563131905</v>
      </c>
      <c r="BQ110" s="321" t="str">
        <f t="shared" si="788"/>
        <v/>
      </c>
      <c r="BR110" s="321" t="str">
        <f t="shared" si="788"/>
        <v/>
      </c>
      <c r="BS110" s="321" t="str">
        <f t="shared" si="788"/>
        <v/>
      </c>
      <c r="BT110" s="321">
        <f t="shared" ref="BT110:CP110" si="789">IF(MOD(BT5-$H$5,28)=0,BT97, "")</f>
        <v>-0.20939309932133088</v>
      </c>
      <c r="BU110" s="321" t="str">
        <f t="shared" si="789"/>
        <v/>
      </c>
      <c r="BV110" s="321" t="str">
        <f t="shared" si="789"/>
        <v/>
      </c>
      <c r="BW110" s="321" t="str">
        <f t="shared" si="789"/>
        <v/>
      </c>
      <c r="BX110" s="321">
        <f t="shared" si="789"/>
        <v>-0.20939309932133088</v>
      </c>
      <c r="BY110" s="321" t="str">
        <f t="shared" si="789"/>
        <v/>
      </c>
      <c r="BZ110" s="321" t="str">
        <f t="shared" si="789"/>
        <v/>
      </c>
      <c r="CA110" s="321" t="str">
        <f t="shared" si="789"/>
        <v/>
      </c>
      <c r="CB110" s="321">
        <f t="shared" si="789"/>
        <v>-0.20939309932133088</v>
      </c>
      <c r="CC110" s="321" t="str">
        <f t="shared" si="789"/>
        <v/>
      </c>
      <c r="CD110" s="321" t="str">
        <f t="shared" si="789"/>
        <v/>
      </c>
      <c r="CE110" s="321" t="str">
        <f t="shared" si="789"/>
        <v/>
      </c>
      <c r="CF110" s="321">
        <f t="shared" si="789"/>
        <v>-0.20939309932133088</v>
      </c>
      <c r="CG110" s="321" t="str">
        <f t="shared" si="789"/>
        <v/>
      </c>
      <c r="CH110" s="321" t="str">
        <f t="shared" si="789"/>
        <v/>
      </c>
      <c r="CI110" s="321" t="str">
        <f t="shared" si="789"/>
        <v/>
      </c>
      <c r="CJ110" s="321">
        <f t="shared" si="789"/>
        <v>-0.20939309932133088</v>
      </c>
      <c r="CK110" s="321" t="str">
        <f t="shared" si="789"/>
        <v/>
      </c>
      <c r="CL110" s="321" t="str">
        <f t="shared" si="789"/>
        <v/>
      </c>
      <c r="CM110" s="321" t="str">
        <f t="shared" si="789"/>
        <v/>
      </c>
      <c r="CN110" s="321">
        <f t="shared" si="789"/>
        <v>-0.20939309932133088</v>
      </c>
      <c r="CO110" s="321" t="str">
        <f t="shared" si="789"/>
        <v/>
      </c>
      <c r="CP110" s="330" t="str">
        <f t="shared" si="789"/>
        <v/>
      </c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</row>
    <row r="111" spans="2:109" outlineLevel="1" x14ac:dyDescent="0.4">
      <c r="B111" s="454" t="s">
        <v>449</v>
      </c>
      <c r="C111" s="455"/>
      <c r="D111" s="455"/>
      <c r="E111" s="455"/>
      <c r="F111" s="234"/>
      <c r="G111" s="234"/>
      <c r="H111" s="321">
        <f t="shared" ref="H111:AM111" si="790">IF(MOD(H5-$H$5,14)=0,H7, NA())</f>
        <v>0</v>
      </c>
      <c r="I111" s="321" t="e">
        <f t="shared" si="790"/>
        <v>#N/A</v>
      </c>
      <c r="J111" s="321">
        <f t="shared" si="790"/>
        <v>0.12581393398292939</v>
      </c>
      <c r="K111" s="321" t="e">
        <f t="shared" si="790"/>
        <v>#N/A</v>
      </c>
      <c r="L111" s="321">
        <f t="shared" si="790"/>
        <v>0.20587010599124519</v>
      </c>
      <c r="M111" s="321" t="e">
        <f t="shared" si="790"/>
        <v>#N/A</v>
      </c>
      <c r="N111" s="321">
        <f t="shared" si="790"/>
        <v>0.36531350655976202</v>
      </c>
      <c r="O111" s="321" t="e">
        <f t="shared" si="790"/>
        <v>#N/A</v>
      </c>
      <c r="P111" s="321">
        <f t="shared" si="790"/>
        <v>0.4546649697618762</v>
      </c>
      <c r="Q111" s="321" t="e">
        <f t="shared" si="790"/>
        <v>#N/A</v>
      </c>
      <c r="R111" s="321">
        <f t="shared" si="790"/>
        <v>0.50858532668640044</v>
      </c>
      <c r="S111" s="321" t="e">
        <f t="shared" si="790"/>
        <v>#N/A</v>
      </c>
      <c r="T111" s="321">
        <f t="shared" si="790"/>
        <v>0.54887209851902818</v>
      </c>
      <c r="U111" s="321" t="e">
        <f t="shared" si="790"/>
        <v>#N/A</v>
      </c>
      <c r="V111" s="321">
        <f t="shared" si="790"/>
        <v>0.58768563409806485</v>
      </c>
      <c r="W111" s="321" t="e">
        <f t="shared" si="790"/>
        <v>#N/A</v>
      </c>
      <c r="X111" s="321">
        <f t="shared" si="790"/>
        <v>0.63501553315235137</v>
      </c>
      <c r="Y111" s="321" t="e">
        <f t="shared" si="790"/>
        <v>#N/A</v>
      </c>
      <c r="Z111" s="321">
        <f t="shared" si="790"/>
        <v>0.67047868711639536</v>
      </c>
      <c r="AA111" s="321" t="e">
        <f t="shared" si="790"/>
        <v>#N/A</v>
      </c>
      <c r="AB111" s="321">
        <f t="shared" si="790"/>
        <v>0.69870687896218853</v>
      </c>
      <c r="AC111" s="321" t="e">
        <f t="shared" si="790"/>
        <v>#N/A</v>
      </c>
      <c r="AD111" s="321">
        <f t="shared" si="790"/>
        <v>0.71863911968354177</v>
      </c>
      <c r="AE111" s="321" t="e">
        <f t="shared" si="790"/>
        <v>#N/A</v>
      </c>
      <c r="AF111" s="321">
        <f t="shared" si="790"/>
        <v>0.73406880449813894</v>
      </c>
      <c r="AG111" s="321" t="e">
        <f t="shared" si="790"/>
        <v>#N/A</v>
      </c>
      <c r="AH111" s="321">
        <f t="shared" si="790"/>
        <v>0.73890027151526771</v>
      </c>
      <c r="AI111" s="321" t="e">
        <f t="shared" si="790"/>
        <v>#N/A</v>
      </c>
      <c r="AJ111" s="321">
        <f t="shared" si="790"/>
        <v>0.77140500744683993</v>
      </c>
      <c r="AK111" s="321" t="e">
        <f t="shared" si="790"/>
        <v>#N/A</v>
      </c>
      <c r="AL111" s="321">
        <f t="shared" si="790"/>
        <v>0.78086495454124094</v>
      </c>
      <c r="AM111" s="321" t="e">
        <f t="shared" si="790"/>
        <v>#N/A</v>
      </c>
      <c r="AN111" s="321">
        <f t="shared" ref="AN111:BS111" si="791">IF(MOD(AN5-$H$5,14)=0,AN7, NA())</f>
        <v>0.78730751901138585</v>
      </c>
      <c r="AO111" s="321" t="e">
        <f t="shared" si="791"/>
        <v>#N/A</v>
      </c>
      <c r="AP111" s="321">
        <f t="shared" si="791"/>
        <v>0.79046635856070913</v>
      </c>
      <c r="AQ111" s="321" t="e">
        <f t="shared" si="791"/>
        <v>#N/A</v>
      </c>
      <c r="AR111" s="321">
        <f t="shared" si="791"/>
        <v>0.79060690067866934</v>
      </c>
      <c r="AS111" s="321" t="e">
        <f t="shared" si="791"/>
        <v>#N/A</v>
      </c>
      <c r="AT111" s="321">
        <f t="shared" si="791"/>
        <v>0.79265274267610286</v>
      </c>
      <c r="AU111" s="321" t="e">
        <f t="shared" si="791"/>
        <v>#N/A</v>
      </c>
      <c r="AV111" s="321">
        <f t="shared" si="791"/>
        <v>0.79374584803801573</v>
      </c>
      <c r="AW111" s="321" t="e">
        <f t="shared" si="791"/>
        <v>#N/A</v>
      </c>
      <c r="AX111" s="321">
        <f t="shared" si="791"/>
        <v>0.79513565342673354</v>
      </c>
      <c r="AY111" s="321" t="e">
        <f t="shared" si="791"/>
        <v>#N/A</v>
      </c>
      <c r="AZ111" s="321">
        <f t="shared" si="791"/>
        <v>0.8015354823715779</v>
      </c>
      <c r="BA111" s="321" t="e">
        <f t="shared" si="791"/>
        <v>#N/A</v>
      </c>
      <c r="BB111" s="321">
        <f t="shared" si="791"/>
        <v>0.81116581870873272</v>
      </c>
      <c r="BC111" s="321" t="e">
        <f t="shared" si="791"/>
        <v>#N/A</v>
      </c>
      <c r="BD111" s="321">
        <f t="shared" si="791"/>
        <v>0.81298909233817052</v>
      </c>
      <c r="BE111" s="321" t="e">
        <f t="shared" si="791"/>
        <v>#N/A</v>
      </c>
      <c r="BF111" s="321">
        <f t="shared" si="791"/>
        <v>0.82120698294446659</v>
      </c>
      <c r="BG111" s="321" t="e">
        <f t="shared" si="791"/>
        <v>#N/A</v>
      </c>
      <c r="BH111" s="321">
        <f t="shared" si="791"/>
        <v>0.82314984230856347</v>
      </c>
      <c r="BI111" s="321" t="e">
        <f t="shared" si="791"/>
        <v>#N/A</v>
      </c>
      <c r="BJ111" s="321">
        <f t="shared" si="791"/>
        <v>0.82418176150634326</v>
      </c>
      <c r="BK111" s="321" t="e">
        <f t="shared" si="791"/>
        <v>#N/A</v>
      </c>
      <c r="BL111" s="321">
        <f t="shared" si="791"/>
        <v>0.83433569782519501</v>
      </c>
      <c r="BM111" s="359" t="e">
        <f t="shared" si="791"/>
        <v>#N/A</v>
      </c>
      <c r="BN111" s="321">
        <f t="shared" si="791"/>
        <v>0.83496032946057386</v>
      </c>
      <c r="BO111" s="321" t="e">
        <f t="shared" si="791"/>
        <v>#N/A</v>
      </c>
      <c r="BP111" s="321">
        <f t="shared" si="791"/>
        <v>0.83791403436868117</v>
      </c>
      <c r="BQ111" s="321" t="e">
        <f t="shared" si="791"/>
        <v>#N/A</v>
      </c>
      <c r="BR111" s="321">
        <f t="shared" si="791"/>
        <v>0.79060690067866934</v>
      </c>
      <c r="BS111" s="321" t="e">
        <f t="shared" si="791"/>
        <v>#N/A</v>
      </c>
      <c r="BT111" s="321">
        <f t="shared" ref="BT111:CP111" si="792">IF(MOD(BT5-$H$5,14)=0,BT7, NA())</f>
        <v>0.79060690067866934</v>
      </c>
      <c r="BU111" s="321" t="e">
        <f t="shared" si="792"/>
        <v>#N/A</v>
      </c>
      <c r="BV111" s="321">
        <f t="shared" si="792"/>
        <v>0.79060690067866934</v>
      </c>
      <c r="BW111" s="321" t="e">
        <f t="shared" si="792"/>
        <v>#N/A</v>
      </c>
      <c r="BX111" s="321">
        <f t="shared" si="792"/>
        <v>0.79060690067866934</v>
      </c>
      <c r="BY111" s="321" t="e">
        <f t="shared" si="792"/>
        <v>#N/A</v>
      </c>
      <c r="BZ111" s="321">
        <f t="shared" si="792"/>
        <v>0.79060690067866934</v>
      </c>
      <c r="CA111" s="321" t="e">
        <f t="shared" si="792"/>
        <v>#N/A</v>
      </c>
      <c r="CB111" s="321">
        <f t="shared" si="792"/>
        <v>0.79060690067866934</v>
      </c>
      <c r="CC111" s="321" t="e">
        <f t="shared" si="792"/>
        <v>#N/A</v>
      </c>
      <c r="CD111" s="321">
        <f t="shared" si="792"/>
        <v>0.79060690067866934</v>
      </c>
      <c r="CE111" s="321" t="e">
        <f t="shared" si="792"/>
        <v>#N/A</v>
      </c>
      <c r="CF111" s="321">
        <f t="shared" si="792"/>
        <v>0.79060690067866934</v>
      </c>
      <c r="CG111" s="321" t="e">
        <f t="shared" si="792"/>
        <v>#N/A</v>
      </c>
      <c r="CH111" s="321">
        <f t="shared" si="792"/>
        <v>0.79060690067866934</v>
      </c>
      <c r="CI111" s="321" t="e">
        <f t="shared" si="792"/>
        <v>#N/A</v>
      </c>
      <c r="CJ111" s="321">
        <f t="shared" si="792"/>
        <v>0.79060690067866934</v>
      </c>
      <c r="CK111" s="321" t="e">
        <f t="shared" si="792"/>
        <v>#N/A</v>
      </c>
      <c r="CL111" s="321">
        <f t="shared" si="792"/>
        <v>0.79060690067866934</v>
      </c>
      <c r="CM111" s="321" t="e">
        <f t="shared" si="792"/>
        <v>#N/A</v>
      </c>
      <c r="CN111" s="321">
        <f t="shared" si="792"/>
        <v>0.79060690067866934</v>
      </c>
      <c r="CO111" s="321" t="e">
        <f t="shared" si="792"/>
        <v>#N/A</v>
      </c>
      <c r="CP111" s="330">
        <f t="shared" si="792"/>
        <v>0.82418176150634326</v>
      </c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</row>
    <row r="112" spans="2:109" outlineLevel="1" x14ac:dyDescent="0.4">
      <c r="B112" s="456" t="s">
        <v>450</v>
      </c>
      <c r="C112" s="457"/>
      <c r="D112" s="457"/>
      <c r="E112" s="457"/>
      <c r="F112" s="331"/>
      <c r="G112" s="331"/>
      <c r="H112" s="332">
        <f t="shared" ref="H112:AM112" si="793">IF(MOD(H5-$H$5,28)=0,H7, NA())</f>
        <v>0</v>
      </c>
      <c r="I112" s="332" t="e">
        <f t="shared" si="793"/>
        <v>#N/A</v>
      </c>
      <c r="J112" s="332" t="e">
        <f t="shared" si="793"/>
        <v>#N/A</v>
      </c>
      <c r="K112" s="332" t="e">
        <f t="shared" si="793"/>
        <v>#N/A</v>
      </c>
      <c r="L112" s="332">
        <f t="shared" si="793"/>
        <v>0.20587010599124519</v>
      </c>
      <c r="M112" s="332" t="e">
        <f t="shared" si="793"/>
        <v>#N/A</v>
      </c>
      <c r="N112" s="332" t="e">
        <f t="shared" si="793"/>
        <v>#N/A</v>
      </c>
      <c r="O112" s="332" t="e">
        <f t="shared" si="793"/>
        <v>#N/A</v>
      </c>
      <c r="P112" s="332">
        <f t="shared" si="793"/>
        <v>0.4546649697618762</v>
      </c>
      <c r="Q112" s="332" t="e">
        <f t="shared" si="793"/>
        <v>#N/A</v>
      </c>
      <c r="R112" s="332" t="e">
        <f t="shared" si="793"/>
        <v>#N/A</v>
      </c>
      <c r="S112" s="332" t="e">
        <f t="shared" si="793"/>
        <v>#N/A</v>
      </c>
      <c r="T112" s="332">
        <f t="shared" si="793"/>
        <v>0.54887209851902818</v>
      </c>
      <c r="U112" s="332" t="e">
        <f t="shared" si="793"/>
        <v>#N/A</v>
      </c>
      <c r="V112" s="332" t="e">
        <f t="shared" si="793"/>
        <v>#N/A</v>
      </c>
      <c r="W112" s="332" t="e">
        <f t="shared" si="793"/>
        <v>#N/A</v>
      </c>
      <c r="X112" s="332">
        <f t="shared" si="793"/>
        <v>0.63501553315235137</v>
      </c>
      <c r="Y112" s="332" t="e">
        <f t="shared" si="793"/>
        <v>#N/A</v>
      </c>
      <c r="Z112" s="332" t="e">
        <f t="shared" si="793"/>
        <v>#N/A</v>
      </c>
      <c r="AA112" s="332" t="e">
        <f t="shared" si="793"/>
        <v>#N/A</v>
      </c>
      <c r="AB112" s="332">
        <f t="shared" si="793"/>
        <v>0.69870687896218853</v>
      </c>
      <c r="AC112" s="332" t="e">
        <f t="shared" si="793"/>
        <v>#N/A</v>
      </c>
      <c r="AD112" s="332" t="e">
        <f t="shared" si="793"/>
        <v>#N/A</v>
      </c>
      <c r="AE112" s="332" t="e">
        <f t="shared" si="793"/>
        <v>#N/A</v>
      </c>
      <c r="AF112" s="332">
        <f t="shared" si="793"/>
        <v>0.73406880449813894</v>
      </c>
      <c r="AG112" s="332" t="e">
        <f t="shared" si="793"/>
        <v>#N/A</v>
      </c>
      <c r="AH112" s="332" t="e">
        <f t="shared" si="793"/>
        <v>#N/A</v>
      </c>
      <c r="AI112" s="332" t="e">
        <f t="shared" si="793"/>
        <v>#N/A</v>
      </c>
      <c r="AJ112" s="332">
        <f t="shared" si="793"/>
        <v>0.77140500744683993</v>
      </c>
      <c r="AK112" s="332" t="e">
        <f t="shared" si="793"/>
        <v>#N/A</v>
      </c>
      <c r="AL112" s="332" t="e">
        <f t="shared" si="793"/>
        <v>#N/A</v>
      </c>
      <c r="AM112" s="332" t="e">
        <f t="shared" si="793"/>
        <v>#N/A</v>
      </c>
      <c r="AN112" s="332">
        <f t="shared" ref="AN112:BS112" si="794">IF(MOD(AN5-$H$5,28)=0,AN7, NA())</f>
        <v>0.78730751901138585</v>
      </c>
      <c r="AO112" s="332" t="e">
        <f t="shared" si="794"/>
        <v>#N/A</v>
      </c>
      <c r="AP112" s="332" t="e">
        <f t="shared" si="794"/>
        <v>#N/A</v>
      </c>
      <c r="AQ112" s="332" t="e">
        <f t="shared" si="794"/>
        <v>#N/A</v>
      </c>
      <c r="AR112" s="332">
        <f t="shared" si="794"/>
        <v>0.79060690067866934</v>
      </c>
      <c r="AS112" s="332" t="e">
        <f t="shared" si="794"/>
        <v>#N/A</v>
      </c>
      <c r="AT112" s="332" t="e">
        <f t="shared" si="794"/>
        <v>#N/A</v>
      </c>
      <c r="AU112" s="332" t="e">
        <f t="shared" si="794"/>
        <v>#N/A</v>
      </c>
      <c r="AV112" s="332">
        <f t="shared" si="794"/>
        <v>0.79374584803801573</v>
      </c>
      <c r="AW112" s="332" t="e">
        <f t="shared" si="794"/>
        <v>#N/A</v>
      </c>
      <c r="AX112" s="332" t="e">
        <f t="shared" si="794"/>
        <v>#N/A</v>
      </c>
      <c r="AY112" s="332" t="e">
        <f t="shared" si="794"/>
        <v>#N/A</v>
      </c>
      <c r="AZ112" s="332">
        <f t="shared" si="794"/>
        <v>0.8015354823715779</v>
      </c>
      <c r="BA112" s="332" t="e">
        <f t="shared" si="794"/>
        <v>#N/A</v>
      </c>
      <c r="BB112" s="332" t="e">
        <f t="shared" si="794"/>
        <v>#N/A</v>
      </c>
      <c r="BC112" s="332" t="e">
        <f t="shared" si="794"/>
        <v>#N/A</v>
      </c>
      <c r="BD112" s="332">
        <f t="shared" si="794"/>
        <v>0.81298909233817052</v>
      </c>
      <c r="BE112" s="332" t="e">
        <f t="shared" si="794"/>
        <v>#N/A</v>
      </c>
      <c r="BF112" s="332" t="e">
        <f t="shared" si="794"/>
        <v>#N/A</v>
      </c>
      <c r="BG112" s="332" t="e">
        <f t="shared" si="794"/>
        <v>#N/A</v>
      </c>
      <c r="BH112" s="332">
        <f t="shared" si="794"/>
        <v>0.82314984230856347</v>
      </c>
      <c r="BI112" s="332" t="e">
        <f t="shared" si="794"/>
        <v>#N/A</v>
      </c>
      <c r="BJ112" s="332" t="e">
        <f t="shared" si="794"/>
        <v>#N/A</v>
      </c>
      <c r="BK112" s="332" t="e">
        <f t="shared" si="794"/>
        <v>#N/A</v>
      </c>
      <c r="BL112" s="332">
        <f t="shared" si="794"/>
        <v>0.83433569782519501</v>
      </c>
      <c r="BM112" s="360" t="e">
        <f t="shared" si="794"/>
        <v>#N/A</v>
      </c>
      <c r="BN112" s="332" t="e">
        <f t="shared" si="794"/>
        <v>#N/A</v>
      </c>
      <c r="BO112" s="332" t="e">
        <f t="shared" si="794"/>
        <v>#N/A</v>
      </c>
      <c r="BP112" s="332">
        <f t="shared" si="794"/>
        <v>0.83791403436868117</v>
      </c>
      <c r="BQ112" s="332" t="e">
        <f t="shared" si="794"/>
        <v>#N/A</v>
      </c>
      <c r="BR112" s="332" t="e">
        <f t="shared" si="794"/>
        <v>#N/A</v>
      </c>
      <c r="BS112" s="332" t="e">
        <f t="shared" si="794"/>
        <v>#N/A</v>
      </c>
      <c r="BT112" s="332">
        <f t="shared" ref="BT112:CP112" si="795">IF(MOD(BT5-$H$5,28)=0,BT7, NA())</f>
        <v>0.79060690067866934</v>
      </c>
      <c r="BU112" s="332" t="e">
        <f t="shared" si="795"/>
        <v>#N/A</v>
      </c>
      <c r="BV112" s="332" t="e">
        <f t="shared" si="795"/>
        <v>#N/A</v>
      </c>
      <c r="BW112" s="332" t="e">
        <f t="shared" si="795"/>
        <v>#N/A</v>
      </c>
      <c r="BX112" s="332">
        <f t="shared" si="795"/>
        <v>0.79060690067866934</v>
      </c>
      <c r="BY112" s="332" t="e">
        <f t="shared" si="795"/>
        <v>#N/A</v>
      </c>
      <c r="BZ112" s="332" t="e">
        <f t="shared" si="795"/>
        <v>#N/A</v>
      </c>
      <c r="CA112" s="332" t="e">
        <f t="shared" si="795"/>
        <v>#N/A</v>
      </c>
      <c r="CB112" s="332">
        <f t="shared" si="795"/>
        <v>0.79060690067866934</v>
      </c>
      <c r="CC112" s="332" t="e">
        <f t="shared" si="795"/>
        <v>#N/A</v>
      </c>
      <c r="CD112" s="332" t="e">
        <f t="shared" si="795"/>
        <v>#N/A</v>
      </c>
      <c r="CE112" s="332" t="e">
        <f t="shared" si="795"/>
        <v>#N/A</v>
      </c>
      <c r="CF112" s="332">
        <f t="shared" si="795"/>
        <v>0.79060690067866934</v>
      </c>
      <c r="CG112" s="332" t="e">
        <f t="shared" si="795"/>
        <v>#N/A</v>
      </c>
      <c r="CH112" s="332" t="e">
        <f t="shared" si="795"/>
        <v>#N/A</v>
      </c>
      <c r="CI112" s="332" t="e">
        <f t="shared" si="795"/>
        <v>#N/A</v>
      </c>
      <c r="CJ112" s="332">
        <f t="shared" si="795"/>
        <v>0.79060690067866934</v>
      </c>
      <c r="CK112" s="332" t="e">
        <f t="shared" si="795"/>
        <v>#N/A</v>
      </c>
      <c r="CL112" s="332" t="e">
        <f t="shared" si="795"/>
        <v>#N/A</v>
      </c>
      <c r="CM112" s="332" t="e">
        <f t="shared" si="795"/>
        <v>#N/A</v>
      </c>
      <c r="CN112" s="332">
        <f t="shared" si="795"/>
        <v>0.79060690067866934</v>
      </c>
      <c r="CO112" s="332" t="e">
        <f t="shared" si="795"/>
        <v>#N/A</v>
      </c>
      <c r="CP112" s="333" t="e">
        <f t="shared" si="795"/>
        <v>#N/A</v>
      </c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</row>
    <row r="113" spans="2:94" outlineLevel="1" x14ac:dyDescent="0.4">
      <c r="B113" s="452" t="s">
        <v>460</v>
      </c>
      <c r="C113" s="453"/>
      <c r="D113" s="453"/>
      <c r="E113" s="453"/>
      <c r="F113" s="234"/>
      <c r="H113" s="328">
        <f t="shared" ref="H113:AM113" si="796">IF(MOD(H5-$H$5,14)=0,H46, "")</f>
        <v>0</v>
      </c>
      <c r="I113" s="328" t="str">
        <f t="shared" si="796"/>
        <v/>
      </c>
      <c r="J113" s="328">
        <f t="shared" si="796"/>
        <v>2.2551458693733265E-2</v>
      </c>
      <c r="K113" s="328" t="str">
        <f t="shared" si="796"/>
        <v/>
      </c>
      <c r="L113" s="328">
        <f t="shared" si="796"/>
        <v>8.6862525881258479E-2</v>
      </c>
      <c r="M113" s="328" t="str">
        <f t="shared" si="796"/>
        <v/>
      </c>
      <c r="N113" s="328">
        <f t="shared" si="796"/>
        <v>0.13649753054236549</v>
      </c>
      <c r="O113" s="328" t="str">
        <f t="shared" si="796"/>
        <v/>
      </c>
      <c r="P113" s="328">
        <f t="shared" si="796"/>
        <v>0.15498248541118015</v>
      </c>
      <c r="Q113" s="328" t="str">
        <f t="shared" si="796"/>
        <v/>
      </c>
      <c r="R113" s="328">
        <f t="shared" si="796"/>
        <v>0.16175410205803156</v>
      </c>
      <c r="S113" s="328" t="str">
        <f t="shared" si="796"/>
        <v/>
      </c>
      <c r="T113" s="328">
        <f t="shared" si="796"/>
        <v>0.18113785470964372</v>
      </c>
      <c r="U113" s="328" t="str">
        <f t="shared" si="796"/>
        <v/>
      </c>
      <c r="V113" s="328">
        <f t="shared" si="796"/>
        <v>0.19073616910910138</v>
      </c>
      <c r="W113" s="328" t="str">
        <f t="shared" si="796"/>
        <v/>
      </c>
      <c r="X113" s="328">
        <f t="shared" si="796"/>
        <v>0.21813134326670858</v>
      </c>
      <c r="Y113" s="328" t="str">
        <f t="shared" si="796"/>
        <v/>
      </c>
      <c r="Z113" s="328">
        <f t="shared" si="796"/>
        <v>0.23909380815265552</v>
      </c>
      <c r="AA113" s="328" t="str">
        <f t="shared" si="796"/>
        <v/>
      </c>
      <c r="AB113" s="328">
        <f t="shared" si="796"/>
        <v>0.30986567317609404</v>
      </c>
      <c r="AC113" s="328" t="str">
        <f t="shared" si="796"/>
        <v/>
      </c>
      <c r="AD113" s="328">
        <f t="shared" si="796"/>
        <v>0.39776722768788086</v>
      </c>
      <c r="AE113" s="328" t="str">
        <f t="shared" si="796"/>
        <v/>
      </c>
      <c r="AF113" s="328">
        <f t="shared" si="796"/>
        <v>0.40794176830129086</v>
      </c>
      <c r="AG113" s="328" t="str">
        <f t="shared" si="796"/>
        <v/>
      </c>
      <c r="AH113" s="328">
        <f t="shared" si="796"/>
        <v>0.42228062006906192</v>
      </c>
      <c r="AI113" s="328" t="str">
        <f t="shared" si="796"/>
        <v/>
      </c>
      <c r="AJ113" s="328">
        <f t="shared" si="796"/>
        <v>0.47645502986170213</v>
      </c>
      <c r="AK113" s="328" t="str">
        <f t="shared" si="796"/>
        <v/>
      </c>
      <c r="AL113" s="328">
        <f t="shared" si="796"/>
        <v>0.50383160514295466</v>
      </c>
      <c r="AM113" s="328" t="str">
        <f t="shared" si="796"/>
        <v/>
      </c>
      <c r="AN113" s="328">
        <f t="shared" ref="AN113:BS113" si="797">IF(MOD(AN5-$H$5,14)=0,AN46, "")</f>
        <v>0.51250416113509245</v>
      </c>
      <c r="AO113" s="328" t="str">
        <f t="shared" si="797"/>
        <v/>
      </c>
      <c r="AP113" s="328">
        <f t="shared" si="797"/>
        <v>0.51250416113509245</v>
      </c>
      <c r="AQ113" s="328" t="str">
        <f t="shared" si="797"/>
        <v/>
      </c>
      <c r="AR113" s="328">
        <f t="shared" si="797"/>
        <v>0.51250416113509245</v>
      </c>
      <c r="AS113" s="328" t="str">
        <f t="shared" si="797"/>
        <v/>
      </c>
      <c r="AT113" s="328">
        <f t="shared" si="797"/>
        <v>0.51543781816138556</v>
      </c>
      <c r="AU113" s="328" t="str">
        <f t="shared" si="797"/>
        <v/>
      </c>
      <c r="AV113" s="328">
        <f t="shared" si="797"/>
        <v>0.51706407933806831</v>
      </c>
      <c r="AW113" s="328" t="str">
        <f t="shared" si="797"/>
        <v/>
      </c>
      <c r="AX113" s="328">
        <f t="shared" si="797"/>
        <v>0.51706407933806831</v>
      </c>
      <c r="AY113" s="328" t="str">
        <f t="shared" si="797"/>
        <v/>
      </c>
      <c r="AZ113" s="328">
        <f t="shared" si="797"/>
        <v>0.53339344067597949</v>
      </c>
      <c r="BA113" s="328" t="str">
        <f t="shared" si="797"/>
        <v/>
      </c>
      <c r="BB113" s="328">
        <f t="shared" si="797"/>
        <v>0.53642549040561294</v>
      </c>
      <c r="BC113" s="328" t="str">
        <f t="shared" si="797"/>
        <v/>
      </c>
      <c r="BD113" s="328">
        <f t="shared" si="797"/>
        <v>0.53660692303094404</v>
      </c>
      <c r="BE113" s="328" t="str">
        <f t="shared" si="797"/>
        <v/>
      </c>
      <c r="BF113" s="328">
        <f t="shared" si="797"/>
        <v>0.53963897276057737</v>
      </c>
      <c r="BG113" s="328" t="str">
        <f t="shared" si="797"/>
        <v/>
      </c>
      <c r="BH113" s="328">
        <f t="shared" si="797"/>
        <v>0.54188061137470744</v>
      </c>
      <c r="BI113" s="328" t="str">
        <f t="shared" si="797"/>
        <v/>
      </c>
      <c r="BJ113" s="328">
        <f t="shared" si="797"/>
        <v>0.54559916292991806</v>
      </c>
      <c r="BK113" s="328" t="str">
        <f t="shared" si="797"/>
        <v/>
      </c>
      <c r="BL113" s="328">
        <f t="shared" si="797"/>
        <v>0.59647311534210745</v>
      </c>
      <c r="BM113" s="358" t="str">
        <f t="shared" si="797"/>
        <v/>
      </c>
      <c r="BN113" s="328">
        <f t="shared" si="797"/>
        <v>0.59806678029434057</v>
      </c>
      <c r="BO113" s="328" t="str">
        <f t="shared" si="797"/>
        <v/>
      </c>
      <c r="BP113" s="328">
        <f t="shared" si="797"/>
        <v>0.60061349807525832</v>
      </c>
      <c r="BQ113" s="328" t="str">
        <f t="shared" si="797"/>
        <v/>
      </c>
      <c r="BR113" s="328">
        <f t="shared" si="797"/>
        <v>0.51250416113509245</v>
      </c>
      <c r="BS113" s="328" t="str">
        <f t="shared" si="797"/>
        <v/>
      </c>
      <c r="BT113" s="328">
        <f t="shared" ref="BT113:CP113" si="798">IF(MOD(BT5-$H$5,14)=0,BT46, "")</f>
        <v>0.51250416113509245</v>
      </c>
      <c r="BU113" s="328" t="str">
        <f t="shared" si="798"/>
        <v/>
      </c>
      <c r="BV113" s="328">
        <f t="shared" si="798"/>
        <v>0.51250416113509245</v>
      </c>
      <c r="BW113" s="328" t="str">
        <f t="shared" si="798"/>
        <v/>
      </c>
      <c r="BX113" s="328">
        <f t="shared" si="798"/>
        <v>0.51250416113509245</v>
      </c>
      <c r="BY113" s="328" t="str">
        <f t="shared" si="798"/>
        <v/>
      </c>
      <c r="BZ113" s="328">
        <f t="shared" si="798"/>
        <v>0.51250416113509245</v>
      </c>
      <c r="CA113" s="328" t="str">
        <f t="shared" si="798"/>
        <v/>
      </c>
      <c r="CB113" s="328">
        <f t="shared" si="798"/>
        <v>0.51250416113509245</v>
      </c>
      <c r="CC113" s="328" t="str">
        <f t="shared" si="798"/>
        <v/>
      </c>
      <c r="CD113" s="328">
        <f t="shared" si="798"/>
        <v>0.51250416113509245</v>
      </c>
      <c r="CE113" s="328" t="str">
        <f t="shared" si="798"/>
        <v/>
      </c>
      <c r="CF113" s="328">
        <f t="shared" si="798"/>
        <v>0.51250416113509245</v>
      </c>
      <c r="CG113" s="328" t="str">
        <f t="shared" si="798"/>
        <v/>
      </c>
      <c r="CH113" s="328">
        <f t="shared" si="798"/>
        <v>0.51250416113509245</v>
      </c>
      <c r="CI113" s="328" t="str">
        <f t="shared" si="798"/>
        <v/>
      </c>
      <c r="CJ113" s="328">
        <f t="shared" si="798"/>
        <v>0.51250416113509245</v>
      </c>
      <c r="CK113" s="328" t="str">
        <f t="shared" si="798"/>
        <v/>
      </c>
      <c r="CL113" s="328">
        <f t="shared" si="798"/>
        <v>0.51250416113509245</v>
      </c>
      <c r="CM113" s="328" t="str">
        <f t="shared" si="798"/>
        <v/>
      </c>
      <c r="CN113" s="328">
        <f t="shared" si="798"/>
        <v>0.51250416113509245</v>
      </c>
      <c r="CO113" s="328" t="str">
        <f t="shared" si="798"/>
        <v/>
      </c>
      <c r="CP113" s="329">
        <f t="shared" si="798"/>
        <v>0.54559916292991806</v>
      </c>
    </row>
    <row r="114" spans="2:94" outlineLevel="1" x14ac:dyDescent="0.4">
      <c r="B114" s="454" t="s">
        <v>461</v>
      </c>
      <c r="C114" s="455"/>
      <c r="D114" s="455"/>
      <c r="E114" s="455"/>
      <c r="F114" s="234"/>
      <c r="H114" s="321">
        <f t="shared" ref="H114:AM114" si="799">IF(MOD(H5-$H$5,28)=0,H46, "")</f>
        <v>0</v>
      </c>
      <c r="I114" s="321" t="str">
        <f t="shared" si="799"/>
        <v/>
      </c>
      <c r="J114" s="321" t="str">
        <f t="shared" si="799"/>
        <v/>
      </c>
      <c r="K114" s="321" t="str">
        <f t="shared" si="799"/>
        <v/>
      </c>
      <c r="L114" s="321">
        <f t="shared" si="799"/>
        <v>8.6862525881258479E-2</v>
      </c>
      <c r="M114" s="321" t="str">
        <f t="shared" si="799"/>
        <v/>
      </c>
      <c r="N114" s="321" t="str">
        <f t="shared" si="799"/>
        <v/>
      </c>
      <c r="O114" s="321" t="str">
        <f t="shared" si="799"/>
        <v/>
      </c>
      <c r="P114" s="321">
        <f t="shared" si="799"/>
        <v>0.15498248541118015</v>
      </c>
      <c r="Q114" s="321" t="str">
        <f t="shared" si="799"/>
        <v/>
      </c>
      <c r="R114" s="321" t="str">
        <f t="shared" si="799"/>
        <v/>
      </c>
      <c r="S114" s="321" t="str">
        <f t="shared" si="799"/>
        <v/>
      </c>
      <c r="T114" s="321">
        <f t="shared" si="799"/>
        <v>0.18113785470964372</v>
      </c>
      <c r="U114" s="321" t="str">
        <f t="shared" si="799"/>
        <v/>
      </c>
      <c r="V114" s="321" t="str">
        <f t="shared" si="799"/>
        <v/>
      </c>
      <c r="W114" s="321" t="str">
        <f t="shared" si="799"/>
        <v/>
      </c>
      <c r="X114" s="321">
        <f t="shared" si="799"/>
        <v>0.21813134326670858</v>
      </c>
      <c r="Y114" s="321" t="str">
        <f t="shared" si="799"/>
        <v/>
      </c>
      <c r="Z114" s="321" t="str">
        <f t="shared" si="799"/>
        <v/>
      </c>
      <c r="AA114" s="321" t="str">
        <f t="shared" si="799"/>
        <v/>
      </c>
      <c r="AB114" s="321">
        <f t="shared" si="799"/>
        <v>0.30986567317609404</v>
      </c>
      <c r="AC114" s="321" t="str">
        <f t="shared" si="799"/>
        <v/>
      </c>
      <c r="AD114" s="321" t="str">
        <f t="shared" si="799"/>
        <v/>
      </c>
      <c r="AE114" s="321" t="str">
        <f t="shared" si="799"/>
        <v/>
      </c>
      <c r="AF114" s="321">
        <f t="shared" si="799"/>
        <v>0.40794176830129086</v>
      </c>
      <c r="AG114" s="321" t="str">
        <f t="shared" si="799"/>
        <v/>
      </c>
      <c r="AH114" s="321" t="str">
        <f t="shared" si="799"/>
        <v/>
      </c>
      <c r="AI114" s="321" t="str">
        <f t="shared" si="799"/>
        <v/>
      </c>
      <c r="AJ114" s="321">
        <f t="shared" si="799"/>
        <v>0.47645502986170213</v>
      </c>
      <c r="AK114" s="321" t="str">
        <f t="shared" si="799"/>
        <v/>
      </c>
      <c r="AL114" s="321" t="str">
        <f t="shared" si="799"/>
        <v/>
      </c>
      <c r="AM114" s="321" t="str">
        <f t="shared" si="799"/>
        <v/>
      </c>
      <c r="AN114" s="321">
        <f t="shared" ref="AN114:BS114" si="800">IF(MOD(AN5-$H$5,28)=0,AN46, "")</f>
        <v>0.51250416113509245</v>
      </c>
      <c r="AO114" s="321" t="str">
        <f t="shared" si="800"/>
        <v/>
      </c>
      <c r="AP114" s="321" t="str">
        <f t="shared" si="800"/>
        <v/>
      </c>
      <c r="AQ114" s="321" t="str">
        <f t="shared" si="800"/>
        <v/>
      </c>
      <c r="AR114" s="321">
        <f t="shared" si="800"/>
        <v>0.51250416113509245</v>
      </c>
      <c r="AS114" s="321" t="str">
        <f t="shared" si="800"/>
        <v/>
      </c>
      <c r="AT114" s="321" t="str">
        <f t="shared" si="800"/>
        <v/>
      </c>
      <c r="AU114" s="321" t="str">
        <f t="shared" si="800"/>
        <v/>
      </c>
      <c r="AV114" s="321">
        <f t="shared" si="800"/>
        <v>0.51706407933806831</v>
      </c>
      <c r="AW114" s="321" t="str">
        <f t="shared" si="800"/>
        <v/>
      </c>
      <c r="AX114" s="321" t="str">
        <f t="shared" si="800"/>
        <v/>
      </c>
      <c r="AY114" s="321" t="str">
        <f t="shared" si="800"/>
        <v/>
      </c>
      <c r="AZ114" s="321">
        <f t="shared" si="800"/>
        <v>0.53339344067597949</v>
      </c>
      <c r="BA114" s="321" t="str">
        <f t="shared" si="800"/>
        <v/>
      </c>
      <c r="BB114" s="321" t="str">
        <f t="shared" si="800"/>
        <v/>
      </c>
      <c r="BC114" s="321" t="str">
        <f t="shared" si="800"/>
        <v/>
      </c>
      <c r="BD114" s="321">
        <f t="shared" si="800"/>
        <v>0.53660692303094404</v>
      </c>
      <c r="BE114" s="321" t="str">
        <f t="shared" si="800"/>
        <v/>
      </c>
      <c r="BF114" s="321" t="str">
        <f t="shared" si="800"/>
        <v/>
      </c>
      <c r="BG114" s="321" t="str">
        <f t="shared" si="800"/>
        <v/>
      </c>
      <c r="BH114" s="321">
        <f t="shared" si="800"/>
        <v>0.54188061137470744</v>
      </c>
      <c r="BI114" s="321" t="str">
        <f t="shared" si="800"/>
        <v/>
      </c>
      <c r="BJ114" s="321" t="str">
        <f t="shared" si="800"/>
        <v/>
      </c>
      <c r="BK114" s="321" t="str">
        <f t="shared" si="800"/>
        <v/>
      </c>
      <c r="BL114" s="321">
        <f t="shared" si="800"/>
        <v>0.59647311534210745</v>
      </c>
      <c r="BM114" s="359" t="str">
        <f t="shared" si="800"/>
        <v/>
      </c>
      <c r="BN114" s="321" t="str">
        <f t="shared" si="800"/>
        <v/>
      </c>
      <c r="BO114" s="321" t="str">
        <f t="shared" si="800"/>
        <v/>
      </c>
      <c r="BP114" s="321">
        <f t="shared" si="800"/>
        <v>0.60061349807525832</v>
      </c>
      <c r="BQ114" s="321" t="str">
        <f t="shared" si="800"/>
        <v/>
      </c>
      <c r="BR114" s="321" t="str">
        <f t="shared" si="800"/>
        <v/>
      </c>
      <c r="BS114" s="321" t="str">
        <f t="shared" si="800"/>
        <v/>
      </c>
      <c r="BT114" s="321">
        <f t="shared" ref="BT114:CP114" si="801">IF(MOD(BT5-$H$5,28)=0,BT46, "")</f>
        <v>0.51250416113509245</v>
      </c>
      <c r="BU114" s="321" t="str">
        <f t="shared" si="801"/>
        <v/>
      </c>
      <c r="BV114" s="321" t="str">
        <f t="shared" si="801"/>
        <v/>
      </c>
      <c r="BW114" s="321" t="str">
        <f t="shared" si="801"/>
        <v/>
      </c>
      <c r="BX114" s="321">
        <f t="shared" si="801"/>
        <v>0.51250416113509245</v>
      </c>
      <c r="BY114" s="321" t="str">
        <f t="shared" si="801"/>
        <v/>
      </c>
      <c r="BZ114" s="321" t="str">
        <f t="shared" si="801"/>
        <v/>
      </c>
      <c r="CA114" s="321" t="str">
        <f t="shared" si="801"/>
        <v/>
      </c>
      <c r="CB114" s="321">
        <f t="shared" si="801"/>
        <v>0.51250416113509245</v>
      </c>
      <c r="CC114" s="321" t="str">
        <f t="shared" si="801"/>
        <v/>
      </c>
      <c r="CD114" s="321" t="str">
        <f t="shared" si="801"/>
        <v/>
      </c>
      <c r="CE114" s="321" t="str">
        <f t="shared" si="801"/>
        <v/>
      </c>
      <c r="CF114" s="321">
        <f t="shared" si="801"/>
        <v>0.51250416113509245</v>
      </c>
      <c r="CG114" s="321" t="str">
        <f t="shared" si="801"/>
        <v/>
      </c>
      <c r="CH114" s="321" t="str">
        <f t="shared" si="801"/>
        <v/>
      </c>
      <c r="CI114" s="321" t="str">
        <f t="shared" si="801"/>
        <v/>
      </c>
      <c r="CJ114" s="321">
        <f t="shared" si="801"/>
        <v>0.51250416113509245</v>
      </c>
      <c r="CK114" s="321" t="str">
        <f t="shared" si="801"/>
        <v/>
      </c>
      <c r="CL114" s="321" t="str">
        <f t="shared" si="801"/>
        <v/>
      </c>
      <c r="CM114" s="321" t="str">
        <f t="shared" si="801"/>
        <v/>
      </c>
      <c r="CN114" s="321">
        <f t="shared" si="801"/>
        <v>0.51250416113509245</v>
      </c>
      <c r="CO114" s="321" t="str">
        <f t="shared" si="801"/>
        <v/>
      </c>
      <c r="CP114" s="330" t="str">
        <f t="shared" si="801"/>
        <v/>
      </c>
    </row>
    <row r="115" spans="2:94" outlineLevel="1" x14ac:dyDescent="0.4">
      <c r="B115" s="454" t="s">
        <v>464</v>
      </c>
      <c r="C115" s="455"/>
      <c r="D115" s="455"/>
      <c r="E115" s="455"/>
      <c r="F115" s="234"/>
      <c r="H115" s="321">
        <f t="shared" ref="H115:AM115" si="802">IF(MOD(H5-$H$5,14)=0,H98, "")</f>
        <v>0</v>
      </c>
      <c r="I115" s="321" t="str">
        <f t="shared" si="802"/>
        <v/>
      </c>
      <c r="J115" s="321">
        <f t="shared" si="802"/>
        <v>2.1028866397939314E-3</v>
      </c>
      <c r="K115" s="321" t="str">
        <f t="shared" si="802"/>
        <v/>
      </c>
      <c r="L115" s="321">
        <f t="shared" si="802"/>
        <v>3.8434565181115113E-2</v>
      </c>
      <c r="M115" s="321" t="str">
        <f t="shared" si="802"/>
        <v/>
      </c>
      <c r="N115" s="321">
        <f t="shared" si="802"/>
        <v>5.6615095777748925E-2</v>
      </c>
      <c r="O115" s="321" t="str">
        <f t="shared" si="802"/>
        <v/>
      </c>
      <c r="P115" s="321">
        <f t="shared" si="802"/>
        <v>4.3645576582090354E-2</v>
      </c>
      <c r="Q115" s="321" t="str">
        <f t="shared" si="802"/>
        <v/>
      </c>
      <c r="R115" s="321">
        <f t="shared" si="802"/>
        <v>2.281942726620978E-2</v>
      </c>
      <c r="S115" s="321" t="str">
        <f t="shared" si="802"/>
        <v/>
      </c>
      <c r="T115" s="321">
        <f t="shared" si="802"/>
        <v>1.8524389796112595E-2</v>
      </c>
      <c r="U115" s="321" t="str">
        <f t="shared" si="802"/>
        <v/>
      </c>
      <c r="V115" s="321">
        <f t="shared" si="802"/>
        <v>2.984513934453259E-3</v>
      </c>
      <c r="W115" s="321" t="str">
        <f t="shared" si="802"/>
        <v/>
      </c>
      <c r="X115" s="321">
        <f t="shared" si="802"/>
        <v>-1.7278863596933564E-2</v>
      </c>
      <c r="Y115" s="321" t="str">
        <f t="shared" si="802"/>
        <v/>
      </c>
      <c r="Z115" s="321">
        <f t="shared" si="802"/>
        <v>-4.5379315280175914E-2</v>
      </c>
      <c r="AA115" s="321" t="str">
        <f t="shared" si="802"/>
        <v/>
      </c>
      <c r="AB115" s="321">
        <f t="shared" si="802"/>
        <v>-5.1821749469353029E-2</v>
      </c>
      <c r="AC115" s="321" t="str">
        <f t="shared" si="802"/>
        <v/>
      </c>
      <c r="AD115" s="321">
        <f t="shared" si="802"/>
        <v>-4.9512678914668928E-2</v>
      </c>
      <c r="AE115" s="321" t="str">
        <f t="shared" si="802"/>
        <v/>
      </c>
      <c r="AF115" s="321">
        <f t="shared" si="802"/>
        <v>-0.17275928368524113</v>
      </c>
      <c r="AG115" s="321" t="str">
        <f t="shared" si="802"/>
        <v/>
      </c>
      <c r="AH115" s="321">
        <f t="shared" si="802"/>
        <v>-0.31341404050485838</v>
      </c>
      <c r="AI115" s="321" t="str">
        <f t="shared" si="802"/>
        <v/>
      </c>
      <c r="AJ115" s="321">
        <f t="shared" si="802"/>
        <v>-0.3684444636780439</v>
      </c>
      <c r="AK115" s="321" t="str">
        <f t="shared" si="802"/>
        <v/>
      </c>
      <c r="AL115" s="321">
        <f t="shared" si="802"/>
        <v>-0.40824245525801428</v>
      </c>
      <c r="AM115" s="321" t="str">
        <f t="shared" si="802"/>
        <v/>
      </c>
      <c r="AN115" s="321">
        <f t="shared" ref="AN115:BS115" si="803">IF(MOD(AN5-$H$5,14)=0,AN98, "")</f>
        <v>-0.44517323482208626</v>
      </c>
      <c r="AO115" s="321" t="str">
        <f t="shared" si="803"/>
        <v/>
      </c>
      <c r="AP115" s="321">
        <f t="shared" si="803"/>
        <v>-0.48749583886490755</v>
      </c>
      <c r="AQ115" s="321" t="str">
        <f t="shared" si="803"/>
        <v/>
      </c>
      <c r="AR115" s="321">
        <f t="shared" si="803"/>
        <v>-0.48749583886490755</v>
      </c>
      <c r="AS115" s="321" t="str">
        <f t="shared" si="803"/>
        <v/>
      </c>
      <c r="AT115" s="321">
        <f t="shared" si="803"/>
        <v>-0.48456218183861444</v>
      </c>
      <c r="AU115" s="321" t="str">
        <f t="shared" si="803"/>
        <v/>
      </c>
      <c r="AV115" s="321">
        <f t="shared" si="803"/>
        <v>-0.48293592066193169</v>
      </c>
      <c r="AW115" s="321" t="str">
        <f t="shared" si="803"/>
        <v/>
      </c>
      <c r="AX115" s="321">
        <f t="shared" si="803"/>
        <v>-0.48293592066193169</v>
      </c>
      <c r="AY115" s="321" t="str">
        <f t="shared" si="803"/>
        <v/>
      </c>
      <c r="AZ115" s="321">
        <f t="shared" si="803"/>
        <v>-0.46660655932402051</v>
      </c>
      <c r="BA115" s="321" t="str">
        <f t="shared" si="803"/>
        <v/>
      </c>
      <c r="BB115" s="321">
        <f t="shared" si="803"/>
        <v>-0.46357450959438706</v>
      </c>
      <c r="BC115" s="321" t="str">
        <f t="shared" si="803"/>
        <v/>
      </c>
      <c r="BD115" s="321">
        <f t="shared" si="803"/>
        <v>-0.46339307696905596</v>
      </c>
      <c r="BE115" s="321" t="str">
        <f t="shared" si="803"/>
        <v/>
      </c>
      <c r="BF115" s="321">
        <f t="shared" si="803"/>
        <v>-0.46036102723942263</v>
      </c>
      <c r="BG115" s="321" t="str">
        <f t="shared" si="803"/>
        <v/>
      </c>
      <c r="BH115" s="321">
        <f t="shared" si="803"/>
        <v>-0.45811938862529256</v>
      </c>
      <c r="BI115" s="321" t="str">
        <f t="shared" si="803"/>
        <v/>
      </c>
      <c r="BJ115" s="321">
        <f t="shared" si="803"/>
        <v>-0.45440083707008194</v>
      </c>
      <c r="BK115" s="321" t="str">
        <f t="shared" si="803"/>
        <v/>
      </c>
      <c r="BL115" s="321">
        <f t="shared" si="803"/>
        <v>-0.40352688465789255</v>
      </c>
      <c r="BM115" s="359" t="str">
        <f t="shared" si="803"/>
        <v/>
      </c>
      <c r="BN115" s="321">
        <f t="shared" si="803"/>
        <v>-0.40193321970565943</v>
      </c>
      <c r="BO115" s="321" t="str">
        <f t="shared" si="803"/>
        <v/>
      </c>
      <c r="BP115" s="321">
        <f t="shared" si="803"/>
        <v>-0.39938650192474168</v>
      </c>
      <c r="BQ115" s="321" t="str">
        <f t="shared" si="803"/>
        <v/>
      </c>
      <c r="BR115" s="321">
        <f t="shared" si="803"/>
        <v>-0.48749583886490755</v>
      </c>
      <c r="BS115" s="321" t="str">
        <f t="shared" si="803"/>
        <v/>
      </c>
      <c r="BT115" s="321">
        <f t="shared" ref="BT115:CP115" si="804">IF(MOD(BT5-$H$5,14)=0,BT98, "")</f>
        <v>-0.48749583886490755</v>
      </c>
      <c r="BU115" s="321" t="str">
        <f t="shared" si="804"/>
        <v/>
      </c>
      <c r="BV115" s="321">
        <f t="shared" si="804"/>
        <v>-0.48749583886490755</v>
      </c>
      <c r="BW115" s="321" t="str">
        <f t="shared" si="804"/>
        <v/>
      </c>
      <c r="BX115" s="321">
        <f t="shared" si="804"/>
        <v>-0.48749583886490755</v>
      </c>
      <c r="BY115" s="321" t="str">
        <f t="shared" si="804"/>
        <v/>
      </c>
      <c r="BZ115" s="321">
        <f t="shared" si="804"/>
        <v>-0.48749583886490755</v>
      </c>
      <c r="CA115" s="321" t="str">
        <f t="shared" si="804"/>
        <v/>
      </c>
      <c r="CB115" s="321">
        <f t="shared" si="804"/>
        <v>-0.48749583886490755</v>
      </c>
      <c r="CC115" s="321" t="str">
        <f t="shared" si="804"/>
        <v/>
      </c>
      <c r="CD115" s="321">
        <f t="shared" si="804"/>
        <v>-0.48749583886490755</v>
      </c>
      <c r="CE115" s="321" t="str">
        <f t="shared" si="804"/>
        <v/>
      </c>
      <c r="CF115" s="321">
        <f t="shared" si="804"/>
        <v>-0.48749583886490755</v>
      </c>
      <c r="CG115" s="321" t="str">
        <f t="shared" si="804"/>
        <v/>
      </c>
      <c r="CH115" s="321">
        <f t="shared" si="804"/>
        <v>-0.48749583886490755</v>
      </c>
      <c r="CI115" s="321" t="str">
        <f t="shared" si="804"/>
        <v/>
      </c>
      <c r="CJ115" s="321">
        <f t="shared" si="804"/>
        <v>-0.48749583886490755</v>
      </c>
      <c r="CK115" s="321" t="str">
        <f t="shared" si="804"/>
        <v/>
      </c>
      <c r="CL115" s="321">
        <f t="shared" si="804"/>
        <v>-0.48749583886490755</v>
      </c>
      <c r="CM115" s="321" t="str">
        <f t="shared" si="804"/>
        <v/>
      </c>
      <c r="CN115" s="321">
        <f t="shared" si="804"/>
        <v>-0.48749583886490755</v>
      </c>
      <c r="CO115" s="321" t="str">
        <f t="shared" si="804"/>
        <v/>
      </c>
      <c r="CP115" s="330">
        <f t="shared" si="804"/>
        <v>-0.45440083707008194</v>
      </c>
    </row>
    <row r="116" spans="2:94" outlineLevel="1" x14ac:dyDescent="0.4">
      <c r="B116" s="454" t="s">
        <v>465</v>
      </c>
      <c r="C116" s="455"/>
      <c r="D116" s="455"/>
      <c r="E116" s="455"/>
      <c r="F116" s="234"/>
      <c r="H116" s="321">
        <f t="shared" ref="H116:AM116" si="805">IF(MOD(H5-$H$5,28)=0,H98, "")</f>
        <v>0</v>
      </c>
      <c r="I116" s="321" t="str">
        <f t="shared" si="805"/>
        <v/>
      </c>
      <c r="J116" s="321" t="str">
        <f t="shared" si="805"/>
        <v/>
      </c>
      <c r="K116" s="321" t="str">
        <f t="shared" si="805"/>
        <v/>
      </c>
      <c r="L116" s="321">
        <f t="shared" si="805"/>
        <v>3.8434565181115113E-2</v>
      </c>
      <c r="M116" s="321" t="str">
        <f t="shared" si="805"/>
        <v/>
      </c>
      <c r="N116" s="321" t="str">
        <f t="shared" si="805"/>
        <v/>
      </c>
      <c r="O116" s="321" t="str">
        <f t="shared" si="805"/>
        <v/>
      </c>
      <c r="P116" s="321">
        <f t="shared" si="805"/>
        <v>4.3645576582090354E-2</v>
      </c>
      <c r="Q116" s="321" t="str">
        <f t="shared" si="805"/>
        <v/>
      </c>
      <c r="R116" s="321" t="str">
        <f t="shared" si="805"/>
        <v/>
      </c>
      <c r="S116" s="321" t="str">
        <f t="shared" si="805"/>
        <v/>
      </c>
      <c r="T116" s="321">
        <f t="shared" si="805"/>
        <v>1.8524389796112595E-2</v>
      </c>
      <c r="U116" s="321" t="str">
        <f t="shared" si="805"/>
        <v/>
      </c>
      <c r="V116" s="321" t="str">
        <f t="shared" si="805"/>
        <v/>
      </c>
      <c r="W116" s="321" t="str">
        <f t="shared" si="805"/>
        <v/>
      </c>
      <c r="X116" s="321">
        <f t="shared" si="805"/>
        <v>-1.7278863596933564E-2</v>
      </c>
      <c r="Y116" s="321" t="str">
        <f t="shared" si="805"/>
        <v/>
      </c>
      <c r="Z116" s="321" t="str">
        <f t="shared" si="805"/>
        <v/>
      </c>
      <c r="AA116" s="321" t="str">
        <f t="shared" si="805"/>
        <v/>
      </c>
      <c r="AB116" s="321">
        <f t="shared" si="805"/>
        <v>-5.1821749469353029E-2</v>
      </c>
      <c r="AC116" s="321" t="str">
        <f t="shared" si="805"/>
        <v/>
      </c>
      <c r="AD116" s="321" t="str">
        <f t="shared" si="805"/>
        <v/>
      </c>
      <c r="AE116" s="321" t="str">
        <f t="shared" si="805"/>
        <v/>
      </c>
      <c r="AF116" s="321">
        <f t="shared" si="805"/>
        <v>-0.17275928368524113</v>
      </c>
      <c r="AG116" s="321" t="str">
        <f t="shared" si="805"/>
        <v/>
      </c>
      <c r="AH116" s="321" t="str">
        <f t="shared" si="805"/>
        <v/>
      </c>
      <c r="AI116" s="321" t="str">
        <f t="shared" si="805"/>
        <v/>
      </c>
      <c r="AJ116" s="321">
        <f t="shared" si="805"/>
        <v>-0.3684444636780439</v>
      </c>
      <c r="AK116" s="321" t="str">
        <f t="shared" si="805"/>
        <v/>
      </c>
      <c r="AL116" s="321" t="str">
        <f t="shared" si="805"/>
        <v/>
      </c>
      <c r="AM116" s="321" t="str">
        <f t="shared" si="805"/>
        <v/>
      </c>
      <c r="AN116" s="321">
        <f t="shared" ref="AN116:BS116" si="806">IF(MOD(AN5-$H$5,28)=0,AN98, "")</f>
        <v>-0.44517323482208626</v>
      </c>
      <c r="AO116" s="321" t="str">
        <f t="shared" si="806"/>
        <v/>
      </c>
      <c r="AP116" s="321" t="str">
        <f t="shared" si="806"/>
        <v/>
      </c>
      <c r="AQ116" s="321" t="str">
        <f t="shared" si="806"/>
        <v/>
      </c>
      <c r="AR116" s="321">
        <f t="shared" si="806"/>
        <v>-0.48749583886490755</v>
      </c>
      <c r="AS116" s="321" t="str">
        <f t="shared" si="806"/>
        <v/>
      </c>
      <c r="AT116" s="321" t="str">
        <f t="shared" si="806"/>
        <v/>
      </c>
      <c r="AU116" s="321" t="str">
        <f t="shared" si="806"/>
        <v/>
      </c>
      <c r="AV116" s="321">
        <f t="shared" si="806"/>
        <v>-0.48293592066193169</v>
      </c>
      <c r="AW116" s="321" t="str">
        <f t="shared" si="806"/>
        <v/>
      </c>
      <c r="AX116" s="321" t="str">
        <f t="shared" si="806"/>
        <v/>
      </c>
      <c r="AY116" s="321" t="str">
        <f t="shared" si="806"/>
        <v/>
      </c>
      <c r="AZ116" s="321">
        <f t="shared" si="806"/>
        <v>-0.46660655932402051</v>
      </c>
      <c r="BA116" s="321" t="str">
        <f t="shared" si="806"/>
        <v/>
      </c>
      <c r="BB116" s="321" t="str">
        <f t="shared" si="806"/>
        <v/>
      </c>
      <c r="BC116" s="321" t="str">
        <f t="shared" si="806"/>
        <v/>
      </c>
      <c r="BD116" s="321">
        <f t="shared" si="806"/>
        <v>-0.46339307696905596</v>
      </c>
      <c r="BE116" s="321" t="str">
        <f t="shared" si="806"/>
        <v/>
      </c>
      <c r="BF116" s="321" t="str">
        <f t="shared" si="806"/>
        <v/>
      </c>
      <c r="BG116" s="321" t="str">
        <f t="shared" si="806"/>
        <v/>
      </c>
      <c r="BH116" s="321">
        <f t="shared" si="806"/>
        <v>-0.45811938862529256</v>
      </c>
      <c r="BI116" s="321" t="str">
        <f t="shared" si="806"/>
        <v/>
      </c>
      <c r="BJ116" s="321" t="str">
        <f t="shared" si="806"/>
        <v/>
      </c>
      <c r="BK116" s="321" t="str">
        <f t="shared" si="806"/>
        <v/>
      </c>
      <c r="BL116" s="321">
        <f t="shared" si="806"/>
        <v>-0.40352688465789255</v>
      </c>
      <c r="BM116" s="359" t="str">
        <f t="shared" si="806"/>
        <v/>
      </c>
      <c r="BN116" s="321" t="str">
        <f t="shared" si="806"/>
        <v/>
      </c>
      <c r="BO116" s="321" t="str">
        <f t="shared" si="806"/>
        <v/>
      </c>
      <c r="BP116" s="321">
        <f t="shared" si="806"/>
        <v>-0.39938650192474168</v>
      </c>
      <c r="BQ116" s="321" t="str">
        <f t="shared" si="806"/>
        <v/>
      </c>
      <c r="BR116" s="321" t="str">
        <f t="shared" si="806"/>
        <v/>
      </c>
      <c r="BS116" s="321" t="str">
        <f t="shared" si="806"/>
        <v/>
      </c>
      <c r="BT116" s="321">
        <f t="shared" ref="BT116:CP116" si="807">IF(MOD(BT5-$H$5,28)=0,BT98, "")</f>
        <v>-0.48749583886490755</v>
      </c>
      <c r="BU116" s="321" t="str">
        <f t="shared" si="807"/>
        <v/>
      </c>
      <c r="BV116" s="321" t="str">
        <f t="shared" si="807"/>
        <v/>
      </c>
      <c r="BW116" s="321" t="str">
        <f t="shared" si="807"/>
        <v/>
      </c>
      <c r="BX116" s="321">
        <f t="shared" si="807"/>
        <v>-0.48749583886490755</v>
      </c>
      <c r="BY116" s="321" t="str">
        <f t="shared" si="807"/>
        <v/>
      </c>
      <c r="BZ116" s="321" t="str">
        <f t="shared" si="807"/>
        <v/>
      </c>
      <c r="CA116" s="321" t="str">
        <f t="shared" si="807"/>
        <v/>
      </c>
      <c r="CB116" s="321">
        <f t="shared" si="807"/>
        <v>-0.48749583886490755</v>
      </c>
      <c r="CC116" s="321" t="str">
        <f t="shared" si="807"/>
        <v/>
      </c>
      <c r="CD116" s="321" t="str">
        <f t="shared" si="807"/>
        <v/>
      </c>
      <c r="CE116" s="321" t="str">
        <f t="shared" si="807"/>
        <v/>
      </c>
      <c r="CF116" s="321">
        <f t="shared" si="807"/>
        <v>-0.48749583886490755</v>
      </c>
      <c r="CG116" s="321" t="str">
        <f t="shared" si="807"/>
        <v/>
      </c>
      <c r="CH116" s="321" t="str">
        <f t="shared" si="807"/>
        <v/>
      </c>
      <c r="CI116" s="321" t="str">
        <f t="shared" si="807"/>
        <v/>
      </c>
      <c r="CJ116" s="321">
        <f t="shared" si="807"/>
        <v>-0.48749583886490755</v>
      </c>
      <c r="CK116" s="321" t="str">
        <f t="shared" si="807"/>
        <v/>
      </c>
      <c r="CL116" s="321" t="str">
        <f t="shared" si="807"/>
        <v/>
      </c>
      <c r="CM116" s="321" t="str">
        <f t="shared" si="807"/>
        <v/>
      </c>
      <c r="CN116" s="321">
        <f t="shared" si="807"/>
        <v>-0.48749583886490755</v>
      </c>
      <c r="CO116" s="321" t="str">
        <f t="shared" si="807"/>
        <v/>
      </c>
      <c r="CP116" s="330" t="str">
        <f t="shared" si="807"/>
        <v/>
      </c>
    </row>
    <row r="117" spans="2:94" outlineLevel="1" x14ac:dyDescent="0.4">
      <c r="B117" s="454" t="s">
        <v>462</v>
      </c>
      <c r="C117" s="455"/>
      <c r="D117" s="455"/>
      <c r="E117" s="455"/>
      <c r="F117" s="234"/>
      <c r="H117" s="321">
        <f t="shared" ref="H117:AM117" si="808">IF(MOD(H5-$H$5,14)=0,H46, NA())</f>
        <v>0</v>
      </c>
      <c r="I117" s="321" t="e">
        <f t="shared" si="808"/>
        <v>#N/A</v>
      </c>
      <c r="J117" s="321">
        <f t="shared" si="808"/>
        <v>2.2551458693733265E-2</v>
      </c>
      <c r="K117" s="321" t="e">
        <f t="shared" si="808"/>
        <v>#N/A</v>
      </c>
      <c r="L117" s="321">
        <f t="shared" si="808"/>
        <v>8.6862525881258479E-2</v>
      </c>
      <c r="M117" s="321" t="e">
        <f t="shared" si="808"/>
        <v>#N/A</v>
      </c>
      <c r="N117" s="321">
        <f t="shared" si="808"/>
        <v>0.13649753054236549</v>
      </c>
      <c r="O117" s="321" t="e">
        <f t="shared" si="808"/>
        <v>#N/A</v>
      </c>
      <c r="P117" s="321">
        <f t="shared" si="808"/>
        <v>0.15498248541118015</v>
      </c>
      <c r="Q117" s="321" t="e">
        <f t="shared" si="808"/>
        <v>#N/A</v>
      </c>
      <c r="R117" s="321">
        <f t="shared" si="808"/>
        <v>0.16175410205803156</v>
      </c>
      <c r="S117" s="321" t="e">
        <f t="shared" si="808"/>
        <v>#N/A</v>
      </c>
      <c r="T117" s="321">
        <f t="shared" si="808"/>
        <v>0.18113785470964372</v>
      </c>
      <c r="U117" s="321" t="e">
        <f t="shared" si="808"/>
        <v>#N/A</v>
      </c>
      <c r="V117" s="321">
        <f t="shared" si="808"/>
        <v>0.19073616910910138</v>
      </c>
      <c r="W117" s="321" t="e">
        <f t="shared" si="808"/>
        <v>#N/A</v>
      </c>
      <c r="X117" s="321">
        <f t="shared" si="808"/>
        <v>0.21813134326670858</v>
      </c>
      <c r="Y117" s="321" t="e">
        <f t="shared" si="808"/>
        <v>#N/A</v>
      </c>
      <c r="Z117" s="321">
        <f t="shared" si="808"/>
        <v>0.23909380815265552</v>
      </c>
      <c r="AA117" s="321" t="e">
        <f t="shared" si="808"/>
        <v>#N/A</v>
      </c>
      <c r="AB117" s="321">
        <f t="shared" si="808"/>
        <v>0.30986567317609404</v>
      </c>
      <c r="AC117" s="321" t="e">
        <f t="shared" si="808"/>
        <v>#N/A</v>
      </c>
      <c r="AD117" s="321">
        <f t="shared" si="808"/>
        <v>0.39776722768788086</v>
      </c>
      <c r="AE117" s="321" t="e">
        <f t="shared" si="808"/>
        <v>#N/A</v>
      </c>
      <c r="AF117" s="321">
        <f t="shared" si="808"/>
        <v>0.40794176830129086</v>
      </c>
      <c r="AG117" s="321" t="e">
        <f t="shared" si="808"/>
        <v>#N/A</v>
      </c>
      <c r="AH117" s="321">
        <f t="shared" si="808"/>
        <v>0.42228062006906192</v>
      </c>
      <c r="AI117" s="321" t="e">
        <f t="shared" si="808"/>
        <v>#N/A</v>
      </c>
      <c r="AJ117" s="321">
        <f t="shared" si="808"/>
        <v>0.47645502986170213</v>
      </c>
      <c r="AK117" s="321" t="e">
        <f t="shared" si="808"/>
        <v>#N/A</v>
      </c>
      <c r="AL117" s="321">
        <f t="shared" si="808"/>
        <v>0.50383160514295466</v>
      </c>
      <c r="AM117" s="321" t="e">
        <f t="shared" si="808"/>
        <v>#N/A</v>
      </c>
      <c r="AN117" s="321">
        <f t="shared" ref="AN117:BS117" si="809">IF(MOD(AN5-$H$5,14)=0,AN46, NA())</f>
        <v>0.51250416113509245</v>
      </c>
      <c r="AO117" s="321" t="e">
        <f t="shared" si="809"/>
        <v>#N/A</v>
      </c>
      <c r="AP117" s="321">
        <f t="shared" si="809"/>
        <v>0.51250416113509245</v>
      </c>
      <c r="AQ117" s="321" t="e">
        <f t="shared" si="809"/>
        <v>#N/A</v>
      </c>
      <c r="AR117" s="321">
        <f t="shared" si="809"/>
        <v>0.51250416113509245</v>
      </c>
      <c r="AS117" s="321" t="e">
        <f t="shared" si="809"/>
        <v>#N/A</v>
      </c>
      <c r="AT117" s="321">
        <f t="shared" si="809"/>
        <v>0.51543781816138556</v>
      </c>
      <c r="AU117" s="321" t="e">
        <f t="shared" si="809"/>
        <v>#N/A</v>
      </c>
      <c r="AV117" s="321">
        <f t="shared" si="809"/>
        <v>0.51706407933806831</v>
      </c>
      <c r="AW117" s="321" t="e">
        <f t="shared" si="809"/>
        <v>#N/A</v>
      </c>
      <c r="AX117" s="321">
        <f t="shared" si="809"/>
        <v>0.51706407933806831</v>
      </c>
      <c r="AY117" s="321" t="e">
        <f t="shared" si="809"/>
        <v>#N/A</v>
      </c>
      <c r="AZ117" s="321">
        <f t="shared" si="809"/>
        <v>0.53339344067597949</v>
      </c>
      <c r="BA117" s="321" t="e">
        <f t="shared" si="809"/>
        <v>#N/A</v>
      </c>
      <c r="BB117" s="321">
        <f t="shared" si="809"/>
        <v>0.53642549040561294</v>
      </c>
      <c r="BC117" s="321" t="e">
        <f t="shared" si="809"/>
        <v>#N/A</v>
      </c>
      <c r="BD117" s="321">
        <f t="shared" si="809"/>
        <v>0.53660692303094404</v>
      </c>
      <c r="BE117" s="321" t="e">
        <f t="shared" si="809"/>
        <v>#N/A</v>
      </c>
      <c r="BF117" s="321">
        <f t="shared" si="809"/>
        <v>0.53963897276057737</v>
      </c>
      <c r="BG117" s="321" t="e">
        <f t="shared" si="809"/>
        <v>#N/A</v>
      </c>
      <c r="BH117" s="321">
        <f t="shared" si="809"/>
        <v>0.54188061137470744</v>
      </c>
      <c r="BI117" s="321" t="e">
        <f t="shared" si="809"/>
        <v>#N/A</v>
      </c>
      <c r="BJ117" s="321">
        <f t="shared" si="809"/>
        <v>0.54559916292991806</v>
      </c>
      <c r="BK117" s="321" t="e">
        <f t="shared" si="809"/>
        <v>#N/A</v>
      </c>
      <c r="BL117" s="321">
        <f t="shared" si="809"/>
        <v>0.59647311534210745</v>
      </c>
      <c r="BM117" s="359" t="e">
        <f t="shared" si="809"/>
        <v>#N/A</v>
      </c>
      <c r="BN117" s="321">
        <f t="shared" si="809"/>
        <v>0.59806678029434057</v>
      </c>
      <c r="BO117" s="321" t="e">
        <f t="shared" si="809"/>
        <v>#N/A</v>
      </c>
      <c r="BP117" s="321">
        <f t="shared" si="809"/>
        <v>0.60061349807525832</v>
      </c>
      <c r="BQ117" s="321" t="e">
        <f t="shared" si="809"/>
        <v>#N/A</v>
      </c>
      <c r="BR117" s="321">
        <f t="shared" si="809"/>
        <v>0.51250416113509245</v>
      </c>
      <c r="BS117" s="321" t="e">
        <f t="shared" si="809"/>
        <v>#N/A</v>
      </c>
      <c r="BT117" s="321">
        <f t="shared" ref="BT117:CP117" si="810">IF(MOD(BT5-$H$5,14)=0,BT46, NA())</f>
        <v>0.51250416113509245</v>
      </c>
      <c r="BU117" s="321" t="e">
        <f t="shared" si="810"/>
        <v>#N/A</v>
      </c>
      <c r="BV117" s="321">
        <f t="shared" si="810"/>
        <v>0.51250416113509245</v>
      </c>
      <c r="BW117" s="321" t="e">
        <f t="shared" si="810"/>
        <v>#N/A</v>
      </c>
      <c r="BX117" s="321">
        <f t="shared" si="810"/>
        <v>0.51250416113509245</v>
      </c>
      <c r="BY117" s="321" t="e">
        <f t="shared" si="810"/>
        <v>#N/A</v>
      </c>
      <c r="BZ117" s="321">
        <f t="shared" si="810"/>
        <v>0.51250416113509245</v>
      </c>
      <c r="CA117" s="321" t="e">
        <f t="shared" si="810"/>
        <v>#N/A</v>
      </c>
      <c r="CB117" s="321">
        <f t="shared" si="810"/>
        <v>0.51250416113509245</v>
      </c>
      <c r="CC117" s="321" t="e">
        <f t="shared" si="810"/>
        <v>#N/A</v>
      </c>
      <c r="CD117" s="321">
        <f t="shared" si="810"/>
        <v>0.51250416113509245</v>
      </c>
      <c r="CE117" s="321" t="e">
        <f t="shared" si="810"/>
        <v>#N/A</v>
      </c>
      <c r="CF117" s="321">
        <f t="shared" si="810"/>
        <v>0.51250416113509245</v>
      </c>
      <c r="CG117" s="321" t="e">
        <f t="shared" si="810"/>
        <v>#N/A</v>
      </c>
      <c r="CH117" s="321">
        <f t="shared" si="810"/>
        <v>0.51250416113509245</v>
      </c>
      <c r="CI117" s="321" t="e">
        <f t="shared" si="810"/>
        <v>#N/A</v>
      </c>
      <c r="CJ117" s="321">
        <f t="shared" si="810"/>
        <v>0.51250416113509245</v>
      </c>
      <c r="CK117" s="321" t="e">
        <f t="shared" si="810"/>
        <v>#N/A</v>
      </c>
      <c r="CL117" s="321">
        <f t="shared" si="810"/>
        <v>0.51250416113509245</v>
      </c>
      <c r="CM117" s="321" t="e">
        <f t="shared" si="810"/>
        <v>#N/A</v>
      </c>
      <c r="CN117" s="321">
        <f t="shared" si="810"/>
        <v>0.51250416113509245</v>
      </c>
      <c r="CO117" s="321" t="e">
        <f t="shared" si="810"/>
        <v>#N/A</v>
      </c>
      <c r="CP117" s="330">
        <f t="shared" si="810"/>
        <v>0.54559916292991806</v>
      </c>
    </row>
    <row r="118" spans="2:94" outlineLevel="1" x14ac:dyDescent="0.4">
      <c r="B118" s="456" t="s">
        <v>463</v>
      </c>
      <c r="C118" s="457"/>
      <c r="D118" s="457"/>
      <c r="E118" s="457"/>
      <c r="F118" s="234"/>
      <c r="H118" s="321">
        <f>IF(MOD(H5-$H$5,28)=0,H46, NA())</f>
        <v>0</v>
      </c>
      <c r="I118" s="321" t="e">
        <f t="shared" ref="I118:BT118" si="811">IF(MOD(I5-$H$5,28)=0,I46, NA())</f>
        <v>#N/A</v>
      </c>
      <c r="J118" s="321" t="e">
        <f t="shared" si="811"/>
        <v>#N/A</v>
      </c>
      <c r="K118" s="321" t="e">
        <f t="shared" si="811"/>
        <v>#N/A</v>
      </c>
      <c r="L118" s="321">
        <f t="shared" si="811"/>
        <v>8.6862525881258479E-2</v>
      </c>
      <c r="M118" s="321" t="e">
        <f t="shared" si="811"/>
        <v>#N/A</v>
      </c>
      <c r="N118" s="321" t="e">
        <f t="shared" si="811"/>
        <v>#N/A</v>
      </c>
      <c r="O118" s="321" t="e">
        <f t="shared" si="811"/>
        <v>#N/A</v>
      </c>
      <c r="P118" s="321">
        <f t="shared" si="811"/>
        <v>0.15498248541118015</v>
      </c>
      <c r="Q118" s="321" t="e">
        <f t="shared" si="811"/>
        <v>#N/A</v>
      </c>
      <c r="R118" s="321" t="e">
        <f t="shared" si="811"/>
        <v>#N/A</v>
      </c>
      <c r="S118" s="321" t="e">
        <f t="shared" si="811"/>
        <v>#N/A</v>
      </c>
      <c r="T118" s="321">
        <f t="shared" si="811"/>
        <v>0.18113785470964372</v>
      </c>
      <c r="U118" s="321" t="e">
        <f t="shared" si="811"/>
        <v>#N/A</v>
      </c>
      <c r="V118" s="321" t="e">
        <f t="shared" si="811"/>
        <v>#N/A</v>
      </c>
      <c r="W118" s="321" t="e">
        <f t="shared" si="811"/>
        <v>#N/A</v>
      </c>
      <c r="X118" s="321">
        <f t="shared" si="811"/>
        <v>0.21813134326670858</v>
      </c>
      <c r="Y118" s="321" t="e">
        <f t="shared" si="811"/>
        <v>#N/A</v>
      </c>
      <c r="Z118" s="321" t="e">
        <f t="shared" si="811"/>
        <v>#N/A</v>
      </c>
      <c r="AA118" s="321" t="e">
        <f t="shared" si="811"/>
        <v>#N/A</v>
      </c>
      <c r="AB118" s="321">
        <f t="shared" si="811"/>
        <v>0.30986567317609404</v>
      </c>
      <c r="AC118" s="321" t="e">
        <f t="shared" si="811"/>
        <v>#N/A</v>
      </c>
      <c r="AD118" s="321" t="e">
        <f t="shared" si="811"/>
        <v>#N/A</v>
      </c>
      <c r="AE118" s="321" t="e">
        <f t="shared" si="811"/>
        <v>#N/A</v>
      </c>
      <c r="AF118" s="321">
        <f t="shared" si="811"/>
        <v>0.40794176830129086</v>
      </c>
      <c r="AG118" s="321" t="e">
        <f t="shared" si="811"/>
        <v>#N/A</v>
      </c>
      <c r="AH118" s="321" t="e">
        <f t="shared" si="811"/>
        <v>#N/A</v>
      </c>
      <c r="AI118" s="321" t="e">
        <f t="shared" si="811"/>
        <v>#N/A</v>
      </c>
      <c r="AJ118" s="321">
        <f t="shared" si="811"/>
        <v>0.47645502986170213</v>
      </c>
      <c r="AK118" s="321" t="e">
        <f t="shared" si="811"/>
        <v>#N/A</v>
      </c>
      <c r="AL118" s="321" t="e">
        <f t="shared" si="811"/>
        <v>#N/A</v>
      </c>
      <c r="AM118" s="321" t="e">
        <f t="shared" si="811"/>
        <v>#N/A</v>
      </c>
      <c r="AN118" s="321">
        <f t="shared" si="811"/>
        <v>0.51250416113509245</v>
      </c>
      <c r="AO118" s="321" t="e">
        <f t="shared" si="811"/>
        <v>#N/A</v>
      </c>
      <c r="AP118" s="321" t="e">
        <f t="shared" si="811"/>
        <v>#N/A</v>
      </c>
      <c r="AQ118" s="321" t="e">
        <f t="shared" si="811"/>
        <v>#N/A</v>
      </c>
      <c r="AR118" s="321">
        <f t="shared" si="811"/>
        <v>0.51250416113509245</v>
      </c>
      <c r="AS118" s="321" t="e">
        <f t="shared" si="811"/>
        <v>#N/A</v>
      </c>
      <c r="AT118" s="321" t="e">
        <f t="shared" si="811"/>
        <v>#N/A</v>
      </c>
      <c r="AU118" s="321" t="e">
        <f t="shared" si="811"/>
        <v>#N/A</v>
      </c>
      <c r="AV118" s="321">
        <f t="shared" si="811"/>
        <v>0.51706407933806831</v>
      </c>
      <c r="AW118" s="321" t="e">
        <f t="shared" si="811"/>
        <v>#N/A</v>
      </c>
      <c r="AX118" s="321" t="e">
        <f t="shared" si="811"/>
        <v>#N/A</v>
      </c>
      <c r="AY118" s="321" t="e">
        <f t="shared" si="811"/>
        <v>#N/A</v>
      </c>
      <c r="AZ118" s="321">
        <f t="shared" si="811"/>
        <v>0.53339344067597949</v>
      </c>
      <c r="BA118" s="321" t="e">
        <f t="shared" si="811"/>
        <v>#N/A</v>
      </c>
      <c r="BB118" s="321" t="e">
        <f t="shared" si="811"/>
        <v>#N/A</v>
      </c>
      <c r="BC118" s="321" t="e">
        <f t="shared" si="811"/>
        <v>#N/A</v>
      </c>
      <c r="BD118" s="321">
        <f t="shared" si="811"/>
        <v>0.53660692303094404</v>
      </c>
      <c r="BE118" s="321" t="e">
        <f t="shared" si="811"/>
        <v>#N/A</v>
      </c>
      <c r="BF118" s="321" t="e">
        <f t="shared" si="811"/>
        <v>#N/A</v>
      </c>
      <c r="BG118" s="321" t="e">
        <f t="shared" si="811"/>
        <v>#N/A</v>
      </c>
      <c r="BH118" s="321">
        <f t="shared" si="811"/>
        <v>0.54188061137470744</v>
      </c>
      <c r="BI118" s="321" t="e">
        <f t="shared" si="811"/>
        <v>#N/A</v>
      </c>
      <c r="BJ118" s="321" t="e">
        <f t="shared" si="811"/>
        <v>#N/A</v>
      </c>
      <c r="BK118" s="321" t="e">
        <f t="shared" si="811"/>
        <v>#N/A</v>
      </c>
      <c r="BL118" s="321">
        <f t="shared" si="811"/>
        <v>0.59647311534210745</v>
      </c>
      <c r="BM118" s="321" t="e">
        <f t="shared" si="811"/>
        <v>#N/A</v>
      </c>
      <c r="BN118" s="321" t="e">
        <f t="shared" si="811"/>
        <v>#N/A</v>
      </c>
      <c r="BO118" s="321" t="e">
        <f t="shared" si="811"/>
        <v>#N/A</v>
      </c>
      <c r="BP118" s="321">
        <f t="shared" si="811"/>
        <v>0.60061349807525832</v>
      </c>
      <c r="BQ118" s="321" t="e">
        <f t="shared" si="811"/>
        <v>#N/A</v>
      </c>
      <c r="BR118" s="321" t="e">
        <f t="shared" si="811"/>
        <v>#N/A</v>
      </c>
      <c r="BS118" s="321" t="e">
        <f t="shared" si="811"/>
        <v>#N/A</v>
      </c>
      <c r="BT118" s="321">
        <f t="shared" si="811"/>
        <v>0.51250416113509245</v>
      </c>
      <c r="BU118" s="321" t="e">
        <f t="shared" ref="BU118:CP118" si="812">IF(MOD(BU5-$H$5,28)=0,BU46, NA())</f>
        <v>#N/A</v>
      </c>
      <c r="BV118" s="321" t="e">
        <f t="shared" si="812"/>
        <v>#N/A</v>
      </c>
      <c r="BW118" s="321" t="e">
        <f t="shared" si="812"/>
        <v>#N/A</v>
      </c>
      <c r="BX118" s="321">
        <f t="shared" si="812"/>
        <v>0.51250416113509245</v>
      </c>
      <c r="BY118" s="321" t="e">
        <f t="shared" si="812"/>
        <v>#N/A</v>
      </c>
      <c r="BZ118" s="321" t="e">
        <f t="shared" si="812"/>
        <v>#N/A</v>
      </c>
      <c r="CA118" s="321" t="e">
        <f t="shared" si="812"/>
        <v>#N/A</v>
      </c>
      <c r="CB118" s="321">
        <f t="shared" si="812"/>
        <v>0.51250416113509245</v>
      </c>
      <c r="CC118" s="321" t="e">
        <f t="shared" si="812"/>
        <v>#N/A</v>
      </c>
      <c r="CD118" s="321" t="e">
        <f t="shared" si="812"/>
        <v>#N/A</v>
      </c>
      <c r="CE118" s="321" t="e">
        <f t="shared" si="812"/>
        <v>#N/A</v>
      </c>
      <c r="CF118" s="321">
        <f t="shared" si="812"/>
        <v>0.51250416113509245</v>
      </c>
      <c r="CG118" s="321" t="e">
        <f t="shared" si="812"/>
        <v>#N/A</v>
      </c>
      <c r="CH118" s="321" t="e">
        <f t="shared" si="812"/>
        <v>#N/A</v>
      </c>
      <c r="CI118" s="321" t="e">
        <f t="shared" si="812"/>
        <v>#N/A</v>
      </c>
      <c r="CJ118" s="321">
        <f t="shared" si="812"/>
        <v>0.51250416113509245</v>
      </c>
      <c r="CK118" s="321" t="e">
        <f t="shared" si="812"/>
        <v>#N/A</v>
      </c>
      <c r="CL118" s="321" t="e">
        <f t="shared" si="812"/>
        <v>#N/A</v>
      </c>
      <c r="CM118" s="321" t="e">
        <f t="shared" si="812"/>
        <v>#N/A</v>
      </c>
      <c r="CN118" s="321">
        <f t="shared" si="812"/>
        <v>0.51250416113509245</v>
      </c>
      <c r="CO118" s="321" t="e">
        <f t="shared" si="812"/>
        <v>#N/A</v>
      </c>
      <c r="CP118" s="321" t="e">
        <f t="shared" si="812"/>
        <v>#N/A</v>
      </c>
    </row>
  </sheetData>
  <mergeCells count="21">
    <mergeCell ref="B118:E118"/>
    <mergeCell ref="B113:E113"/>
    <mergeCell ref="B114:E114"/>
    <mergeCell ref="B115:E115"/>
    <mergeCell ref="B116:E116"/>
    <mergeCell ref="B117:E117"/>
    <mergeCell ref="B109:E109"/>
    <mergeCell ref="B110:E110"/>
    <mergeCell ref="B111:E111"/>
    <mergeCell ref="B112:E112"/>
    <mergeCell ref="B101:E101"/>
    <mergeCell ref="B102:E102"/>
    <mergeCell ref="B103:E103"/>
    <mergeCell ref="B104:E104"/>
    <mergeCell ref="B105:E105"/>
    <mergeCell ref="B106:E106"/>
    <mergeCell ref="B96:F96"/>
    <mergeCell ref="B97:F97"/>
    <mergeCell ref="B98:F98"/>
    <mergeCell ref="B107:E107"/>
    <mergeCell ref="B108:E108"/>
  </mergeCells>
  <phoneticPr fontId="19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34AE-95FE-4A16-9CBF-6F5FC2B7C5C8}">
  <sheetPr>
    <tabColor theme="7" tint="0.79998168889431442"/>
    <outlinePr summaryBelow="0"/>
  </sheetPr>
  <dimension ref="B2:CZ100"/>
  <sheetViews>
    <sheetView showGridLines="0" zoomScale="80" zoomScaleNormal="80" workbookViewId="0">
      <pane xSplit="154" topLeftCell="EY1" activePane="topRight" state="frozen"/>
      <selection pane="topRight" activeCell="H45" sqref="H45:CP45"/>
    </sheetView>
  </sheetViews>
  <sheetFormatPr baseColWidth="10" defaultColWidth="11.5546875" defaultRowHeight="16.8" outlineLevelRow="2" x14ac:dyDescent="0.4"/>
  <cols>
    <col min="1" max="4" width="2.6640625" style="67" customWidth="1"/>
    <col min="5" max="5" width="76.88671875" style="67" customWidth="1"/>
    <col min="6" max="6" width="15.33203125" style="68" customWidth="1"/>
    <col min="7" max="7" width="11.88671875" style="67" hidden="1" customWidth="1"/>
    <col min="8" max="39" width="13.33203125" style="67" customWidth="1"/>
    <col min="40" max="44" width="11.5546875" style="67"/>
    <col min="45" max="55" width="12.44140625" style="67" bestFit="1" customWidth="1"/>
    <col min="56" max="64" width="12.44140625" style="67" customWidth="1"/>
    <col min="65" max="16384" width="11.5546875" style="67"/>
  </cols>
  <sheetData>
    <row r="2" spans="2:104" x14ac:dyDescent="0.4">
      <c r="AO2" s="458" t="s">
        <v>332</v>
      </c>
      <c r="AP2" s="458"/>
    </row>
    <row r="3" spans="2:104" x14ac:dyDescent="0.4">
      <c r="H3" s="237">
        <v>45782</v>
      </c>
      <c r="I3" s="237">
        <f>H3+7</f>
        <v>45789</v>
      </c>
      <c r="J3" s="237">
        <f t="shared" ref="J3:AM3" si="0">I3+7</f>
        <v>45796</v>
      </c>
      <c r="K3" s="237">
        <f t="shared" si="0"/>
        <v>45803</v>
      </c>
      <c r="L3" s="237">
        <f t="shared" si="0"/>
        <v>45810</v>
      </c>
      <c r="M3" s="237">
        <f t="shared" si="0"/>
        <v>45817</v>
      </c>
      <c r="N3" s="237">
        <f t="shared" si="0"/>
        <v>45824</v>
      </c>
      <c r="O3" s="237">
        <f t="shared" si="0"/>
        <v>45831</v>
      </c>
      <c r="P3" s="237">
        <f t="shared" si="0"/>
        <v>45838</v>
      </c>
      <c r="Q3" s="237">
        <f t="shared" si="0"/>
        <v>45845</v>
      </c>
      <c r="R3" s="237">
        <f t="shared" si="0"/>
        <v>45852</v>
      </c>
      <c r="S3" s="237">
        <f t="shared" si="0"/>
        <v>45859</v>
      </c>
      <c r="T3" s="237">
        <f t="shared" si="0"/>
        <v>45866</v>
      </c>
      <c r="U3" s="237">
        <f t="shared" si="0"/>
        <v>45873</v>
      </c>
      <c r="V3" s="237">
        <f t="shared" si="0"/>
        <v>45880</v>
      </c>
      <c r="W3" s="237">
        <f t="shared" si="0"/>
        <v>45887</v>
      </c>
      <c r="X3" s="237">
        <f t="shared" si="0"/>
        <v>45894</v>
      </c>
      <c r="Y3" s="237">
        <f t="shared" si="0"/>
        <v>45901</v>
      </c>
      <c r="Z3" s="237">
        <f t="shared" si="0"/>
        <v>45908</v>
      </c>
      <c r="AA3" s="237">
        <f t="shared" si="0"/>
        <v>45915</v>
      </c>
      <c r="AB3" s="237">
        <f t="shared" si="0"/>
        <v>45922</v>
      </c>
      <c r="AC3" s="237">
        <f t="shared" si="0"/>
        <v>45929</v>
      </c>
      <c r="AD3" s="237">
        <f t="shared" si="0"/>
        <v>45936</v>
      </c>
      <c r="AE3" s="237">
        <f t="shared" si="0"/>
        <v>45943</v>
      </c>
      <c r="AF3" s="237">
        <f t="shared" si="0"/>
        <v>45950</v>
      </c>
      <c r="AG3" s="237">
        <f t="shared" si="0"/>
        <v>45957</v>
      </c>
      <c r="AH3" s="237">
        <f t="shared" si="0"/>
        <v>45964</v>
      </c>
      <c r="AI3" s="237">
        <f t="shared" si="0"/>
        <v>45971</v>
      </c>
      <c r="AJ3" s="237">
        <f t="shared" si="0"/>
        <v>45978</v>
      </c>
      <c r="AK3" s="237">
        <f t="shared" si="0"/>
        <v>45985</v>
      </c>
      <c r="AL3" s="237">
        <f t="shared" si="0"/>
        <v>45992</v>
      </c>
      <c r="AM3" s="237">
        <f t="shared" si="0"/>
        <v>45999</v>
      </c>
      <c r="AN3" s="237">
        <f t="shared" ref="AN3" si="1">AM3+7</f>
        <v>46006</v>
      </c>
      <c r="AO3" s="252">
        <f t="shared" ref="AO3" si="2">AN3+7</f>
        <v>46013</v>
      </c>
      <c r="AP3" s="252">
        <f t="shared" ref="AP3:AS3" si="3">AO3+7</f>
        <v>46020</v>
      </c>
      <c r="AQ3" s="274">
        <f t="shared" si="3"/>
        <v>46027</v>
      </c>
      <c r="AR3" s="274">
        <f t="shared" si="3"/>
        <v>46034</v>
      </c>
      <c r="AS3" s="274">
        <f t="shared" si="3"/>
        <v>46041</v>
      </c>
      <c r="AT3" s="274">
        <f t="shared" ref="AT3" si="4">AS3+7</f>
        <v>46048</v>
      </c>
      <c r="AU3" s="274">
        <f t="shared" ref="AU3" si="5">AT3+7</f>
        <v>46055</v>
      </c>
      <c r="AV3" s="274">
        <f t="shared" ref="AV3" si="6">AU3+7</f>
        <v>46062</v>
      </c>
      <c r="AW3" s="274">
        <f t="shared" ref="AW3" si="7">AV3+7</f>
        <v>46069</v>
      </c>
      <c r="AX3" s="274">
        <f t="shared" ref="AX3" si="8">AW3+7</f>
        <v>46076</v>
      </c>
      <c r="AY3" s="274">
        <f t="shared" ref="AY3" si="9">AX3+7</f>
        <v>46083</v>
      </c>
      <c r="AZ3" s="274">
        <f t="shared" ref="AZ3" si="10">AY3+7</f>
        <v>46090</v>
      </c>
      <c r="BA3" s="274">
        <f t="shared" ref="BA3" si="11">AZ3+7</f>
        <v>46097</v>
      </c>
      <c r="BB3" s="274">
        <f t="shared" ref="BB3" si="12">BA3+7</f>
        <v>46104</v>
      </c>
      <c r="BC3" s="274">
        <f t="shared" ref="BC3:BL3" si="13">BB3+7</f>
        <v>46111</v>
      </c>
      <c r="BD3" s="274">
        <f t="shared" si="13"/>
        <v>46118</v>
      </c>
      <c r="BE3" s="274">
        <f t="shared" si="13"/>
        <v>46125</v>
      </c>
      <c r="BF3" s="274">
        <f t="shared" si="13"/>
        <v>46132</v>
      </c>
      <c r="BG3" s="274">
        <f t="shared" si="13"/>
        <v>46139</v>
      </c>
      <c r="BH3" s="274">
        <f t="shared" si="13"/>
        <v>46146</v>
      </c>
      <c r="BI3" s="274">
        <f t="shared" si="13"/>
        <v>46153</v>
      </c>
      <c r="BJ3" s="274">
        <f t="shared" si="13"/>
        <v>46160</v>
      </c>
      <c r="BK3" s="274">
        <f t="shared" si="13"/>
        <v>46167</v>
      </c>
      <c r="BL3" s="274">
        <f t="shared" si="13"/>
        <v>46174</v>
      </c>
      <c r="BM3" s="274">
        <f t="shared" ref="BM3" si="14">BL3+7</f>
        <v>46181</v>
      </c>
      <c r="BN3" s="274">
        <f t="shared" ref="BN3" si="15">BM3+7</f>
        <v>46188</v>
      </c>
      <c r="BO3" s="274">
        <f t="shared" ref="BO3" si="16">BN3+7</f>
        <v>46195</v>
      </c>
      <c r="BP3" s="274">
        <f t="shared" ref="BP3" si="17">BO3+7</f>
        <v>46202</v>
      </c>
      <c r="BQ3" s="274">
        <f t="shared" ref="BQ3" si="18">BP3+7</f>
        <v>46209</v>
      </c>
      <c r="BR3" s="274">
        <f t="shared" ref="BR3" si="19">BQ3+7</f>
        <v>46216</v>
      </c>
      <c r="BS3" s="274">
        <f t="shared" ref="BS3" si="20">BR3+7</f>
        <v>46223</v>
      </c>
      <c r="BT3" s="274">
        <f t="shared" ref="BT3" si="21">BS3+7</f>
        <v>46230</v>
      </c>
      <c r="BU3" s="274">
        <f t="shared" ref="BU3" si="22">BT3+7</f>
        <v>46237</v>
      </c>
      <c r="BV3" s="274">
        <f t="shared" ref="BV3" si="23">BU3+7</f>
        <v>46244</v>
      </c>
      <c r="BW3" s="274">
        <f t="shared" ref="BW3" si="24">BV3+7</f>
        <v>46251</v>
      </c>
      <c r="BX3" s="274">
        <f t="shared" ref="BX3" si="25">BW3+7</f>
        <v>46258</v>
      </c>
      <c r="BY3" s="274">
        <f t="shared" ref="BY3" si="26">BX3+7</f>
        <v>46265</v>
      </c>
      <c r="BZ3" s="274">
        <f t="shared" ref="BZ3" si="27">BY3+7</f>
        <v>46272</v>
      </c>
      <c r="CA3" s="274">
        <f t="shared" ref="CA3" si="28">BZ3+7</f>
        <v>46279</v>
      </c>
      <c r="CB3" s="274">
        <f t="shared" ref="CB3" si="29">CA3+7</f>
        <v>46286</v>
      </c>
      <c r="CC3" s="274">
        <f t="shared" ref="CC3" si="30">CB3+7</f>
        <v>46293</v>
      </c>
      <c r="CD3" s="274">
        <f t="shared" ref="CD3" si="31">CC3+7</f>
        <v>46300</v>
      </c>
      <c r="CE3" s="274">
        <f t="shared" ref="CE3" si="32">CD3+7</f>
        <v>46307</v>
      </c>
      <c r="CF3" s="274">
        <f t="shared" ref="CF3" si="33">CE3+7</f>
        <v>46314</v>
      </c>
      <c r="CG3" s="274">
        <f t="shared" ref="CG3" si="34">CF3+7</f>
        <v>46321</v>
      </c>
      <c r="CH3" s="274">
        <f t="shared" ref="CH3" si="35">CG3+7</f>
        <v>46328</v>
      </c>
      <c r="CI3" s="274">
        <f t="shared" ref="CI3" si="36">CH3+7</f>
        <v>46335</v>
      </c>
      <c r="CJ3" s="274">
        <f t="shared" ref="CJ3" si="37">CI3+7</f>
        <v>46342</v>
      </c>
      <c r="CK3" s="274">
        <f t="shared" ref="CK3" si="38">CJ3+7</f>
        <v>46349</v>
      </c>
      <c r="CL3" s="274">
        <f t="shared" ref="CL3" si="39">CK3+7</f>
        <v>46356</v>
      </c>
      <c r="CM3" s="274">
        <f t="shared" ref="CM3" si="40">CL3+7</f>
        <v>46363</v>
      </c>
      <c r="CN3" s="274">
        <f t="shared" ref="CN3" si="41">CM3+7</f>
        <v>46370</v>
      </c>
      <c r="CO3" s="274">
        <f t="shared" ref="CO3" si="42">CN3+7</f>
        <v>46377</v>
      </c>
      <c r="CP3" s="274">
        <f t="shared" ref="CP3" si="43">CO3+7</f>
        <v>46384</v>
      </c>
      <c r="CQ3"/>
      <c r="CR3"/>
      <c r="CS3"/>
      <c r="CT3"/>
      <c r="CU3"/>
      <c r="CV3"/>
      <c r="CW3"/>
      <c r="CX3"/>
      <c r="CY3"/>
      <c r="CZ3"/>
    </row>
    <row r="4" spans="2:104" x14ac:dyDescent="0.4">
      <c r="B4" s="253" t="s">
        <v>0</v>
      </c>
      <c r="C4" s="254" t="s">
        <v>1</v>
      </c>
      <c r="D4" s="254" t="s">
        <v>2</v>
      </c>
      <c r="E4" s="254" t="s">
        <v>3</v>
      </c>
      <c r="F4" s="255" t="s">
        <v>191</v>
      </c>
      <c r="G4" s="256" t="s">
        <v>193</v>
      </c>
      <c r="H4" s="257" t="s">
        <v>299</v>
      </c>
      <c r="I4" s="257" t="s">
        <v>300</v>
      </c>
      <c r="J4" s="257" t="s">
        <v>301</v>
      </c>
      <c r="K4" s="257" t="s">
        <v>302</v>
      </c>
      <c r="L4" s="257" t="s">
        <v>303</v>
      </c>
      <c r="M4" s="257" t="s">
        <v>304</v>
      </c>
      <c r="N4" s="257" t="s">
        <v>305</v>
      </c>
      <c r="O4" s="257" t="s">
        <v>306</v>
      </c>
      <c r="P4" s="257" t="s">
        <v>307</v>
      </c>
      <c r="Q4" s="257" t="s">
        <v>308</v>
      </c>
      <c r="R4" s="257" t="s">
        <v>309</v>
      </c>
      <c r="S4" s="257" t="s">
        <v>310</v>
      </c>
      <c r="T4" s="257" t="s">
        <v>311</v>
      </c>
      <c r="U4" s="257" t="s">
        <v>312</v>
      </c>
      <c r="V4" s="257" t="s">
        <v>313</v>
      </c>
      <c r="W4" s="257" t="s">
        <v>314</v>
      </c>
      <c r="X4" s="257" t="s">
        <v>315</v>
      </c>
      <c r="Y4" s="257" t="s">
        <v>316</v>
      </c>
      <c r="Z4" s="257" t="s">
        <v>317</v>
      </c>
      <c r="AA4" s="257" t="s">
        <v>318</v>
      </c>
      <c r="AB4" s="257" t="s">
        <v>319</v>
      </c>
      <c r="AC4" s="257" t="s">
        <v>320</v>
      </c>
      <c r="AD4" s="257" t="s">
        <v>321</v>
      </c>
      <c r="AE4" s="257" t="s">
        <v>322</v>
      </c>
      <c r="AF4" s="257" t="s">
        <v>323</v>
      </c>
      <c r="AG4" s="257" t="s">
        <v>324</v>
      </c>
      <c r="AH4" s="257" t="s">
        <v>325</v>
      </c>
      <c r="AI4" s="257" t="s">
        <v>326</v>
      </c>
      <c r="AJ4" s="257" t="s">
        <v>327</v>
      </c>
      <c r="AK4" s="257" t="s">
        <v>328</v>
      </c>
      <c r="AL4" s="257" t="s">
        <v>329</v>
      </c>
      <c r="AM4" s="257" t="s">
        <v>330</v>
      </c>
      <c r="AN4" s="258" t="s">
        <v>333</v>
      </c>
      <c r="AO4" s="258" t="s">
        <v>334</v>
      </c>
      <c r="AP4" s="258" t="s">
        <v>335</v>
      </c>
      <c r="AQ4" s="273" t="s">
        <v>358</v>
      </c>
      <c r="AR4" s="273" t="s">
        <v>359</v>
      </c>
      <c r="AS4" s="275" t="s">
        <v>361</v>
      </c>
      <c r="AT4" s="275" t="s">
        <v>374</v>
      </c>
      <c r="AU4" s="275" t="s">
        <v>375</v>
      </c>
      <c r="AV4" s="275" t="s">
        <v>376</v>
      </c>
      <c r="AW4" s="275" t="s">
        <v>377</v>
      </c>
      <c r="AX4" s="275" t="s">
        <v>378</v>
      </c>
      <c r="AY4" s="275" t="s">
        <v>379</v>
      </c>
      <c r="AZ4" s="275" t="s">
        <v>380</v>
      </c>
      <c r="BA4" s="275" t="s">
        <v>381</v>
      </c>
      <c r="BB4" s="275" t="s">
        <v>382</v>
      </c>
      <c r="BC4" s="275" t="s">
        <v>383</v>
      </c>
      <c r="BD4" s="275" t="s">
        <v>385</v>
      </c>
      <c r="BE4" s="275" t="s">
        <v>388</v>
      </c>
      <c r="BF4" s="275" t="s">
        <v>389</v>
      </c>
      <c r="BG4" s="275" t="s">
        <v>390</v>
      </c>
      <c r="BH4" s="275" t="s">
        <v>391</v>
      </c>
      <c r="BI4" s="275" t="s">
        <v>387</v>
      </c>
      <c r="BJ4" s="275" t="s">
        <v>392</v>
      </c>
      <c r="BK4" s="275" t="s">
        <v>393</v>
      </c>
      <c r="BL4" s="275" t="s">
        <v>394</v>
      </c>
      <c r="BM4" s="273" t="s">
        <v>406</v>
      </c>
      <c r="BN4" s="273" t="s">
        <v>407</v>
      </c>
      <c r="BO4" s="273" t="s">
        <v>408</v>
      </c>
      <c r="BP4" s="273" t="s">
        <v>409</v>
      </c>
      <c r="BQ4" s="273" t="s">
        <v>410</v>
      </c>
      <c r="BR4" s="273" t="s">
        <v>411</v>
      </c>
      <c r="BS4" s="273" t="s">
        <v>412</v>
      </c>
      <c r="BT4" s="273" t="s">
        <v>413</v>
      </c>
      <c r="BU4" s="273" t="s">
        <v>414</v>
      </c>
      <c r="BV4" s="273" t="s">
        <v>415</v>
      </c>
      <c r="BW4" s="273" t="s">
        <v>416</v>
      </c>
      <c r="BX4" s="273" t="s">
        <v>417</v>
      </c>
      <c r="BY4" s="273" t="s">
        <v>418</v>
      </c>
      <c r="BZ4" s="273" t="s">
        <v>419</v>
      </c>
      <c r="CA4" s="273" t="s">
        <v>420</v>
      </c>
      <c r="CB4" s="273" t="s">
        <v>421</v>
      </c>
      <c r="CC4" s="273" t="s">
        <v>422</v>
      </c>
      <c r="CD4" s="273" t="s">
        <v>423</v>
      </c>
      <c r="CE4" s="273" t="s">
        <v>424</v>
      </c>
      <c r="CF4" s="273" t="s">
        <v>425</v>
      </c>
      <c r="CG4" s="273" t="s">
        <v>426</v>
      </c>
      <c r="CH4" s="273" t="s">
        <v>427</v>
      </c>
      <c r="CI4" s="273" t="s">
        <v>428</v>
      </c>
      <c r="CJ4" s="273" t="s">
        <v>429</v>
      </c>
      <c r="CK4" s="273" t="s">
        <v>430</v>
      </c>
      <c r="CL4" s="273" t="s">
        <v>431</v>
      </c>
      <c r="CM4" s="273" t="s">
        <v>432</v>
      </c>
      <c r="CN4" s="273" t="s">
        <v>433</v>
      </c>
      <c r="CO4" s="273" t="s">
        <v>434</v>
      </c>
      <c r="CP4" s="273" t="s">
        <v>435</v>
      </c>
    </row>
    <row r="5" spans="2:104" x14ac:dyDescent="0.4">
      <c r="B5" s="82" t="s">
        <v>11</v>
      </c>
      <c r="C5" s="83"/>
      <c r="D5" s="83"/>
      <c r="E5" s="83"/>
      <c r="F5" s="84">
        <f>EDTN[[#This Row],[Nuevos Pesos]]</f>
        <v>1</v>
      </c>
      <c r="H5" s="84">
        <f>H6*$F$6+H45*$F$45</f>
        <v>0</v>
      </c>
      <c r="I5" s="84">
        <f t="shared" ref="I5:AP5" si="44">I6*$F$6+I45*$F$45</f>
        <v>2.1860362105501886E-2</v>
      </c>
      <c r="J5" s="84">
        <f t="shared" si="44"/>
        <v>4.7601839062014775E-2</v>
      </c>
      <c r="K5" s="84">
        <f t="shared" si="44"/>
        <v>7.7857760367006631E-2</v>
      </c>
      <c r="L5" s="84">
        <f t="shared" si="44"/>
        <v>0.11055051270270631</v>
      </c>
      <c r="M5" s="84">
        <f t="shared" si="44"/>
        <v>0.14451984653034061</v>
      </c>
      <c r="N5" s="84">
        <f t="shared" si="44"/>
        <v>0.17781260909075236</v>
      </c>
      <c r="O5" s="84">
        <f t="shared" si="44"/>
        <v>0.20821040392662593</v>
      </c>
      <c r="P5" s="84">
        <f t="shared" si="44"/>
        <v>0.23406787529719483</v>
      </c>
      <c r="Q5" s="84">
        <f t="shared" si="44"/>
        <v>0.26776355032341986</v>
      </c>
      <c r="R5" s="84">
        <f t="shared" si="44"/>
        <v>0.31050096091996099</v>
      </c>
      <c r="S5" s="84">
        <f t="shared" si="44"/>
        <v>0.34904208839573914</v>
      </c>
      <c r="T5" s="84">
        <f t="shared" si="44"/>
        <v>0.37457273040618533</v>
      </c>
      <c r="U5" s="84">
        <f t="shared" si="44"/>
        <v>0.39865776292048355</v>
      </c>
      <c r="V5" s="84">
        <f t="shared" si="44"/>
        <v>0.42530408441107281</v>
      </c>
      <c r="W5" s="84">
        <f t="shared" si="44"/>
        <v>0.45186805019276127</v>
      </c>
      <c r="X5" s="84">
        <f t="shared" si="44"/>
        <v>0.47995701019325843</v>
      </c>
      <c r="Y5" s="84">
        <f t="shared" si="44"/>
        <v>0.5096214300406704</v>
      </c>
      <c r="Z5" s="84">
        <f t="shared" si="44"/>
        <v>0.54687557657962549</v>
      </c>
      <c r="AA5" s="84">
        <f t="shared" si="44"/>
        <v>0.58510567548611148</v>
      </c>
      <c r="AB5" s="84">
        <f t="shared" si="44"/>
        <v>0.62946835941029922</v>
      </c>
      <c r="AC5" s="84">
        <f t="shared" si="44"/>
        <v>0.67030687395563981</v>
      </c>
      <c r="AD5" s="84">
        <f t="shared" si="44"/>
        <v>0.70872639363203449</v>
      </c>
      <c r="AE5" s="84">
        <f t="shared" si="44"/>
        <v>0.74609315995833059</v>
      </c>
      <c r="AF5" s="84">
        <f t="shared" si="44"/>
        <v>0.78720657294560636</v>
      </c>
      <c r="AG5" s="84">
        <f t="shared" si="44"/>
        <v>0.82831998593288214</v>
      </c>
      <c r="AH5" s="84">
        <f t="shared" si="44"/>
        <v>0.86510186238655096</v>
      </c>
      <c r="AI5" s="84">
        <f t="shared" si="44"/>
        <v>0.90097818042165834</v>
      </c>
      <c r="AJ5" s="84">
        <f t="shared" si="44"/>
        <v>0.93407842173686539</v>
      </c>
      <c r="AK5" s="84">
        <f t="shared" si="44"/>
        <v>0.96146192915699391</v>
      </c>
      <c r="AL5" s="84">
        <f t="shared" si="44"/>
        <v>0.97794809175622288</v>
      </c>
      <c r="AM5" s="84">
        <f t="shared" si="44"/>
        <v>0.98509114529702424</v>
      </c>
      <c r="AN5" s="84">
        <f t="shared" si="44"/>
        <v>0.99038538334087012</v>
      </c>
      <c r="AO5" s="84">
        <f t="shared" si="44"/>
        <v>0.99452961465946066</v>
      </c>
      <c r="AP5" s="84">
        <f t="shared" si="44"/>
        <v>1.0000000000000002</v>
      </c>
      <c r="AQ5" s="84">
        <f t="shared" ref="AQ5:AR5" si="45">AQ6*$F$6+AQ45*$F$45</f>
        <v>1.0000000000000002</v>
      </c>
      <c r="AR5" s="84">
        <f t="shared" si="45"/>
        <v>1.0000000000000002</v>
      </c>
      <c r="AS5" s="84">
        <f t="shared" ref="AS5" si="46">AS6*$F$6+AS45*$F$45</f>
        <v>1.0000000000000002</v>
      </c>
      <c r="AT5" s="84">
        <f t="shared" ref="AT5:BC5" si="47">AT6*$F$6+AT45*$F$45</f>
        <v>1.0000000000000002</v>
      </c>
      <c r="AU5" s="84">
        <f t="shared" si="47"/>
        <v>1.0000000000000002</v>
      </c>
      <c r="AV5" s="84">
        <f t="shared" si="47"/>
        <v>1.0000000000000002</v>
      </c>
      <c r="AW5" s="84">
        <f t="shared" si="47"/>
        <v>1.0000000000000002</v>
      </c>
      <c r="AX5" s="84">
        <f t="shared" si="47"/>
        <v>1.0000000000000002</v>
      </c>
      <c r="AY5" s="84">
        <f t="shared" si="47"/>
        <v>1.0000000000000002</v>
      </c>
      <c r="AZ5" s="84">
        <f t="shared" si="47"/>
        <v>1.0000000000000002</v>
      </c>
      <c r="BA5" s="84">
        <f t="shared" si="47"/>
        <v>1.0000000000000002</v>
      </c>
      <c r="BB5" s="84">
        <f t="shared" si="47"/>
        <v>1.0000000000000002</v>
      </c>
      <c r="BC5" s="84">
        <f t="shared" si="47"/>
        <v>1.0000000000000002</v>
      </c>
      <c r="BD5" s="84">
        <f t="shared" ref="BD5:BE5" si="48">BD6*$F$6+BD45*$F$45</f>
        <v>1.0000000000000002</v>
      </c>
      <c r="BE5" s="84">
        <f t="shared" si="48"/>
        <v>1.0000000000000002</v>
      </c>
      <c r="BF5" s="84">
        <f t="shared" ref="BF5:BG5" si="49">BF6*$F$6+BF45*$F$45</f>
        <v>1.0000000000000002</v>
      </c>
      <c r="BG5" s="84">
        <f t="shared" si="49"/>
        <v>1.0000000000000002</v>
      </c>
      <c r="BH5" s="84">
        <f t="shared" ref="BH5:BI5" si="50">BH6*$F$6+BH45*$F$45</f>
        <v>1.0000000000000002</v>
      </c>
      <c r="BI5" s="84">
        <f t="shared" si="50"/>
        <v>1.0000000000000002</v>
      </c>
      <c r="BJ5" s="84">
        <f t="shared" ref="BJ5:BK5" si="51">BJ6*$F$6+BJ45*$F$45</f>
        <v>1.0000000000000002</v>
      </c>
      <c r="BK5" s="84">
        <f t="shared" si="51"/>
        <v>1.0000000000000002</v>
      </c>
      <c r="BL5" s="84">
        <f t="shared" ref="BL5:CP5" si="52">BL6*$F$6+BL45*$F$45</f>
        <v>1.0000000000000002</v>
      </c>
      <c r="BM5" s="84">
        <f t="shared" si="52"/>
        <v>1.0000000000000002</v>
      </c>
      <c r="BN5" s="84">
        <f t="shared" si="52"/>
        <v>1.0000000000000002</v>
      </c>
      <c r="BO5" s="84">
        <f t="shared" si="52"/>
        <v>1.0000000000000002</v>
      </c>
      <c r="BP5" s="84">
        <f t="shared" si="52"/>
        <v>1.0000000000000002</v>
      </c>
      <c r="BQ5" s="84">
        <f t="shared" si="52"/>
        <v>1.0000000000000002</v>
      </c>
      <c r="BR5" s="84">
        <f t="shared" si="52"/>
        <v>1.0000000000000002</v>
      </c>
      <c r="BS5" s="84">
        <f t="shared" si="52"/>
        <v>1.0000000000000002</v>
      </c>
      <c r="BT5" s="84">
        <f t="shared" si="52"/>
        <v>1.0000000000000002</v>
      </c>
      <c r="BU5" s="84">
        <f t="shared" si="52"/>
        <v>1.0000000000000002</v>
      </c>
      <c r="BV5" s="84">
        <f t="shared" si="52"/>
        <v>1.0000000000000002</v>
      </c>
      <c r="BW5" s="84">
        <f t="shared" si="52"/>
        <v>1.0000000000000002</v>
      </c>
      <c r="BX5" s="84">
        <f t="shared" si="52"/>
        <v>1.0000000000000002</v>
      </c>
      <c r="BY5" s="84">
        <f t="shared" si="52"/>
        <v>1.0000000000000002</v>
      </c>
      <c r="BZ5" s="84">
        <f t="shared" si="52"/>
        <v>1.0000000000000002</v>
      </c>
      <c r="CA5" s="84">
        <f t="shared" si="52"/>
        <v>1.0000000000000002</v>
      </c>
      <c r="CB5" s="84">
        <f t="shared" si="52"/>
        <v>1.0000000000000002</v>
      </c>
      <c r="CC5" s="84">
        <f t="shared" si="52"/>
        <v>1.0000000000000002</v>
      </c>
      <c r="CD5" s="84">
        <f t="shared" si="52"/>
        <v>1.0000000000000002</v>
      </c>
      <c r="CE5" s="84">
        <f t="shared" si="52"/>
        <v>1.0000000000000002</v>
      </c>
      <c r="CF5" s="84">
        <f t="shared" si="52"/>
        <v>1.0000000000000002</v>
      </c>
      <c r="CG5" s="84">
        <f t="shared" si="52"/>
        <v>1.0000000000000002</v>
      </c>
      <c r="CH5" s="84">
        <f t="shared" si="52"/>
        <v>1.0000000000000002</v>
      </c>
      <c r="CI5" s="84">
        <f t="shared" si="52"/>
        <v>1.0000000000000002</v>
      </c>
      <c r="CJ5" s="84">
        <f t="shared" si="52"/>
        <v>1.0000000000000002</v>
      </c>
      <c r="CK5" s="84">
        <f t="shared" si="52"/>
        <v>1.0000000000000002</v>
      </c>
      <c r="CL5" s="84">
        <f t="shared" si="52"/>
        <v>1.0000000000000002</v>
      </c>
      <c r="CM5" s="84">
        <f t="shared" si="52"/>
        <v>1.0000000000000002</v>
      </c>
      <c r="CN5" s="84">
        <f t="shared" si="52"/>
        <v>1.0000000000000002</v>
      </c>
      <c r="CO5" s="84">
        <f t="shared" si="52"/>
        <v>1.0000000000000002</v>
      </c>
      <c r="CP5" s="84">
        <f t="shared" si="52"/>
        <v>1.0000000000000002</v>
      </c>
    </row>
    <row r="6" spans="2:104" collapsed="1" x14ac:dyDescent="0.4">
      <c r="B6" s="15"/>
      <c r="C6" s="16" t="s">
        <v>19</v>
      </c>
      <c r="D6" s="16"/>
      <c r="E6" s="16"/>
      <c r="F6" s="66">
        <f>EDTN[[#This Row],[Nuevos Pesos]]</f>
        <v>0.77282549416377599</v>
      </c>
      <c r="H6" s="66">
        <f>H7*$F$7+H12*$F$12+H14*$F$14+H17*$F$17+H21*$F$21+H24*$F$24+H26*$F$26+H30*$F$30+H41*$F$41+H43*$F$43</f>
        <v>0</v>
      </c>
      <c r="I6" s="66">
        <f t="shared" ref="I6:AP6" si="53">I7*$F$7+I12*$F$12+I14*$F$14+I17*$F$17+I21*$F$21+I24*$F$24+I26*$F$26+I30*$F$30+I41*$F$41+I43*$F$43</f>
        <v>2.5282318234624394E-2</v>
      </c>
      <c r="J6" s="66">
        <f t="shared" si="53"/>
        <v>5.5583628044109809E-2</v>
      </c>
      <c r="K6" s="66">
        <f t="shared" si="53"/>
        <v>9.1135947854721788E-2</v>
      </c>
      <c r="L6" s="66">
        <f t="shared" si="53"/>
        <v>0.12881163395070261</v>
      </c>
      <c r="M6" s="66">
        <f t="shared" si="53"/>
        <v>0.1681432900052908</v>
      </c>
      <c r="N6" s="66">
        <f t="shared" si="53"/>
        <v>0.20659949452220083</v>
      </c>
      <c r="O6" s="66">
        <f t="shared" si="53"/>
        <v>0.24130974636751762</v>
      </c>
      <c r="P6" s="66">
        <f t="shared" si="53"/>
        <v>0.27014503226050457</v>
      </c>
      <c r="Q6" s="66">
        <f t="shared" si="53"/>
        <v>0.30911343474105862</v>
      </c>
      <c r="R6" s="66">
        <f t="shared" si="53"/>
        <v>0.36093341502978438</v>
      </c>
      <c r="S6" s="66">
        <f t="shared" si="53"/>
        <v>0.40732360146148494</v>
      </c>
      <c r="T6" s="66">
        <f t="shared" si="53"/>
        <v>0.436878828948916</v>
      </c>
      <c r="U6" s="66">
        <f t="shared" si="53"/>
        <v>0.46456350544253927</v>
      </c>
      <c r="V6" s="66">
        <f t="shared" si="53"/>
        <v>0.49513337463185192</v>
      </c>
      <c r="W6" s="66">
        <f t="shared" si="53"/>
        <v>0.52277838931376452</v>
      </c>
      <c r="X6" s="66">
        <f t="shared" si="53"/>
        <v>0.55184231886872603</v>
      </c>
      <c r="Y6" s="66">
        <f t="shared" si="53"/>
        <v>0.58243093717304328</v>
      </c>
      <c r="Z6" s="66">
        <f t="shared" si="53"/>
        <v>0.62400961016677725</v>
      </c>
      <c r="AA6" s="66">
        <f t="shared" si="53"/>
        <v>0.66558828316051111</v>
      </c>
      <c r="AB6" s="66">
        <f t="shared" si="53"/>
        <v>0.70818341532048223</v>
      </c>
      <c r="AC6" s="66">
        <f t="shared" si="53"/>
        <v>0.74928824095308755</v>
      </c>
      <c r="AD6" s="66">
        <f t="shared" si="53"/>
        <v>0.78557941794615382</v>
      </c>
      <c r="AE6" s="66">
        <f t="shared" si="53"/>
        <v>0.81674447196328637</v>
      </c>
      <c r="AF6" s="66">
        <f t="shared" si="53"/>
        <v>0.84790952598041913</v>
      </c>
      <c r="AG6" s="66">
        <f t="shared" si="53"/>
        <v>0.87907457999755201</v>
      </c>
      <c r="AH6" s="66">
        <f t="shared" si="53"/>
        <v>0.90314151991006808</v>
      </c>
      <c r="AI6" s="66">
        <f t="shared" si="53"/>
        <v>0.9321710136017497</v>
      </c>
      <c r="AJ6" s="66">
        <f t="shared" si="53"/>
        <v>0.96029285060493197</v>
      </c>
      <c r="AK6" s="66">
        <f t="shared" si="53"/>
        <v>0.98499455711842243</v>
      </c>
      <c r="AL6" s="66">
        <f t="shared" si="53"/>
        <v>0.99731197226169488</v>
      </c>
      <c r="AM6" s="66">
        <f t="shared" si="53"/>
        <v>0.99949177041688153</v>
      </c>
      <c r="AN6" s="66">
        <f t="shared" si="53"/>
        <v>1.0000000000000002</v>
      </c>
      <c r="AO6" s="66">
        <f t="shared" si="53"/>
        <v>1.0000000000000002</v>
      </c>
      <c r="AP6" s="66">
        <f t="shared" si="53"/>
        <v>1.0000000000000002</v>
      </c>
      <c r="AQ6" s="66">
        <f t="shared" ref="AQ6:AR6" si="54">AQ7*$F$7+AQ12*$F$12+AQ14*$F$14+AQ17*$F$17+AQ21*$F$21+AQ24*$F$24+AQ26*$F$26+AQ30*$F$30+AQ41*$F$41+AQ43*$F$43</f>
        <v>1.0000000000000002</v>
      </c>
      <c r="AR6" s="66">
        <f t="shared" si="54"/>
        <v>1.0000000000000002</v>
      </c>
      <c r="AS6" s="66">
        <f t="shared" ref="AS6" si="55">AS7*$F$7+AS12*$F$12+AS14*$F$14+AS17*$F$17+AS21*$F$21+AS24*$F$24+AS26*$F$26+AS30*$F$30+AS41*$F$41+AS43*$F$43</f>
        <v>1.0000000000000002</v>
      </c>
      <c r="AT6" s="66">
        <f t="shared" ref="AT6:BC6" si="56">AT7*$F$7+AT12*$F$12+AT14*$F$14+AT17*$F$17+AT21*$F$21+AT24*$F$24+AT26*$F$26+AT30*$F$30+AT41*$F$41+AT43*$F$43</f>
        <v>1.0000000000000002</v>
      </c>
      <c r="AU6" s="66">
        <f t="shared" si="56"/>
        <v>1.0000000000000002</v>
      </c>
      <c r="AV6" s="66">
        <f t="shared" si="56"/>
        <v>1.0000000000000002</v>
      </c>
      <c r="AW6" s="66">
        <f t="shared" si="56"/>
        <v>1.0000000000000002</v>
      </c>
      <c r="AX6" s="66">
        <f t="shared" si="56"/>
        <v>1.0000000000000002</v>
      </c>
      <c r="AY6" s="66">
        <f t="shared" si="56"/>
        <v>1.0000000000000002</v>
      </c>
      <c r="AZ6" s="66">
        <f t="shared" si="56"/>
        <v>1.0000000000000002</v>
      </c>
      <c r="BA6" s="66">
        <f t="shared" si="56"/>
        <v>1.0000000000000002</v>
      </c>
      <c r="BB6" s="66">
        <f t="shared" si="56"/>
        <v>1.0000000000000002</v>
      </c>
      <c r="BC6" s="66">
        <f t="shared" si="56"/>
        <v>1.0000000000000002</v>
      </c>
      <c r="BD6" s="66">
        <f t="shared" ref="BD6:BE6" si="57">BD7*$F$7+BD12*$F$12+BD14*$F$14+BD17*$F$17+BD21*$F$21+BD24*$F$24+BD26*$F$26+BD30*$F$30+BD41*$F$41+BD43*$F$43</f>
        <v>1.0000000000000002</v>
      </c>
      <c r="BE6" s="66">
        <f t="shared" si="57"/>
        <v>1.0000000000000002</v>
      </c>
      <c r="BF6" s="66">
        <f t="shared" ref="BF6:BG6" si="58">BF7*$F$7+BF12*$F$12+BF14*$F$14+BF17*$F$17+BF21*$F$21+BF24*$F$24+BF26*$F$26+BF30*$F$30+BF41*$F$41+BF43*$F$43</f>
        <v>1.0000000000000002</v>
      </c>
      <c r="BG6" s="66">
        <f t="shared" si="58"/>
        <v>1.0000000000000002</v>
      </c>
      <c r="BH6" s="66">
        <f t="shared" ref="BH6:BI6" si="59">BH7*$F$7+BH12*$F$12+BH14*$F$14+BH17*$F$17+BH21*$F$21+BH24*$F$24+BH26*$F$26+BH30*$F$30+BH41*$F$41+BH43*$F$43</f>
        <v>1.0000000000000002</v>
      </c>
      <c r="BI6" s="66">
        <f t="shared" si="59"/>
        <v>1.0000000000000002</v>
      </c>
      <c r="BJ6" s="66">
        <f t="shared" ref="BJ6:BK6" si="60">BJ7*$F$7+BJ12*$F$12+BJ14*$F$14+BJ17*$F$17+BJ21*$F$21+BJ24*$F$24+BJ26*$F$26+BJ30*$F$30+BJ41*$F$41+BJ43*$F$43</f>
        <v>1.0000000000000002</v>
      </c>
      <c r="BK6" s="66">
        <f t="shared" si="60"/>
        <v>1.0000000000000002</v>
      </c>
      <c r="BL6" s="66">
        <f t="shared" ref="BL6:CP6" si="61">BL7*$F$7+BL12*$F$12+BL14*$F$14+BL17*$F$17+BL21*$F$21+BL24*$F$24+BL26*$F$26+BL30*$F$30+BL41*$F$41+BL43*$F$43</f>
        <v>1.0000000000000002</v>
      </c>
      <c r="BM6" s="66">
        <f t="shared" si="61"/>
        <v>1.0000000000000002</v>
      </c>
      <c r="BN6" s="66">
        <f t="shared" si="61"/>
        <v>1.0000000000000002</v>
      </c>
      <c r="BO6" s="66">
        <f t="shared" si="61"/>
        <v>1.0000000000000002</v>
      </c>
      <c r="BP6" s="66">
        <f t="shared" si="61"/>
        <v>1.0000000000000002</v>
      </c>
      <c r="BQ6" s="66">
        <f t="shared" si="61"/>
        <v>1.0000000000000002</v>
      </c>
      <c r="BR6" s="66">
        <f t="shared" si="61"/>
        <v>1.0000000000000002</v>
      </c>
      <c r="BS6" s="66">
        <f t="shared" si="61"/>
        <v>1.0000000000000002</v>
      </c>
      <c r="BT6" s="66">
        <f t="shared" si="61"/>
        <v>1.0000000000000002</v>
      </c>
      <c r="BU6" s="66">
        <f t="shared" si="61"/>
        <v>1.0000000000000002</v>
      </c>
      <c r="BV6" s="66">
        <f t="shared" si="61"/>
        <v>1.0000000000000002</v>
      </c>
      <c r="BW6" s="66">
        <f t="shared" si="61"/>
        <v>1.0000000000000002</v>
      </c>
      <c r="BX6" s="66">
        <f t="shared" si="61"/>
        <v>1.0000000000000002</v>
      </c>
      <c r="BY6" s="66">
        <f t="shared" si="61"/>
        <v>1.0000000000000002</v>
      </c>
      <c r="BZ6" s="66">
        <f t="shared" si="61"/>
        <v>1.0000000000000002</v>
      </c>
      <c r="CA6" s="66">
        <f t="shared" si="61"/>
        <v>1.0000000000000002</v>
      </c>
      <c r="CB6" s="66">
        <f t="shared" si="61"/>
        <v>1.0000000000000002</v>
      </c>
      <c r="CC6" s="66">
        <f t="shared" si="61"/>
        <v>1.0000000000000002</v>
      </c>
      <c r="CD6" s="66">
        <f t="shared" si="61"/>
        <v>1.0000000000000002</v>
      </c>
      <c r="CE6" s="66">
        <f t="shared" si="61"/>
        <v>1.0000000000000002</v>
      </c>
      <c r="CF6" s="66">
        <f t="shared" si="61"/>
        <v>1.0000000000000002</v>
      </c>
      <c r="CG6" s="66">
        <f t="shared" si="61"/>
        <v>1.0000000000000002</v>
      </c>
      <c r="CH6" s="66">
        <f t="shared" si="61"/>
        <v>1.0000000000000002</v>
      </c>
      <c r="CI6" s="66">
        <f t="shared" si="61"/>
        <v>1.0000000000000002</v>
      </c>
      <c r="CJ6" s="66">
        <f t="shared" si="61"/>
        <v>1.0000000000000002</v>
      </c>
      <c r="CK6" s="66">
        <f t="shared" si="61"/>
        <v>1.0000000000000002</v>
      </c>
      <c r="CL6" s="66">
        <f t="shared" si="61"/>
        <v>1.0000000000000002</v>
      </c>
      <c r="CM6" s="66">
        <f t="shared" si="61"/>
        <v>1.0000000000000002</v>
      </c>
      <c r="CN6" s="66">
        <f t="shared" si="61"/>
        <v>1.0000000000000002</v>
      </c>
      <c r="CO6" s="66">
        <f t="shared" si="61"/>
        <v>1.0000000000000002</v>
      </c>
      <c r="CP6" s="66">
        <f t="shared" si="61"/>
        <v>1.0000000000000002</v>
      </c>
    </row>
    <row r="7" spans="2:104" hidden="1" outlineLevel="1" collapsed="1" x14ac:dyDescent="0.4">
      <c r="B7" s="85"/>
      <c r="C7" s="86"/>
      <c r="D7" s="86" t="s">
        <v>22</v>
      </c>
      <c r="E7" s="86"/>
      <c r="F7" s="87">
        <f>EDTN[[#This Row],[Nuevos Pesos]]</f>
        <v>0.22602491175176692</v>
      </c>
      <c r="H7" s="87">
        <f>SUMPRODUCT(H8:H11,$F8:$F11)</f>
        <v>0</v>
      </c>
      <c r="I7" s="87">
        <f t="shared" ref="I7:AP7" si="62">SUMPRODUCT(I8:I11,$F8:$F11)</f>
        <v>2.1821396993810787E-2</v>
      </c>
      <c r="J7" s="87">
        <f t="shared" si="62"/>
        <v>4.6189213085764812E-2</v>
      </c>
      <c r="K7" s="87">
        <f t="shared" si="62"/>
        <v>7.4694960212201594E-2</v>
      </c>
      <c r="L7" s="87">
        <f t="shared" si="62"/>
        <v>0.10595932802829354</v>
      </c>
      <c r="M7" s="87">
        <f t="shared" si="62"/>
        <v>0.13998231653404067</v>
      </c>
      <c r="N7" s="87">
        <f t="shared" si="62"/>
        <v>0.17400530503978778</v>
      </c>
      <c r="O7" s="87">
        <f t="shared" si="62"/>
        <v>0.20802829354553493</v>
      </c>
      <c r="P7" s="87">
        <f t="shared" si="62"/>
        <v>0.23929266136162686</v>
      </c>
      <c r="Q7" s="87">
        <f t="shared" si="62"/>
        <v>0.31331564986737392</v>
      </c>
      <c r="R7" s="87">
        <f t="shared" si="62"/>
        <v>0.44756852343059234</v>
      </c>
      <c r="S7" s="87">
        <f t="shared" si="62"/>
        <v>0.55779840848806361</v>
      </c>
      <c r="T7" s="87">
        <f t="shared" si="62"/>
        <v>0.5935455349248453</v>
      </c>
      <c r="U7" s="87">
        <f t="shared" si="62"/>
        <v>0.62101679929266129</v>
      </c>
      <c r="V7" s="87">
        <f t="shared" si="62"/>
        <v>0.64710875331564977</v>
      </c>
      <c r="W7" s="87">
        <f t="shared" si="62"/>
        <v>0.67320070733863835</v>
      </c>
      <c r="X7" s="87">
        <f t="shared" si="62"/>
        <v>0.69929266136162671</v>
      </c>
      <c r="Y7" s="87">
        <f t="shared" si="62"/>
        <v>0.72538461538461518</v>
      </c>
      <c r="Z7" s="87">
        <f t="shared" si="62"/>
        <v>0.75147656940760377</v>
      </c>
      <c r="AA7" s="87">
        <f t="shared" si="62"/>
        <v>0.77756852343059235</v>
      </c>
      <c r="AB7" s="87">
        <f t="shared" si="62"/>
        <v>0.80366047745358082</v>
      </c>
      <c r="AC7" s="87">
        <f t="shared" si="62"/>
        <v>0.82975243147656941</v>
      </c>
      <c r="AD7" s="87">
        <f t="shared" si="62"/>
        <v>0.85584438549955788</v>
      </c>
      <c r="AE7" s="87">
        <f t="shared" si="62"/>
        <v>0.88193633952254635</v>
      </c>
      <c r="AF7" s="87">
        <f t="shared" si="62"/>
        <v>0.90802829354553505</v>
      </c>
      <c r="AG7" s="87">
        <f t="shared" si="62"/>
        <v>0.93412024756852352</v>
      </c>
      <c r="AH7" s="87">
        <f t="shared" si="62"/>
        <v>0.9602122015915121</v>
      </c>
      <c r="AI7" s="87">
        <f t="shared" si="62"/>
        <v>0.97413793103448276</v>
      </c>
      <c r="AJ7" s="87">
        <f t="shared" si="62"/>
        <v>0.98275862068965525</v>
      </c>
      <c r="AK7" s="87">
        <f t="shared" si="62"/>
        <v>0.99137931034482762</v>
      </c>
      <c r="AL7" s="87">
        <f t="shared" si="62"/>
        <v>1</v>
      </c>
      <c r="AM7" s="87">
        <f t="shared" si="62"/>
        <v>1</v>
      </c>
      <c r="AN7" s="87">
        <f t="shared" si="62"/>
        <v>1</v>
      </c>
      <c r="AO7" s="87">
        <f t="shared" si="62"/>
        <v>1</v>
      </c>
      <c r="AP7" s="87">
        <f t="shared" si="62"/>
        <v>1</v>
      </c>
      <c r="AQ7" s="87">
        <f t="shared" ref="AQ7:AR7" si="63">SUMPRODUCT(AQ8:AQ11,$F8:$F11)</f>
        <v>1</v>
      </c>
      <c r="AR7" s="87">
        <f t="shared" si="63"/>
        <v>1</v>
      </c>
      <c r="AS7" s="87">
        <f t="shared" ref="AS7" si="64">SUMPRODUCT(AS8:AS11,$F8:$F11)</f>
        <v>1</v>
      </c>
      <c r="AT7" s="87">
        <f t="shared" ref="AT7:BC7" si="65">SUMPRODUCT(AT8:AT11,$F8:$F11)</f>
        <v>1</v>
      </c>
      <c r="AU7" s="87">
        <f t="shared" si="65"/>
        <v>1</v>
      </c>
      <c r="AV7" s="87">
        <f t="shared" si="65"/>
        <v>1</v>
      </c>
      <c r="AW7" s="87">
        <f t="shared" si="65"/>
        <v>1</v>
      </c>
      <c r="AX7" s="87">
        <f t="shared" si="65"/>
        <v>1</v>
      </c>
      <c r="AY7" s="87">
        <f t="shared" si="65"/>
        <v>1</v>
      </c>
      <c r="AZ7" s="87">
        <f t="shared" si="65"/>
        <v>1</v>
      </c>
      <c r="BA7" s="87">
        <f t="shared" si="65"/>
        <v>1</v>
      </c>
      <c r="BB7" s="87">
        <f t="shared" si="65"/>
        <v>1</v>
      </c>
      <c r="BC7" s="87">
        <f t="shared" si="65"/>
        <v>1</v>
      </c>
      <c r="BD7" s="87">
        <f t="shared" ref="BD7:BE7" si="66">SUMPRODUCT(BD8:BD11,$F8:$F11)</f>
        <v>1</v>
      </c>
      <c r="BE7" s="87">
        <f t="shared" si="66"/>
        <v>1</v>
      </c>
      <c r="BF7" s="87">
        <f t="shared" ref="BF7:BG7" si="67">SUMPRODUCT(BF8:BF11,$F8:$F11)</f>
        <v>1</v>
      </c>
      <c r="BG7" s="87">
        <f t="shared" si="67"/>
        <v>1</v>
      </c>
      <c r="BH7" s="87">
        <f t="shared" ref="BH7:BI7" si="68">SUMPRODUCT(BH8:BH11,$F8:$F11)</f>
        <v>1</v>
      </c>
      <c r="BI7" s="87">
        <f t="shared" si="68"/>
        <v>1</v>
      </c>
      <c r="BJ7" s="87">
        <f t="shared" ref="BJ7:BK7" si="69">SUMPRODUCT(BJ8:BJ11,$F8:$F11)</f>
        <v>1</v>
      </c>
      <c r="BK7" s="87">
        <f t="shared" si="69"/>
        <v>1</v>
      </c>
      <c r="BL7" s="87">
        <f t="shared" ref="BL7:CP7" si="70">SUMPRODUCT(BL8:BL11,$F8:$F11)</f>
        <v>1</v>
      </c>
      <c r="BM7" s="87">
        <f t="shared" si="70"/>
        <v>1</v>
      </c>
      <c r="BN7" s="87">
        <f t="shared" si="70"/>
        <v>1</v>
      </c>
      <c r="BO7" s="87">
        <f t="shared" si="70"/>
        <v>1</v>
      </c>
      <c r="BP7" s="87">
        <f t="shared" si="70"/>
        <v>1</v>
      </c>
      <c r="BQ7" s="87">
        <f t="shared" si="70"/>
        <v>1</v>
      </c>
      <c r="BR7" s="87">
        <f t="shared" si="70"/>
        <v>1</v>
      </c>
      <c r="BS7" s="87">
        <f t="shared" si="70"/>
        <v>1</v>
      </c>
      <c r="BT7" s="87">
        <f t="shared" si="70"/>
        <v>1</v>
      </c>
      <c r="BU7" s="87">
        <f t="shared" si="70"/>
        <v>1</v>
      </c>
      <c r="BV7" s="87">
        <f t="shared" si="70"/>
        <v>1</v>
      </c>
      <c r="BW7" s="87">
        <f t="shared" si="70"/>
        <v>1</v>
      </c>
      <c r="BX7" s="87">
        <f t="shared" si="70"/>
        <v>1</v>
      </c>
      <c r="BY7" s="87">
        <f t="shared" si="70"/>
        <v>1</v>
      </c>
      <c r="BZ7" s="87">
        <f t="shared" si="70"/>
        <v>1</v>
      </c>
      <c r="CA7" s="87">
        <f t="shared" si="70"/>
        <v>1</v>
      </c>
      <c r="CB7" s="87">
        <f t="shared" si="70"/>
        <v>1</v>
      </c>
      <c r="CC7" s="87">
        <f t="shared" si="70"/>
        <v>1</v>
      </c>
      <c r="CD7" s="87">
        <f t="shared" si="70"/>
        <v>1</v>
      </c>
      <c r="CE7" s="87">
        <f t="shared" si="70"/>
        <v>1</v>
      </c>
      <c r="CF7" s="87">
        <f t="shared" si="70"/>
        <v>1</v>
      </c>
      <c r="CG7" s="87">
        <f t="shared" si="70"/>
        <v>1</v>
      </c>
      <c r="CH7" s="87">
        <f t="shared" si="70"/>
        <v>1</v>
      </c>
      <c r="CI7" s="87">
        <f t="shared" si="70"/>
        <v>1</v>
      </c>
      <c r="CJ7" s="87">
        <f t="shared" si="70"/>
        <v>1</v>
      </c>
      <c r="CK7" s="87">
        <f t="shared" si="70"/>
        <v>1</v>
      </c>
      <c r="CL7" s="87">
        <f t="shared" si="70"/>
        <v>1</v>
      </c>
      <c r="CM7" s="87">
        <f t="shared" si="70"/>
        <v>1</v>
      </c>
      <c r="CN7" s="87">
        <f t="shared" si="70"/>
        <v>1</v>
      </c>
      <c r="CO7" s="87">
        <f t="shared" si="70"/>
        <v>1</v>
      </c>
      <c r="CP7" s="87">
        <f t="shared" si="70"/>
        <v>1</v>
      </c>
    </row>
    <row r="8" spans="2:104" hidden="1" outlineLevel="2" x14ac:dyDescent="0.4">
      <c r="B8" s="69"/>
      <c r="C8" s="70"/>
      <c r="D8" s="70"/>
      <c r="E8" s="70" t="s">
        <v>25</v>
      </c>
      <c r="F8" s="71">
        <f>EDTN[[#This Row],[Nuevos Pesos]]</f>
        <v>0.22988505747126436</v>
      </c>
      <c r="H8" s="71">
        <v>0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0.18</v>
      </c>
      <c r="R8" s="71">
        <v>0.64</v>
      </c>
      <c r="S8" s="71">
        <v>0.97</v>
      </c>
      <c r="T8" s="71">
        <v>1</v>
      </c>
      <c r="U8" s="71">
        <v>1</v>
      </c>
      <c r="V8" s="71">
        <v>1</v>
      </c>
      <c r="W8" s="71">
        <v>1</v>
      </c>
      <c r="X8" s="71">
        <v>1</v>
      </c>
      <c r="Y8" s="71">
        <v>1</v>
      </c>
      <c r="Z8" s="71">
        <v>1</v>
      </c>
      <c r="AA8" s="71">
        <v>1</v>
      </c>
      <c r="AB8" s="71">
        <v>1</v>
      </c>
      <c r="AC8" s="71">
        <v>1</v>
      </c>
      <c r="AD8" s="71">
        <v>1</v>
      </c>
      <c r="AE8" s="71">
        <v>1</v>
      </c>
      <c r="AF8" s="71">
        <v>1</v>
      </c>
      <c r="AG8" s="71">
        <v>1</v>
      </c>
      <c r="AH8" s="71">
        <v>1</v>
      </c>
      <c r="AI8" s="71">
        <v>1</v>
      </c>
      <c r="AJ8" s="71">
        <v>1</v>
      </c>
      <c r="AK8" s="71">
        <v>1</v>
      </c>
      <c r="AL8" s="71">
        <v>1</v>
      </c>
      <c r="AM8" s="71">
        <v>1</v>
      </c>
      <c r="AN8" s="71">
        <v>1</v>
      </c>
      <c r="AO8" s="71">
        <v>1</v>
      </c>
      <c r="AP8" s="71">
        <v>1</v>
      </c>
      <c r="AQ8" s="71">
        <v>1</v>
      </c>
      <c r="AR8" s="71">
        <v>1</v>
      </c>
      <c r="AS8" s="71">
        <v>1</v>
      </c>
      <c r="AT8" s="71">
        <v>1</v>
      </c>
      <c r="AU8" s="71">
        <v>1</v>
      </c>
      <c r="AV8" s="71">
        <v>1</v>
      </c>
      <c r="AW8" s="71">
        <v>1</v>
      </c>
      <c r="AX8" s="71">
        <v>1</v>
      </c>
      <c r="AY8" s="71">
        <v>1</v>
      </c>
      <c r="AZ8" s="71">
        <v>1</v>
      </c>
      <c r="BA8" s="71">
        <v>1</v>
      </c>
      <c r="BB8" s="71">
        <v>1</v>
      </c>
      <c r="BC8" s="71">
        <v>1</v>
      </c>
      <c r="BD8" s="71">
        <v>1</v>
      </c>
      <c r="BE8" s="71">
        <v>1</v>
      </c>
      <c r="BF8" s="71">
        <v>1</v>
      </c>
      <c r="BG8" s="71">
        <v>1</v>
      </c>
      <c r="BH8" s="71">
        <v>1</v>
      </c>
      <c r="BI8" s="71">
        <v>1</v>
      </c>
      <c r="BJ8" s="71">
        <v>1</v>
      </c>
      <c r="BK8" s="71">
        <v>1</v>
      </c>
      <c r="BL8" s="71">
        <v>1</v>
      </c>
      <c r="BM8" s="71">
        <v>1</v>
      </c>
      <c r="BN8" s="71">
        <v>1</v>
      </c>
      <c r="BO8" s="71">
        <v>1</v>
      </c>
      <c r="BP8" s="71">
        <v>1</v>
      </c>
      <c r="BQ8" s="71">
        <v>1</v>
      </c>
      <c r="BR8" s="71">
        <v>1</v>
      </c>
      <c r="BS8" s="71">
        <v>1</v>
      </c>
      <c r="BT8" s="71">
        <v>1</v>
      </c>
      <c r="BU8" s="71">
        <v>1</v>
      </c>
      <c r="BV8" s="71">
        <v>1</v>
      </c>
      <c r="BW8" s="71">
        <v>1</v>
      </c>
      <c r="BX8" s="71">
        <v>1</v>
      </c>
      <c r="BY8" s="71">
        <v>1</v>
      </c>
      <c r="BZ8" s="71">
        <v>1</v>
      </c>
      <c r="CA8" s="71">
        <v>1</v>
      </c>
      <c r="CB8" s="71">
        <v>1</v>
      </c>
      <c r="CC8" s="71">
        <v>1</v>
      </c>
      <c r="CD8" s="71">
        <v>1</v>
      </c>
      <c r="CE8" s="71">
        <v>1</v>
      </c>
      <c r="CF8" s="71">
        <v>1</v>
      </c>
      <c r="CG8" s="71">
        <v>1</v>
      </c>
      <c r="CH8" s="71">
        <v>1</v>
      </c>
      <c r="CI8" s="71">
        <v>1</v>
      </c>
      <c r="CJ8" s="71">
        <v>1</v>
      </c>
      <c r="CK8" s="71">
        <v>1</v>
      </c>
      <c r="CL8" s="71">
        <v>1</v>
      </c>
      <c r="CM8" s="71">
        <v>1</v>
      </c>
      <c r="CN8" s="71">
        <v>1</v>
      </c>
      <c r="CO8" s="71">
        <v>1</v>
      </c>
      <c r="CP8" s="71">
        <v>1</v>
      </c>
    </row>
    <row r="9" spans="2:104" hidden="1" outlineLevel="2" x14ac:dyDescent="0.4">
      <c r="B9" s="69"/>
      <c r="C9" s="70"/>
      <c r="D9" s="70"/>
      <c r="E9" s="70" t="s">
        <v>26</v>
      </c>
      <c r="F9" s="71">
        <f>EDTN[[#This Row],[Nuevos Pesos]]</f>
        <v>0.45977011494252873</v>
      </c>
      <c r="H9" s="71">
        <v>0</v>
      </c>
      <c r="I9" s="71">
        <v>3.8461538461538464E-2</v>
      </c>
      <c r="J9" s="71">
        <f>+PlanBase39[[#This Row],[12/05/25]]+3.8%</f>
        <v>7.646153846153847E-2</v>
      </c>
      <c r="K9" s="71">
        <f>+PlanBase39[[#This Row],[19/05/25]]+3.8%</f>
        <v>0.11446153846153848</v>
      </c>
      <c r="L9" s="71">
        <f>+PlanBase39[[#This Row],[26/05/25]]+3.8%</f>
        <v>0.15246153846153848</v>
      </c>
      <c r="M9" s="71">
        <f>+PlanBase39[[#This Row],[02/06/25]]+3.8%</f>
        <v>0.19046153846153849</v>
      </c>
      <c r="N9" s="71">
        <f>+PlanBase39[[#This Row],[09/06/25]]+3.8%</f>
        <v>0.22846153846153849</v>
      </c>
      <c r="O9" s="71">
        <f>+PlanBase39[[#This Row],[16/06/25]]+3.8%</f>
        <v>0.26646153846153847</v>
      </c>
      <c r="P9" s="71">
        <f>+PlanBase39[[#This Row],[23/06/25]]+3.8%</f>
        <v>0.30446153846153845</v>
      </c>
      <c r="Q9" s="71">
        <f>+PlanBase39[[#This Row],[30/06/25]]+3.8%</f>
        <v>0.34246153846153843</v>
      </c>
      <c r="R9" s="71">
        <f>+PlanBase39[[#This Row],[07/07/25]]+3.8%</f>
        <v>0.38046153846153841</v>
      </c>
      <c r="S9" s="71">
        <f>+PlanBase39[[#This Row],[14/07/25]]+3.8%</f>
        <v>0.41846153846153838</v>
      </c>
      <c r="T9" s="71">
        <f>+PlanBase39[[#This Row],[21/07/25]]+3.8%</f>
        <v>0.45646153846153836</v>
      </c>
      <c r="U9" s="71">
        <f>+PlanBase39[[#This Row],[28/07/25]]+3.8%</f>
        <v>0.49446153846153834</v>
      </c>
      <c r="V9" s="71">
        <f>+PlanBase39[[#This Row],[04/08/25]]+3.8%</f>
        <v>0.53246153846153832</v>
      </c>
      <c r="W9" s="71">
        <f>+PlanBase39[[#This Row],[11/08/25]]+3.8%</f>
        <v>0.57046153846153835</v>
      </c>
      <c r="X9" s="71">
        <f>+PlanBase39[[#This Row],[18/08/25]]+3.8%</f>
        <v>0.60846153846153839</v>
      </c>
      <c r="Y9" s="71">
        <f>+PlanBase39[[#This Row],[25/08/25]]+3.8%</f>
        <v>0.64646153846153842</v>
      </c>
      <c r="Z9" s="71">
        <f>+PlanBase39[[#This Row],[01/09/25]]+3.8%</f>
        <v>0.68446153846153845</v>
      </c>
      <c r="AA9" s="71">
        <f>+PlanBase39[[#This Row],[08/09/25]]+3.8%</f>
        <v>0.72246153846153849</v>
      </c>
      <c r="AB9" s="71">
        <f>+PlanBase39[[#This Row],[15/09/25]]+3.8%</f>
        <v>0.76046153846153852</v>
      </c>
      <c r="AC9" s="71">
        <f>+PlanBase39[[#This Row],[22/09/25]]+3.8%</f>
        <v>0.79846153846153856</v>
      </c>
      <c r="AD9" s="71">
        <f>+PlanBase39[[#This Row],[29/09/25]]+3.8%</f>
        <v>0.83646153846153859</v>
      </c>
      <c r="AE9" s="71">
        <f>+PlanBase39[[#This Row],[06/10/25]]+3.8%</f>
        <v>0.87446153846153862</v>
      </c>
      <c r="AF9" s="71">
        <f>+PlanBase39[[#This Row],[13/10/25]]+3.8%</f>
        <v>0.91246153846153866</v>
      </c>
      <c r="AG9" s="71">
        <f>+PlanBase39[[#This Row],[20/10/25]]+3.8%</f>
        <v>0.95046153846153869</v>
      </c>
      <c r="AH9" s="71">
        <f>+PlanBase39[[#This Row],[27/10/25]]+3.8%</f>
        <v>0.98846153846153872</v>
      </c>
      <c r="AI9" s="71">
        <v>1</v>
      </c>
      <c r="AJ9" s="71">
        <v>1</v>
      </c>
      <c r="AK9" s="71">
        <v>1</v>
      </c>
      <c r="AL9" s="71">
        <v>1</v>
      </c>
      <c r="AM9" s="71">
        <v>1</v>
      </c>
      <c r="AN9" s="71">
        <v>1</v>
      </c>
      <c r="AO9" s="71">
        <v>1</v>
      </c>
      <c r="AP9" s="71">
        <v>1</v>
      </c>
      <c r="AQ9" s="71">
        <v>1</v>
      </c>
      <c r="AR9" s="71">
        <v>1</v>
      </c>
      <c r="AS9" s="71">
        <v>1</v>
      </c>
      <c r="AT9" s="71">
        <v>1</v>
      </c>
      <c r="AU9" s="71">
        <v>1</v>
      </c>
      <c r="AV9" s="71">
        <v>1</v>
      </c>
      <c r="AW9" s="71">
        <v>1</v>
      </c>
      <c r="AX9" s="71">
        <v>1</v>
      </c>
      <c r="AY9" s="71">
        <v>1</v>
      </c>
      <c r="AZ9" s="71">
        <v>1</v>
      </c>
      <c r="BA9" s="71">
        <v>1</v>
      </c>
      <c r="BB9" s="71">
        <v>1</v>
      </c>
      <c r="BC9" s="71">
        <v>1</v>
      </c>
      <c r="BD9" s="71">
        <v>1</v>
      </c>
      <c r="BE9" s="71">
        <v>1</v>
      </c>
      <c r="BF9" s="71">
        <v>1</v>
      </c>
      <c r="BG9" s="71">
        <v>1</v>
      </c>
      <c r="BH9" s="71">
        <v>1</v>
      </c>
      <c r="BI9" s="71">
        <v>1</v>
      </c>
      <c r="BJ9" s="71">
        <v>1</v>
      </c>
      <c r="BK9" s="71">
        <v>1</v>
      </c>
      <c r="BL9" s="71">
        <v>1</v>
      </c>
      <c r="BM9" s="71">
        <v>1</v>
      </c>
      <c r="BN9" s="71">
        <v>1</v>
      </c>
      <c r="BO9" s="71">
        <v>1</v>
      </c>
      <c r="BP9" s="71">
        <v>1</v>
      </c>
      <c r="BQ9" s="71">
        <v>1</v>
      </c>
      <c r="BR9" s="71">
        <v>1</v>
      </c>
      <c r="BS9" s="71">
        <v>1</v>
      </c>
      <c r="BT9" s="71">
        <v>1</v>
      </c>
      <c r="BU9" s="71">
        <v>1</v>
      </c>
      <c r="BV9" s="71">
        <v>1</v>
      </c>
      <c r="BW9" s="71">
        <v>1</v>
      </c>
      <c r="BX9" s="71">
        <v>1</v>
      </c>
      <c r="BY9" s="71">
        <v>1</v>
      </c>
      <c r="BZ9" s="71">
        <v>1</v>
      </c>
      <c r="CA9" s="71">
        <v>1</v>
      </c>
      <c r="CB9" s="71">
        <v>1</v>
      </c>
      <c r="CC9" s="71">
        <v>1</v>
      </c>
      <c r="CD9" s="71">
        <v>1</v>
      </c>
      <c r="CE9" s="71">
        <v>1</v>
      </c>
      <c r="CF9" s="71">
        <v>1</v>
      </c>
      <c r="CG9" s="71">
        <v>1</v>
      </c>
      <c r="CH9" s="71">
        <v>1</v>
      </c>
      <c r="CI9" s="71">
        <v>1</v>
      </c>
      <c r="CJ9" s="71">
        <v>1</v>
      </c>
      <c r="CK9" s="71">
        <v>1</v>
      </c>
      <c r="CL9" s="71">
        <v>1</v>
      </c>
      <c r="CM9" s="71">
        <v>1</v>
      </c>
      <c r="CN9" s="71">
        <v>1</v>
      </c>
      <c r="CO9" s="71">
        <v>1</v>
      </c>
      <c r="CP9" s="71">
        <v>1</v>
      </c>
    </row>
    <row r="10" spans="2:104" hidden="1" outlineLevel="2" x14ac:dyDescent="0.4">
      <c r="B10" s="69"/>
      <c r="C10" s="70"/>
      <c r="D10" s="70"/>
      <c r="E10" s="70" t="s">
        <v>27</v>
      </c>
      <c r="F10" s="71">
        <f>EDTN[[#This Row],[Nuevos Pesos]]</f>
        <v>0.13793103448275859</v>
      </c>
      <c r="H10" s="71">
        <v>0</v>
      </c>
      <c r="I10" s="71">
        <v>0.03</v>
      </c>
      <c r="J10" s="71">
        <v>0.08</v>
      </c>
      <c r="K10" s="71">
        <v>0.16</v>
      </c>
      <c r="L10" s="71">
        <v>0.26</v>
      </c>
      <c r="M10" s="71">
        <v>0.38</v>
      </c>
      <c r="N10" s="71">
        <v>0.5</v>
      </c>
      <c r="O10" s="71">
        <v>0.62</v>
      </c>
      <c r="P10" s="71">
        <v>0.72</v>
      </c>
      <c r="Q10" s="71">
        <v>0.83</v>
      </c>
      <c r="R10" s="71">
        <v>0.90999999999999992</v>
      </c>
      <c r="S10" s="71">
        <v>0.97</v>
      </c>
      <c r="T10" s="71">
        <v>0.99</v>
      </c>
      <c r="U10" s="71">
        <v>1</v>
      </c>
      <c r="V10" s="71">
        <v>1</v>
      </c>
      <c r="W10" s="71">
        <v>1</v>
      </c>
      <c r="X10" s="71">
        <v>1</v>
      </c>
      <c r="Y10" s="71">
        <v>1</v>
      </c>
      <c r="Z10" s="71">
        <v>1</v>
      </c>
      <c r="AA10" s="71">
        <v>1</v>
      </c>
      <c r="AB10" s="71">
        <v>1</v>
      </c>
      <c r="AC10" s="71">
        <v>1</v>
      </c>
      <c r="AD10" s="71">
        <v>1</v>
      </c>
      <c r="AE10" s="71">
        <v>1</v>
      </c>
      <c r="AF10" s="71">
        <v>1</v>
      </c>
      <c r="AG10" s="71">
        <v>1</v>
      </c>
      <c r="AH10" s="71">
        <v>1</v>
      </c>
      <c r="AI10" s="71">
        <v>1</v>
      </c>
      <c r="AJ10" s="71">
        <v>1</v>
      </c>
      <c r="AK10" s="71">
        <v>1</v>
      </c>
      <c r="AL10" s="71">
        <v>1</v>
      </c>
      <c r="AM10" s="71">
        <v>1</v>
      </c>
      <c r="AN10" s="71">
        <v>1</v>
      </c>
      <c r="AO10" s="71">
        <v>1</v>
      </c>
      <c r="AP10" s="71">
        <v>1</v>
      </c>
      <c r="AQ10" s="71">
        <v>1</v>
      </c>
      <c r="AR10" s="71">
        <v>1</v>
      </c>
      <c r="AS10" s="71">
        <v>1</v>
      </c>
      <c r="AT10" s="71">
        <v>1</v>
      </c>
      <c r="AU10" s="71">
        <v>1</v>
      </c>
      <c r="AV10" s="71">
        <v>1</v>
      </c>
      <c r="AW10" s="71">
        <v>1</v>
      </c>
      <c r="AX10" s="71">
        <v>1</v>
      </c>
      <c r="AY10" s="71">
        <v>1</v>
      </c>
      <c r="AZ10" s="71">
        <v>1</v>
      </c>
      <c r="BA10" s="71">
        <v>1</v>
      </c>
      <c r="BB10" s="71">
        <v>1</v>
      </c>
      <c r="BC10" s="71">
        <v>1</v>
      </c>
      <c r="BD10" s="71">
        <v>1</v>
      </c>
      <c r="BE10" s="71">
        <v>1</v>
      </c>
      <c r="BF10" s="71">
        <v>1</v>
      </c>
      <c r="BG10" s="71">
        <v>1</v>
      </c>
      <c r="BH10" s="71">
        <v>1</v>
      </c>
      <c r="BI10" s="71">
        <v>1</v>
      </c>
      <c r="BJ10" s="71">
        <v>1</v>
      </c>
      <c r="BK10" s="71">
        <v>1</v>
      </c>
      <c r="BL10" s="71">
        <v>1</v>
      </c>
      <c r="BM10" s="71">
        <v>1</v>
      </c>
      <c r="BN10" s="71">
        <v>1</v>
      </c>
      <c r="BO10" s="71">
        <v>1</v>
      </c>
      <c r="BP10" s="71">
        <v>1</v>
      </c>
      <c r="BQ10" s="71">
        <v>1</v>
      </c>
      <c r="BR10" s="71">
        <v>1</v>
      </c>
      <c r="BS10" s="71">
        <v>1</v>
      </c>
      <c r="BT10" s="71">
        <v>1</v>
      </c>
      <c r="BU10" s="71">
        <v>1</v>
      </c>
      <c r="BV10" s="71">
        <v>1</v>
      </c>
      <c r="BW10" s="71">
        <v>1</v>
      </c>
      <c r="BX10" s="71">
        <v>1</v>
      </c>
      <c r="BY10" s="71">
        <v>1</v>
      </c>
      <c r="BZ10" s="71">
        <v>1</v>
      </c>
      <c r="CA10" s="71">
        <v>1</v>
      </c>
      <c r="CB10" s="71">
        <v>1</v>
      </c>
      <c r="CC10" s="71">
        <v>1</v>
      </c>
      <c r="CD10" s="71">
        <v>1</v>
      </c>
      <c r="CE10" s="71">
        <v>1</v>
      </c>
      <c r="CF10" s="71">
        <v>1</v>
      </c>
      <c r="CG10" s="71">
        <v>1</v>
      </c>
      <c r="CH10" s="71">
        <v>1</v>
      </c>
      <c r="CI10" s="71">
        <v>1</v>
      </c>
      <c r="CJ10" s="71">
        <v>1</v>
      </c>
      <c r="CK10" s="71">
        <v>1</v>
      </c>
      <c r="CL10" s="71">
        <v>1</v>
      </c>
      <c r="CM10" s="71">
        <v>1</v>
      </c>
      <c r="CN10" s="71">
        <v>1</v>
      </c>
      <c r="CO10" s="71">
        <v>1</v>
      </c>
      <c r="CP10" s="71">
        <v>1</v>
      </c>
    </row>
    <row r="11" spans="2:104" hidden="1" outlineLevel="2" x14ac:dyDescent="0.4">
      <c r="B11" s="69"/>
      <c r="C11" s="70"/>
      <c r="D11" s="70"/>
      <c r="E11" s="70" t="s">
        <v>28</v>
      </c>
      <c r="F11" s="71">
        <f>EDTN[[#This Row],[Nuevos Pesos]]</f>
        <v>0.17241379310344826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0.05</v>
      </c>
      <c r="T11" s="71">
        <f>+PlanBase39[[#This Row],[21/07/25]]+5%</f>
        <v>0.1</v>
      </c>
      <c r="U11" s="71">
        <f>+PlanBase39[[#This Row],[28/07/25]]+5%</f>
        <v>0.15000000000000002</v>
      </c>
      <c r="V11" s="71">
        <f>+PlanBase39[[#This Row],[04/08/25]]+5%</f>
        <v>0.2</v>
      </c>
      <c r="W11" s="71">
        <f>+PlanBase39[[#This Row],[11/08/25]]+5%</f>
        <v>0.25</v>
      </c>
      <c r="X11" s="71">
        <f>+PlanBase39[[#This Row],[18/08/25]]+5%</f>
        <v>0.3</v>
      </c>
      <c r="Y11" s="71">
        <f>+PlanBase39[[#This Row],[25/08/25]]+5%</f>
        <v>0.35</v>
      </c>
      <c r="Z11" s="71">
        <f>+PlanBase39[[#This Row],[01/09/25]]+5%</f>
        <v>0.39999999999999997</v>
      </c>
      <c r="AA11" s="71">
        <f>+PlanBase39[[#This Row],[08/09/25]]+5%</f>
        <v>0.44999999999999996</v>
      </c>
      <c r="AB11" s="71">
        <f>+PlanBase39[[#This Row],[15/09/25]]+5%</f>
        <v>0.49999999999999994</v>
      </c>
      <c r="AC11" s="71">
        <f>+PlanBase39[[#This Row],[22/09/25]]+5%</f>
        <v>0.54999999999999993</v>
      </c>
      <c r="AD11" s="71">
        <f>+PlanBase39[[#This Row],[29/09/25]]+5%</f>
        <v>0.6</v>
      </c>
      <c r="AE11" s="71">
        <f>+PlanBase39[[#This Row],[06/10/25]]+5%</f>
        <v>0.65</v>
      </c>
      <c r="AF11" s="71">
        <f>+PlanBase39[[#This Row],[13/10/25]]+5%</f>
        <v>0.70000000000000007</v>
      </c>
      <c r="AG11" s="71">
        <f>+PlanBase39[[#This Row],[20/10/25]]+5%</f>
        <v>0.75000000000000011</v>
      </c>
      <c r="AH11" s="71">
        <f>+PlanBase39[[#This Row],[27/10/25]]+5%</f>
        <v>0.80000000000000016</v>
      </c>
      <c r="AI11" s="71">
        <f>+PlanBase39[[#This Row],[03/11/25]]+5%</f>
        <v>0.8500000000000002</v>
      </c>
      <c r="AJ11" s="71">
        <f>+PlanBase39[[#This Row],[10/11/25]]+5%</f>
        <v>0.90000000000000024</v>
      </c>
      <c r="AK11" s="71">
        <f>+PlanBase39[[#This Row],[17/11/25]]+5%</f>
        <v>0.95000000000000029</v>
      </c>
      <c r="AL11" s="71">
        <f>+PlanBase39[[#This Row],[24/11/25]]+5%</f>
        <v>1.0000000000000002</v>
      </c>
      <c r="AM11" s="71">
        <v>1</v>
      </c>
      <c r="AN11" s="71">
        <v>1</v>
      </c>
      <c r="AO11" s="71">
        <v>1</v>
      </c>
      <c r="AP11" s="71">
        <v>1</v>
      </c>
      <c r="AQ11" s="71">
        <v>1</v>
      </c>
      <c r="AR11" s="71">
        <v>1</v>
      </c>
      <c r="AS11" s="71">
        <v>1</v>
      </c>
      <c r="AT11" s="71">
        <v>1</v>
      </c>
      <c r="AU11" s="71">
        <v>1</v>
      </c>
      <c r="AV11" s="71">
        <v>1</v>
      </c>
      <c r="AW11" s="71">
        <v>1</v>
      </c>
      <c r="AX11" s="71">
        <v>1</v>
      </c>
      <c r="AY11" s="71">
        <v>1</v>
      </c>
      <c r="AZ11" s="71">
        <v>1</v>
      </c>
      <c r="BA11" s="71">
        <v>1</v>
      </c>
      <c r="BB11" s="71">
        <v>1</v>
      </c>
      <c r="BC11" s="71">
        <v>1</v>
      </c>
      <c r="BD11" s="71">
        <v>1</v>
      </c>
      <c r="BE11" s="71">
        <v>1</v>
      </c>
      <c r="BF11" s="71">
        <v>1</v>
      </c>
      <c r="BG11" s="71">
        <v>1</v>
      </c>
      <c r="BH11" s="71">
        <v>1</v>
      </c>
      <c r="BI11" s="71">
        <v>1</v>
      </c>
      <c r="BJ11" s="71">
        <v>1</v>
      </c>
      <c r="BK11" s="71">
        <v>1</v>
      </c>
      <c r="BL11" s="71">
        <v>1</v>
      </c>
      <c r="BM11" s="71">
        <v>1</v>
      </c>
      <c r="BN11" s="71">
        <v>1</v>
      </c>
      <c r="BO11" s="71">
        <v>1</v>
      </c>
      <c r="BP11" s="71">
        <v>1</v>
      </c>
      <c r="BQ11" s="71">
        <v>1</v>
      </c>
      <c r="BR11" s="71">
        <v>1</v>
      </c>
      <c r="BS11" s="71">
        <v>1</v>
      </c>
      <c r="BT11" s="71">
        <v>1</v>
      </c>
      <c r="BU11" s="71">
        <v>1</v>
      </c>
      <c r="BV11" s="71">
        <v>1</v>
      </c>
      <c r="BW11" s="71">
        <v>1</v>
      </c>
      <c r="BX11" s="71">
        <v>1</v>
      </c>
      <c r="BY11" s="71">
        <v>1</v>
      </c>
      <c r="BZ11" s="71">
        <v>1</v>
      </c>
      <c r="CA11" s="71">
        <v>1</v>
      </c>
      <c r="CB11" s="71">
        <v>1</v>
      </c>
      <c r="CC11" s="71">
        <v>1</v>
      </c>
      <c r="CD11" s="71">
        <v>1</v>
      </c>
      <c r="CE11" s="71">
        <v>1</v>
      </c>
      <c r="CF11" s="71">
        <v>1</v>
      </c>
      <c r="CG11" s="71">
        <v>1</v>
      </c>
      <c r="CH11" s="71">
        <v>1</v>
      </c>
      <c r="CI11" s="71">
        <v>1</v>
      </c>
      <c r="CJ11" s="71">
        <v>1</v>
      </c>
      <c r="CK11" s="71">
        <v>1</v>
      </c>
      <c r="CL11" s="71">
        <v>1</v>
      </c>
      <c r="CM11" s="71">
        <v>1</v>
      </c>
      <c r="CN11" s="71">
        <v>1</v>
      </c>
      <c r="CO11" s="71">
        <v>1</v>
      </c>
      <c r="CP11" s="71">
        <v>1</v>
      </c>
    </row>
    <row r="12" spans="2:104" hidden="1" outlineLevel="1" collapsed="1" x14ac:dyDescent="0.4">
      <c r="B12" s="85"/>
      <c r="C12" s="86"/>
      <c r="D12" s="86" t="s">
        <v>29</v>
      </c>
      <c r="E12" s="86"/>
      <c r="F12" s="87">
        <f>EDTN[[#This Row],[Nuevos Pesos]]</f>
        <v>6.9376251050029564E-2</v>
      </c>
      <c r="H12" s="87">
        <f>H13*$F$13</f>
        <v>0</v>
      </c>
      <c r="I12" s="87">
        <f t="shared" ref="I12:BT12" si="71">I13*$F$13</f>
        <v>4.7619047619047616E-2</v>
      </c>
      <c r="J12" s="87">
        <f t="shared" si="71"/>
        <v>9.5619047619047617E-2</v>
      </c>
      <c r="K12" s="87">
        <f t="shared" si="71"/>
        <v>0.14361904761904762</v>
      </c>
      <c r="L12" s="87">
        <f t="shared" si="71"/>
        <v>0.19161904761904763</v>
      </c>
      <c r="M12" s="87">
        <f t="shared" si="71"/>
        <v>0.23961904761904762</v>
      </c>
      <c r="N12" s="87">
        <f t="shared" si="71"/>
        <v>0.28761904761904761</v>
      </c>
      <c r="O12" s="87">
        <f t="shared" si="71"/>
        <v>0.33561904761904759</v>
      </c>
      <c r="P12" s="87">
        <f t="shared" si="71"/>
        <v>0.38361904761904758</v>
      </c>
      <c r="Q12" s="87">
        <f t="shared" si="71"/>
        <v>0.43161904761904757</v>
      </c>
      <c r="R12" s="87">
        <f t="shared" si="71"/>
        <v>0.47961904761904756</v>
      </c>
      <c r="S12" s="87">
        <f t="shared" si="71"/>
        <v>0.52761904761904754</v>
      </c>
      <c r="T12" s="87">
        <f t="shared" si="71"/>
        <v>0.57561904761904759</v>
      </c>
      <c r="U12" s="87">
        <f t="shared" si="71"/>
        <v>0.62361904761904763</v>
      </c>
      <c r="V12" s="87">
        <f t="shared" si="71"/>
        <v>0.67161904761904767</v>
      </c>
      <c r="W12" s="87">
        <f t="shared" si="71"/>
        <v>0.71961904761904771</v>
      </c>
      <c r="X12" s="87">
        <f t="shared" si="71"/>
        <v>0.76761904761904776</v>
      </c>
      <c r="Y12" s="87">
        <f t="shared" si="71"/>
        <v>0.8156190476190478</v>
      </c>
      <c r="Z12" s="87">
        <f t="shared" si="71"/>
        <v>0.86361904761904784</v>
      </c>
      <c r="AA12" s="87">
        <f t="shared" si="71"/>
        <v>0.91161904761904788</v>
      </c>
      <c r="AB12" s="87">
        <f t="shared" si="71"/>
        <v>0.95961904761904793</v>
      </c>
      <c r="AC12" s="87">
        <f t="shared" si="71"/>
        <v>1</v>
      </c>
      <c r="AD12" s="87">
        <f t="shared" si="71"/>
        <v>1</v>
      </c>
      <c r="AE12" s="87">
        <f t="shared" si="71"/>
        <v>1</v>
      </c>
      <c r="AF12" s="87">
        <f t="shared" si="71"/>
        <v>1</v>
      </c>
      <c r="AG12" s="87">
        <f t="shared" si="71"/>
        <v>1</v>
      </c>
      <c r="AH12" s="87">
        <f t="shared" si="71"/>
        <v>1</v>
      </c>
      <c r="AI12" s="87">
        <f t="shared" si="71"/>
        <v>1</v>
      </c>
      <c r="AJ12" s="87">
        <f t="shared" si="71"/>
        <v>1</v>
      </c>
      <c r="AK12" s="87">
        <f t="shared" si="71"/>
        <v>1</v>
      </c>
      <c r="AL12" s="87">
        <f t="shared" si="71"/>
        <v>1</v>
      </c>
      <c r="AM12" s="87">
        <f t="shared" si="71"/>
        <v>1</v>
      </c>
      <c r="AN12" s="87">
        <f t="shared" si="71"/>
        <v>1</v>
      </c>
      <c r="AO12" s="87">
        <f t="shared" si="71"/>
        <v>1</v>
      </c>
      <c r="AP12" s="87">
        <f t="shared" si="71"/>
        <v>1</v>
      </c>
      <c r="AQ12" s="87">
        <f t="shared" si="71"/>
        <v>1</v>
      </c>
      <c r="AR12" s="87">
        <f t="shared" si="71"/>
        <v>1</v>
      </c>
      <c r="AS12" s="87">
        <f t="shared" si="71"/>
        <v>1</v>
      </c>
      <c r="AT12" s="87">
        <f t="shared" si="71"/>
        <v>1</v>
      </c>
      <c r="AU12" s="87">
        <f t="shared" si="71"/>
        <v>1</v>
      </c>
      <c r="AV12" s="87">
        <f t="shared" si="71"/>
        <v>1</v>
      </c>
      <c r="AW12" s="87">
        <f t="shared" si="71"/>
        <v>1</v>
      </c>
      <c r="AX12" s="87">
        <f t="shared" si="71"/>
        <v>1</v>
      </c>
      <c r="AY12" s="87">
        <f t="shared" si="71"/>
        <v>1</v>
      </c>
      <c r="AZ12" s="87">
        <f t="shared" si="71"/>
        <v>1</v>
      </c>
      <c r="BA12" s="87">
        <f t="shared" si="71"/>
        <v>1</v>
      </c>
      <c r="BB12" s="87">
        <f t="shared" si="71"/>
        <v>1</v>
      </c>
      <c r="BC12" s="87">
        <f t="shared" si="71"/>
        <v>1</v>
      </c>
      <c r="BD12" s="87">
        <f t="shared" si="71"/>
        <v>1</v>
      </c>
      <c r="BE12" s="87">
        <f t="shared" si="71"/>
        <v>1</v>
      </c>
      <c r="BF12" s="87">
        <f t="shared" si="71"/>
        <v>1</v>
      </c>
      <c r="BG12" s="87">
        <f t="shared" si="71"/>
        <v>1</v>
      </c>
      <c r="BH12" s="87">
        <f t="shared" si="71"/>
        <v>1</v>
      </c>
      <c r="BI12" s="87">
        <f t="shared" si="71"/>
        <v>1</v>
      </c>
      <c r="BJ12" s="87">
        <f t="shared" si="71"/>
        <v>1</v>
      </c>
      <c r="BK12" s="87">
        <f t="shared" si="71"/>
        <v>1</v>
      </c>
      <c r="BL12" s="87">
        <f t="shared" si="71"/>
        <v>1</v>
      </c>
      <c r="BM12" s="87">
        <f t="shared" si="71"/>
        <v>1</v>
      </c>
      <c r="BN12" s="87">
        <f t="shared" si="71"/>
        <v>1</v>
      </c>
      <c r="BO12" s="87">
        <f t="shared" si="71"/>
        <v>1</v>
      </c>
      <c r="BP12" s="87">
        <f t="shared" si="71"/>
        <v>1</v>
      </c>
      <c r="BQ12" s="87">
        <f t="shared" si="71"/>
        <v>1</v>
      </c>
      <c r="BR12" s="87">
        <f t="shared" si="71"/>
        <v>1</v>
      </c>
      <c r="BS12" s="87">
        <f t="shared" si="71"/>
        <v>1</v>
      </c>
      <c r="BT12" s="87">
        <f t="shared" si="71"/>
        <v>1</v>
      </c>
      <c r="BU12" s="87">
        <f t="shared" ref="BU12:CP12" si="72">BU13*$F$13</f>
        <v>1</v>
      </c>
      <c r="BV12" s="87">
        <f t="shared" si="72"/>
        <v>1</v>
      </c>
      <c r="BW12" s="87">
        <f t="shared" si="72"/>
        <v>1</v>
      </c>
      <c r="BX12" s="87">
        <f t="shared" si="72"/>
        <v>1</v>
      </c>
      <c r="BY12" s="87">
        <f t="shared" si="72"/>
        <v>1</v>
      </c>
      <c r="BZ12" s="87">
        <f t="shared" si="72"/>
        <v>1</v>
      </c>
      <c r="CA12" s="87">
        <f t="shared" si="72"/>
        <v>1</v>
      </c>
      <c r="CB12" s="87">
        <f t="shared" si="72"/>
        <v>1</v>
      </c>
      <c r="CC12" s="87">
        <f t="shared" si="72"/>
        <v>1</v>
      </c>
      <c r="CD12" s="87">
        <f t="shared" si="72"/>
        <v>1</v>
      </c>
      <c r="CE12" s="87">
        <f t="shared" si="72"/>
        <v>1</v>
      </c>
      <c r="CF12" s="87">
        <f t="shared" si="72"/>
        <v>1</v>
      </c>
      <c r="CG12" s="87">
        <f t="shared" si="72"/>
        <v>1</v>
      </c>
      <c r="CH12" s="87">
        <f t="shared" si="72"/>
        <v>1</v>
      </c>
      <c r="CI12" s="87">
        <f t="shared" si="72"/>
        <v>1</v>
      </c>
      <c r="CJ12" s="87">
        <f t="shared" si="72"/>
        <v>1</v>
      </c>
      <c r="CK12" s="87">
        <f t="shared" si="72"/>
        <v>1</v>
      </c>
      <c r="CL12" s="87">
        <f t="shared" si="72"/>
        <v>1</v>
      </c>
      <c r="CM12" s="87">
        <f t="shared" si="72"/>
        <v>1</v>
      </c>
      <c r="CN12" s="87">
        <f t="shared" si="72"/>
        <v>1</v>
      </c>
      <c r="CO12" s="87">
        <f t="shared" si="72"/>
        <v>1</v>
      </c>
      <c r="CP12" s="87">
        <f t="shared" si="72"/>
        <v>1</v>
      </c>
    </row>
    <row r="13" spans="2:104" hidden="1" outlineLevel="2" x14ac:dyDescent="0.4">
      <c r="B13" s="72"/>
      <c r="C13" s="73"/>
      <c r="D13" s="73"/>
      <c r="E13" s="73" t="s">
        <v>30</v>
      </c>
      <c r="F13" s="74">
        <f>EDTN[[#This Row],[Nuevos Pesos]]</f>
        <v>1</v>
      </c>
      <c r="H13" s="74">
        <v>0</v>
      </c>
      <c r="I13" s="74">
        <v>4.7619047619047616E-2</v>
      </c>
      <c r="J13" s="74">
        <f>+PlanBase39[[#This Row],[12/05/25]]+4.8%</f>
        <v>9.5619047619047617E-2</v>
      </c>
      <c r="K13" s="74">
        <f>+PlanBase39[[#This Row],[19/05/25]]+4.8%</f>
        <v>0.14361904761904762</v>
      </c>
      <c r="L13" s="74">
        <f>+PlanBase39[[#This Row],[26/05/25]]+4.8%</f>
        <v>0.19161904761904763</v>
      </c>
      <c r="M13" s="74">
        <f>+PlanBase39[[#This Row],[02/06/25]]+4.8%</f>
        <v>0.23961904761904762</v>
      </c>
      <c r="N13" s="74">
        <f>+PlanBase39[[#This Row],[09/06/25]]+4.8%</f>
        <v>0.28761904761904761</v>
      </c>
      <c r="O13" s="74">
        <f>+PlanBase39[[#This Row],[16/06/25]]+4.8%</f>
        <v>0.33561904761904759</v>
      </c>
      <c r="P13" s="74">
        <f>+PlanBase39[[#This Row],[23/06/25]]+4.8%</f>
        <v>0.38361904761904758</v>
      </c>
      <c r="Q13" s="74">
        <f>+PlanBase39[[#This Row],[30/06/25]]+4.8%</f>
        <v>0.43161904761904757</v>
      </c>
      <c r="R13" s="74">
        <f>+PlanBase39[[#This Row],[07/07/25]]+4.8%</f>
        <v>0.47961904761904756</v>
      </c>
      <c r="S13" s="74">
        <f>+PlanBase39[[#This Row],[14/07/25]]+4.8%</f>
        <v>0.52761904761904754</v>
      </c>
      <c r="T13" s="74">
        <f>+PlanBase39[[#This Row],[21/07/25]]+4.8%</f>
        <v>0.57561904761904759</v>
      </c>
      <c r="U13" s="74">
        <f>+PlanBase39[[#This Row],[28/07/25]]+4.8%</f>
        <v>0.62361904761904763</v>
      </c>
      <c r="V13" s="74">
        <f>+PlanBase39[[#This Row],[04/08/25]]+4.8%</f>
        <v>0.67161904761904767</v>
      </c>
      <c r="W13" s="74">
        <f>+PlanBase39[[#This Row],[11/08/25]]+4.8%</f>
        <v>0.71961904761904771</v>
      </c>
      <c r="X13" s="74">
        <f>+PlanBase39[[#This Row],[18/08/25]]+4.8%</f>
        <v>0.76761904761904776</v>
      </c>
      <c r="Y13" s="74">
        <f>+PlanBase39[[#This Row],[25/08/25]]+4.8%</f>
        <v>0.8156190476190478</v>
      </c>
      <c r="Z13" s="74">
        <f>+PlanBase39[[#This Row],[01/09/25]]+4.8%</f>
        <v>0.86361904761904784</v>
      </c>
      <c r="AA13" s="74">
        <f>+PlanBase39[[#This Row],[08/09/25]]+4.8%</f>
        <v>0.91161904761904788</v>
      </c>
      <c r="AB13" s="74">
        <f>+PlanBase39[[#This Row],[15/09/25]]+4.8%</f>
        <v>0.95961904761904793</v>
      </c>
      <c r="AC13" s="74">
        <v>1</v>
      </c>
      <c r="AD13" s="74">
        <v>1</v>
      </c>
      <c r="AE13" s="74">
        <v>1</v>
      </c>
      <c r="AF13" s="74">
        <v>1</v>
      </c>
      <c r="AG13" s="74">
        <v>1</v>
      </c>
      <c r="AH13" s="74">
        <v>1</v>
      </c>
      <c r="AI13" s="74">
        <v>1</v>
      </c>
      <c r="AJ13" s="74">
        <v>1</v>
      </c>
      <c r="AK13" s="74">
        <v>1</v>
      </c>
      <c r="AL13" s="74">
        <v>1</v>
      </c>
      <c r="AM13" s="74">
        <v>1</v>
      </c>
      <c r="AN13" s="74">
        <v>1</v>
      </c>
      <c r="AO13" s="74">
        <v>1</v>
      </c>
      <c r="AP13" s="74">
        <v>1</v>
      </c>
      <c r="AQ13" s="74">
        <v>1</v>
      </c>
      <c r="AR13" s="74">
        <v>1</v>
      </c>
      <c r="AS13" s="74">
        <v>1</v>
      </c>
      <c r="AT13" s="74">
        <v>1</v>
      </c>
      <c r="AU13" s="74">
        <v>1</v>
      </c>
      <c r="AV13" s="74">
        <v>1</v>
      </c>
      <c r="AW13" s="74">
        <v>1</v>
      </c>
      <c r="AX13" s="74">
        <v>1</v>
      </c>
      <c r="AY13" s="74">
        <v>1</v>
      </c>
      <c r="AZ13" s="74">
        <v>1</v>
      </c>
      <c r="BA13" s="74">
        <v>1</v>
      </c>
      <c r="BB13" s="74">
        <v>1</v>
      </c>
      <c r="BC13" s="74">
        <v>1</v>
      </c>
      <c r="BD13" s="74">
        <v>1</v>
      </c>
      <c r="BE13" s="74">
        <v>1</v>
      </c>
      <c r="BF13" s="74">
        <v>1</v>
      </c>
      <c r="BG13" s="74">
        <v>1</v>
      </c>
      <c r="BH13" s="74">
        <v>1</v>
      </c>
      <c r="BI13" s="74">
        <v>1</v>
      </c>
      <c r="BJ13" s="74">
        <v>1</v>
      </c>
      <c r="BK13" s="74">
        <v>1</v>
      </c>
      <c r="BL13" s="74">
        <v>1</v>
      </c>
      <c r="BM13" s="74">
        <v>1</v>
      </c>
      <c r="BN13" s="74">
        <v>1</v>
      </c>
      <c r="BO13" s="74">
        <v>1</v>
      </c>
      <c r="BP13" s="74">
        <v>1</v>
      </c>
      <c r="BQ13" s="74">
        <v>1</v>
      </c>
      <c r="BR13" s="74">
        <v>1</v>
      </c>
      <c r="BS13" s="74">
        <v>1</v>
      </c>
      <c r="BT13" s="74">
        <v>1</v>
      </c>
      <c r="BU13" s="74">
        <v>1</v>
      </c>
      <c r="BV13" s="74">
        <v>1</v>
      </c>
      <c r="BW13" s="74">
        <v>1</v>
      </c>
      <c r="BX13" s="74">
        <v>1</v>
      </c>
      <c r="BY13" s="74">
        <v>1</v>
      </c>
      <c r="BZ13" s="74">
        <v>1</v>
      </c>
      <c r="CA13" s="74">
        <v>1</v>
      </c>
      <c r="CB13" s="74">
        <v>1</v>
      </c>
      <c r="CC13" s="74">
        <v>1</v>
      </c>
      <c r="CD13" s="74">
        <v>1</v>
      </c>
      <c r="CE13" s="74">
        <v>1</v>
      </c>
      <c r="CF13" s="74">
        <v>1</v>
      </c>
      <c r="CG13" s="74">
        <v>1</v>
      </c>
      <c r="CH13" s="74">
        <v>1</v>
      </c>
      <c r="CI13" s="74">
        <v>1</v>
      </c>
      <c r="CJ13" s="74">
        <v>1</v>
      </c>
      <c r="CK13" s="74">
        <v>1</v>
      </c>
      <c r="CL13" s="74">
        <v>1</v>
      </c>
      <c r="CM13" s="74">
        <v>1</v>
      </c>
      <c r="CN13" s="74">
        <v>1</v>
      </c>
      <c r="CO13" s="74">
        <v>1</v>
      </c>
      <c r="CP13" s="74">
        <v>1</v>
      </c>
    </row>
    <row r="14" spans="2:104" hidden="1" outlineLevel="1" collapsed="1" x14ac:dyDescent="0.4">
      <c r="B14" s="85"/>
      <c r="C14" s="86"/>
      <c r="D14" s="86" t="s">
        <v>31</v>
      </c>
      <c r="E14" s="86"/>
      <c r="F14" s="87">
        <f>EDTN[[#This Row],[Nuevos Pesos]]</f>
        <v>0.13899787802857952</v>
      </c>
      <c r="H14" s="87">
        <f>SUMPRODUCT(H15:H16,$F$15:$F$16)</f>
        <v>0</v>
      </c>
      <c r="I14" s="87">
        <f t="shared" ref="I14:AP14" si="73">SUMPRODUCT(I15:I16,$F$15:$F$16)</f>
        <v>0</v>
      </c>
      <c r="J14" s="87">
        <f t="shared" si="73"/>
        <v>0</v>
      </c>
      <c r="K14" s="87">
        <f t="shared" si="73"/>
        <v>0</v>
      </c>
      <c r="L14" s="87">
        <f t="shared" si="73"/>
        <v>0</v>
      </c>
      <c r="M14" s="87">
        <f t="shared" si="73"/>
        <v>0</v>
      </c>
      <c r="N14" s="87">
        <f t="shared" si="73"/>
        <v>0</v>
      </c>
      <c r="O14" s="87">
        <f t="shared" si="73"/>
        <v>0</v>
      </c>
      <c r="P14" s="87">
        <f t="shared" si="73"/>
        <v>0</v>
      </c>
      <c r="Q14" s="87">
        <f t="shared" si="73"/>
        <v>0</v>
      </c>
      <c r="R14" s="87">
        <f t="shared" si="73"/>
        <v>0</v>
      </c>
      <c r="S14" s="87">
        <f t="shared" si="73"/>
        <v>0</v>
      </c>
      <c r="T14" s="87">
        <f t="shared" si="73"/>
        <v>0</v>
      </c>
      <c r="U14" s="87">
        <f t="shared" si="73"/>
        <v>0</v>
      </c>
      <c r="V14" s="87">
        <f t="shared" si="73"/>
        <v>2.3E-2</v>
      </c>
      <c r="W14" s="87">
        <f t="shared" si="73"/>
        <v>4.5999999999999999E-2</v>
      </c>
      <c r="X14" s="87">
        <f t="shared" si="73"/>
        <v>8.0999999999999989E-2</v>
      </c>
      <c r="Y14" s="87">
        <f t="shared" si="73"/>
        <v>0.11599999999999999</v>
      </c>
      <c r="Z14" s="87">
        <f t="shared" si="73"/>
        <v>0.17899999999999999</v>
      </c>
      <c r="AA14" s="87">
        <f t="shared" si="73"/>
        <v>0.24199999999999997</v>
      </c>
      <c r="AB14" s="87">
        <f t="shared" si="73"/>
        <v>0.30499999999999994</v>
      </c>
      <c r="AC14" s="87">
        <f t="shared" si="73"/>
        <v>0.36799999999999999</v>
      </c>
      <c r="AD14" s="87">
        <f t="shared" si="73"/>
        <v>0.43099999999999994</v>
      </c>
      <c r="AE14" s="87">
        <f t="shared" si="73"/>
        <v>0.51600000000000001</v>
      </c>
      <c r="AF14" s="87">
        <f t="shared" si="73"/>
        <v>0.60099999999999998</v>
      </c>
      <c r="AG14" s="87">
        <f t="shared" si="73"/>
        <v>0.68599999999999983</v>
      </c>
      <c r="AH14" s="87">
        <f t="shared" si="73"/>
        <v>0.7709999999999998</v>
      </c>
      <c r="AI14" s="87">
        <f t="shared" si="73"/>
        <v>0.85599999999999976</v>
      </c>
      <c r="AJ14" s="87">
        <f t="shared" si="73"/>
        <v>0.94099999999999973</v>
      </c>
      <c r="AK14" s="87">
        <f t="shared" si="73"/>
        <v>0.99999999999999989</v>
      </c>
      <c r="AL14" s="87">
        <f t="shared" si="73"/>
        <v>0.99999999999999989</v>
      </c>
      <c r="AM14" s="87">
        <f t="shared" si="73"/>
        <v>0.99999999999999989</v>
      </c>
      <c r="AN14" s="87">
        <f t="shared" si="73"/>
        <v>0.99999999999999989</v>
      </c>
      <c r="AO14" s="87">
        <f t="shared" si="73"/>
        <v>0.99999999999999989</v>
      </c>
      <c r="AP14" s="87">
        <f t="shared" si="73"/>
        <v>0.99999999999999989</v>
      </c>
      <c r="AQ14" s="87">
        <f t="shared" ref="AQ14:AR14" si="74">SUMPRODUCT(AQ15:AQ16,$F$15:$F$16)</f>
        <v>0.99999999999999989</v>
      </c>
      <c r="AR14" s="87">
        <f t="shared" si="74"/>
        <v>0.99999999999999989</v>
      </c>
      <c r="AS14" s="87">
        <f t="shared" ref="AS14" si="75">SUMPRODUCT(AS15:AS16,$F$15:$F$16)</f>
        <v>0.99999999999999989</v>
      </c>
      <c r="AT14" s="87">
        <f t="shared" ref="AT14:BC14" si="76">SUMPRODUCT(AT15:AT16,$F$15:$F$16)</f>
        <v>0.99999999999999989</v>
      </c>
      <c r="AU14" s="87">
        <f t="shared" si="76"/>
        <v>0.99999999999999989</v>
      </c>
      <c r="AV14" s="87">
        <f t="shared" si="76"/>
        <v>0.99999999999999989</v>
      </c>
      <c r="AW14" s="87">
        <f t="shared" si="76"/>
        <v>0.99999999999999989</v>
      </c>
      <c r="AX14" s="87">
        <f t="shared" si="76"/>
        <v>0.99999999999999989</v>
      </c>
      <c r="AY14" s="87">
        <f t="shared" si="76"/>
        <v>0.99999999999999989</v>
      </c>
      <c r="AZ14" s="87">
        <f t="shared" si="76"/>
        <v>0.99999999999999989</v>
      </c>
      <c r="BA14" s="87">
        <f t="shared" si="76"/>
        <v>0.99999999999999989</v>
      </c>
      <c r="BB14" s="87">
        <f t="shared" si="76"/>
        <v>0.99999999999999989</v>
      </c>
      <c r="BC14" s="87">
        <f t="shared" si="76"/>
        <v>0.99999999999999989</v>
      </c>
      <c r="BD14" s="87">
        <f t="shared" ref="BD14:BE14" si="77">SUMPRODUCT(BD15:BD16,$F$15:$F$16)</f>
        <v>0.99999999999999989</v>
      </c>
      <c r="BE14" s="87">
        <f t="shared" si="77"/>
        <v>0.99999999999999989</v>
      </c>
      <c r="BF14" s="87">
        <f t="shared" ref="BF14:BG14" si="78">SUMPRODUCT(BF15:BF16,$F$15:$F$16)</f>
        <v>0.99999999999999989</v>
      </c>
      <c r="BG14" s="87">
        <f t="shared" si="78"/>
        <v>0.99999999999999989</v>
      </c>
      <c r="BH14" s="87">
        <f t="shared" ref="BH14:BI14" si="79">SUMPRODUCT(BH15:BH16,$F$15:$F$16)</f>
        <v>0.99999999999999989</v>
      </c>
      <c r="BI14" s="87">
        <f t="shared" si="79"/>
        <v>0.99999999999999989</v>
      </c>
      <c r="BJ14" s="87">
        <f t="shared" ref="BJ14:BK14" si="80">SUMPRODUCT(BJ15:BJ16,$F$15:$F$16)</f>
        <v>0.99999999999999989</v>
      </c>
      <c r="BK14" s="87">
        <f t="shared" si="80"/>
        <v>0.99999999999999989</v>
      </c>
      <c r="BL14" s="87">
        <f t="shared" ref="BL14:CP14" si="81">SUMPRODUCT(BL15:BL16,$F$15:$F$16)</f>
        <v>0.99999999999999989</v>
      </c>
      <c r="BM14" s="87">
        <f t="shared" si="81"/>
        <v>0.99999999999999989</v>
      </c>
      <c r="BN14" s="87">
        <f t="shared" si="81"/>
        <v>0.99999999999999989</v>
      </c>
      <c r="BO14" s="87">
        <f t="shared" si="81"/>
        <v>0.99999999999999989</v>
      </c>
      <c r="BP14" s="87">
        <f t="shared" si="81"/>
        <v>0.99999999999999989</v>
      </c>
      <c r="BQ14" s="87">
        <f t="shared" si="81"/>
        <v>0.99999999999999989</v>
      </c>
      <c r="BR14" s="87">
        <f t="shared" si="81"/>
        <v>0.99999999999999989</v>
      </c>
      <c r="BS14" s="87">
        <f t="shared" si="81"/>
        <v>0.99999999999999989</v>
      </c>
      <c r="BT14" s="87">
        <f t="shared" si="81"/>
        <v>0.99999999999999989</v>
      </c>
      <c r="BU14" s="87">
        <f t="shared" si="81"/>
        <v>0.99999999999999989</v>
      </c>
      <c r="BV14" s="87">
        <f t="shared" si="81"/>
        <v>0.99999999999999989</v>
      </c>
      <c r="BW14" s="87">
        <f t="shared" si="81"/>
        <v>0.99999999999999989</v>
      </c>
      <c r="BX14" s="87">
        <f t="shared" si="81"/>
        <v>0.99999999999999989</v>
      </c>
      <c r="BY14" s="87">
        <f t="shared" si="81"/>
        <v>0.99999999999999989</v>
      </c>
      <c r="BZ14" s="87">
        <f t="shared" si="81"/>
        <v>0.99999999999999989</v>
      </c>
      <c r="CA14" s="87">
        <f t="shared" si="81"/>
        <v>0.99999999999999989</v>
      </c>
      <c r="CB14" s="87">
        <f t="shared" si="81"/>
        <v>0.99999999999999989</v>
      </c>
      <c r="CC14" s="87">
        <f t="shared" si="81"/>
        <v>0.99999999999999989</v>
      </c>
      <c r="CD14" s="87">
        <f t="shared" si="81"/>
        <v>0.99999999999999989</v>
      </c>
      <c r="CE14" s="87">
        <f t="shared" si="81"/>
        <v>0.99999999999999989</v>
      </c>
      <c r="CF14" s="87">
        <f t="shared" si="81"/>
        <v>0.99999999999999989</v>
      </c>
      <c r="CG14" s="87">
        <f t="shared" si="81"/>
        <v>0.99999999999999989</v>
      </c>
      <c r="CH14" s="87">
        <f t="shared" si="81"/>
        <v>0.99999999999999989</v>
      </c>
      <c r="CI14" s="87">
        <f t="shared" si="81"/>
        <v>0.99999999999999989</v>
      </c>
      <c r="CJ14" s="87">
        <f t="shared" si="81"/>
        <v>0.99999999999999989</v>
      </c>
      <c r="CK14" s="87">
        <f t="shared" si="81"/>
        <v>0.99999999999999989</v>
      </c>
      <c r="CL14" s="87">
        <f t="shared" si="81"/>
        <v>0.99999999999999989</v>
      </c>
      <c r="CM14" s="87">
        <f t="shared" si="81"/>
        <v>0.99999999999999989</v>
      </c>
      <c r="CN14" s="87">
        <f t="shared" si="81"/>
        <v>0.99999999999999989</v>
      </c>
      <c r="CO14" s="87">
        <f t="shared" si="81"/>
        <v>0.99999999999999989</v>
      </c>
      <c r="CP14" s="87">
        <f t="shared" si="81"/>
        <v>0.99999999999999989</v>
      </c>
    </row>
    <row r="15" spans="2:104" hidden="1" outlineLevel="2" x14ac:dyDescent="0.4">
      <c r="B15" s="69"/>
      <c r="C15" s="70"/>
      <c r="D15" s="70"/>
      <c r="E15" s="70" t="s">
        <v>35</v>
      </c>
      <c r="F15" s="71">
        <f>EDTN[[#This Row],[Nuevos Pesos]]</f>
        <v>0.74999999999999989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2.3E-2</v>
      </c>
      <c r="W15" s="71">
        <f>+PlanBase39[[#This Row],[11/08/25]]+2.3%</f>
        <v>4.5999999999999999E-2</v>
      </c>
      <c r="X15" s="71">
        <f>+PlanBase39[[#This Row],[18/08/25]]+3.5%</f>
        <v>8.1000000000000003E-2</v>
      </c>
      <c r="Y15" s="71">
        <f>+PlanBase39[[#This Row],[25/08/25]]+3.5%</f>
        <v>0.11600000000000001</v>
      </c>
      <c r="Z15" s="71">
        <f>+PlanBase39[[#This Row],[01/09/25]]+6.3%</f>
        <v>0.17899999999999999</v>
      </c>
      <c r="AA15" s="71">
        <f>+PlanBase39[[#This Row],[08/09/25]]+6.3%</f>
        <v>0.24199999999999999</v>
      </c>
      <c r="AB15" s="71">
        <f>+PlanBase39[[#This Row],[15/09/25]]+6.3%</f>
        <v>0.30499999999999999</v>
      </c>
      <c r="AC15" s="71">
        <f>+PlanBase39[[#This Row],[22/09/25]]+6.3%</f>
        <v>0.36799999999999999</v>
      </c>
      <c r="AD15" s="71">
        <f>+PlanBase39[[#This Row],[29/09/25]]+6.3%</f>
        <v>0.43099999999999999</v>
      </c>
      <c r="AE15" s="71">
        <f>+PlanBase39[[#This Row],[06/10/25]]+8.5%</f>
        <v>0.51600000000000001</v>
      </c>
      <c r="AF15" s="71">
        <f>+PlanBase39[[#This Row],[13/10/25]]+8.5%</f>
        <v>0.60099999999999998</v>
      </c>
      <c r="AG15" s="71">
        <f>+PlanBase39[[#This Row],[20/10/25]]+8.5%</f>
        <v>0.68599999999999994</v>
      </c>
      <c r="AH15" s="71">
        <f>+PlanBase39[[#This Row],[27/10/25]]+8.5%</f>
        <v>0.77099999999999991</v>
      </c>
      <c r="AI15" s="71">
        <f>+PlanBase39[[#This Row],[03/11/25]]+8.5%</f>
        <v>0.85599999999999987</v>
      </c>
      <c r="AJ15" s="71">
        <f>+PlanBase39[[#This Row],[10/11/25]]+8.5%</f>
        <v>0.94099999999999984</v>
      </c>
      <c r="AK15" s="71">
        <v>1</v>
      </c>
      <c r="AL15" s="71">
        <v>1</v>
      </c>
      <c r="AM15" s="71">
        <v>1</v>
      </c>
      <c r="AN15" s="74">
        <v>1</v>
      </c>
      <c r="AO15" s="74">
        <v>1</v>
      </c>
      <c r="AP15" s="74">
        <v>1</v>
      </c>
      <c r="AQ15" s="74">
        <v>1</v>
      </c>
      <c r="AR15" s="74">
        <v>1</v>
      </c>
      <c r="AS15" s="74">
        <v>1</v>
      </c>
      <c r="AT15" s="74">
        <v>1</v>
      </c>
      <c r="AU15" s="74">
        <v>1</v>
      </c>
      <c r="AV15" s="74">
        <v>1</v>
      </c>
      <c r="AW15" s="74">
        <v>1</v>
      </c>
      <c r="AX15" s="74">
        <v>1</v>
      </c>
      <c r="AY15" s="74">
        <v>1</v>
      </c>
      <c r="AZ15" s="74">
        <v>1</v>
      </c>
      <c r="BA15" s="74">
        <v>1</v>
      </c>
      <c r="BB15" s="74">
        <v>1</v>
      </c>
      <c r="BC15" s="74">
        <v>1</v>
      </c>
      <c r="BD15" s="74">
        <v>1</v>
      </c>
      <c r="BE15" s="74">
        <v>1</v>
      </c>
      <c r="BF15" s="74">
        <v>1</v>
      </c>
      <c r="BG15" s="74">
        <v>1</v>
      </c>
      <c r="BH15" s="74">
        <v>1</v>
      </c>
      <c r="BI15" s="74">
        <v>1</v>
      </c>
      <c r="BJ15" s="74">
        <v>1</v>
      </c>
      <c r="BK15" s="74">
        <v>1</v>
      </c>
      <c r="BL15" s="74">
        <v>1</v>
      </c>
      <c r="BM15" s="74">
        <v>1</v>
      </c>
      <c r="BN15" s="74">
        <v>1</v>
      </c>
      <c r="BO15" s="74">
        <v>1</v>
      </c>
      <c r="BP15" s="74">
        <v>1</v>
      </c>
      <c r="BQ15" s="74">
        <v>1</v>
      </c>
      <c r="BR15" s="74">
        <v>1</v>
      </c>
      <c r="BS15" s="74">
        <v>1</v>
      </c>
      <c r="BT15" s="74">
        <v>1</v>
      </c>
      <c r="BU15" s="74">
        <v>1</v>
      </c>
      <c r="BV15" s="74">
        <v>1</v>
      </c>
      <c r="BW15" s="74">
        <v>1</v>
      </c>
      <c r="BX15" s="74">
        <v>1</v>
      </c>
      <c r="BY15" s="74">
        <v>1</v>
      </c>
      <c r="BZ15" s="74">
        <v>1</v>
      </c>
      <c r="CA15" s="74">
        <v>1</v>
      </c>
      <c r="CB15" s="74">
        <v>1</v>
      </c>
      <c r="CC15" s="74">
        <v>1</v>
      </c>
      <c r="CD15" s="74">
        <v>1</v>
      </c>
      <c r="CE15" s="74">
        <v>1</v>
      </c>
      <c r="CF15" s="74">
        <v>1</v>
      </c>
      <c r="CG15" s="74">
        <v>1</v>
      </c>
      <c r="CH15" s="74">
        <v>1</v>
      </c>
      <c r="CI15" s="74">
        <v>1</v>
      </c>
      <c r="CJ15" s="74">
        <v>1</v>
      </c>
      <c r="CK15" s="74">
        <v>1</v>
      </c>
      <c r="CL15" s="74">
        <v>1</v>
      </c>
      <c r="CM15" s="74">
        <v>1</v>
      </c>
      <c r="CN15" s="74">
        <v>1</v>
      </c>
      <c r="CO15" s="74">
        <v>1</v>
      </c>
      <c r="CP15" s="74">
        <v>1</v>
      </c>
    </row>
    <row r="16" spans="2:104" hidden="1" outlineLevel="2" x14ac:dyDescent="0.4">
      <c r="B16" s="69"/>
      <c r="C16" s="70"/>
      <c r="D16" s="70"/>
      <c r="E16" s="70" t="s">
        <v>357</v>
      </c>
      <c r="F16" s="71">
        <f>EDTN[[#This Row],[Nuevos Pesos]]</f>
        <v>0.25</v>
      </c>
      <c r="H16" s="71">
        <v>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2.3E-2</v>
      </c>
      <c r="W16" s="71">
        <f>+PlanBase39[[#This Row],[11/08/25]]+2.3%</f>
        <v>4.5999999999999999E-2</v>
      </c>
      <c r="X16" s="71">
        <f>+PlanBase39[[#This Row],[18/08/25]]+3.5%</f>
        <v>8.1000000000000003E-2</v>
      </c>
      <c r="Y16" s="71">
        <f>+PlanBase39[[#This Row],[25/08/25]]+3.5%</f>
        <v>0.11600000000000001</v>
      </c>
      <c r="Z16" s="71">
        <f>+PlanBase39[[#This Row],[01/09/25]]+6.3%</f>
        <v>0.17899999999999999</v>
      </c>
      <c r="AA16" s="71">
        <f>+PlanBase39[[#This Row],[08/09/25]]+6.3%</f>
        <v>0.24199999999999999</v>
      </c>
      <c r="AB16" s="71">
        <f>+PlanBase39[[#This Row],[15/09/25]]+6.3%</f>
        <v>0.30499999999999999</v>
      </c>
      <c r="AC16" s="71">
        <f>+PlanBase39[[#This Row],[22/09/25]]+6.3%</f>
        <v>0.36799999999999999</v>
      </c>
      <c r="AD16" s="71">
        <f>+PlanBase39[[#This Row],[29/09/25]]+6.3%</f>
        <v>0.43099999999999999</v>
      </c>
      <c r="AE16" s="71">
        <f>+PlanBase39[[#This Row],[06/10/25]]+8.5%</f>
        <v>0.51600000000000001</v>
      </c>
      <c r="AF16" s="71">
        <f>+PlanBase39[[#This Row],[13/10/25]]+8.5%</f>
        <v>0.60099999999999998</v>
      </c>
      <c r="AG16" s="71">
        <f>+PlanBase39[[#This Row],[20/10/25]]+8.5%</f>
        <v>0.68599999999999994</v>
      </c>
      <c r="AH16" s="71">
        <f>+PlanBase39[[#This Row],[27/10/25]]+8.5%</f>
        <v>0.77099999999999991</v>
      </c>
      <c r="AI16" s="71">
        <f>+PlanBase39[[#This Row],[03/11/25]]+8.5%</f>
        <v>0.85599999999999987</v>
      </c>
      <c r="AJ16" s="71">
        <f>+PlanBase39[[#This Row],[10/11/25]]+8.5%</f>
        <v>0.94099999999999984</v>
      </c>
      <c r="AK16" s="71">
        <v>1</v>
      </c>
      <c r="AL16" s="71">
        <v>1</v>
      </c>
      <c r="AM16" s="71">
        <v>1</v>
      </c>
      <c r="AN16" s="74">
        <v>1</v>
      </c>
      <c r="AO16" s="74">
        <v>1</v>
      </c>
      <c r="AP16" s="74">
        <v>1</v>
      </c>
      <c r="AQ16" s="74">
        <v>1</v>
      </c>
      <c r="AR16" s="74">
        <v>1</v>
      </c>
      <c r="AS16" s="74">
        <v>1</v>
      </c>
      <c r="AT16" s="74">
        <v>1</v>
      </c>
      <c r="AU16" s="74">
        <v>1</v>
      </c>
      <c r="AV16" s="74">
        <v>1</v>
      </c>
      <c r="AW16" s="74">
        <v>1</v>
      </c>
      <c r="AX16" s="74">
        <v>1</v>
      </c>
      <c r="AY16" s="74">
        <v>1</v>
      </c>
      <c r="AZ16" s="74">
        <v>1</v>
      </c>
      <c r="BA16" s="74">
        <v>1</v>
      </c>
      <c r="BB16" s="74">
        <v>1</v>
      </c>
      <c r="BC16" s="74">
        <v>1</v>
      </c>
      <c r="BD16" s="74">
        <v>1</v>
      </c>
      <c r="BE16" s="74">
        <v>1</v>
      </c>
      <c r="BF16" s="74">
        <v>1</v>
      </c>
      <c r="BG16" s="74">
        <v>1</v>
      </c>
      <c r="BH16" s="74">
        <v>1</v>
      </c>
      <c r="BI16" s="74">
        <v>1</v>
      </c>
      <c r="BJ16" s="74">
        <v>1</v>
      </c>
      <c r="BK16" s="74">
        <v>1</v>
      </c>
      <c r="BL16" s="74">
        <v>1</v>
      </c>
      <c r="BM16" s="74">
        <v>1</v>
      </c>
      <c r="BN16" s="74">
        <v>1</v>
      </c>
      <c r="BO16" s="74">
        <v>1</v>
      </c>
      <c r="BP16" s="74">
        <v>1</v>
      </c>
      <c r="BQ16" s="74">
        <v>1</v>
      </c>
      <c r="BR16" s="74">
        <v>1</v>
      </c>
      <c r="BS16" s="74">
        <v>1</v>
      </c>
      <c r="BT16" s="74">
        <v>1</v>
      </c>
      <c r="BU16" s="74">
        <v>1</v>
      </c>
      <c r="BV16" s="74">
        <v>1</v>
      </c>
      <c r="BW16" s="74">
        <v>1</v>
      </c>
      <c r="BX16" s="74">
        <v>1</v>
      </c>
      <c r="BY16" s="74">
        <v>1</v>
      </c>
      <c r="BZ16" s="74">
        <v>1</v>
      </c>
      <c r="CA16" s="74">
        <v>1</v>
      </c>
      <c r="CB16" s="74">
        <v>1</v>
      </c>
      <c r="CC16" s="74">
        <v>1</v>
      </c>
      <c r="CD16" s="74">
        <v>1</v>
      </c>
      <c r="CE16" s="74">
        <v>1</v>
      </c>
      <c r="CF16" s="74">
        <v>1</v>
      </c>
      <c r="CG16" s="74">
        <v>1</v>
      </c>
      <c r="CH16" s="74">
        <v>1</v>
      </c>
      <c r="CI16" s="74">
        <v>1</v>
      </c>
      <c r="CJ16" s="74">
        <v>1</v>
      </c>
      <c r="CK16" s="74">
        <v>1</v>
      </c>
      <c r="CL16" s="74">
        <v>1</v>
      </c>
      <c r="CM16" s="74">
        <v>1</v>
      </c>
      <c r="CN16" s="74">
        <v>1</v>
      </c>
      <c r="CO16" s="74">
        <v>1</v>
      </c>
      <c r="CP16" s="74">
        <v>1</v>
      </c>
    </row>
    <row r="17" spans="2:94" hidden="1" outlineLevel="1" collapsed="1" x14ac:dyDescent="0.4">
      <c r="B17" s="85"/>
      <c r="C17" s="86"/>
      <c r="D17" s="86" t="s">
        <v>39</v>
      </c>
      <c r="E17" s="86"/>
      <c r="F17" s="87">
        <f>EDTN[[#This Row],[Nuevos Pesos]]</f>
        <v>7.8078954422348301E-2</v>
      </c>
      <c r="H17" s="87">
        <f>SUMPRODUCT(H18:H20,$F$18:$F$20)</f>
        <v>0</v>
      </c>
      <c r="I17" s="87">
        <f t="shared" ref="I17:AP17" si="82">SUMPRODUCT(I18:I20,$F$18:$F$20)</f>
        <v>2.8571428571428574E-2</v>
      </c>
      <c r="J17" s="87">
        <f t="shared" si="82"/>
        <v>5.7371428571428573E-2</v>
      </c>
      <c r="K17" s="87">
        <f t="shared" si="82"/>
        <v>8.6171428571428579E-2</v>
      </c>
      <c r="L17" s="87">
        <f t="shared" si="82"/>
        <v>0.11497142857142859</v>
      </c>
      <c r="M17" s="87">
        <f t="shared" si="82"/>
        <v>0.14377142857142858</v>
      </c>
      <c r="N17" s="87">
        <f t="shared" si="82"/>
        <v>0.17257142857142857</v>
      </c>
      <c r="O17" s="87">
        <f t="shared" si="82"/>
        <v>0.20137142857142853</v>
      </c>
      <c r="P17" s="87">
        <f t="shared" si="82"/>
        <v>0.23017142857142858</v>
      </c>
      <c r="Q17" s="87">
        <f t="shared" si="82"/>
        <v>0.27636273291925467</v>
      </c>
      <c r="R17" s="87">
        <f t="shared" si="82"/>
        <v>0.32236273291925466</v>
      </c>
      <c r="S17" s="87">
        <f t="shared" si="82"/>
        <v>0.36836273291925464</v>
      </c>
      <c r="T17" s="87">
        <f t="shared" si="82"/>
        <v>0.41436273291925463</v>
      </c>
      <c r="U17" s="87">
        <f t="shared" si="82"/>
        <v>0.46036273291925461</v>
      </c>
      <c r="V17" s="87">
        <f t="shared" si="82"/>
        <v>0.50636273291925471</v>
      </c>
      <c r="W17" s="87">
        <f t="shared" si="82"/>
        <v>0.55236273291925464</v>
      </c>
      <c r="X17" s="87">
        <f t="shared" si="82"/>
        <v>0.59836273291925468</v>
      </c>
      <c r="Y17" s="87">
        <f t="shared" si="82"/>
        <v>0.64436273291925472</v>
      </c>
      <c r="Z17" s="87">
        <f t="shared" si="82"/>
        <v>0.69036273291925487</v>
      </c>
      <c r="AA17" s="87">
        <f t="shared" si="82"/>
        <v>0.7363627329192548</v>
      </c>
      <c r="AB17" s="87">
        <f t="shared" si="82"/>
        <v>0.78236273291925484</v>
      </c>
      <c r="AC17" s="87">
        <f t="shared" si="82"/>
        <v>0.82379130434782599</v>
      </c>
      <c r="AD17" s="87">
        <f t="shared" si="82"/>
        <v>0.8409913043478261</v>
      </c>
      <c r="AE17" s="87">
        <f t="shared" si="82"/>
        <v>0.85819130434782598</v>
      </c>
      <c r="AF17" s="87">
        <f t="shared" si="82"/>
        <v>0.87539130434782608</v>
      </c>
      <c r="AG17" s="87">
        <f t="shared" si="82"/>
        <v>0.89259130434782619</v>
      </c>
      <c r="AH17" s="87">
        <f t="shared" si="82"/>
        <v>0.90979130434782607</v>
      </c>
      <c r="AI17" s="87">
        <f t="shared" si="82"/>
        <v>0.92699130434782617</v>
      </c>
      <c r="AJ17" s="87">
        <f t="shared" si="82"/>
        <v>0.94419130434782628</v>
      </c>
      <c r="AK17" s="87">
        <f t="shared" si="82"/>
        <v>0.96139130434782616</v>
      </c>
      <c r="AL17" s="87">
        <f t="shared" si="82"/>
        <v>0.97859130434782626</v>
      </c>
      <c r="AM17" s="87">
        <f t="shared" si="82"/>
        <v>1</v>
      </c>
      <c r="AN17" s="87">
        <f t="shared" si="82"/>
        <v>1</v>
      </c>
      <c r="AO17" s="87">
        <f t="shared" si="82"/>
        <v>1</v>
      </c>
      <c r="AP17" s="87">
        <f t="shared" si="82"/>
        <v>1</v>
      </c>
      <c r="AQ17" s="87">
        <f t="shared" ref="AQ17:AR17" si="83">SUMPRODUCT(AQ18:AQ20,$F$18:$F$20)</f>
        <v>1</v>
      </c>
      <c r="AR17" s="87">
        <f t="shared" si="83"/>
        <v>1</v>
      </c>
      <c r="AS17" s="87">
        <f t="shared" ref="AS17" si="84">SUMPRODUCT(AS18:AS20,$F$18:$F$20)</f>
        <v>1</v>
      </c>
      <c r="AT17" s="87">
        <f t="shared" ref="AT17:BC17" si="85">SUMPRODUCT(AT18:AT20,$F$18:$F$20)</f>
        <v>1</v>
      </c>
      <c r="AU17" s="87">
        <f t="shared" si="85"/>
        <v>1</v>
      </c>
      <c r="AV17" s="87">
        <f t="shared" si="85"/>
        <v>1</v>
      </c>
      <c r="AW17" s="87">
        <f t="shared" si="85"/>
        <v>1</v>
      </c>
      <c r="AX17" s="87">
        <f t="shared" si="85"/>
        <v>1</v>
      </c>
      <c r="AY17" s="87">
        <f t="shared" si="85"/>
        <v>1</v>
      </c>
      <c r="AZ17" s="87">
        <f t="shared" si="85"/>
        <v>1</v>
      </c>
      <c r="BA17" s="87">
        <f t="shared" si="85"/>
        <v>1</v>
      </c>
      <c r="BB17" s="87">
        <f t="shared" si="85"/>
        <v>1</v>
      </c>
      <c r="BC17" s="87">
        <f t="shared" si="85"/>
        <v>1</v>
      </c>
      <c r="BD17" s="87">
        <f t="shared" ref="BD17:BE17" si="86">SUMPRODUCT(BD18:BD20,$F$18:$F$20)</f>
        <v>1</v>
      </c>
      <c r="BE17" s="87">
        <f t="shared" si="86"/>
        <v>1</v>
      </c>
      <c r="BF17" s="87">
        <f t="shared" ref="BF17:BG17" si="87">SUMPRODUCT(BF18:BF20,$F$18:$F$20)</f>
        <v>1</v>
      </c>
      <c r="BG17" s="87">
        <f t="shared" si="87"/>
        <v>1</v>
      </c>
      <c r="BH17" s="87">
        <f t="shared" ref="BH17:BI17" si="88">SUMPRODUCT(BH18:BH20,$F$18:$F$20)</f>
        <v>1</v>
      </c>
      <c r="BI17" s="87">
        <f t="shared" si="88"/>
        <v>1</v>
      </c>
      <c r="BJ17" s="87">
        <f t="shared" ref="BJ17:BK17" si="89">SUMPRODUCT(BJ18:BJ20,$F$18:$F$20)</f>
        <v>1</v>
      </c>
      <c r="BK17" s="87">
        <f t="shared" si="89"/>
        <v>1</v>
      </c>
      <c r="BL17" s="87">
        <f t="shared" ref="BL17:CP17" si="90">SUMPRODUCT(BL18:BL20,$F$18:$F$20)</f>
        <v>1</v>
      </c>
      <c r="BM17" s="87">
        <f t="shared" si="90"/>
        <v>1</v>
      </c>
      <c r="BN17" s="87">
        <f t="shared" si="90"/>
        <v>1</v>
      </c>
      <c r="BO17" s="87">
        <f t="shared" si="90"/>
        <v>1</v>
      </c>
      <c r="BP17" s="87">
        <f t="shared" si="90"/>
        <v>1</v>
      </c>
      <c r="BQ17" s="87">
        <f t="shared" si="90"/>
        <v>1</v>
      </c>
      <c r="BR17" s="87">
        <f t="shared" si="90"/>
        <v>1</v>
      </c>
      <c r="BS17" s="87">
        <f t="shared" si="90"/>
        <v>1</v>
      </c>
      <c r="BT17" s="87">
        <f t="shared" si="90"/>
        <v>1</v>
      </c>
      <c r="BU17" s="87">
        <f t="shared" si="90"/>
        <v>1</v>
      </c>
      <c r="BV17" s="87">
        <f t="shared" si="90"/>
        <v>1</v>
      </c>
      <c r="BW17" s="87">
        <f t="shared" si="90"/>
        <v>1</v>
      </c>
      <c r="BX17" s="87">
        <f t="shared" si="90"/>
        <v>1</v>
      </c>
      <c r="BY17" s="87">
        <f t="shared" si="90"/>
        <v>1</v>
      </c>
      <c r="BZ17" s="87">
        <f t="shared" si="90"/>
        <v>1</v>
      </c>
      <c r="CA17" s="87">
        <f t="shared" si="90"/>
        <v>1</v>
      </c>
      <c r="CB17" s="87">
        <f t="shared" si="90"/>
        <v>1</v>
      </c>
      <c r="CC17" s="87">
        <f t="shared" si="90"/>
        <v>1</v>
      </c>
      <c r="CD17" s="87">
        <f t="shared" si="90"/>
        <v>1</v>
      </c>
      <c r="CE17" s="87">
        <f t="shared" si="90"/>
        <v>1</v>
      </c>
      <c r="CF17" s="87">
        <f t="shared" si="90"/>
        <v>1</v>
      </c>
      <c r="CG17" s="87">
        <f t="shared" si="90"/>
        <v>1</v>
      </c>
      <c r="CH17" s="87">
        <f t="shared" si="90"/>
        <v>1</v>
      </c>
      <c r="CI17" s="87">
        <f t="shared" si="90"/>
        <v>1</v>
      </c>
      <c r="CJ17" s="87">
        <f t="shared" si="90"/>
        <v>1</v>
      </c>
      <c r="CK17" s="87">
        <f t="shared" si="90"/>
        <v>1</v>
      </c>
      <c r="CL17" s="87">
        <f t="shared" si="90"/>
        <v>1</v>
      </c>
      <c r="CM17" s="87">
        <f t="shared" si="90"/>
        <v>1</v>
      </c>
      <c r="CN17" s="87">
        <f t="shared" si="90"/>
        <v>1</v>
      </c>
      <c r="CO17" s="87">
        <f t="shared" si="90"/>
        <v>1</v>
      </c>
      <c r="CP17" s="87">
        <f t="shared" si="90"/>
        <v>1</v>
      </c>
    </row>
    <row r="18" spans="2:94" hidden="1" outlineLevel="2" x14ac:dyDescent="0.4">
      <c r="B18" s="69"/>
      <c r="C18" s="70"/>
      <c r="D18" s="70"/>
      <c r="E18" s="70" t="s">
        <v>40</v>
      </c>
      <c r="F18" s="71">
        <f>EDTN[[#This Row],[Nuevos Pesos]]</f>
        <v>0.4</v>
      </c>
      <c r="H18" s="71">
        <v>0</v>
      </c>
      <c r="I18" s="71">
        <v>4.7619047619047616E-2</v>
      </c>
      <c r="J18" s="71">
        <f>+PlanBase39[[#This Row],[12/05/25]]+4.8%</f>
        <v>9.5619047619047617E-2</v>
      </c>
      <c r="K18" s="71">
        <f>+PlanBase39[[#This Row],[19/05/25]]+4.8%</f>
        <v>0.14361904761904762</v>
      </c>
      <c r="L18" s="71">
        <f>+PlanBase39[[#This Row],[26/05/25]]+4.8%</f>
        <v>0.19161904761904763</v>
      </c>
      <c r="M18" s="71">
        <f>+PlanBase39[[#This Row],[02/06/25]]+4.8%</f>
        <v>0.23961904761904762</v>
      </c>
      <c r="N18" s="71">
        <f>+PlanBase39[[#This Row],[09/06/25]]+4.8%</f>
        <v>0.28761904761904761</v>
      </c>
      <c r="O18" s="71">
        <f>+PlanBase39[[#This Row],[16/06/25]]+4.8%</f>
        <v>0.33561904761904759</v>
      </c>
      <c r="P18" s="71">
        <f>+PlanBase39[[#This Row],[23/06/25]]+4.8%</f>
        <v>0.38361904761904758</v>
      </c>
      <c r="Q18" s="71">
        <f>+PlanBase39[[#This Row],[30/06/25]]+4.8%</f>
        <v>0.43161904761904757</v>
      </c>
      <c r="R18" s="71">
        <f>+PlanBase39[[#This Row],[07/07/25]]+4.8%</f>
        <v>0.47961904761904756</v>
      </c>
      <c r="S18" s="71">
        <f>+PlanBase39[[#This Row],[14/07/25]]+4.8%</f>
        <v>0.52761904761904754</v>
      </c>
      <c r="T18" s="71">
        <f>+PlanBase39[[#This Row],[21/07/25]]+4.8%</f>
        <v>0.57561904761904759</v>
      </c>
      <c r="U18" s="71">
        <f>+PlanBase39[[#This Row],[28/07/25]]+4.8%</f>
        <v>0.62361904761904763</v>
      </c>
      <c r="V18" s="71">
        <f>+PlanBase39[[#This Row],[04/08/25]]+4.8%</f>
        <v>0.67161904761904767</v>
      </c>
      <c r="W18" s="71">
        <f>+PlanBase39[[#This Row],[11/08/25]]+4.8%</f>
        <v>0.71961904761904771</v>
      </c>
      <c r="X18" s="71">
        <f>+PlanBase39[[#This Row],[18/08/25]]+4.8%</f>
        <v>0.76761904761904776</v>
      </c>
      <c r="Y18" s="71">
        <f>+PlanBase39[[#This Row],[25/08/25]]+4.8%</f>
        <v>0.8156190476190478</v>
      </c>
      <c r="Z18" s="71">
        <f>+PlanBase39[[#This Row],[01/09/25]]+4.8%</f>
        <v>0.86361904761904784</v>
      </c>
      <c r="AA18" s="71">
        <f>+PlanBase39[[#This Row],[08/09/25]]+4.8%</f>
        <v>0.91161904761904788</v>
      </c>
      <c r="AB18" s="71">
        <f>+PlanBase39[[#This Row],[15/09/25]]+4.8%</f>
        <v>0.95961904761904793</v>
      </c>
      <c r="AC18" s="71">
        <v>1</v>
      </c>
      <c r="AD18" s="71">
        <v>1</v>
      </c>
      <c r="AE18" s="71">
        <v>1</v>
      </c>
      <c r="AF18" s="71">
        <v>1</v>
      </c>
      <c r="AG18" s="71">
        <v>1</v>
      </c>
      <c r="AH18" s="71">
        <v>1</v>
      </c>
      <c r="AI18" s="71">
        <v>1</v>
      </c>
      <c r="AJ18" s="71">
        <v>1</v>
      </c>
      <c r="AK18" s="71">
        <v>1</v>
      </c>
      <c r="AL18" s="71">
        <v>1</v>
      </c>
      <c r="AM18" s="71">
        <v>1</v>
      </c>
      <c r="AN18" s="71">
        <v>1</v>
      </c>
      <c r="AO18" s="71">
        <v>1</v>
      </c>
      <c r="AP18" s="71">
        <v>1</v>
      </c>
      <c r="AQ18" s="71">
        <v>1</v>
      </c>
      <c r="AR18" s="71">
        <v>1</v>
      </c>
      <c r="AS18" s="71">
        <v>1</v>
      </c>
      <c r="AT18" s="71">
        <v>1</v>
      </c>
      <c r="AU18" s="71">
        <v>1</v>
      </c>
      <c r="AV18" s="71">
        <v>1</v>
      </c>
      <c r="AW18" s="71">
        <v>1</v>
      </c>
      <c r="AX18" s="71">
        <v>1</v>
      </c>
      <c r="AY18" s="71">
        <v>1</v>
      </c>
      <c r="AZ18" s="71">
        <v>1</v>
      </c>
      <c r="BA18" s="71">
        <v>1</v>
      </c>
      <c r="BB18" s="71">
        <v>1</v>
      </c>
      <c r="BC18" s="71">
        <v>1</v>
      </c>
      <c r="BD18" s="71">
        <v>1</v>
      </c>
      <c r="BE18" s="71">
        <v>1</v>
      </c>
      <c r="BF18" s="71">
        <v>1</v>
      </c>
      <c r="BG18" s="71">
        <v>1</v>
      </c>
      <c r="BH18" s="71">
        <v>1</v>
      </c>
      <c r="BI18" s="71">
        <v>1</v>
      </c>
      <c r="BJ18" s="71">
        <v>1</v>
      </c>
      <c r="BK18" s="71">
        <v>1</v>
      </c>
      <c r="BL18" s="71">
        <v>1</v>
      </c>
      <c r="BM18" s="71">
        <v>1</v>
      </c>
      <c r="BN18" s="71">
        <v>1</v>
      </c>
      <c r="BO18" s="71">
        <v>1</v>
      </c>
      <c r="BP18" s="71">
        <v>1</v>
      </c>
      <c r="BQ18" s="71">
        <v>1</v>
      </c>
      <c r="BR18" s="71">
        <v>1</v>
      </c>
      <c r="BS18" s="71">
        <v>1</v>
      </c>
      <c r="BT18" s="71">
        <v>1</v>
      </c>
      <c r="BU18" s="71">
        <v>1</v>
      </c>
      <c r="BV18" s="71">
        <v>1</v>
      </c>
      <c r="BW18" s="71">
        <v>1</v>
      </c>
      <c r="BX18" s="71">
        <v>1</v>
      </c>
      <c r="BY18" s="71">
        <v>1</v>
      </c>
      <c r="BZ18" s="71">
        <v>1</v>
      </c>
      <c r="CA18" s="71">
        <v>1</v>
      </c>
      <c r="CB18" s="71">
        <v>1</v>
      </c>
      <c r="CC18" s="71">
        <v>1</v>
      </c>
      <c r="CD18" s="71">
        <v>1</v>
      </c>
      <c r="CE18" s="71">
        <v>1</v>
      </c>
      <c r="CF18" s="71">
        <v>1</v>
      </c>
      <c r="CG18" s="71">
        <v>1</v>
      </c>
      <c r="CH18" s="71">
        <v>1</v>
      </c>
      <c r="CI18" s="71">
        <v>1</v>
      </c>
      <c r="CJ18" s="71">
        <v>1</v>
      </c>
      <c r="CK18" s="71">
        <v>1</v>
      </c>
      <c r="CL18" s="71">
        <v>1</v>
      </c>
      <c r="CM18" s="71">
        <v>1</v>
      </c>
      <c r="CN18" s="71">
        <v>1</v>
      </c>
      <c r="CO18" s="71">
        <v>1</v>
      </c>
      <c r="CP18" s="71">
        <v>1</v>
      </c>
    </row>
    <row r="19" spans="2:94" hidden="1" outlineLevel="2" x14ac:dyDescent="0.4">
      <c r="B19" s="69"/>
      <c r="C19" s="70"/>
      <c r="D19" s="70"/>
      <c r="E19" s="70" t="s">
        <v>41</v>
      </c>
      <c r="F19" s="71">
        <f>EDTN[[#This Row],[Nuevos Pesos]]</f>
        <v>0.4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4.3478260869565216E-2</v>
      </c>
      <c r="R19" s="71">
        <f>+PlanBase39[[#This Row],[07/07/25]]+4.3%</f>
        <v>8.6478260869565213E-2</v>
      </c>
      <c r="S19" s="71">
        <f>+PlanBase39[[#This Row],[14/07/25]]+4.3%</f>
        <v>0.12947826086956521</v>
      </c>
      <c r="T19" s="71">
        <f>+PlanBase39[[#This Row],[21/07/25]]+4.3%</f>
        <v>0.17247826086956519</v>
      </c>
      <c r="U19" s="71">
        <f>+PlanBase39[[#This Row],[28/07/25]]+4.3%</f>
        <v>0.21547826086956517</v>
      </c>
      <c r="V19" s="71">
        <f>+PlanBase39[[#This Row],[04/08/25]]+4.3%</f>
        <v>0.25847826086956516</v>
      </c>
      <c r="W19" s="71">
        <f>+PlanBase39[[#This Row],[11/08/25]]+4.3%</f>
        <v>0.30147826086956514</v>
      </c>
      <c r="X19" s="71">
        <f>+PlanBase39[[#This Row],[18/08/25]]+4.3%</f>
        <v>0.34447826086956512</v>
      </c>
      <c r="Y19" s="71">
        <f>+PlanBase39[[#This Row],[25/08/25]]+4.3%</f>
        <v>0.38747826086956511</v>
      </c>
      <c r="Z19" s="71">
        <f>+PlanBase39[[#This Row],[01/09/25]]+4.3%</f>
        <v>0.43047826086956509</v>
      </c>
      <c r="AA19" s="71">
        <f>+PlanBase39[[#This Row],[08/09/25]]+4.3%</f>
        <v>0.47347826086956507</v>
      </c>
      <c r="AB19" s="71">
        <f>+PlanBase39[[#This Row],[15/09/25]]+4.3%</f>
        <v>0.51647826086956505</v>
      </c>
      <c r="AC19" s="71">
        <f>+PlanBase39[[#This Row],[22/09/25]]+4.3%</f>
        <v>0.55947826086956509</v>
      </c>
      <c r="AD19" s="71">
        <f>+PlanBase39[[#This Row],[29/09/25]]+4.3%</f>
        <v>0.60247826086956513</v>
      </c>
      <c r="AE19" s="71">
        <f>+PlanBase39[[#This Row],[06/10/25]]+4.3%</f>
        <v>0.64547826086956517</v>
      </c>
      <c r="AF19" s="71">
        <f>+PlanBase39[[#This Row],[13/10/25]]+4.3%</f>
        <v>0.68847826086956521</v>
      </c>
      <c r="AG19" s="71">
        <f>+PlanBase39[[#This Row],[20/10/25]]+4.3%</f>
        <v>0.73147826086956524</v>
      </c>
      <c r="AH19" s="71">
        <f>+PlanBase39[[#This Row],[27/10/25]]+4.3%</f>
        <v>0.77447826086956528</v>
      </c>
      <c r="AI19" s="71">
        <f>+PlanBase39[[#This Row],[03/11/25]]+4.3%</f>
        <v>0.81747826086956532</v>
      </c>
      <c r="AJ19" s="71">
        <f>+PlanBase39[[#This Row],[10/11/25]]+4.3%</f>
        <v>0.86047826086956536</v>
      </c>
      <c r="AK19" s="71">
        <f>+PlanBase39[[#This Row],[17/11/25]]+4.3%</f>
        <v>0.9034782608695654</v>
      </c>
      <c r="AL19" s="71">
        <f>+PlanBase39[[#This Row],[24/11/25]]+4.3%</f>
        <v>0.94647826086956544</v>
      </c>
      <c r="AM19" s="71">
        <v>1</v>
      </c>
      <c r="AN19" s="71">
        <v>1</v>
      </c>
      <c r="AO19" s="71">
        <v>1</v>
      </c>
      <c r="AP19" s="71">
        <v>1</v>
      </c>
      <c r="AQ19" s="71">
        <v>1</v>
      </c>
      <c r="AR19" s="71">
        <v>1</v>
      </c>
      <c r="AS19" s="71">
        <v>1</v>
      </c>
      <c r="AT19" s="71">
        <v>1</v>
      </c>
      <c r="AU19" s="71">
        <v>1</v>
      </c>
      <c r="AV19" s="71">
        <v>1</v>
      </c>
      <c r="AW19" s="71">
        <v>1</v>
      </c>
      <c r="AX19" s="71">
        <v>1</v>
      </c>
      <c r="AY19" s="71">
        <v>1</v>
      </c>
      <c r="AZ19" s="71">
        <v>1</v>
      </c>
      <c r="BA19" s="71">
        <v>1</v>
      </c>
      <c r="BB19" s="71">
        <v>1</v>
      </c>
      <c r="BC19" s="71">
        <v>1</v>
      </c>
      <c r="BD19" s="71">
        <v>1</v>
      </c>
      <c r="BE19" s="71">
        <v>1</v>
      </c>
      <c r="BF19" s="71">
        <v>1</v>
      </c>
      <c r="BG19" s="71">
        <v>1</v>
      </c>
      <c r="BH19" s="71">
        <v>1</v>
      </c>
      <c r="BI19" s="71">
        <v>1</v>
      </c>
      <c r="BJ19" s="71">
        <v>1</v>
      </c>
      <c r="BK19" s="71">
        <v>1</v>
      </c>
      <c r="BL19" s="71">
        <v>1</v>
      </c>
      <c r="BM19" s="71">
        <v>1</v>
      </c>
      <c r="BN19" s="71">
        <v>1</v>
      </c>
      <c r="BO19" s="71">
        <v>1</v>
      </c>
      <c r="BP19" s="71">
        <v>1</v>
      </c>
      <c r="BQ19" s="71">
        <v>1</v>
      </c>
      <c r="BR19" s="71">
        <v>1</v>
      </c>
      <c r="BS19" s="71">
        <v>1</v>
      </c>
      <c r="BT19" s="71">
        <v>1</v>
      </c>
      <c r="BU19" s="71">
        <v>1</v>
      </c>
      <c r="BV19" s="71">
        <v>1</v>
      </c>
      <c r="BW19" s="71">
        <v>1</v>
      </c>
      <c r="BX19" s="71">
        <v>1</v>
      </c>
      <c r="BY19" s="71">
        <v>1</v>
      </c>
      <c r="BZ19" s="71">
        <v>1</v>
      </c>
      <c r="CA19" s="71">
        <v>1</v>
      </c>
      <c r="CB19" s="71">
        <v>1</v>
      </c>
      <c r="CC19" s="71">
        <v>1</v>
      </c>
      <c r="CD19" s="71">
        <v>1</v>
      </c>
      <c r="CE19" s="71">
        <v>1</v>
      </c>
      <c r="CF19" s="71">
        <v>1</v>
      </c>
      <c r="CG19" s="71">
        <v>1</v>
      </c>
      <c r="CH19" s="71">
        <v>1</v>
      </c>
      <c r="CI19" s="71">
        <v>1</v>
      </c>
      <c r="CJ19" s="71">
        <v>1</v>
      </c>
      <c r="CK19" s="71">
        <v>1</v>
      </c>
      <c r="CL19" s="71">
        <v>1</v>
      </c>
      <c r="CM19" s="71">
        <v>1</v>
      </c>
      <c r="CN19" s="71">
        <v>1</v>
      </c>
      <c r="CO19" s="71">
        <v>1</v>
      </c>
      <c r="CP19" s="71">
        <v>1</v>
      </c>
    </row>
    <row r="20" spans="2:94" hidden="1" outlineLevel="2" x14ac:dyDescent="0.4">
      <c r="B20" s="69"/>
      <c r="C20" s="70"/>
      <c r="D20" s="70"/>
      <c r="E20" s="70" t="s">
        <v>42</v>
      </c>
      <c r="F20" s="71">
        <f>EDTN[[#This Row],[Nuevos Pesos]]</f>
        <v>0.2</v>
      </c>
      <c r="H20" s="71">
        <v>0</v>
      </c>
      <c r="I20" s="71">
        <v>4.7619047619047616E-2</v>
      </c>
      <c r="J20" s="71">
        <f>+PlanBase39[[#This Row],[12/05/25]]+4.8%</f>
        <v>9.5619047619047617E-2</v>
      </c>
      <c r="K20" s="71">
        <f>+PlanBase39[[#This Row],[19/05/25]]+4.8%</f>
        <v>0.14361904761904762</v>
      </c>
      <c r="L20" s="71">
        <f>+PlanBase39[[#This Row],[26/05/25]]+4.8%</f>
        <v>0.19161904761904763</v>
      </c>
      <c r="M20" s="71">
        <f>+PlanBase39[[#This Row],[02/06/25]]+4.8%</f>
        <v>0.23961904761904762</v>
      </c>
      <c r="N20" s="71">
        <f>+PlanBase39[[#This Row],[09/06/25]]+4.8%</f>
        <v>0.28761904761904761</v>
      </c>
      <c r="O20" s="71">
        <f>+PlanBase39[[#This Row],[16/06/25]]+4.8%</f>
        <v>0.33561904761904759</v>
      </c>
      <c r="P20" s="71">
        <f>+PlanBase39[[#This Row],[23/06/25]]+4.8%</f>
        <v>0.38361904761904758</v>
      </c>
      <c r="Q20" s="71">
        <f>+PlanBase39[[#This Row],[30/06/25]]+4.8%</f>
        <v>0.43161904761904757</v>
      </c>
      <c r="R20" s="71">
        <f>+PlanBase39[[#This Row],[07/07/25]]+4.8%</f>
        <v>0.47961904761904756</v>
      </c>
      <c r="S20" s="71">
        <f>+PlanBase39[[#This Row],[14/07/25]]+4.8%</f>
        <v>0.52761904761904754</v>
      </c>
      <c r="T20" s="71">
        <f>+PlanBase39[[#This Row],[21/07/25]]+4.8%</f>
        <v>0.57561904761904759</v>
      </c>
      <c r="U20" s="71">
        <f>+PlanBase39[[#This Row],[28/07/25]]+4.8%</f>
        <v>0.62361904761904763</v>
      </c>
      <c r="V20" s="71">
        <f>+PlanBase39[[#This Row],[04/08/25]]+4.8%</f>
        <v>0.67161904761904767</v>
      </c>
      <c r="W20" s="71">
        <f>+PlanBase39[[#This Row],[11/08/25]]+4.8%</f>
        <v>0.71961904761904771</v>
      </c>
      <c r="X20" s="71">
        <f>+PlanBase39[[#This Row],[18/08/25]]+4.8%</f>
        <v>0.76761904761904776</v>
      </c>
      <c r="Y20" s="71">
        <f>+PlanBase39[[#This Row],[25/08/25]]+4.8%</f>
        <v>0.8156190476190478</v>
      </c>
      <c r="Z20" s="71">
        <f>+PlanBase39[[#This Row],[01/09/25]]+4.8%</f>
        <v>0.86361904761904784</v>
      </c>
      <c r="AA20" s="71">
        <f>+PlanBase39[[#This Row],[08/09/25]]+4.8%</f>
        <v>0.91161904761904788</v>
      </c>
      <c r="AB20" s="71">
        <f>+PlanBase39[[#This Row],[15/09/25]]+4.8%</f>
        <v>0.95961904761904793</v>
      </c>
      <c r="AC20" s="71">
        <v>1</v>
      </c>
      <c r="AD20" s="71">
        <v>1</v>
      </c>
      <c r="AE20" s="71">
        <v>1</v>
      </c>
      <c r="AF20" s="71">
        <v>1</v>
      </c>
      <c r="AG20" s="71">
        <v>1</v>
      </c>
      <c r="AH20" s="71">
        <v>1</v>
      </c>
      <c r="AI20" s="71">
        <v>1</v>
      </c>
      <c r="AJ20" s="71">
        <v>1</v>
      </c>
      <c r="AK20" s="71">
        <v>1</v>
      </c>
      <c r="AL20" s="71">
        <v>1</v>
      </c>
      <c r="AM20" s="71">
        <v>1</v>
      </c>
      <c r="AN20" s="71">
        <v>1</v>
      </c>
      <c r="AO20" s="71">
        <v>1</v>
      </c>
      <c r="AP20" s="71">
        <v>1</v>
      </c>
      <c r="AQ20" s="71">
        <v>1</v>
      </c>
      <c r="AR20" s="71">
        <v>1</v>
      </c>
      <c r="AS20" s="71">
        <v>1</v>
      </c>
      <c r="AT20" s="71">
        <v>1</v>
      </c>
      <c r="AU20" s="71">
        <v>1</v>
      </c>
      <c r="AV20" s="71">
        <v>1</v>
      </c>
      <c r="AW20" s="71">
        <v>1</v>
      </c>
      <c r="AX20" s="71">
        <v>1</v>
      </c>
      <c r="AY20" s="71">
        <v>1</v>
      </c>
      <c r="AZ20" s="71">
        <v>1</v>
      </c>
      <c r="BA20" s="71">
        <v>1</v>
      </c>
      <c r="BB20" s="71">
        <v>1</v>
      </c>
      <c r="BC20" s="71">
        <v>1</v>
      </c>
      <c r="BD20" s="71">
        <v>1</v>
      </c>
      <c r="BE20" s="71">
        <v>1</v>
      </c>
      <c r="BF20" s="71">
        <v>1</v>
      </c>
      <c r="BG20" s="71">
        <v>1</v>
      </c>
      <c r="BH20" s="71">
        <v>1</v>
      </c>
      <c r="BI20" s="71">
        <v>1</v>
      </c>
      <c r="BJ20" s="71">
        <v>1</v>
      </c>
      <c r="BK20" s="71">
        <v>1</v>
      </c>
      <c r="BL20" s="71">
        <v>1</v>
      </c>
      <c r="BM20" s="71">
        <v>1</v>
      </c>
      <c r="BN20" s="71">
        <v>1</v>
      </c>
      <c r="BO20" s="71">
        <v>1</v>
      </c>
      <c r="BP20" s="71">
        <v>1</v>
      </c>
      <c r="BQ20" s="71">
        <v>1</v>
      </c>
      <c r="BR20" s="71">
        <v>1</v>
      </c>
      <c r="BS20" s="71">
        <v>1</v>
      </c>
      <c r="BT20" s="71">
        <v>1</v>
      </c>
      <c r="BU20" s="71">
        <v>1</v>
      </c>
      <c r="BV20" s="71">
        <v>1</v>
      </c>
      <c r="BW20" s="71">
        <v>1</v>
      </c>
      <c r="BX20" s="71">
        <v>1</v>
      </c>
      <c r="BY20" s="71">
        <v>1</v>
      </c>
      <c r="BZ20" s="71">
        <v>1</v>
      </c>
      <c r="CA20" s="71">
        <v>1</v>
      </c>
      <c r="CB20" s="71">
        <v>1</v>
      </c>
      <c r="CC20" s="71">
        <v>1</v>
      </c>
      <c r="CD20" s="71">
        <v>1</v>
      </c>
      <c r="CE20" s="71">
        <v>1</v>
      </c>
      <c r="CF20" s="71">
        <v>1</v>
      </c>
      <c r="CG20" s="71">
        <v>1</v>
      </c>
      <c r="CH20" s="71">
        <v>1</v>
      </c>
      <c r="CI20" s="71">
        <v>1</v>
      </c>
      <c r="CJ20" s="71">
        <v>1</v>
      </c>
      <c r="CK20" s="71">
        <v>1</v>
      </c>
      <c r="CL20" s="71">
        <v>1</v>
      </c>
      <c r="CM20" s="71">
        <v>1</v>
      </c>
      <c r="CN20" s="71">
        <v>1</v>
      </c>
      <c r="CO20" s="71">
        <v>1</v>
      </c>
      <c r="CP20" s="71">
        <v>1</v>
      </c>
    </row>
    <row r="21" spans="2:94" hidden="1" outlineLevel="1" collapsed="1" x14ac:dyDescent="0.4">
      <c r="B21" s="85"/>
      <c r="C21" s="86"/>
      <c r="D21" s="86" t="s">
        <v>43</v>
      </c>
      <c r="E21" s="86"/>
      <c r="F21" s="87">
        <f>EDTN[[#This Row],[Nuevos Pesos]]</f>
        <v>0.2250620980454589</v>
      </c>
      <c r="H21" s="87">
        <f>SUMPRODUCT(H22:H23,$F$22:$F$23)</f>
        <v>0</v>
      </c>
      <c r="I21" s="87">
        <f t="shared" ref="I21:AP21" si="91">SUMPRODUCT(I22:I23,$F$22:$F$23)</f>
        <v>4.6969696969696974E-2</v>
      </c>
      <c r="J21" s="87">
        <f t="shared" si="91"/>
        <v>0.11363636363636365</v>
      </c>
      <c r="K21" s="87">
        <f t="shared" si="91"/>
        <v>0.19696969696969696</v>
      </c>
      <c r="L21" s="87">
        <f t="shared" si="91"/>
        <v>0.28696969696969699</v>
      </c>
      <c r="M21" s="87">
        <f t="shared" si="91"/>
        <v>0.37696969696969695</v>
      </c>
      <c r="N21" s="87">
        <f t="shared" si="91"/>
        <v>0.46030303030303027</v>
      </c>
      <c r="O21" s="87">
        <f t="shared" si="91"/>
        <v>0.52696969696969698</v>
      </c>
      <c r="P21" s="87">
        <f t="shared" si="91"/>
        <v>0.57030303030303031</v>
      </c>
      <c r="Q21" s="87">
        <f t="shared" si="91"/>
        <v>0.60363636363636353</v>
      </c>
      <c r="R21" s="87">
        <f t="shared" si="91"/>
        <v>0.63363636363636355</v>
      </c>
      <c r="S21" s="87">
        <f t="shared" si="91"/>
        <v>0.66363636363636358</v>
      </c>
      <c r="T21" s="87">
        <f t="shared" si="91"/>
        <v>0.69363636363636361</v>
      </c>
      <c r="U21" s="87">
        <f t="shared" si="91"/>
        <v>0.72363636363636363</v>
      </c>
      <c r="V21" s="87">
        <f t="shared" si="91"/>
        <v>0.75363636363636366</v>
      </c>
      <c r="W21" s="87">
        <f t="shared" si="91"/>
        <v>0.78363636363636369</v>
      </c>
      <c r="X21" s="87">
        <f t="shared" si="91"/>
        <v>0.81363636363636371</v>
      </c>
      <c r="Y21" s="87">
        <f t="shared" si="91"/>
        <v>0.84363636363636363</v>
      </c>
      <c r="Z21" s="87">
        <f t="shared" si="91"/>
        <v>0.87363636363636366</v>
      </c>
      <c r="AA21" s="87">
        <f t="shared" si="91"/>
        <v>0.90363636363636368</v>
      </c>
      <c r="AB21" s="87">
        <f t="shared" si="91"/>
        <v>0.93363636363636371</v>
      </c>
      <c r="AC21" s="87">
        <f t="shared" si="91"/>
        <v>0.96363636363636374</v>
      </c>
      <c r="AD21" s="87">
        <f t="shared" si="91"/>
        <v>1</v>
      </c>
      <c r="AE21" s="87">
        <f t="shared" si="91"/>
        <v>1</v>
      </c>
      <c r="AF21" s="87">
        <f t="shared" si="91"/>
        <v>1</v>
      </c>
      <c r="AG21" s="87">
        <f t="shared" si="91"/>
        <v>1</v>
      </c>
      <c r="AH21" s="87">
        <f t="shared" si="91"/>
        <v>1</v>
      </c>
      <c r="AI21" s="87">
        <f t="shared" si="91"/>
        <v>1</v>
      </c>
      <c r="AJ21" s="87">
        <f t="shared" si="91"/>
        <v>1</v>
      </c>
      <c r="AK21" s="87">
        <f t="shared" si="91"/>
        <v>1</v>
      </c>
      <c r="AL21" s="87">
        <f t="shared" si="91"/>
        <v>1</v>
      </c>
      <c r="AM21" s="87">
        <f t="shared" si="91"/>
        <v>1</v>
      </c>
      <c r="AN21" s="87">
        <f t="shared" si="91"/>
        <v>1</v>
      </c>
      <c r="AO21" s="87">
        <f t="shared" si="91"/>
        <v>1</v>
      </c>
      <c r="AP21" s="87">
        <f t="shared" si="91"/>
        <v>1</v>
      </c>
      <c r="AQ21" s="87">
        <f t="shared" ref="AQ21:AR21" si="92">SUMPRODUCT(AQ22:AQ23,$F$22:$F$23)</f>
        <v>1</v>
      </c>
      <c r="AR21" s="87">
        <f t="shared" si="92"/>
        <v>1</v>
      </c>
      <c r="AS21" s="87">
        <f t="shared" ref="AS21" si="93">SUMPRODUCT(AS22:AS23,$F$22:$F$23)</f>
        <v>1</v>
      </c>
      <c r="AT21" s="87">
        <f t="shared" ref="AT21:BC21" si="94">SUMPRODUCT(AT22:AT23,$F$22:$F$23)</f>
        <v>1</v>
      </c>
      <c r="AU21" s="87">
        <f t="shared" si="94"/>
        <v>1</v>
      </c>
      <c r="AV21" s="87">
        <f t="shared" si="94"/>
        <v>1</v>
      </c>
      <c r="AW21" s="87">
        <f t="shared" si="94"/>
        <v>1</v>
      </c>
      <c r="AX21" s="87">
        <f t="shared" si="94"/>
        <v>1</v>
      </c>
      <c r="AY21" s="87">
        <f t="shared" si="94"/>
        <v>1</v>
      </c>
      <c r="AZ21" s="87">
        <f t="shared" si="94"/>
        <v>1</v>
      </c>
      <c r="BA21" s="87">
        <f t="shared" si="94"/>
        <v>1</v>
      </c>
      <c r="BB21" s="87">
        <f t="shared" si="94"/>
        <v>1</v>
      </c>
      <c r="BC21" s="87">
        <f t="shared" si="94"/>
        <v>1</v>
      </c>
      <c r="BD21" s="87">
        <f t="shared" ref="BD21:BE21" si="95">SUMPRODUCT(BD22:BD23,$F$22:$F$23)</f>
        <v>1</v>
      </c>
      <c r="BE21" s="87">
        <f t="shared" si="95"/>
        <v>1</v>
      </c>
      <c r="BF21" s="87">
        <f t="shared" ref="BF21:BG21" si="96">SUMPRODUCT(BF22:BF23,$F$22:$F$23)</f>
        <v>1</v>
      </c>
      <c r="BG21" s="87">
        <f t="shared" si="96"/>
        <v>1</v>
      </c>
      <c r="BH21" s="87">
        <f t="shared" ref="BH21:BI21" si="97">SUMPRODUCT(BH22:BH23,$F$22:$F$23)</f>
        <v>1</v>
      </c>
      <c r="BI21" s="87">
        <f t="shared" si="97"/>
        <v>1</v>
      </c>
      <c r="BJ21" s="87">
        <f t="shared" ref="BJ21:BK21" si="98">SUMPRODUCT(BJ22:BJ23,$F$22:$F$23)</f>
        <v>1</v>
      </c>
      <c r="BK21" s="87">
        <f t="shared" si="98"/>
        <v>1</v>
      </c>
      <c r="BL21" s="87">
        <f t="shared" ref="BL21:CP21" si="99">SUMPRODUCT(BL22:BL23,$F$22:$F$23)</f>
        <v>1</v>
      </c>
      <c r="BM21" s="87">
        <f t="shared" si="99"/>
        <v>1</v>
      </c>
      <c r="BN21" s="87">
        <f t="shared" si="99"/>
        <v>1</v>
      </c>
      <c r="BO21" s="87">
        <f t="shared" si="99"/>
        <v>1</v>
      </c>
      <c r="BP21" s="87">
        <f t="shared" si="99"/>
        <v>1</v>
      </c>
      <c r="BQ21" s="87">
        <f t="shared" si="99"/>
        <v>1</v>
      </c>
      <c r="BR21" s="87">
        <f t="shared" si="99"/>
        <v>1</v>
      </c>
      <c r="BS21" s="87">
        <f t="shared" si="99"/>
        <v>1</v>
      </c>
      <c r="BT21" s="87">
        <f t="shared" si="99"/>
        <v>1</v>
      </c>
      <c r="BU21" s="87">
        <f t="shared" si="99"/>
        <v>1</v>
      </c>
      <c r="BV21" s="87">
        <f t="shared" si="99"/>
        <v>1</v>
      </c>
      <c r="BW21" s="87">
        <f t="shared" si="99"/>
        <v>1</v>
      </c>
      <c r="BX21" s="87">
        <f t="shared" si="99"/>
        <v>1</v>
      </c>
      <c r="BY21" s="87">
        <f t="shared" si="99"/>
        <v>1</v>
      </c>
      <c r="BZ21" s="87">
        <f t="shared" si="99"/>
        <v>1</v>
      </c>
      <c r="CA21" s="87">
        <f t="shared" si="99"/>
        <v>1</v>
      </c>
      <c r="CB21" s="87">
        <f t="shared" si="99"/>
        <v>1</v>
      </c>
      <c r="CC21" s="87">
        <f t="shared" si="99"/>
        <v>1</v>
      </c>
      <c r="CD21" s="87">
        <f t="shared" si="99"/>
        <v>1</v>
      </c>
      <c r="CE21" s="87">
        <f t="shared" si="99"/>
        <v>1</v>
      </c>
      <c r="CF21" s="87">
        <f t="shared" si="99"/>
        <v>1</v>
      </c>
      <c r="CG21" s="87">
        <f t="shared" si="99"/>
        <v>1</v>
      </c>
      <c r="CH21" s="87">
        <f t="shared" si="99"/>
        <v>1</v>
      </c>
      <c r="CI21" s="87">
        <f t="shared" si="99"/>
        <v>1</v>
      </c>
      <c r="CJ21" s="87">
        <f t="shared" si="99"/>
        <v>1</v>
      </c>
      <c r="CK21" s="87">
        <f t="shared" si="99"/>
        <v>1</v>
      </c>
      <c r="CL21" s="87">
        <f t="shared" si="99"/>
        <v>1</v>
      </c>
      <c r="CM21" s="87">
        <f t="shared" si="99"/>
        <v>1</v>
      </c>
      <c r="CN21" s="87">
        <f t="shared" si="99"/>
        <v>1</v>
      </c>
      <c r="CO21" s="87">
        <f t="shared" si="99"/>
        <v>1</v>
      </c>
      <c r="CP21" s="87">
        <f t="shared" si="99"/>
        <v>1</v>
      </c>
    </row>
    <row r="22" spans="2:94" hidden="1" outlineLevel="2" x14ac:dyDescent="0.4">
      <c r="B22" s="69"/>
      <c r="C22" s="70"/>
      <c r="D22" s="70"/>
      <c r="E22" s="70" t="s">
        <v>44</v>
      </c>
      <c r="F22" s="71">
        <f>EDTN[[#This Row],[Nuevos Pesos]]</f>
        <v>0.66666666666666663</v>
      </c>
      <c r="H22" s="71">
        <v>0</v>
      </c>
      <c r="I22" s="71">
        <v>4.5454545454545456E-2</v>
      </c>
      <c r="J22" s="71">
        <f>+PlanBase39[[#This Row],[12/05/25]]+4.5%</f>
        <v>9.0454545454545454E-2</v>
      </c>
      <c r="K22" s="71">
        <f>+PlanBase39[[#This Row],[19/05/25]]+4.5%</f>
        <v>0.13545454545454544</v>
      </c>
      <c r="L22" s="71">
        <f>+PlanBase39[[#This Row],[26/05/25]]+4.5%</f>
        <v>0.18045454545454542</v>
      </c>
      <c r="M22" s="71">
        <f>+PlanBase39[[#This Row],[02/06/25]]+4.5%</f>
        <v>0.22545454545454541</v>
      </c>
      <c r="N22" s="71">
        <f>+PlanBase39[[#This Row],[09/06/25]]+4.5%</f>
        <v>0.27045454545454539</v>
      </c>
      <c r="O22" s="71">
        <f>+PlanBase39[[#This Row],[16/06/25]]+4.5%</f>
        <v>0.31545454545454538</v>
      </c>
      <c r="P22" s="71">
        <f>+PlanBase39[[#This Row],[23/06/25]]+4.5%</f>
        <v>0.36045454545454536</v>
      </c>
      <c r="Q22" s="71">
        <f>+PlanBase39[[#This Row],[30/06/25]]+4.5%</f>
        <v>0.40545454545454535</v>
      </c>
      <c r="R22" s="71">
        <f>+PlanBase39[[#This Row],[07/07/25]]+4.5%</f>
        <v>0.45045454545454533</v>
      </c>
      <c r="S22" s="71">
        <f>+PlanBase39[[#This Row],[14/07/25]]+4.5%</f>
        <v>0.49545454545454531</v>
      </c>
      <c r="T22" s="71">
        <f>+PlanBase39[[#This Row],[21/07/25]]+4.5%</f>
        <v>0.5404545454545453</v>
      </c>
      <c r="U22" s="71">
        <f>+PlanBase39[[#This Row],[28/07/25]]+4.5%</f>
        <v>0.58545454545454534</v>
      </c>
      <c r="V22" s="71">
        <f>+PlanBase39[[#This Row],[04/08/25]]+4.5%</f>
        <v>0.63045454545454538</v>
      </c>
      <c r="W22" s="71">
        <f>+PlanBase39[[#This Row],[11/08/25]]+4.5%</f>
        <v>0.67545454545454542</v>
      </c>
      <c r="X22" s="71">
        <f>+PlanBase39[[#This Row],[18/08/25]]+4.5%</f>
        <v>0.72045454545454546</v>
      </c>
      <c r="Y22" s="71">
        <f>+PlanBase39[[#This Row],[25/08/25]]+4.5%</f>
        <v>0.7654545454545455</v>
      </c>
      <c r="Z22" s="71">
        <f>+PlanBase39[[#This Row],[01/09/25]]+4.5%</f>
        <v>0.81045454545454554</v>
      </c>
      <c r="AA22" s="71">
        <f>+PlanBase39[[#This Row],[08/09/25]]+4.5%</f>
        <v>0.85545454545454558</v>
      </c>
      <c r="AB22" s="71">
        <f>+PlanBase39[[#This Row],[15/09/25]]+4.5%</f>
        <v>0.90045454545454562</v>
      </c>
      <c r="AC22" s="71">
        <f>+PlanBase39[[#This Row],[22/09/25]]+4.5%</f>
        <v>0.94545454545454566</v>
      </c>
      <c r="AD22" s="71">
        <v>1</v>
      </c>
      <c r="AE22" s="259">
        <v>1</v>
      </c>
      <c r="AF22" s="259">
        <v>1</v>
      </c>
      <c r="AG22" s="259">
        <v>1</v>
      </c>
      <c r="AH22" s="259">
        <v>1</v>
      </c>
      <c r="AI22" s="259">
        <v>1</v>
      </c>
      <c r="AJ22" s="259">
        <v>1</v>
      </c>
      <c r="AK22" s="259">
        <v>1</v>
      </c>
      <c r="AL22" s="259">
        <v>1</v>
      </c>
      <c r="AM22" s="259">
        <v>1</v>
      </c>
      <c r="AN22" s="259">
        <v>1</v>
      </c>
      <c r="AO22" s="259">
        <v>1</v>
      </c>
      <c r="AP22" s="259">
        <v>1</v>
      </c>
      <c r="AQ22" s="259">
        <v>1</v>
      </c>
      <c r="AR22" s="259">
        <v>1</v>
      </c>
      <c r="AS22" s="259">
        <v>1</v>
      </c>
      <c r="AT22" s="259">
        <v>1</v>
      </c>
      <c r="AU22" s="259">
        <v>1</v>
      </c>
      <c r="AV22" s="259">
        <v>1</v>
      </c>
      <c r="AW22" s="259">
        <v>1</v>
      </c>
      <c r="AX22" s="259">
        <v>1</v>
      </c>
      <c r="AY22" s="259">
        <v>1</v>
      </c>
      <c r="AZ22" s="259">
        <v>1</v>
      </c>
      <c r="BA22" s="259">
        <v>1</v>
      </c>
      <c r="BB22" s="259">
        <v>1</v>
      </c>
      <c r="BC22" s="259">
        <v>1</v>
      </c>
      <c r="BD22" s="259">
        <v>1</v>
      </c>
      <c r="BE22" s="259">
        <v>1</v>
      </c>
      <c r="BF22" s="259">
        <v>1</v>
      </c>
      <c r="BG22" s="259">
        <v>1</v>
      </c>
      <c r="BH22" s="259">
        <v>1</v>
      </c>
      <c r="BI22" s="259">
        <v>1</v>
      </c>
      <c r="BJ22" s="259">
        <v>1</v>
      </c>
      <c r="BK22" s="259">
        <v>1</v>
      </c>
      <c r="BL22" s="259">
        <v>1</v>
      </c>
      <c r="BM22" s="259">
        <v>1</v>
      </c>
      <c r="BN22" s="259">
        <v>1</v>
      </c>
      <c r="BO22" s="259">
        <v>1</v>
      </c>
      <c r="BP22" s="259">
        <v>1</v>
      </c>
      <c r="BQ22" s="259">
        <v>1</v>
      </c>
      <c r="BR22" s="259">
        <v>1</v>
      </c>
      <c r="BS22" s="259">
        <v>1</v>
      </c>
      <c r="BT22" s="259">
        <v>1</v>
      </c>
      <c r="BU22" s="259">
        <v>1</v>
      </c>
      <c r="BV22" s="259">
        <v>1</v>
      </c>
      <c r="BW22" s="259">
        <v>1</v>
      </c>
      <c r="BX22" s="259">
        <v>1</v>
      </c>
      <c r="BY22" s="259">
        <v>1</v>
      </c>
      <c r="BZ22" s="259">
        <v>1</v>
      </c>
      <c r="CA22" s="259">
        <v>1</v>
      </c>
      <c r="CB22" s="259">
        <v>1</v>
      </c>
      <c r="CC22" s="259">
        <v>1</v>
      </c>
      <c r="CD22" s="259">
        <v>1</v>
      </c>
      <c r="CE22" s="259">
        <v>1</v>
      </c>
      <c r="CF22" s="259">
        <v>1</v>
      </c>
      <c r="CG22" s="259">
        <v>1</v>
      </c>
      <c r="CH22" s="259">
        <v>1</v>
      </c>
      <c r="CI22" s="259">
        <v>1</v>
      </c>
      <c r="CJ22" s="259">
        <v>1</v>
      </c>
      <c r="CK22" s="259">
        <v>1</v>
      </c>
      <c r="CL22" s="259">
        <v>1</v>
      </c>
      <c r="CM22" s="259">
        <v>1</v>
      </c>
      <c r="CN22" s="259">
        <v>1</v>
      </c>
      <c r="CO22" s="259">
        <v>1</v>
      </c>
      <c r="CP22" s="259">
        <v>1</v>
      </c>
    </row>
    <row r="23" spans="2:94" hidden="1" outlineLevel="2" x14ac:dyDescent="0.4">
      <c r="B23" s="69"/>
      <c r="C23" s="70"/>
      <c r="D23" s="70"/>
      <c r="E23" s="70" t="s">
        <v>45</v>
      </c>
      <c r="F23" s="71">
        <f>EDTN[[#This Row],[Nuevos Pesos]]</f>
        <v>0.33333333333333337</v>
      </c>
      <c r="H23" s="71">
        <v>0</v>
      </c>
      <c r="I23" s="71">
        <v>0.05</v>
      </c>
      <c r="J23" s="71">
        <v>0.16</v>
      </c>
      <c r="K23" s="71">
        <v>0.32</v>
      </c>
      <c r="L23" s="71">
        <v>0.5</v>
      </c>
      <c r="M23" s="71">
        <v>0.67999999999999994</v>
      </c>
      <c r="N23" s="71">
        <v>0.84</v>
      </c>
      <c r="O23" s="71">
        <v>0.95</v>
      </c>
      <c r="P23" s="71">
        <v>0.99</v>
      </c>
      <c r="Q23" s="71">
        <v>1</v>
      </c>
      <c r="R23" s="71">
        <v>1</v>
      </c>
      <c r="S23" s="71">
        <v>1</v>
      </c>
      <c r="T23" s="71">
        <v>1</v>
      </c>
      <c r="U23" s="71">
        <v>1</v>
      </c>
      <c r="V23" s="71">
        <v>1</v>
      </c>
      <c r="W23" s="71">
        <v>1</v>
      </c>
      <c r="X23" s="71">
        <v>1</v>
      </c>
      <c r="Y23" s="71">
        <v>1</v>
      </c>
      <c r="Z23" s="71">
        <v>1</v>
      </c>
      <c r="AA23" s="71">
        <v>1</v>
      </c>
      <c r="AB23" s="71">
        <v>1</v>
      </c>
      <c r="AC23" s="71">
        <v>1</v>
      </c>
      <c r="AD23" s="71">
        <v>1</v>
      </c>
      <c r="AE23" s="71">
        <v>1</v>
      </c>
      <c r="AF23" s="71">
        <v>1</v>
      </c>
      <c r="AG23" s="71">
        <v>1</v>
      </c>
      <c r="AH23" s="71">
        <v>1</v>
      </c>
      <c r="AI23" s="71">
        <v>1</v>
      </c>
      <c r="AJ23" s="71">
        <v>1</v>
      </c>
      <c r="AK23" s="71">
        <v>1</v>
      </c>
      <c r="AL23" s="71">
        <v>1</v>
      </c>
      <c r="AM23" s="71">
        <v>1</v>
      </c>
      <c r="AN23" s="71">
        <v>1</v>
      </c>
      <c r="AO23" s="71">
        <v>1</v>
      </c>
      <c r="AP23" s="71">
        <v>1</v>
      </c>
      <c r="AQ23" s="71">
        <v>1</v>
      </c>
      <c r="AR23" s="71">
        <v>1</v>
      </c>
      <c r="AS23" s="71">
        <v>1</v>
      </c>
      <c r="AT23" s="71">
        <v>1</v>
      </c>
      <c r="AU23" s="71">
        <v>1</v>
      </c>
      <c r="AV23" s="71">
        <v>1</v>
      </c>
      <c r="AW23" s="71">
        <v>1</v>
      </c>
      <c r="AX23" s="71">
        <v>1</v>
      </c>
      <c r="AY23" s="71">
        <v>1</v>
      </c>
      <c r="AZ23" s="71">
        <v>1</v>
      </c>
      <c r="BA23" s="71">
        <v>1</v>
      </c>
      <c r="BB23" s="71">
        <v>1</v>
      </c>
      <c r="BC23" s="71">
        <v>1</v>
      </c>
      <c r="BD23" s="71">
        <v>1</v>
      </c>
      <c r="BE23" s="71">
        <v>1</v>
      </c>
      <c r="BF23" s="71">
        <v>1</v>
      </c>
      <c r="BG23" s="71">
        <v>1</v>
      </c>
      <c r="BH23" s="71">
        <v>1</v>
      </c>
      <c r="BI23" s="71">
        <v>1</v>
      </c>
      <c r="BJ23" s="71">
        <v>1</v>
      </c>
      <c r="BK23" s="71">
        <v>1</v>
      </c>
      <c r="BL23" s="71">
        <v>1</v>
      </c>
      <c r="BM23" s="71">
        <v>1</v>
      </c>
      <c r="BN23" s="71">
        <v>1</v>
      </c>
      <c r="BO23" s="71">
        <v>1</v>
      </c>
      <c r="BP23" s="71">
        <v>1</v>
      </c>
      <c r="BQ23" s="71">
        <v>1</v>
      </c>
      <c r="BR23" s="71">
        <v>1</v>
      </c>
      <c r="BS23" s="71">
        <v>1</v>
      </c>
      <c r="BT23" s="71">
        <v>1</v>
      </c>
      <c r="BU23" s="71">
        <v>1</v>
      </c>
      <c r="BV23" s="71">
        <v>1</v>
      </c>
      <c r="BW23" s="71">
        <v>1</v>
      </c>
      <c r="BX23" s="71">
        <v>1</v>
      </c>
      <c r="BY23" s="71">
        <v>1</v>
      </c>
      <c r="BZ23" s="71">
        <v>1</v>
      </c>
      <c r="CA23" s="71">
        <v>1</v>
      </c>
      <c r="CB23" s="71">
        <v>1</v>
      </c>
      <c r="CC23" s="71">
        <v>1</v>
      </c>
      <c r="CD23" s="71">
        <v>1</v>
      </c>
      <c r="CE23" s="71">
        <v>1</v>
      </c>
      <c r="CF23" s="71">
        <v>1</v>
      </c>
      <c r="CG23" s="71">
        <v>1</v>
      </c>
      <c r="CH23" s="71">
        <v>1</v>
      </c>
      <c r="CI23" s="71">
        <v>1</v>
      </c>
      <c r="CJ23" s="71">
        <v>1</v>
      </c>
      <c r="CK23" s="71">
        <v>1</v>
      </c>
      <c r="CL23" s="71">
        <v>1</v>
      </c>
      <c r="CM23" s="71">
        <v>1</v>
      </c>
      <c r="CN23" s="71">
        <v>1</v>
      </c>
      <c r="CO23" s="71">
        <v>1</v>
      </c>
      <c r="CP23" s="71">
        <v>1</v>
      </c>
    </row>
    <row r="24" spans="2:94" hidden="1" outlineLevel="1" collapsed="1" x14ac:dyDescent="0.4">
      <c r="B24" s="85"/>
      <c r="C24" s="86"/>
      <c r="D24" s="86" t="s">
        <v>249</v>
      </c>
      <c r="E24" s="86"/>
      <c r="F24" s="87">
        <f>EDTN[[#This Row],[Nuevos Pesos]]</f>
        <v>5.6784912836931871E-2</v>
      </c>
      <c r="H24" s="87">
        <f>H25*$F$25</f>
        <v>0</v>
      </c>
      <c r="I24" s="87">
        <f t="shared" ref="I24:BT24" si="100">I25*$F$25</f>
        <v>0</v>
      </c>
      <c r="J24" s="87">
        <f t="shared" si="100"/>
        <v>0</v>
      </c>
      <c r="K24" s="87">
        <f t="shared" si="100"/>
        <v>0</v>
      </c>
      <c r="L24" s="87">
        <f t="shared" si="100"/>
        <v>0</v>
      </c>
      <c r="M24" s="87">
        <f t="shared" si="100"/>
        <v>0</v>
      </c>
      <c r="N24" s="87">
        <f t="shared" si="100"/>
        <v>0</v>
      </c>
      <c r="O24" s="87">
        <f t="shared" si="100"/>
        <v>0</v>
      </c>
      <c r="P24" s="87">
        <f t="shared" si="100"/>
        <v>0</v>
      </c>
      <c r="Q24" s="87">
        <f t="shared" si="100"/>
        <v>0</v>
      </c>
      <c r="R24" s="87">
        <f t="shared" si="100"/>
        <v>0</v>
      </c>
      <c r="S24" s="87">
        <f t="shared" si="100"/>
        <v>0</v>
      </c>
      <c r="T24" s="87">
        <f t="shared" si="100"/>
        <v>0</v>
      </c>
      <c r="U24" s="87">
        <f t="shared" si="100"/>
        <v>0</v>
      </c>
      <c r="V24" s="87">
        <f t="shared" si="100"/>
        <v>0</v>
      </c>
      <c r="W24" s="87">
        <f t="shared" si="100"/>
        <v>0</v>
      </c>
      <c r="X24" s="87">
        <f t="shared" si="100"/>
        <v>0</v>
      </c>
      <c r="Y24" s="87">
        <f t="shared" si="100"/>
        <v>0</v>
      </c>
      <c r="Z24" s="87">
        <f t="shared" si="100"/>
        <v>0.125</v>
      </c>
      <c r="AA24" s="87">
        <f t="shared" si="100"/>
        <v>0.25</v>
      </c>
      <c r="AB24" s="87">
        <f t="shared" si="100"/>
        <v>0.375</v>
      </c>
      <c r="AC24" s="87">
        <f t="shared" si="100"/>
        <v>0.5</v>
      </c>
      <c r="AD24" s="87">
        <f t="shared" si="100"/>
        <v>0.625</v>
      </c>
      <c r="AE24" s="87">
        <f t="shared" si="100"/>
        <v>0.75</v>
      </c>
      <c r="AF24" s="87">
        <f t="shared" si="100"/>
        <v>0.875</v>
      </c>
      <c r="AG24" s="87">
        <f t="shared" si="100"/>
        <v>1</v>
      </c>
      <c r="AH24" s="87">
        <f t="shared" si="100"/>
        <v>1</v>
      </c>
      <c r="AI24" s="87">
        <f t="shared" si="100"/>
        <v>1</v>
      </c>
      <c r="AJ24" s="87">
        <f t="shared" si="100"/>
        <v>1</v>
      </c>
      <c r="AK24" s="87">
        <f t="shared" si="100"/>
        <v>1</v>
      </c>
      <c r="AL24" s="87">
        <f t="shared" si="100"/>
        <v>1</v>
      </c>
      <c r="AM24" s="87">
        <f t="shared" si="100"/>
        <v>1</v>
      </c>
      <c r="AN24" s="87">
        <f t="shared" si="100"/>
        <v>1</v>
      </c>
      <c r="AO24" s="87">
        <f t="shared" si="100"/>
        <v>1</v>
      </c>
      <c r="AP24" s="87">
        <f t="shared" si="100"/>
        <v>1</v>
      </c>
      <c r="AQ24" s="87">
        <f t="shared" si="100"/>
        <v>1</v>
      </c>
      <c r="AR24" s="87">
        <f t="shared" si="100"/>
        <v>1</v>
      </c>
      <c r="AS24" s="87">
        <f t="shared" si="100"/>
        <v>1</v>
      </c>
      <c r="AT24" s="87">
        <f t="shared" si="100"/>
        <v>1</v>
      </c>
      <c r="AU24" s="87">
        <f t="shared" si="100"/>
        <v>1</v>
      </c>
      <c r="AV24" s="87">
        <f t="shared" si="100"/>
        <v>1</v>
      </c>
      <c r="AW24" s="87">
        <f t="shared" si="100"/>
        <v>1</v>
      </c>
      <c r="AX24" s="87">
        <f t="shared" si="100"/>
        <v>1</v>
      </c>
      <c r="AY24" s="87">
        <f t="shared" si="100"/>
        <v>1</v>
      </c>
      <c r="AZ24" s="87">
        <f t="shared" si="100"/>
        <v>1</v>
      </c>
      <c r="BA24" s="87">
        <f t="shared" si="100"/>
        <v>1</v>
      </c>
      <c r="BB24" s="87">
        <f t="shared" si="100"/>
        <v>1</v>
      </c>
      <c r="BC24" s="87">
        <f t="shared" si="100"/>
        <v>1</v>
      </c>
      <c r="BD24" s="87">
        <f t="shared" si="100"/>
        <v>1</v>
      </c>
      <c r="BE24" s="87">
        <f t="shared" si="100"/>
        <v>1</v>
      </c>
      <c r="BF24" s="87">
        <f t="shared" si="100"/>
        <v>1</v>
      </c>
      <c r="BG24" s="87">
        <f t="shared" si="100"/>
        <v>1</v>
      </c>
      <c r="BH24" s="87">
        <f t="shared" si="100"/>
        <v>1</v>
      </c>
      <c r="BI24" s="87">
        <f t="shared" si="100"/>
        <v>1</v>
      </c>
      <c r="BJ24" s="87">
        <f t="shared" si="100"/>
        <v>1</v>
      </c>
      <c r="BK24" s="87">
        <f t="shared" si="100"/>
        <v>1</v>
      </c>
      <c r="BL24" s="87">
        <f t="shared" si="100"/>
        <v>1</v>
      </c>
      <c r="BM24" s="87">
        <f t="shared" si="100"/>
        <v>1</v>
      </c>
      <c r="BN24" s="87">
        <f t="shared" si="100"/>
        <v>1</v>
      </c>
      <c r="BO24" s="87">
        <f t="shared" si="100"/>
        <v>1</v>
      </c>
      <c r="BP24" s="87">
        <f t="shared" si="100"/>
        <v>1</v>
      </c>
      <c r="BQ24" s="87">
        <f t="shared" si="100"/>
        <v>1</v>
      </c>
      <c r="BR24" s="87">
        <f t="shared" si="100"/>
        <v>1</v>
      </c>
      <c r="BS24" s="87">
        <f t="shared" si="100"/>
        <v>1</v>
      </c>
      <c r="BT24" s="87">
        <f t="shared" si="100"/>
        <v>1</v>
      </c>
      <c r="BU24" s="87">
        <f t="shared" ref="BU24:CP24" si="101">BU25*$F$25</f>
        <v>1</v>
      </c>
      <c r="BV24" s="87">
        <f t="shared" si="101"/>
        <v>1</v>
      </c>
      <c r="BW24" s="87">
        <f t="shared" si="101"/>
        <v>1</v>
      </c>
      <c r="BX24" s="87">
        <f t="shared" si="101"/>
        <v>1</v>
      </c>
      <c r="BY24" s="87">
        <f t="shared" si="101"/>
        <v>1</v>
      </c>
      <c r="BZ24" s="87">
        <f t="shared" si="101"/>
        <v>1</v>
      </c>
      <c r="CA24" s="87">
        <f t="shared" si="101"/>
        <v>1</v>
      </c>
      <c r="CB24" s="87">
        <f t="shared" si="101"/>
        <v>1</v>
      </c>
      <c r="CC24" s="87">
        <f t="shared" si="101"/>
        <v>1</v>
      </c>
      <c r="CD24" s="87">
        <f t="shared" si="101"/>
        <v>1</v>
      </c>
      <c r="CE24" s="87">
        <f t="shared" si="101"/>
        <v>1</v>
      </c>
      <c r="CF24" s="87">
        <f t="shared" si="101"/>
        <v>1</v>
      </c>
      <c r="CG24" s="87">
        <f t="shared" si="101"/>
        <v>1</v>
      </c>
      <c r="CH24" s="87">
        <f t="shared" si="101"/>
        <v>1</v>
      </c>
      <c r="CI24" s="87">
        <f t="shared" si="101"/>
        <v>1</v>
      </c>
      <c r="CJ24" s="87">
        <f t="shared" si="101"/>
        <v>1</v>
      </c>
      <c r="CK24" s="87">
        <f t="shared" si="101"/>
        <v>1</v>
      </c>
      <c r="CL24" s="87">
        <f t="shared" si="101"/>
        <v>1</v>
      </c>
      <c r="CM24" s="87">
        <f t="shared" si="101"/>
        <v>1</v>
      </c>
      <c r="CN24" s="87">
        <f t="shared" si="101"/>
        <v>1</v>
      </c>
      <c r="CO24" s="87">
        <f t="shared" si="101"/>
        <v>1</v>
      </c>
      <c r="CP24" s="87">
        <f t="shared" si="101"/>
        <v>1</v>
      </c>
    </row>
    <row r="25" spans="2:94" hidden="1" outlineLevel="2" x14ac:dyDescent="0.4">
      <c r="B25" s="69"/>
      <c r="C25" s="70"/>
      <c r="D25" s="70"/>
      <c r="E25" s="70" t="s">
        <v>47</v>
      </c>
      <c r="F25" s="71">
        <f>EDTN[[#This Row],[Nuevos Pesos]]</f>
        <v>1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0.125</v>
      </c>
      <c r="AA25" s="71">
        <f>+PlanBase39[[#This Row],[08/09/25]]+12.5%</f>
        <v>0.25</v>
      </c>
      <c r="AB25" s="71">
        <f>+PlanBase39[[#This Row],[15/09/25]]+12.5%</f>
        <v>0.375</v>
      </c>
      <c r="AC25" s="71">
        <f>+PlanBase39[[#This Row],[22/09/25]]+12.5%</f>
        <v>0.5</v>
      </c>
      <c r="AD25" s="71">
        <f>+PlanBase39[[#This Row],[29/09/25]]+12.5%</f>
        <v>0.625</v>
      </c>
      <c r="AE25" s="71">
        <f>+PlanBase39[[#This Row],[06/10/25]]+12.5%</f>
        <v>0.75</v>
      </c>
      <c r="AF25" s="71">
        <f>+PlanBase39[[#This Row],[13/10/25]]+12.5%</f>
        <v>0.875</v>
      </c>
      <c r="AG25" s="71">
        <f>+PlanBase39[[#This Row],[20/10/25]]+12.5%</f>
        <v>1</v>
      </c>
      <c r="AH25" s="71">
        <v>1</v>
      </c>
      <c r="AI25" s="71">
        <v>1</v>
      </c>
      <c r="AJ25" s="71">
        <v>1</v>
      </c>
      <c r="AK25" s="71">
        <v>1</v>
      </c>
      <c r="AL25" s="71">
        <v>1</v>
      </c>
      <c r="AM25" s="71">
        <v>1</v>
      </c>
      <c r="AN25" s="71">
        <v>1</v>
      </c>
      <c r="AO25" s="71">
        <v>1</v>
      </c>
      <c r="AP25" s="71">
        <v>1</v>
      </c>
      <c r="AQ25" s="71">
        <v>1</v>
      </c>
      <c r="AR25" s="71">
        <v>1</v>
      </c>
      <c r="AS25" s="71">
        <v>1</v>
      </c>
      <c r="AT25" s="71">
        <v>1</v>
      </c>
      <c r="AU25" s="71">
        <v>1</v>
      </c>
      <c r="AV25" s="71">
        <v>1</v>
      </c>
      <c r="AW25" s="71">
        <v>1</v>
      </c>
      <c r="AX25" s="71">
        <v>1</v>
      </c>
      <c r="AY25" s="71">
        <v>1</v>
      </c>
      <c r="AZ25" s="71">
        <v>1</v>
      </c>
      <c r="BA25" s="71">
        <v>1</v>
      </c>
      <c r="BB25" s="71">
        <v>1</v>
      </c>
      <c r="BC25" s="71">
        <v>1</v>
      </c>
      <c r="BD25" s="71">
        <v>1</v>
      </c>
      <c r="BE25" s="71">
        <v>1</v>
      </c>
      <c r="BF25" s="71">
        <v>1</v>
      </c>
      <c r="BG25" s="71">
        <v>1</v>
      </c>
      <c r="BH25" s="71">
        <v>1</v>
      </c>
      <c r="BI25" s="71">
        <v>1</v>
      </c>
      <c r="BJ25" s="71">
        <v>1</v>
      </c>
      <c r="BK25" s="71">
        <v>1</v>
      </c>
      <c r="BL25" s="71">
        <v>1</v>
      </c>
      <c r="BM25" s="71">
        <v>1</v>
      </c>
      <c r="BN25" s="71">
        <v>1</v>
      </c>
      <c r="BO25" s="71">
        <v>1</v>
      </c>
      <c r="BP25" s="71">
        <v>1</v>
      </c>
      <c r="BQ25" s="71">
        <v>1</v>
      </c>
      <c r="BR25" s="71">
        <v>1</v>
      </c>
      <c r="BS25" s="71">
        <v>1</v>
      </c>
      <c r="BT25" s="71">
        <v>1</v>
      </c>
      <c r="BU25" s="71">
        <v>1</v>
      </c>
      <c r="BV25" s="71">
        <v>1</v>
      </c>
      <c r="BW25" s="71">
        <v>1</v>
      </c>
      <c r="BX25" s="71">
        <v>1</v>
      </c>
      <c r="BY25" s="71">
        <v>1</v>
      </c>
      <c r="BZ25" s="71">
        <v>1</v>
      </c>
      <c r="CA25" s="71">
        <v>1</v>
      </c>
      <c r="CB25" s="71">
        <v>1</v>
      </c>
      <c r="CC25" s="71">
        <v>1</v>
      </c>
      <c r="CD25" s="71">
        <v>1</v>
      </c>
      <c r="CE25" s="71">
        <v>1</v>
      </c>
      <c r="CF25" s="71">
        <v>1</v>
      </c>
      <c r="CG25" s="71">
        <v>1</v>
      </c>
      <c r="CH25" s="71">
        <v>1</v>
      </c>
      <c r="CI25" s="71">
        <v>1</v>
      </c>
      <c r="CJ25" s="71">
        <v>1</v>
      </c>
      <c r="CK25" s="71">
        <v>1</v>
      </c>
      <c r="CL25" s="71">
        <v>1</v>
      </c>
      <c r="CM25" s="71">
        <v>1</v>
      </c>
      <c r="CN25" s="71">
        <v>1</v>
      </c>
      <c r="CO25" s="71">
        <v>1</v>
      </c>
      <c r="CP25" s="71">
        <v>1</v>
      </c>
    </row>
    <row r="26" spans="2:94" hidden="1" outlineLevel="1" collapsed="1" x14ac:dyDescent="0.4">
      <c r="B26" s="85"/>
      <c r="C26" s="86"/>
      <c r="D26" s="86" t="s">
        <v>48</v>
      </c>
      <c r="E26" s="86"/>
      <c r="F26" s="87">
        <f>EDTN[[#This Row],[Nuevos Pesos]]</f>
        <v>5.6784912836931871E-2</v>
      </c>
      <c r="H26" s="87">
        <f>SUMPRODUCT(H27:H29,$F$27:$F$29)</f>
        <v>0</v>
      </c>
      <c r="I26" s="87">
        <f t="shared" ref="I26:AP26" si="102">SUMPRODUCT(I27:I29,$F$27:$F$29)</f>
        <v>0</v>
      </c>
      <c r="J26" s="87">
        <f t="shared" si="102"/>
        <v>0</v>
      </c>
      <c r="K26" s="87">
        <f t="shared" si="102"/>
        <v>0</v>
      </c>
      <c r="L26" s="87">
        <f t="shared" si="102"/>
        <v>0</v>
      </c>
      <c r="M26" s="87">
        <f t="shared" si="102"/>
        <v>1.8181818181818181E-2</v>
      </c>
      <c r="N26" s="87">
        <f t="shared" si="102"/>
        <v>3.6181818181818176E-2</v>
      </c>
      <c r="O26" s="87">
        <f t="shared" si="102"/>
        <v>5.4181818181818171E-2</v>
      </c>
      <c r="P26" s="87">
        <f t="shared" si="102"/>
        <v>7.2181818181818166E-2</v>
      </c>
      <c r="Q26" s="87">
        <f t="shared" si="102"/>
        <v>9.0181818181818155E-2</v>
      </c>
      <c r="R26" s="87">
        <f t="shared" si="102"/>
        <v>0.10818181818181814</v>
      </c>
      <c r="S26" s="87">
        <f t="shared" si="102"/>
        <v>0.12618181818181815</v>
      </c>
      <c r="T26" s="87">
        <f t="shared" si="102"/>
        <v>0.14418181818181813</v>
      </c>
      <c r="U26" s="87">
        <f t="shared" si="102"/>
        <v>0.16218181818181812</v>
      </c>
      <c r="V26" s="87">
        <f t="shared" si="102"/>
        <v>0.18018181818181811</v>
      </c>
      <c r="W26" s="87">
        <f t="shared" si="102"/>
        <v>0.1981818181818181</v>
      </c>
      <c r="X26" s="87">
        <f t="shared" si="102"/>
        <v>0.21618181818181811</v>
      </c>
      <c r="Y26" s="87">
        <f t="shared" si="102"/>
        <v>0.2341818181818181</v>
      </c>
      <c r="Z26" s="87">
        <f t="shared" si="102"/>
        <v>0.25218181818181812</v>
      </c>
      <c r="AA26" s="87">
        <f t="shared" si="102"/>
        <v>0.27018181818181813</v>
      </c>
      <c r="AB26" s="87">
        <f t="shared" si="102"/>
        <v>0.28818181818181815</v>
      </c>
      <c r="AC26" s="87">
        <f t="shared" si="102"/>
        <v>0.30618181818181817</v>
      </c>
      <c r="AD26" s="87">
        <f t="shared" si="102"/>
        <v>0.32418181818181818</v>
      </c>
      <c r="AE26" s="87">
        <f t="shared" si="102"/>
        <v>0.3421818181818182</v>
      </c>
      <c r="AF26" s="87">
        <f t="shared" si="102"/>
        <v>0.36018181818181821</v>
      </c>
      <c r="AG26" s="87">
        <f t="shared" si="102"/>
        <v>0.37818181818181823</v>
      </c>
      <c r="AH26" s="87">
        <f t="shared" si="102"/>
        <v>0.39618181818181825</v>
      </c>
      <c r="AI26" s="87">
        <f t="shared" si="102"/>
        <v>0.54999999999999993</v>
      </c>
      <c r="AJ26" s="87">
        <f t="shared" si="102"/>
        <v>0.7</v>
      </c>
      <c r="AK26" s="87">
        <f t="shared" si="102"/>
        <v>0.85</v>
      </c>
      <c r="AL26" s="87">
        <f t="shared" si="102"/>
        <v>1</v>
      </c>
      <c r="AM26" s="87">
        <f t="shared" si="102"/>
        <v>1</v>
      </c>
      <c r="AN26" s="87">
        <f t="shared" si="102"/>
        <v>1</v>
      </c>
      <c r="AO26" s="87">
        <f t="shared" si="102"/>
        <v>1</v>
      </c>
      <c r="AP26" s="87">
        <f t="shared" si="102"/>
        <v>1</v>
      </c>
      <c r="AQ26" s="87">
        <f t="shared" ref="AQ26:AR26" si="103">SUMPRODUCT(AQ27:AQ29,$F$27:$F$29)</f>
        <v>1</v>
      </c>
      <c r="AR26" s="87">
        <f t="shared" si="103"/>
        <v>1</v>
      </c>
      <c r="AS26" s="87">
        <f t="shared" ref="AS26" si="104">SUMPRODUCT(AS27:AS29,$F$27:$F$29)</f>
        <v>1</v>
      </c>
      <c r="AT26" s="87">
        <f t="shared" ref="AT26:BC26" si="105">SUMPRODUCT(AT27:AT29,$F$27:$F$29)</f>
        <v>1</v>
      </c>
      <c r="AU26" s="87">
        <f t="shared" si="105"/>
        <v>1</v>
      </c>
      <c r="AV26" s="87">
        <f t="shared" si="105"/>
        <v>1</v>
      </c>
      <c r="AW26" s="87">
        <f t="shared" si="105"/>
        <v>1</v>
      </c>
      <c r="AX26" s="87">
        <f t="shared" si="105"/>
        <v>1</v>
      </c>
      <c r="AY26" s="87">
        <f t="shared" si="105"/>
        <v>1</v>
      </c>
      <c r="AZ26" s="87">
        <f t="shared" si="105"/>
        <v>1</v>
      </c>
      <c r="BA26" s="87">
        <f t="shared" si="105"/>
        <v>1</v>
      </c>
      <c r="BB26" s="87">
        <f t="shared" si="105"/>
        <v>1</v>
      </c>
      <c r="BC26" s="87">
        <f t="shared" si="105"/>
        <v>1</v>
      </c>
      <c r="BD26" s="87">
        <f t="shared" ref="BD26:BE26" si="106">SUMPRODUCT(BD27:BD29,$F$27:$F$29)</f>
        <v>1</v>
      </c>
      <c r="BE26" s="87">
        <f t="shared" si="106"/>
        <v>1</v>
      </c>
      <c r="BF26" s="87">
        <f t="shared" ref="BF26:BG26" si="107">SUMPRODUCT(BF27:BF29,$F$27:$F$29)</f>
        <v>1</v>
      </c>
      <c r="BG26" s="87">
        <f t="shared" si="107"/>
        <v>1</v>
      </c>
      <c r="BH26" s="87">
        <f t="shared" ref="BH26:BI26" si="108">SUMPRODUCT(BH27:BH29,$F$27:$F$29)</f>
        <v>1</v>
      </c>
      <c r="BI26" s="87">
        <f t="shared" si="108"/>
        <v>1</v>
      </c>
      <c r="BJ26" s="87">
        <f t="shared" ref="BJ26:BK26" si="109">SUMPRODUCT(BJ27:BJ29,$F$27:$F$29)</f>
        <v>1</v>
      </c>
      <c r="BK26" s="87">
        <f t="shared" si="109"/>
        <v>1</v>
      </c>
      <c r="BL26" s="87">
        <f t="shared" ref="BL26:CP26" si="110">SUMPRODUCT(BL27:BL29,$F$27:$F$29)</f>
        <v>1</v>
      </c>
      <c r="BM26" s="87">
        <f t="shared" si="110"/>
        <v>1</v>
      </c>
      <c r="BN26" s="87">
        <f t="shared" si="110"/>
        <v>1</v>
      </c>
      <c r="BO26" s="87">
        <f t="shared" si="110"/>
        <v>1</v>
      </c>
      <c r="BP26" s="87">
        <f t="shared" si="110"/>
        <v>1</v>
      </c>
      <c r="BQ26" s="87">
        <f t="shared" si="110"/>
        <v>1</v>
      </c>
      <c r="BR26" s="87">
        <f t="shared" si="110"/>
        <v>1</v>
      </c>
      <c r="BS26" s="87">
        <f t="shared" si="110"/>
        <v>1</v>
      </c>
      <c r="BT26" s="87">
        <f t="shared" si="110"/>
        <v>1</v>
      </c>
      <c r="BU26" s="87">
        <f t="shared" si="110"/>
        <v>1</v>
      </c>
      <c r="BV26" s="87">
        <f t="shared" si="110"/>
        <v>1</v>
      </c>
      <c r="BW26" s="87">
        <f t="shared" si="110"/>
        <v>1</v>
      </c>
      <c r="BX26" s="87">
        <f t="shared" si="110"/>
        <v>1</v>
      </c>
      <c r="BY26" s="87">
        <f t="shared" si="110"/>
        <v>1</v>
      </c>
      <c r="BZ26" s="87">
        <f t="shared" si="110"/>
        <v>1</v>
      </c>
      <c r="CA26" s="87">
        <f t="shared" si="110"/>
        <v>1</v>
      </c>
      <c r="CB26" s="87">
        <f t="shared" si="110"/>
        <v>1</v>
      </c>
      <c r="CC26" s="87">
        <f t="shared" si="110"/>
        <v>1</v>
      </c>
      <c r="CD26" s="87">
        <f t="shared" si="110"/>
        <v>1</v>
      </c>
      <c r="CE26" s="87">
        <f t="shared" si="110"/>
        <v>1</v>
      </c>
      <c r="CF26" s="87">
        <f t="shared" si="110"/>
        <v>1</v>
      </c>
      <c r="CG26" s="87">
        <f t="shared" si="110"/>
        <v>1</v>
      </c>
      <c r="CH26" s="87">
        <f t="shared" si="110"/>
        <v>1</v>
      </c>
      <c r="CI26" s="87">
        <f t="shared" si="110"/>
        <v>1</v>
      </c>
      <c r="CJ26" s="87">
        <f t="shared" si="110"/>
        <v>1</v>
      </c>
      <c r="CK26" s="87">
        <f t="shared" si="110"/>
        <v>1</v>
      </c>
      <c r="CL26" s="87">
        <f t="shared" si="110"/>
        <v>1</v>
      </c>
      <c r="CM26" s="87">
        <f t="shared" si="110"/>
        <v>1</v>
      </c>
      <c r="CN26" s="87">
        <f t="shared" si="110"/>
        <v>1</v>
      </c>
      <c r="CO26" s="87">
        <f t="shared" si="110"/>
        <v>1</v>
      </c>
      <c r="CP26" s="87">
        <f t="shared" si="110"/>
        <v>1</v>
      </c>
    </row>
    <row r="27" spans="2:94" hidden="1" outlineLevel="2" x14ac:dyDescent="0.4">
      <c r="B27" s="69"/>
      <c r="C27" s="70"/>
      <c r="D27" s="70"/>
      <c r="E27" s="70" t="s">
        <v>50</v>
      </c>
      <c r="F27" s="71">
        <f>EDTN[[#This Row],[Nuevos Pesos]]</f>
        <v>0.33333333333333331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  <c r="Z27" s="71">
        <v>0</v>
      </c>
      <c r="AA27" s="71">
        <v>0</v>
      </c>
      <c r="AB27" s="71">
        <v>0</v>
      </c>
      <c r="AC27" s="71">
        <v>0</v>
      </c>
      <c r="AD27" s="71">
        <v>0</v>
      </c>
      <c r="AE27" s="71">
        <v>0</v>
      </c>
      <c r="AF27" s="71">
        <v>0</v>
      </c>
      <c r="AG27" s="71">
        <v>0</v>
      </c>
      <c r="AH27" s="71">
        <v>0</v>
      </c>
      <c r="AI27" s="71">
        <v>0.25</v>
      </c>
      <c r="AJ27" s="71">
        <v>0.5</v>
      </c>
      <c r="AK27" s="71">
        <v>0.75</v>
      </c>
      <c r="AL27" s="71">
        <v>1</v>
      </c>
      <c r="AM27" s="71">
        <v>1</v>
      </c>
      <c r="AN27" s="71">
        <v>1</v>
      </c>
      <c r="AO27" s="71">
        <v>1</v>
      </c>
      <c r="AP27" s="71">
        <v>1</v>
      </c>
      <c r="AQ27" s="71">
        <v>1</v>
      </c>
      <c r="AR27" s="71">
        <v>1</v>
      </c>
      <c r="AS27" s="71">
        <v>1</v>
      </c>
      <c r="AT27" s="71">
        <v>1</v>
      </c>
      <c r="AU27" s="71">
        <v>1</v>
      </c>
      <c r="AV27" s="71">
        <v>1</v>
      </c>
      <c r="AW27" s="71">
        <v>1</v>
      </c>
      <c r="AX27" s="71">
        <v>1</v>
      </c>
      <c r="AY27" s="71">
        <v>1</v>
      </c>
      <c r="AZ27" s="71">
        <v>1</v>
      </c>
      <c r="BA27" s="71">
        <v>1</v>
      </c>
      <c r="BB27" s="71">
        <v>1</v>
      </c>
      <c r="BC27" s="71">
        <v>1</v>
      </c>
      <c r="BD27" s="71">
        <v>1</v>
      </c>
      <c r="BE27" s="71">
        <v>1</v>
      </c>
      <c r="BF27" s="71">
        <v>1</v>
      </c>
      <c r="BG27" s="71">
        <v>1</v>
      </c>
      <c r="BH27" s="71">
        <v>1</v>
      </c>
      <c r="BI27" s="71">
        <v>1</v>
      </c>
      <c r="BJ27" s="71">
        <v>1</v>
      </c>
      <c r="BK27" s="71">
        <v>1</v>
      </c>
      <c r="BL27" s="71">
        <v>1</v>
      </c>
      <c r="BM27" s="71">
        <v>1</v>
      </c>
      <c r="BN27" s="71">
        <v>1</v>
      </c>
      <c r="BO27" s="71">
        <v>1</v>
      </c>
      <c r="BP27" s="71">
        <v>1</v>
      </c>
      <c r="BQ27" s="71">
        <v>1</v>
      </c>
      <c r="BR27" s="71">
        <v>1</v>
      </c>
      <c r="BS27" s="71">
        <v>1</v>
      </c>
      <c r="BT27" s="71">
        <v>1</v>
      </c>
      <c r="BU27" s="71">
        <v>1</v>
      </c>
      <c r="BV27" s="71">
        <v>1</v>
      </c>
      <c r="BW27" s="71">
        <v>1</v>
      </c>
      <c r="BX27" s="71">
        <v>1</v>
      </c>
      <c r="BY27" s="71">
        <v>1</v>
      </c>
      <c r="BZ27" s="71">
        <v>1</v>
      </c>
      <c r="CA27" s="71">
        <v>1</v>
      </c>
      <c r="CB27" s="71">
        <v>1</v>
      </c>
      <c r="CC27" s="71">
        <v>1</v>
      </c>
      <c r="CD27" s="71">
        <v>1</v>
      </c>
      <c r="CE27" s="71">
        <v>1</v>
      </c>
      <c r="CF27" s="71">
        <v>1</v>
      </c>
      <c r="CG27" s="71">
        <v>1</v>
      </c>
      <c r="CH27" s="71">
        <v>1</v>
      </c>
      <c r="CI27" s="71">
        <v>1</v>
      </c>
      <c r="CJ27" s="71">
        <v>1</v>
      </c>
      <c r="CK27" s="71">
        <v>1</v>
      </c>
      <c r="CL27" s="71">
        <v>1</v>
      </c>
      <c r="CM27" s="71">
        <v>1</v>
      </c>
      <c r="CN27" s="71">
        <v>1</v>
      </c>
      <c r="CO27" s="71">
        <v>1</v>
      </c>
      <c r="CP27" s="71">
        <v>1</v>
      </c>
    </row>
    <row r="28" spans="2:94" hidden="1" outlineLevel="2" x14ac:dyDescent="0.4">
      <c r="B28" s="69"/>
      <c r="C28" s="70"/>
      <c r="D28" s="70"/>
      <c r="E28" s="70" t="s">
        <v>51</v>
      </c>
      <c r="F28" s="71">
        <f>EDTN[[#This Row],[Nuevos Pesos]]</f>
        <v>0.26666666666666666</v>
      </c>
      <c r="H28" s="71">
        <v>0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  <c r="Z28" s="71">
        <v>0</v>
      </c>
      <c r="AA28" s="71">
        <v>0</v>
      </c>
      <c r="AB28" s="71">
        <v>0</v>
      </c>
      <c r="AC28" s="71">
        <v>0</v>
      </c>
      <c r="AD28" s="71">
        <v>0</v>
      </c>
      <c r="AE28" s="71">
        <v>0</v>
      </c>
      <c r="AF28" s="71">
        <v>0</v>
      </c>
      <c r="AG28" s="71">
        <v>0</v>
      </c>
      <c r="AH28" s="71">
        <v>0</v>
      </c>
      <c r="AI28" s="71">
        <v>0.25</v>
      </c>
      <c r="AJ28" s="71">
        <v>0.5</v>
      </c>
      <c r="AK28" s="71">
        <v>0.75</v>
      </c>
      <c r="AL28" s="71">
        <v>1</v>
      </c>
      <c r="AM28" s="71">
        <v>1</v>
      </c>
      <c r="AN28" s="71">
        <v>1</v>
      </c>
      <c r="AO28" s="71">
        <v>1</v>
      </c>
      <c r="AP28" s="71">
        <v>1</v>
      </c>
      <c r="AQ28" s="71">
        <v>1</v>
      </c>
      <c r="AR28" s="71">
        <v>1</v>
      </c>
      <c r="AS28" s="71">
        <v>1</v>
      </c>
      <c r="AT28" s="71">
        <v>1</v>
      </c>
      <c r="AU28" s="71">
        <v>1</v>
      </c>
      <c r="AV28" s="71">
        <v>1</v>
      </c>
      <c r="AW28" s="71">
        <v>1</v>
      </c>
      <c r="AX28" s="71">
        <v>1</v>
      </c>
      <c r="AY28" s="71">
        <v>1</v>
      </c>
      <c r="AZ28" s="71">
        <v>1</v>
      </c>
      <c r="BA28" s="71">
        <v>1</v>
      </c>
      <c r="BB28" s="71">
        <v>1</v>
      </c>
      <c r="BC28" s="71">
        <v>1</v>
      </c>
      <c r="BD28" s="71">
        <v>1</v>
      </c>
      <c r="BE28" s="71">
        <v>1</v>
      </c>
      <c r="BF28" s="71">
        <v>1</v>
      </c>
      <c r="BG28" s="71">
        <v>1</v>
      </c>
      <c r="BH28" s="71">
        <v>1</v>
      </c>
      <c r="BI28" s="71">
        <v>1</v>
      </c>
      <c r="BJ28" s="71">
        <v>1</v>
      </c>
      <c r="BK28" s="71">
        <v>1</v>
      </c>
      <c r="BL28" s="71">
        <v>1</v>
      </c>
      <c r="BM28" s="71">
        <v>1</v>
      </c>
      <c r="BN28" s="71">
        <v>1</v>
      </c>
      <c r="BO28" s="71">
        <v>1</v>
      </c>
      <c r="BP28" s="71">
        <v>1</v>
      </c>
      <c r="BQ28" s="71">
        <v>1</v>
      </c>
      <c r="BR28" s="71">
        <v>1</v>
      </c>
      <c r="BS28" s="71">
        <v>1</v>
      </c>
      <c r="BT28" s="71">
        <v>1</v>
      </c>
      <c r="BU28" s="71">
        <v>1</v>
      </c>
      <c r="BV28" s="71">
        <v>1</v>
      </c>
      <c r="BW28" s="71">
        <v>1</v>
      </c>
      <c r="BX28" s="71">
        <v>1</v>
      </c>
      <c r="BY28" s="71">
        <v>1</v>
      </c>
      <c r="BZ28" s="71">
        <v>1</v>
      </c>
      <c r="CA28" s="71">
        <v>1</v>
      </c>
      <c r="CB28" s="71">
        <v>1</v>
      </c>
      <c r="CC28" s="71">
        <v>1</v>
      </c>
      <c r="CD28" s="71">
        <v>1</v>
      </c>
      <c r="CE28" s="71">
        <v>1</v>
      </c>
      <c r="CF28" s="71">
        <v>1</v>
      </c>
      <c r="CG28" s="71">
        <v>1</v>
      </c>
      <c r="CH28" s="71">
        <v>1</v>
      </c>
      <c r="CI28" s="71">
        <v>1</v>
      </c>
      <c r="CJ28" s="71">
        <v>1</v>
      </c>
      <c r="CK28" s="71">
        <v>1</v>
      </c>
      <c r="CL28" s="71">
        <v>1</v>
      </c>
      <c r="CM28" s="71">
        <v>1</v>
      </c>
      <c r="CN28" s="71">
        <v>1</v>
      </c>
      <c r="CO28" s="71">
        <v>1</v>
      </c>
      <c r="CP28" s="71">
        <v>1</v>
      </c>
    </row>
    <row r="29" spans="2:94" hidden="1" outlineLevel="2" x14ac:dyDescent="0.4">
      <c r="B29" s="69"/>
      <c r="C29" s="70"/>
      <c r="D29" s="70"/>
      <c r="E29" s="70" t="s">
        <v>52</v>
      </c>
      <c r="F29" s="71">
        <f>EDTN[[#This Row],[Nuevos Pesos]]</f>
        <v>0.39999999999999997</v>
      </c>
      <c r="H29" s="71">
        <v>0</v>
      </c>
      <c r="I29" s="71">
        <v>0</v>
      </c>
      <c r="J29" s="71">
        <v>0</v>
      </c>
      <c r="K29" s="71">
        <v>0</v>
      </c>
      <c r="L29" s="71">
        <v>0</v>
      </c>
      <c r="M29" s="71">
        <v>4.5454545454545456E-2</v>
      </c>
      <c r="N29" s="71">
        <f>+PlanBase39[[#This Row],[09/06/25]]+4.5%</f>
        <v>9.0454545454545454E-2</v>
      </c>
      <c r="O29" s="71">
        <f>+PlanBase39[[#This Row],[16/06/25]]+4.5%</f>
        <v>0.13545454545454544</v>
      </c>
      <c r="P29" s="71">
        <f>+PlanBase39[[#This Row],[23/06/25]]+4.5%</f>
        <v>0.18045454545454542</v>
      </c>
      <c r="Q29" s="71">
        <f>+PlanBase39[[#This Row],[30/06/25]]+4.5%</f>
        <v>0.22545454545454541</v>
      </c>
      <c r="R29" s="71">
        <f>+PlanBase39[[#This Row],[07/07/25]]+4.5%</f>
        <v>0.27045454545454539</v>
      </c>
      <c r="S29" s="71">
        <f>+PlanBase39[[#This Row],[14/07/25]]+4.5%</f>
        <v>0.31545454545454538</v>
      </c>
      <c r="T29" s="71">
        <f>+PlanBase39[[#This Row],[21/07/25]]+4.5%</f>
        <v>0.36045454545454536</v>
      </c>
      <c r="U29" s="71">
        <f>+PlanBase39[[#This Row],[28/07/25]]+4.5%</f>
        <v>0.40545454545454535</v>
      </c>
      <c r="V29" s="71">
        <f>+PlanBase39[[#This Row],[04/08/25]]+4.5%</f>
        <v>0.45045454545454533</v>
      </c>
      <c r="W29" s="71">
        <f>+PlanBase39[[#This Row],[11/08/25]]+4.5%</f>
        <v>0.49545454545454531</v>
      </c>
      <c r="X29" s="71">
        <f>+PlanBase39[[#This Row],[18/08/25]]+4.5%</f>
        <v>0.5404545454545453</v>
      </c>
      <c r="Y29" s="71">
        <f>+PlanBase39[[#This Row],[25/08/25]]+4.5%</f>
        <v>0.58545454545454534</v>
      </c>
      <c r="Z29" s="71">
        <f>+PlanBase39[[#This Row],[01/09/25]]+4.5%</f>
        <v>0.63045454545454538</v>
      </c>
      <c r="AA29" s="71">
        <f>+PlanBase39[[#This Row],[08/09/25]]+4.5%</f>
        <v>0.67545454545454542</v>
      </c>
      <c r="AB29" s="71">
        <f>+PlanBase39[[#This Row],[15/09/25]]+4.5%</f>
        <v>0.72045454545454546</v>
      </c>
      <c r="AC29" s="71">
        <f>+PlanBase39[[#This Row],[22/09/25]]+4.5%</f>
        <v>0.7654545454545455</v>
      </c>
      <c r="AD29" s="71">
        <f>+PlanBase39[[#This Row],[29/09/25]]+4.5%</f>
        <v>0.81045454545454554</v>
      </c>
      <c r="AE29" s="71">
        <f>+PlanBase39[[#This Row],[06/10/25]]+4.5%</f>
        <v>0.85545454545454558</v>
      </c>
      <c r="AF29" s="71">
        <f>+PlanBase39[[#This Row],[13/10/25]]+4.5%</f>
        <v>0.90045454545454562</v>
      </c>
      <c r="AG29" s="71">
        <f>+PlanBase39[[#This Row],[20/10/25]]+4.5%</f>
        <v>0.94545454545454566</v>
      </c>
      <c r="AH29" s="71">
        <f>+PlanBase39[[#This Row],[27/10/25]]+4.5%</f>
        <v>0.9904545454545457</v>
      </c>
      <c r="AI29" s="71">
        <v>1</v>
      </c>
      <c r="AJ29" s="71">
        <v>1</v>
      </c>
      <c r="AK29" s="71">
        <v>1</v>
      </c>
      <c r="AL29" s="71">
        <v>1</v>
      </c>
      <c r="AM29" s="71">
        <v>1</v>
      </c>
      <c r="AN29" s="71">
        <v>1</v>
      </c>
      <c r="AO29" s="71">
        <v>1</v>
      </c>
      <c r="AP29" s="71">
        <v>1</v>
      </c>
      <c r="AQ29" s="71">
        <v>1</v>
      </c>
      <c r="AR29" s="71">
        <v>1</v>
      </c>
      <c r="AS29" s="71">
        <v>1</v>
      </c>
      <c r="AT29" s="71">
        <v>1</v>
      </c>
      <c r="AU29" s="71">
        <v>1</v>
      </c>
      <c r="AV29" s="71">
        <v>1</v>
      </c>
      <c r="AW29" s="71">
        <v>1</v>
      </c>
      <c r="AX29" s="71">
        <v>1</v>
      </c>
      <c r="AY29" s="71">
        <v>1</v>
      </c>
      <c r="AZ29" s="71">
        <v>1</v>
      </c>
      <c r="BA29" s="71">
        <v>1</v>
      </c>
      <c r="BB29" s="71">
        <v>1</v>
      </c>
      <c r="BC29" s="71">
        <v>1</v>
      </c>
      <c r="BD29" s="71">
        <v>1</v>
      </c>
      <c r="BE29" s="71">
        <v>1</v>
      </c>
      <c r="BF29" s="71">
        <v>1</v>
      </c>
      <c r="BG29" s="71">
        <v>1</v>
      </c>
      <c r="BH29" s="71">
        <v>1</v>
      </c>
      <c r="BI29" s="71">
        <v>1</v>
      </c>
      <c r="BJ29" s="71">
        <v>1</v>
      </c>
      <c r="BK29" s="71">
        <v>1</v>
      </c>
      <c r="BL29" s="71">
        <v>1</v>
      </c>
      <c r="BM29" s="71">
        <v>1</v>
      </c>
      <c r="BN29" s="71">
        <v>1</v>
      </c>
      <c r="BO29" s="71">
        <v>1</v>
      </c>
      <c r="BP29" s="71">
        <v>1</v>
      </c>
      <c r="BQ29" s="71">
        <v>1</v>
      </c>
      <c r="BR29" s="71">
        <v>1</v>
      </c>
      <c r="BS29" s="71">
        <v>1</v>
      </c>
      <c r="BT29" s="71">
        <v>1</v>
      </c>
      <c r="BU29" s="71">
        <v>1</v>
      </c>
      <c r="BV29" s="71">
        <v>1</v>
      </c>
      <c r="BW29" s="71">
        <v>1</v>
      </c>
      <c r="BX29" s="71">
        <v>1</v>
      </c>
      <c r="BY29" s="71">
        <v>1</v>
      </c>
      <c r="BZ29" s="71">
        <v>1</v>
      </c>
      <c r="CA29" s="71">
        <v>1</v>
      </c>
      <c r="CB29" s="71">
        <v>1</v>
      </c>
      <c r="CC29" s="71">
        <v>1</v>
      </c>
      <c r="CD29" s="71">
        <v>1</v>
      </c>
      <c r="CE29" s="71">
        <v>1</v>
      </c>
      <c r="CF29" s="71">
        <v>1</v>
      </c>
      <c r="CG29" s="71">
        <v>1</v>
      </c>
      <c r="CH29" s="71">
        <v>1</v>
      </c>
      <c r="CI29" s="71">
        <v>1</v>
      </c>
      <c r="CJ29" s="71">
        <v>1</v>
      </c>
      <c r="CK29" s="71">
        <v>1</v>
      </c>
      <c r="CL29" s="71">
        <v>1</v>
      </c>
      <c r="CM29" s="71">
        <v>1</v>
      </c>
      <c r="CN29" s="71">
        <v>1</v>
      </c>
      <c r="CO29" s="71">
        <v>1</v>
      </c>
      <c r="CP29" s="71">
        <v>1</v>
      </c>
    </row>
    <row r="30" spans="2:94" hidden="1" outlineLevel="1" collapsed="1" x14ac:dyDescent="0.4">
      <c r="B30" s="85"/>
      <c r="C30" s="86"/>
      <c r="D30" s="86" t="s">
        <v>63</v>
      </c>
      <c r="E30" s="86"/>
      <c r="F30" s="87">
        <f>EDTN[[#This Row],[Nuevos Pesos]]</f>
        <v>0.10418706453930457</v>
      </c>
      <c r="H30" s="87">
        <f>SUMPRODUCT(H31:H40,$F$31:$F$40)</f>
        <v>0</v>
      </c>
      <c r="I30" s="87">
        <f t="shared" ref="I30:AP30" si="111">SUMPRODUCT(I31:I40,$F$31:$F$40)</f>
        <v>1.0092514718250629E-2</v>
      </c>
      <c r="J30" s="87">
        <f t="shared" si="111"/>
        <v>2.0043734230445753E-2</v>
      </c>
      <c r="K30" s="87">
        <f t="shared" si="111"/>
        <v>3.5415007943182877E-2</v>
      </c>
      <c r="L30" s="87">
        <f t="shared" si="111"/>
        <v>5.0780861601719463E-2</v>
      </c>
      <c r="M30" s="87">
        <f t="shared" si="111"/>
        <v>6.6146715260256048E-2</v>
      </c>
      <c r="N30" s="87">
        <f t="shared" si="111"/>
        <v>8.7610129894402394E-2</v>
      </c>
      <c r="O30" s="87">
        <f t="shared" si="111"/>
        <v>0.10912232501635361</v>
      </c>
      <c r="P30" s="87">
        <f t="shared" si="111"/>
        <v>0.13063452013830484</v>
      </c>
      <c r="Q30" s="87">
        <f t="shared" si="111"/>
        <v>0.16521291735084839</v>
      </c>
      <c r="R30" s="87">
        <f t="shared" si="111"/>
        <v>0.19982267344840937</v>
      </c>
      <c r="S30" s="87">
        <f t="shared" si="111"/>
        <v>0.23443242954597038</v>
      </c>
      <c r="T30" s="87">
        <f t="shared" si="111"/>
        <v>0.26904218564353133</v>
      </c>
      <c r="U30" s="87">
        <f t="shared" si="111"/>
        <v>0.30365194174109233</v>
      </c>
      <c r="V30" s="87">
        <f t="shared" si="111"/>
        <v>0.33826169783865334</v>
      </c>
      <c r="W30" s="87">
        <f t="shared" si="111"/>
        <v>0.37287145393621435</v>
      </c>
      <c r="X30" s="87">
        <f t="shared" si="111"/>
        <v>0.4074812100337753</v>
      </c>
      <c r="Y30" s="87">
        <f t="shared" si="111"/>
        <v>0.45672511247279973</v>
      </c>
      <c r="Z30" s="87">
        <f t="shared" si="111"/>
        <v>0.505969014911824</v>
      </c>
      <c r="AA30" s="87">
        <f t="shared" si="111"/>
        <v>0.55521291735084843</v>
      </c>
      <c r="AB30" s="87">
        <f t="shared" si="111"/>
        <v>0.61421291735084849</v>
      </c>
      <c r="AC30" s="87">
        <f t="shared" si="111"/>
        <v>0.66740803930206805</v>
      </c>
      <c r="AD30" s="87">
        <f t="shared" si="111"/>
        <v>0.70570072222889735</v>
      </c>
      <c r="AE30" s="87">
        <f t="shared" si="111"/>
        <v>0.74399340515572654</v>
      </c>
      <c r="AF30" s="87">
        <f t="shared" si="111"/>
        <v>0.78228608808255584</v>
      </c>
      <c r="AG30" s="87">
        <f t="shared" si="111"/>
        <v>0.82057877100938503</v>
      </c>
      <c r="AH30" s="87">
        <f t="shared" si="111"/>
        <v>0.85887145393621434</v>
      </c>
      <c r="AI30" s="87">
        <f t="shared" si="111"/>
        <v>0.89716413686304364</v>
      </c>
      <c r="AJ30" s="87">
        <f t="shared" si="111"/>
        <v>0.94033486857036075</v>
      </c>
      <c r="AK30" s="87">
        <f t="shared" si="111"/>
        <v>0.98536585365853657</v>
      </c>
      <c r="AL30" s="87">
        <f t="shared" si="111"/>
        <v>0.99024390243902438</v>
      </c>
      <c r="AM30" s="87">
        <f t="shared" si="111"/>
        <v>0.99512195121951219</v>
      </c>
      <c r="AN30" s="87">
        <f t="shared" si="111"/>
        <v>1</v>
      </c>
      <c r="AO30" s="87">
        <f t="shared" si="111"/>
        <v>1</v>
      </c>
      <c r="AP30" s="87">
        <f t="shared" si="111"/>
        <v>1</v>
      </c>
      <c r="AQ30" s="87">
        <f t="shared" ref="AQ30:AR30" si="112">SUMPRODUCT(AQ31:AQ40,$F$31:$F$40)</f>
        <v>1</v>
      </c>
      <c r="AR30" s="87">
        <f t="shared" si="112"/>
        <v>1</v>
      </c>
      <c r="AS30" s="87">
        <f t="shared" ref="AS30" si="113">SUMPRODUCT(AS31:AS40,$F$31:$F$40)</f>
        <v>1</v>
      </c>
      <c r="AT30" s="87">
        <f t="shared" ref="AT30:BC30" si="114">SUMPRODUCT(AT31:AT40,$F$31:$F$40)</f>
        <v>1</v>
      </c>
      <c r="AU30" s="87">
        <f t="shared" si="114"/>
        <v>1</v>
      </c>
      <c r="AV30" s="87">
        <f t="shared" si="114"/>
        <v>1</v>
      </c>
      <c r="AW30" s="87">
        <f t="shared" si="114"/>
        <v>1</v>
      </c>
      <c r="AX30" s="87">
        <f t="shared" si="114"/>
        <v>1</v>
      </c>
      <c r="AY30" s="87">
        <f t="shared" si="114"/>
        <v>1</v>
      </c>
      <c r="AZ30" s="87">
        <f t="shared" si="114"/>
        <v>1</v>
      </c>
      <c r="BA30" s="87">
        <f t="shared" si="114"/>
        <v>1</v>
      </c>
      <c r="BB30" s="87">
        <f t="shared" si="114"/>
        <v>1</v>
      </c>
      <c r="BC30" s="87">
        <f t="shared" si="114"/>
        <v>1</v>
      </c>
      <c r="BD30" s="87">
        <f t="shared" ref="BD30:BE30" si="115">SUMPRODUCT(BD31:BD40,$F$31:$F$40)</f>
        <v>1</v>
      </c>
      <c r="BE30" s="87">
        <f t="shared" si="115"/>
        <v>1</v>
      </c>
      <c r="BF30" s="87">
        <f t="shared" ref="BF30:BG30" si="116">SUMPRODUCT(BF31:BF40,$F$31:$F$40)</f>
        <v>1</v>
      </c>
      <c r="BG30" s="87">
        <f t="shared" si="116"/>
        <v>1</v>
      </c>
      <c r="BH30" s="87">
        <f t="shared" ref="BH30:BI30" si="117">SUMPRODUCT(BH31:BH40,$F$31:$F$40)</f>
        <v>1</v>
      </c>
      <c r="BI30" s="87">
        <f t="shared" si="117"/>
        <v>1</v>
      </c>
      <c r="BJ30" s="87">
        <f t="shared" ref="BJ30:BK30" si="118">SUMPRODUCT(BJ31:BJ40,$F$31:$F$40)</f>
        <v>1</v>
      </c>
      <c r="BK30" s="87">
        <f t="shared" si="118"/>
        <v>1</v>
      </c>
      <c r="BL30" s="87">
        <f t="shared" ref="BL30:CP30" si="119">SUMPRODUCT(BL31:BL40,$F$31:$F$40)</f>
        <v>1</v>
      </c>
      <c r="BM30" s="87">
        <f t="shared" si="119"/>
        <v>1</v>
      </c>
      <c r="BN30" s="87">
        <f t="shared" si="119"/>
        <v>1</v>
      </c>
      <c r="BO30" s="87">
        <f t="shared" si="119"/>
        <v>1</v>
      </c>
      <c r="BP30" s="87">
        <f t="shared" si="119"/>
        <v>1</v>
      </c>
      <c r="BQ30" s="87">
        <f t="shared" si="119"/>
        <v>1</v>
      </c>
      <c r="BR30" s="87">
        <f t="shared" si="119"/>
        <v>1</v>
      </c>
      <c r="BS30" s="87">
        <f t="shared" si="119"/>
        <v>1</v>
      </c>
      <c r="BT30" s="87">
        <f t="shared" si="119"/>
        <v>1</v>
      </c>
      <c r="BU30" s="87">
        <f t="shared" si="119"/>
        <v>1</v>
      </c>
      <c r="BV30" s="87">
        <f t="shared" si="119"/>
        <v>1</v>
      </c>
      <c r="BW30" s="87">
        <f t="shared" si="119"/>
        <v>1</v>
      </c>
      <c r="BX30" s="87">
        <f t="shared" si="119"/>
        <v>1</v>
      </c>
      <c r="BY30" s="87">
        <f t="shared" si="119"/>
        <v>1</v>
      </c>
      <c r="BZ30" s="87">
        <f t="shared" si="119"/>
        <v>1</v>
      </c>
      <c r="CA30" s="87">
        <f t="shared" si="119"/>
        <v>1</v>
      </c>
      <c r="CB30" s="87">
        <f t="shared" si="119"/>
        <v>1</v>
      </c>
      <c r="CC30" s="87">
        <f t="shared" si="119"/>
        <v>1</v>
      </c>
      <c r="CD30" s="87">
        <f t="shared" si="119"/>
        <v>1</v>
      </c>
      <c r="CE30" s="87">
        <f t="shared" si="119"/>
        <v>1</v>
      </c>
      <c r="CF30" s="87">
        <f t="shared" si="119"/>
        <v>1</v>
      </c>
      <c r="CG30" s="87">
        <f t="shared" si="119"/>
        <v>1</v>
      </c>
      <c r="CH30" s="87">
        <f t="shared" si="119"/>
        <v>1</v>
      </c>
      <c r="CI30" s="87">
        <f t="shared" si="119"/>
        <v>1</v>
      </c>
      <c r="CJ30" s="87">
        <f t="shared" si="119"/>
        <v>1</v>
      </c>
      <c r="CK30" s="87">
        <f t="shared" si="119"/>
        <v>1</v>
      </c>
      <c r="CL30" s="87">
        <f t="shared" si="119"/>
        <v>1</v>
      </c>
      <c r="CM30" s="87">
        <f t="shared" si="119"/>
        <v>1</v>
      </c>
      <c r="CN30" s="87">
        <f t="shared" si="119"/>
        <v>1</v>
      </c>
      <c r="CO30" s="87">
        <f t="shared" si="119"/>
        <v>1</v>
      </c>
      <c r="CP30" s="87">
        <f t="shared" si="119"/>
        <v>1</v>
      </c>
    </row>
    <row r="31" spans="2:94" hidden="1" outlineLevel="2" x14ac:dyDescent="0.4">
      <c r="B31" s="69"/>
      <c r="C31" s="70"/>
      <c r="D31" s="75"/>
      <c r="E31" s="70" t="s">
        <v>64</v>
      </c>
      <c r="F31" s="76">
        <f>EDTN[[#This Row],[Nuevos Pesos]]</f>
        <v>7.3170731707317069E-2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8.3333333333333343E-2</v>
      </c>
      <c r="R31" s="76">
        <f>+PlanBase39[[#This Row],[07/07/25]]+8.3%</f>
        <v>0.16633333333333333</v>
      </c>
      <c r="S31" s="76">
        <f>+PlanBase39[[#This Row],[14/07/25]]+8.3%</f>
        <v>0.24933333333333335</v>
      </c>
      <c r="T31" s="76">
        <f>+PlanBase39[[#This Row],[21/07/25]]+8.3%</f>
        <v>0.33233333333333337</v>
      </c>
      <c r="U31" s="76">
        <f>+PlanBase39[[#This Row],[28/07/25]]+8.3%</f>
        <v>0.41533333333333339</v>
      </c>
      <c r="V31" s="76">
        <f>+PlanBase39[[#This Row],[04/08/25]]+8.3%</f>
        <v>0.49833333333333341</v>
      </c>
      <c r="W31" s="76">
        <f>+PlanBase39[[#This Row],[11/08/25]]+8.3%</f>
        <v>0.58133333333333337</v>
      </c>
      <c r="X31" s="76">
        <f>+PlanBase39[[#This Row],[18/08/25]]+8.3%</f>
        <v>0.66433333333333333</v>
      </c>
      <c r="Y31" s="76">
        <f>+PlanBase39[[#This Row],[25/08/25]]+8.3%</f>
        <v>0.74733333333333329</v>
      </c>
      <c r="Z31" s="76">
        <f>+PlanBase39[[#This Row],[01/09/25]]+8.3%</f>
        <v>0.83033333333333326</v>
      </c>
      <c r="AA31" s="76">
        <f>+PlanBase39[[#This Row],[08/09/25]]+8.3%</f>
        <v>0.91333333333333322</v>
      </c>
      <c r="AB31" s="76">
        <f>+PlanBase39[[#This Row],[15/09/25]]+8.3%</f>
        <v>0.99633333333333318</v>
      </c>
      <c r="AC31" s="76">
        <v>1</v>
      </c>
      <c r="AD31" s="76">
        <v>1</v>
      </c>
      <c r="AE31" s="76">
        <v>1</v>
      </c>
      <c r="AF31" s="76">
        <v>1</v>
      </c>
      <c r="AG31" s="76">
        <v>1</v>
      </c>
      <c r="AH31" s="76">
        <v>1</v>
      </c>
      <c r="AI31" s="76">
        <v>1</v>
      </c>
      <c r="AJ31" s="76">
        <v>1</v>
      </c>
      <c r="AK31" s="76">
        <v>1</v>
      </c>
      <c r="AL31" s="76">
        <v>1</v>
      </c>
      <c r="AM31" s="76">
        <v>1</v>
      </c>
      <c r="AN31" s="76">
        <v>1</v>
      </c>
      <c r="AO31" s="76">
        <v>1</v>
      </c>
      <c r="AP31" s="76">
        <v>1</v>
      </c>
      <c r="AQ31" s="76">
        <v>1</v>
      </c>
      <c r="AR31" s="76">
        <v>1</v>
      </c>
      <c r="AS31" s="76">
        <v>1</v>
      </c>
      <c r="AT31" s="76">
        <v>1</v>
      </c>
      <c r="AU31" s="76">
        <v>1</v>
      </c>
      <c r="AV31" s="76">
        <v>1</v>
      </c>
      <c r="AW31" s="76">
        <v>1</v>
      </c>
      <c r="AX31" s="76">
        <v>1</v>
      </c>
      <c r="AY31" s="76">
        <v>1</v>
      </c>
      <c r="AZ31" s="76">
        <v>1</v>
      </c>
      <c r="BA31" s="76">
        <v>1</v>
      </c>
      <c r="BB31" s="76">
        <v>1</v>
      </c>
      <c r="BC31" s="76">
        <v>1</v>
      </c>
      <c r="BD31" s="76">
        <v>1</v>
      </c>
      <c r="BE31" s="76">
        <v>1</v>
      </c>
      <c r="BF31" s="76">
        <v>1</v>
      </c>
      <c r="BG31" s="76">
        <v>1</v>
      </c>
      <c r="BH31" s="76">
        <v>1</v>
      </c>
      <c r="BI31" s="76">
        <v>1</v>
      </c>
      <c r="BJ31" s="76">
        <v>1</v>
      </c>
      <c r="BK31" s="76">
        <v>1</v>
      </c>
      <c r="BL31" s="76">
        <v>1</v>
      </c>
      <c r="BM31" s="76">
        <v>1</v>
      </c>
      <c r="BN31" s="76">
        <v>1</v>
      </c>
      <c r="BO31" s="76">
        <v>1</v>
      </c>
      <c r="BP31" s="76">
        <v>1</v>
      </c>
      <c r="BQ31" s="76">
        <v>1</v>
      </c>
      <c r="BR31" s="76">
        <v>1</v>
      </c>
      <c r="BS31" s="76">
        <v>1</v>
      </c>
      <c r="BT31" s="76">
        <v>1</v>
      </c>
      <c r="BU31" s="76">
        <v>1</v>
      </c>
      <c r="BV31" s="76">
        <v>1</v>
      </c>
      <c r="BW31" s="76">
        <v>1</v>
      </c>
      <c r="BX31" s="76">
        <v>1</v>
      </c>
      <c r="BY31" s="76">
        <v>1</v>
      </c>
      <c r="BZ31" s="76">
        <v>1</v>
      </c>
      <c r="CA31" s="76">
        <v>1</v>
      </c>
      <c r="CB31" s="76">
        <v>1</v>
      </c>
      <c r="CC31" s="76">
        <v>1</v>
      </c>
      <c r="CD31" s="76">
        <v>1</v>
      </c>
      <c r="CE31" s="76">
        <v>1</v>
      </c>
      <c r="CF31" s="76">
        <v>1</v>
      </c>
      <c r="CG31" s="76">
        <v>1</v>
      </c>
      <c r="CH31" s="76">
        <v>1</v>
      </c>
      <c r="CI31" s="76">
        <v>1</v>
      </c>
      <c r="CJ31" s="76">
        <v>1</v>
      </c>
      <c r="CK31" s="76">
        <v>1</v>
      </c>
      <c r="CL31" s="76">
        <v>1</v>
      </c>
      <c r="CM31" s="76">
        <v>1</v>
      </c>
      <c r="CN31" s="76">
        <v>1</v>
      </c>
      <c r="CO31" s="76">
        <v>1</v>
      </c>
      <c r="CP31" s="76">
        <v>1</v>
      </c>
    </row>
    <row r="32" spans="2:94" hidden="1" outlineLevel="2" x14ac:dyDescent="0.4">
      <c r="B32" s="69"/>
      <c r="C32" s="70"/>
      <c r="D32" s="75"/>
      <c r="E32" s="70" t="s">
        <v>65</v>
      </c>
      <c r="F32" s="76">
        <f>EDTN[[#This Row],[Nuevos Pesos]]</f>
        <v>2.4390243902439022E-2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6">
        <v>0</v>
      </c>
      <c r="AG32" s="76">
        <v>0</v>
      </c>
      <c r="AH32" s="76">
        <v>0</v>
      </c>
      <c r="AI32" s="76">
        <v>0</v>
      </c>
      <c r="AJ32" s="76">
        <v>0.2</v>
      </c>
      <c r="AK32" s="76">
        <v>0.4</v>
      </c>
      <c r="AL32" s="76">
        <v>0.6</v>
      </c>
      <c r="AM32" s="76">
        <v>0.8</v>
      </c>
      <c r="AN32" s="76">
        <v>1</v>
      </c>
      <c r="AO32" s="76">
        <v>1</v>
      </c>
      <c r="AP32" s="76">
        <v>1</v>
      </c>
      <c r="AQ32" s="76">
        <v>1</v>
      </c>
      <c r="AR32" s="76">
        <v>1</v>
      </c>
      <c r="AS32" s="76">
        <v>1</v>
      </c>
      <c r="AT32" s="76">
        <v>1</v>
      </c>
      <c r="AU32" s="76">
        <v>1</v>
      </c>
      <c r="AV32" s="76">
        <v>1</v>
      </c>
      <c r="AW32" s="76">
        <v>1</v>
      </c>
      <c r="AX32" s="76">
        <v>1</v>
      </c>
      <c r="AY32" s="76">
        <v>1</v>
      </c>
      <c r="AZ32" s="76">
        <v>1</v>
      </c>
      <c r="BA32" s="76">
        <v>1</v>
      </c>
      <c r="BB32" s="76">
        <v>1</v>
      </c>
      <c r="BC32" s="76">
        <v>1</v>
      </c>
      <c r="BD32" s="76">
        <v>1</v>
      </c>
      <c r="BE32" s="76">
        <v>1</v>
      </c>
      <c r="BF32" s="76">
        <v>1</v>
      </c>
      <c r="BG32" s="76">
        <v>1</v>
      </c>
      <c r="BH32" s="76">
        <v>1</v>
      </c>
      <c r="BI32" s="76">
        <v>1</v>
      </c>
      <c r="BJ32" s="76">
        <v>1</v>
      </c>
      <c r="BK32" s="76">
        <v>1</v>
      </c>
      <c r="BL32" s="76">
        <v>1</v>
      </c>
      <c r="BM32" s="76">
        <v>1</v>
      </c>
      <c r="BN32" s="76">
        <v>1</v>
      </c>
      <c r="BO32" s="76">
        <v>1</v>
      </c>
      <c r="BP32" s="76">
        <v>1</v>
      </c>
      <c r="BQ32" s="76">
        <v>1</v>
      </c>
      <c r="BR32" s="76">
        <v>1</v>
      </c>
      <c r="BS32" s="76">
        <v>1</v>
      </c>
      <c r="BT32" s="76">
        <v>1</v>
      </c>
      <c r="BU32" s="76">
        <v>1</v>
      </c>
      <c r="BV32" s="76">
        <v>1</v>
      </c>
      <c r="BW32" s="76">
        <v>1</v>
      </c>
      <c r="BX32" s="76">
        <v>1</v>
      </c>
      <c r="BY32" s="76">
        <v>1</v>
      </c>
      <c r="BZ32" s="76">
        <v>1</v>
      </c>
      <c r="CA32" s="76">
        <v>1</v>
      </c>
      <c r="CB32" s="76">
        <v>1</v>
      </c>
      <c r="CC32" s="76">
        <v>1</v>
      </c>
      <c r="CD32" s="76">
        <v>1</v>
      </c>
      <c r="CE32" s="76">
        <v>1</v>
      </c>
      <c r="CF32" s="76">
        <v>1</v>
      </c>
      <c r="CG32" s="76">
        <v>1</v>
      </c>
      <c r="CH32" s="76">
        <v>1</v>
      </c>
      <c r="CI32" s="76">
        <v>1</v>
      </c>
      <c r="CJ32" s="76">
        <v>1</v>
      </c>
      <c r="CK32" s="76">
        <v>1</v>
      </c>
      <c r="CL32" s="76">
        <v>1</v>
      </c>
      <c r="CM32" s="76">
        <v>1</v>
      </c>
      <c r="CN32" s="76">
        <v>1</v>
      </c>
      <c r="CO32" s="76">
        <v>1</v>
      </c>
      <c r="CP32" s="76">
        <v>1</v>
      </c>
    </row>
    <row r="33" spans="2:94" hidden="1" outlineLevel="2" x14ac:dyDescent="0.4">
      <c r="B33" s="69"/>
      <c r="C33" s="70"/>
      <c r="D33" s="75"/>
      <c r="E33" s="70" t="s">
        <v>66</v>
      </c>
      <c r="F33" s="76">
        <f>EDTN[[#This Row],[Nuevos Pesos]]</f>
        <v>9.7560975609756087E-2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0.1</v>
      </c>
      <c r="AC33" s="76">
        <f>+PlanBase39[[#This Row],[22/09/25]]+10%</f>
        <v>0.2</v>
      </c>
      <c r="AD33" s="76">
        <f>+PlanBase39[[#This Row],[29/09/25]]+10%</f>
        <v>0.30000000000000004</v>
      </c>
      <c r="AE33" s="76">
        <f>+PlanBase39[[#This Row],[06/10/25]]+10%</f>
        <v>0.4</v>
      </c>
      <c r="AF33" s="76">
        <f>+PlanBase39[[#This Row],[13/10/25]]+10%</f>
        <v>0.5</v>
      </c>
      <c r="AG33" s="76">
        <f>+PlanBase39[[#This Row],[20/10/25]]+10%</f>
        <v>0.6</v>
      </c>
      <c r="AH33" s="76">
        <f>+PlanBase39[[#This Row],[27/10/25]]+10%</f>
        <v>0.7</v>
      </c>
      <c r="AI33" s="76">
        <f>+PlanBase39[[#This Row],[03/11/25]]+10%</f>
        <v>0.79999999999999993</v>
      </c>
      <c r="AJ33" s="76">
        <f>+PlanBase39[[#This Row],[10/11/25]]+10%</f>
        <v>0.89999999999999991</v>
      </c>
      <c r="AK33" s="76">
        <f>+PlanBase39[[#This Row],[17/11/25]]+10%</f>
        <v>0.99999999999999989</v>
      </c>
      <c r="AL33" s="76">
        <v>1</v>
      </c>
      <c r="AM33" s="76">
        <v>1</v>
      </c>
      <c r="AN33" s="76">
        <v>1</v>
      </c>
      <c r="AO33" s="76">
        <v>1</v>
      </c>
      <c r="AP33" s="76">
        <v>1</v>
      </c>
      <c r="AQ33" s="76">
        <v>1</v>
      </c>
      <c r="AR33" s="76">
        <v>1</v>
      </c>
      <c r="AS33" s="76">
        <v>1</v>
      </c>
      <c r="AT33" s="76">
        <v>1</v>
      </c>
      <c r="AU33" s="76">
        <v>1</v>
      </c>
      <c r="AV33" s="76">
        <v>1</v>
      </c>
      <c r="AW33" s="76">
        <v>1</v>
      </c>
      <c r="AX33" s="76">
        <v>1</v>
      </c>
      <c r="AY33" s="76">
        <v>1</v>
      </c>
      <c r="AZ33" s="76">
        <v>1</v>
      </c>
      <c r="BA33" s="76">
        <v>1</v>
      </c>
      <c r="BB33" s="76">
        <v>1</v>
      </c>
      <c r="BC33" s="76">
        <v>1</v>
      </c>
      <c r="BD33" s="76">
        <v>1</v>
      </c>
      <c r="BE33" s="76">
        <v>1</v>
      </c>
      <c r="BF33" s="76">
        <v>1</v>
      </c>
      <c r="BG33" s="76">
        <v>1</v>
      </c>
      <c r="BH33" s="76">
        <v>1</v>
      </c>
      <c r="BI33" s="76">
        <v>1</v>
      </c>
      <c r="BJ33" s="76">
        <v>1</v>
      </c>
      <c r="BK33" s="76">
        <v>1</v>
      </c>
      <c r="BL33" s="76">
        <v>1</v>
      </c>
      <c r="BM33" s="76">
        <v>1</v>
      </c>
      <c r="BN33" s="76">
        <v>1</v>
      </c>
      <c r="BO33" s="76">
        <v>1</v>
      </c>
      <c r="BP33" s="76">
        <v>1</v>
      </c>
      <c r="BQ33" s="76">
        <v>1</v>
      </c>
      <c r="BR33" s="76">
        <v>1</v>
      </c>
      <c r="BS33" s="76">
        <v>1</v>
      </c>
      <c r="BT33" s="76">
        <v>1</v>
      </c>
      <c r="BU33" s="76">
        <v>1</v>
      </c>
      <c r="BV33" s="76">
        <v>1</v>
      </c>
      <c r="BW33" s="76">
        <v>1</v>
      </c>
      <c r="BX33" s="76">
        <v>1</v>
      </c>
      <c r="BY33" s="76">
        <v>1</v>
      </c>
      <c r="BZ33" s="76">
        <v>1</v>
      </c>
      <c r="CA33" s="76">
        <v>1</v>
      </c>
      <c r="CB33" s="76">
        <v>1</v>
      </c>
      <c r="CC33" s="76">
        <v>1</v>
      </c>
      <c r="CD33" s="76">
        <v>1</v>
      </c>
      <c r="CE33" s="76">
        <v>1</v>
      </c>
      <c r="CF33" s="76">
        <v>1</v>
      </c>
      <c r="CG33" s="76">
        <v>1</v>
      </c>
      <c r="CH33" s="76">
        <v>1</v>
      </c>
      <c r="CI33" s="76">
        <v>1</v>
      </c>
      <c r="CJ33" s="76">
        <v>1</v>
      </c>
      <c r="CK33" s="76">
        <v>1</v>
      </c>
      <c r="CL33" s="76">
        <v>1</v>
      </c>
      <c r="CM33" s="76">
        <v>1</v>
      </c>
      <c r="CN33" s="76">
        <v>1</v>
      </c>
      <c r="CO33" s="76">
        <v>1</v>
      </c>
      <c r="CP33" s="76">
        <v>1</v>
      </c>
    </row>
    <row r="34" spans="2:94" hidden="1" outlineLevel="2" x14ac:dyDescent="0.4">
      <c r="B34" s="69"/>
      <c r="C34" s="70"/>
      <c r="D34" s="75"/>
      <c r="E34" s="70" t="s">
        <v>67</v>
      </c>
      <c r="F34" s="76">
        <f>EDTN[[#This Row],[Nuevos Pesos]]</f>
        <v>7.3170731707317069E-2</v>
      </c>
      <c r="H34" s="76">
        <v>0</v>
      </c>
      <c r="I34" s="76">
        <v>0</v>
      </c>
      <c r="J34" s="76">
        <v>0</v>
      </c>
      <c r="K34" s="76">
        <v>3.7037037037037035E-2</v>
      </c>
      <c r="L34" s="76">
        <f>+PlanBase39[[#This Row],[26/05/25]]+3.7%</f>
        <v>7.403703703703704E-2</v>
      </c>
      <c r="M34" s="76">
        <f>+PlanBase39[[#This Row],[02/06/25]]+3.7%</f>
        <v>0.11103703703703705</v>
      </c>
      <c r="N34" s="76">
        <f>+PlanBase39[[#This Row],[09/06/25]]+3.7%</f>
        <v>0.14803703703703705</v>
      </c>
      <c r="O34" s="76">
        <f>+PlanBase39[[#This Row],[16/06/25]]+3.7%</f>
        <v>0.18503703703703706</v>
      </c>
      <c r="P34" s="76">
        <f>+PlanBase39[[#This Row],[23/06/25]]+3.7%</f>
        <v>0.22203703703703706</v>
      </c>
      <c r="Q34" s="76">
        <f>+PlanBase39[[#This Row],[30/06/25]]+3.7%</f>
        <v>0.25903703703703707</v>
      </c>
      <c r="R34" s="76">
        <f>+PlanBase39[[#This Row],[07/07/25]]+3.7%</f>
        <v>0.2960370370370371</v>
      </c>
      <c r="S34" s="76">
        <f>+PlanBase39[[#This Row],[14/07/25]]+3.7%</f>
        <v>0.33303703703703713</v>
      </c>
      <c r="T34" s="76">
        <f>+PlanBase39[[#This Row],[21/07/25]]+3.7%</f>
        <v>0.37003703703703716</v>
      </c>
      <c r="U34" s="76">
        <f>+PlanBase39[[#This Row],[28/07/25]]+3.7%</f>
        <v>0.4070370370370372</v>
      </c>
      <c r="V34" s="76">
        <f>+PlanBase39[[#This Row],[04/08/25]]+3.7%</f>
        <v>0.44403703703703723</v>
      </c>
      <c r="W34" s="76">
        <f>+PlanBase39[[#This Row],[11/08/25]]+3.7%</f>
        <v>0.48103703703703726</v>
      </c>
      <c r="X34" s="76">
        <f>+PlanBase39[[#This Row],[18/08/25]]+3.7%</f>
        <v>0.5180370370370373</v>
      </c>
      <c r="Y34" s="76">
        <f>+PlanBase39[[#This Row],[25/08/25]]+3.7%</f>
        <v>0.55503703703703733</v>
      </c>
      <c r="Z34" s="76">
        <f>+PlanBase39[[#This Row],[01/09/25]]+3.7%</f>
        <v>0.59203703703703736</v>
      </c>
      <c r="AA34" s="76">
        <f>+PlanBase39[[#This Row],[08/09/25]]+3.7%</f>
        <v>0.62903703703703739</v>
      </c>
      <c r="AB34" s="76">
        <f>+PlanBase39[[#This Row],[15/09/25]]+3.7%</f>
        <v>0.66603703703703743</v>
      </c>
      <c r="AC34" s="76">
        <f>+PlanBase39[[#This Row],[22/09/25]]+3.7%</f>
        <v>0.70303703703703746</v>
      </c>
      <c r="AD34" s="76">
        <f>+PlanBase39[[#This Row],[29/09/25]]+3.7%</f>
        <v>0.74003703703703749</v>
      </c>
      <c r="AE34" s="76">
        <f>+PlanBase39[[#This Row],[06/10/25]]+3.7%</f>
        <v>0.77703703703703753</v>
      </c>
      <c r="AF34" s="76">
        <f>+PlanBase39[[#This Row],[13/10/25]]+3.7%</f>
        <v>0.81403703703703756</v>
      </c>
      <c r="AG34" s="76">
        <f>+PlanBase39[[#This Row],[20/10/25]]+3.7%</f>
        <v>0.85103703703703759</v>
      </c>
      <c r="AH34" s="76">
        <f>+PlanBase39[[#This Row],[27/10/25]]+3.7%</f>
        <v>0.88803703703703762</v>
      </c>
      <c r="AI34" s="76">
        <f>+PlanBase39[[#This Row],[03/11/25]]+3.7%</f>
        <v>0.92503703703703766</v>
      </c>
      <c r="AJ34" s="76">
        <f>+PlanBase39[[#This Row],[10/11/25]]+3.7%</f>
        <v>0.96203703703703769</v>
      </c>
      <c r="AK34" s="76">
        <v>1</v>
      </c>
      <c r="AL34" s="76">
        <v>1</v>
      </c>
      <c r="AM34" s="76">
        <v>1</v>
      </c>
      <c r="AN34" s="76">
        <v>1</v>
      </c>
      <c r="AO34" s="76">
        <v>1</v>
      </c>
      <c r="AP34" s="76">
        <v>1</v>
      </c>
      <c r="AQ34" s="76">
        <v>1</v>
      </c>
      <c r="AR34" s="76">
        <v>1</v>
      </c>
      <c r="AS34" s="76">
        <v>1</v>
      </c>
      <c r="AT34" s="76">
        <v>1</v>
      </c>
      <c r="AU34" s="76">
        <v>1</v>
      </c>
      <c r="AV34" s="76">
        <v>1</v>
      </c>
      <c r="AW34" s="76">
        <v>1</v>
      </c>
      <c r="AX34" s="76">
        <v>1</v>
      </c>
      <c r="AY34" s="76">
        <v>1</v>
      </c>
      <c r="AZ34" s="76">
        <v>1</v>
      </c>
      <c r="BA34" s="76">
        <v>1</v>
      </c>
      <c r="BB34" s="76">
        <v>1</v>
      </c>
      <c r="BC34" s="76">
        <v>1</v>
      </c>
      <c r="BD34" s="76">
        <v>1</v>
      </c>
      <c r="BE34" s="76">
        <v>1</v>
      </c>
      <c r="BF34" s="76">
        <v>1</v>
      </c>
      <c r="BG34" s="76">
        <v>1</v>
      </c>
      <c r="BH34" s="76">
        <v>1</v>
      </c>
      <c r="BI34" s="76">
        <v>1</v>
      </c>
      <c r="BJ34" s="76">
        <v>1</v>
      </c>
      <c r="BK34" s="76">
        <v>1</v>
      </c>
      <c r="BL34" s="76">
        <v>1</v>
      </c>
      <c r="BM34" s="76">
        <v>1</v>
      </c>
      <c r="BN34" s="76">
        <v>1</v>
      </c>
      <c r="BO34" s="76">
        <v>1</v>
      </c>
      <c r="BP34" s="76">
        <v>1</v>
      </c>
      <c r="BQ34" s="76">
        <v>1</v>
      </c>
      <c r="BR34" s="76">
        <v>1</v>
      </c>
      <c r="BS34" s="76">
        <v>1</v>
      </c>
      <c r="BT34" s="76">
        <v>1</v>
      </c>
      <c r="BU34" s="76">
        <v>1</v>
      </c>
      <c r="BV34" s="76">
        <v>1</v>
      </c>
      <c r="BW34" s="76">
        <v>1</v>
      </c>
      <c r="BX34" s="76">
        <v>1</v>
      </c>
      <c r="BY34" s="76">
        <v>1</v>
      </c>
      <c r="BZ34" s="76">
        <v>1</v>
      </c>
      <c r="CA34" s="76">
        <v>1</v>
      </c>
      <c r="CB34" s="76">
        <v>1</v>
      </c>
      <c r="CC34" s="76">
        <v>1</v>
      </c>
      <c r="CD34" s="76">
        <v>1</v>
      </c>
      <c r="CE34" s="76">
        <v>1</v>
      </c>
      <c r="CF34" s="76">
        <v>1</v>
      </c>
      <c r="CG34" s="76">
        <v>1</v>
      </c>
      <c r="CH34" s="76">
        <v>1</v>
      </c>
      <c r="CI34" s="76">
        <v>1</v>
      </c>
      <c r="CJ34" s="76">
        <v>1</v>
      </c>
      <c r="CK34" s="76">
        <v>1</v>
      </c>
      <c r="CL34" s="76">
        <v>1</v>
      </c>
      <c r="CM34" s="76">
        <v>1</v>
      </c>
      <c r="CN34" s="76">
        <v>1</v>
      </c>
      <c r="CO34" s="76">
        <v>1</v>
      </c>
      <c r="CP34" s="76">
        <v>1</v>
      </c>
    </row>
    <row r="35" spans="2:94" hidden="1" outlineLevel="2" x14ac:dyDescent="0.4">
      <c r="B35" s="69"/>
      <c r="C35" s="70"/>
      <c r="D35" s="75"/>
      <c r="E35" s="70" t="s">
        <v>68</v>
      </c>
      <c r="F35" s="76">
        <f>EDTN[[#This Row],[Nuevos Pesos]]</f>
        <v>7.3170731707317069E-2</v>
      </c>
      <c r="H35" s="76">
        <v>0</v>
      </c>
      <c r="I35" s="76">
        <v>0</v>
      </c>
      <c r="J35" s="76">
        <v>0</v>
      </c>
      <c r="K35" s="76">
        <v>3.7037037037037035E-2</v>
      </c>
      <c r="L35" s="76">
        <f>+PlanBase39[[#This Row],[26/05/25]]+3.7%</f>
        <v>7.403703703703704E-2</v>
      </c>
      <c r="M35" s="76">
        <f>+PlanBase39[[#This Row],[02/06/25]]+3.7%</f>
        <v>0.11103703703703705</v>
      </c>
      <c r="N35" s="76">
        <f>+PlanBase39[[#This Row],[09/06/25]]+3.7%</f>
        <v>0.14803703703703705</v>
      </c>
      <c r="O35" s="76">
        <f>+PlanBase39[[#This Row],[16/06/25]]+3.7%</f>
        <v>0.18503703703703706</v>
      </c>
      <c r="P35" s="76">
        <f>+PlanBase39[[#This Row],[23/06/25]]+3.7%</f>
        <v>0.22203703703703706</v>
      </c>
      <c r="Q35" s="76">
        <f>+PlanBase39[[#This Row],[30/06/25]]+3.7%</f>
        <v>0.25903703703703707</v>
      </c>
      <c r="R35" s="76">
        <f>+PlanBase39[[#This Row],[07/07/25]]+3.7%</f>
        <v>0.2960370370370371</v>
      </c>
      <c r="S35" s="76">
        <f>+PlanBase39[[#This Row],[14/07/25]]+3.7%</f>
        <v>0.33303703703703713</v>
      </c>
      <c r="T35" s="76">
        <f>+PlanBase39[[#This Row],[21/07/25]]+3.7%</f>
        <v>0.37003703703703716</v>
      </c>
      <c r="U35" s="76">
        <f>+PlanBase39[[#This Row],[28/07/25]]+3.7%</f>
        <v>0.4070370370370372</v>
      </c>
      <c r="V35" s="76">
        <f>+PlanBase39[[#This Row],[04/08/25]]+3.7%</f>
        <v>0.44403703703703723</v>
      </c>
      <c r="W35" s="76">
        <f>+PlanBase39[[#This Row],[11/08/25]]+3.7%</f>
        <v>0.48103703703703726</v>
      </c>
      <c r="X35" s="76">
        <f>+PlanBase39[[#This Row],[18/08/25]]+3.7%</f>
        <v>0.5180370370370373</v>
      </c>
      <c r="Y35" s="76">
        <f>+PlanBase39[[#This Row],[25/08/25]]+3.7%</f>
        <v>0.55503703703703733</v>
      </c>
      <c r="Z35" s="76">
        <f>+PlanBase39[[#This Row],[01/09/25]]+3.7%</f>
        <v>0.59203703703703736</v>
      </c>
      <c r="AA35" s="76">
        <f>+PlanBase39[[#This Row],[08/09/25]]+3.7%</f>
        <v>0.62903703703703739</v>
      </c>
      <c r="AB35" s="76">
        <f>+PlanBase39[[#This Row],[15/09/25]]+3.7%</f>
        <v>0.66603703703703743</v>
      </c>
      <c r="AC35" s="76">
        <f>+PlanBase39[[#This Row],[22/09/25]]+3.7%</f>
        <v>0.70303703703703746</v>
      </c>
      <c r="AD35" s="76">
        <f>+PlanBase39[[#This Row],[29/09/25]]+3.7%</f>
        <v>0.74003703703703749</v>
      </c>
      <c r="AE35" s="76">
        <f>+PlanBase39[[#This Row],[06/10/25]]+3.7%</f>
        <v>0.77703703703703753</v>
      </c>
      <c r="AF35" s="76">
        <f>+PlanBase39[[#This Row],[13/10/25]]+3.7%</f>
        <v>0.81403703703703756</v>
      </c>
      <c r="AG35" s="76">
        <f>+PlanBase39[[#This Row],[20/10/25]]+3.7%</f>
        <v>0.85103703703703759</v>
      </c>
      <c r="AH35" s="76">
        <f>+PlanBase39[[#This Row],[27/10/25]]+3.7%</f>
        <v>0.88803703703703762</v>
      </c>
      <c r="AI35" s="76">
        <f>+PlanBase39[[#This Row],[03/11/25]]+3.7%</f>
        <v>0.92503703703703766</v>
      </c>
      <c r="AJ35" s="76">
        <f>+PlanBase39[[#This Row],[10/11/25]]+3.7%</f>
        <v>0.96203703703703769</v>
      </c>
      <c r="AK35" s="76">
        <v>1</v>
      </c>
      <c r="AL35" s="76">
        <v>1</v>
      </c>
      <c r="AM35" s="76">
        <v>1</v>
      </c>
      <c r="AN35" s="76">
        <v>1</v>
      </c>
      <c r="AO35" s="76">
        <v>1</v>
      </c>
      <c r="AP35" s="76">
        <v>1</v>
      </c>
      <c r="AQ35" s="76">
        <v>1</v>
      </c>
      <c r="AR35" s="76">
        <v>1</v>
      </c>
      <c r="AS35" s="76">
        <v>1</v>
      </c>
      <c r="AT35" s="76">
        <v>1</v>
      </c>
      <c r="AU35" s="76">
        <v>1</v>
      </c>
      <c r="AV35" s="76">
        <v>1</v>
      </c>
      <c r="AW35" s="76">
        <v>1</v>
      </c>
      <c r="AX35" s="76">
        <v>1</v>
      </c>
      <c r="AY35" s="76">
        <v>1</v>
      </c>
      <c r="AZ35" s="76">
        <v>1</v>
      </c>
      <c r="BA35" s="76">
        <v>1</v>
      </c>
      <c r="BB35" s="76">
        <v>1</v>
      </c>
      <c r="BC35" s="76">
        <v>1</v>
      </c>
      <c r="BD35" s="76">
        <v>1</v>
      </c>
      <c r="BE35" s="76">
        <v>1</v>
      </c>
      <c r="BF35" s="76">
        <v>1</v>
      </c>
      <c r="BG35" s="76">
        <v>1</v>
      </c>
      <c r="BH35" s="76">
        <v>1</v>
      </c>
      <c r="BI35" s="76">
        <v>1</v>
      </c>
      <c r="BJ35" s="76">
        <v>1</v>
      </c>
      <c r="BK35" s="76">
        <v>1</v>
      </c>
      <c r="BL35" s="76">
        <v>1</v>
      </c>
      <c r="BM35" s="76">
        <v>1</v>
      </c>
      <c r="BN35" s="76">
        <v>1</v>
      </c>
      <c r="BO35" s="76">
        <v>1</v>
      </c>
      <c r="BP35" s="76">
        <v>1</v>
      </c>
      <c r="BQ35" s="76">
        <v>1</v>
      </c>
      <c r="BR35" s="76">
        <v>1</v>
      </c>
      <c r="BS35" s="76">
        <v>1</v>
      </c>
      <c r="BT35" s="76">
        <v>1</v>
      </c>
      <c r="BU35" s="76">
        <v>1</v>
      </c>
      <c r="BV35" s="76">
        <v>1</v>
      </c>
      <c r="BW35" s="76">
        <v>1</v>
      </c>
      <c r="BX35" s="76">
        <v>1</v>
      </c>
      <c r="BY35" s="76">
        <v>1</v>
      </c>
      <c r="BZ35" s="76">
        <v>1</v>
      </c>
      <c r="CA35" s="76">
        <v>1</v>
      </c>
      <c r="CB35" s="76">
        <v>1</v>
      </c>
      <c r="CC35" s="76">
        <v>1</v>
      </c>
      <c r="CD35" s="76">
        <v>1</v>
      </c>
      <c r="CE35" s="76">
        <v>1</v>
      </c>
      <c r="CF35" s="76">
        <v>1</v>
      </c>
      <c r="CG35" s="76">
        <v>1</v>
      </c>
      <c r="CH35" s="76">
        <v>1</v>
      </c>
      <c r="CI35" s="76">
        <v>1</v>
      </c>
      <c r="CJ35" s="76">
        <v>1</v>
      </c>
      <c r="CK35" s="76">
        <v>1</v>
      </c>
      <c r="CL35" s="76">
        <v>1</v>
      </c>
      <c r="CM35" s="76">
        <v>1</v>
      </c>
      <c r="CN35" s="76">
        <v>1</v>
      </c>
      <c r="CO35" s="76">
        <v>1</v>
      </c>
      <c r="CP35" s="76">
        <v>1</v>
      </c>
    </row>
    <row r="36" spans="2:94" hidden="1" outlineLevel="2" x14ac:dyDescent="0.4">
      <c r="B36" s="69"/>
      <c r="C36" s="70"/>
      <c r="D36" s="75"/>
      <c r="E36" s="70" t="s">
        <v>71</v>
      </c>
      <c r="F36" s="76">
        <f>EDTN[[#This Row],[Nuevos Pesos]]</f>
        <v>0.14634146341463414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4.7619047619047616E-2</v>
      </c>
      <c r="R36" s="76">
        <f>+PlanBase39[[#This Row],[07/07/25]]+4.8%</f>
        <v>9.5619047619047617E-2</v>
      </c>
      <c r="S36" s="76">
        <f>+PlanBase39[[#This Row],[14/07/25]]+4.8%</f>
        <v>0.14361904761904762</v>
      </c>
      <c r="T36" s="76">
        <f>+PlanBase39[[#This Row],[21/07/25]]+4.8%</f>
        <v>0.19161904761904763</v>
      </c>
      <c r="U36" s="76">
        <f>+PlanBase39[[#This Row],[28/07/25]]+4.8%</f>
        <v>0.23961904761904762</v>
      </c>
      <c r="V36" s="76">
        <f>+PlanBase39[[#This Row],[04/08/25]]+4.8%</f>
        <v>0.28761904761904761</v>
      </c>
      <c r="W36" s="76">
        <f>+PlanBase39[[#This Row],[11/08/25]]+4.8%</f>
        <v>0.33561904761904759</v>
      </c>
      <c r="X36" s="76">
        <f>+PlanBase39[[#This Row],[18/08/25]]+4.8%</f>
        <v>0.38361904761904758</v>
      </c>
      <c r="Y36" s="76">
        <f>+PlanBase39[[#This Row],[25/08/25]]+4.8%</f>
        <v>0.43161904761904757</v>
      </c>
      <c r="Z36" s="76">
        <f>+PlanBase39[[#This Row],[01/09/25]]+4.8%</f>
        <v>0.47961904761904756</v>
      </c>
      <c r="AA36" s="76">
        <f>+PlanBase39[[#This Row],[08/09/25]]+4.8%</f>
        <v>0.52761904761904754</v>
      </c>
      <c r="AB36" s="76">
        <f>+PlanBase39[[#This Row],[15/09/25]]+4.8%</f>
        <v>0.57561904761904759</v>
      </c>
      <c r="AC36" s="76">
        <f>+PlanBase39[[#This Row],[22/09/25]]+4.8%</f>
        <v>0.62361904761904763</v>
      </c>
      <c r="AD36" s="76">
        <f>+PlanBase39[[#This Row],[29/09/25]]+4.8%</f>
        <v>0.67161904761904767</v>
      </c>
      <c r="AE36" s="76">
        <f>+PlanBase39[[#This Row],[06/10/25]]+4.8%</f>
        <v>0.71961904761904771</v>
      </c>
      <c r="AF36" s="76">
        <f>+PlanBase39[[#This Row],[13/10/25]]+4.8%</f>
        <v>0.76761904761904776</v>
      </c>
      <c r="AG36" s="76">
        <f>+PlanBase39[[#This Row],[20/10/25]]+4.8%</f>
        <v>0.8156190476190478</v>
      </c>
      <c r="AH36" s="76">
        <f>+PlanBase39[[#This Row],[27/10/25]]+4.8%</f>
        <v>0.86361904761904784</v>
      </c>
      <c r="AI36" s="76">
        <f>+PlanBase39[[#This Row],[03/11/25]]+4.8%</f>
        <v>0.91161904761904788</v>
      </c>
      <c r="AJ36" s="76">
        <f>+PlanBase39[[#This Row],[10/11/25]]+4.8%</f>
        <v>0.95961904761904793</v>
      </c>
      <c r="AK36" s="76">
        <v>1</v>
      </c>
      <c r="AL36" s="76">
        <v>1</v>
      </c>
      <c r="AM36" s="76">
        <v>1</v>
      </c>
      <c r="AN36" s="76">
        <v>1</v>
      </c>
      <c r="AO36" s="76">
        <v>1</v>
      </c>
      <c r="AP36" s="76">
        <v>1</v>
      </c>
      <c r="AQ36" s="76">
        <v>1</v>
      </c>
      <c r="AR36" s="76">
        <v>1</v>
      </c>
      <c r="AS36" s="76">
        <v>1</v>
      </c>
      <c r="AT36" s="76">
        <v>1</v>
      </c>
      <c r="AU36" s="76">
        <v>1</v>
      </c>
      <c r="AV36" s="76">
        <v>1</v>
      </c>
      <c r="AW36" s="76">
        <v>1</v>
      </c>
      <c r="AX36" s="76">
        <v>1</v>
      </c>
      <c r="AY36" s="76">
        <v>1</v>
      </c>
      <c r="AZ36" s="76">
        <v>1</v>
      </c>
      <c r="BA36" s="76">
        <v>1</v>
      </c>
      <c r="BB36" s="76">
        <v>1</v>
      </c>
      <c r="BC36" s="76">
        <v>1</v>
      </c>
      <c r="BD36" s="76">
        <v>1</v>
      </c>
      <c r="BE36" s="76">
        <v>1</v>
      </c>
      <c r="BF36" s="76">
        <v>1</v>
      </c>
      <c r="BG36" s="76">
        <v>1</v>
      </c>
      <c r="BH36" s="76">
        <v>1</v>
      </c>
      <c r="BI36" s="76">
        <v>1</v>
      </c>
      <c r="BJ36" s="76">
        <v>1</v>
      </c>
      <c r="BK36" s="76">
        <v>1</v>
      </c>
      <c r="BL36" s="76">
        <v>1</v>
      </c>
      <c r="BM36" s="76">
        <v>1</v>
      </c>
      <c r="BN36" s="76">
        <v>1</v>
      </c>
      <c r="BO36" s="76">
        <v>1</v>
      </c>
      <c r="BP36" s="76">
        <v>1</v>
      </c>
      <c r="BQ36" s="76">
        <v>1</v>
      </c>
      <c r="BR36" s="76">
        <v>1</v>
      </c>
      <c r="BS36" s="76">
        <v>1</v>
      </c>
      <c r="BT36" s="76">
        <v>1</v>
      </c>
      <c r="BU36" s="76">
        <v>1</v>
      </c>
      <c r="BV36" s="76">
        <v>1</v>
      </c>
      <c r="BW36" s="76">
        <v>1</v>
      </c>
      <c r="BX36" s="76">
        <v>1</v>
      </c>
      <c r="BY36" s="76">
        <v>1</v>
      </c>
      <c r="BZ36" s="76">
        <v>1</v>
      </c>
      <c r="CA36" s="76">
        <v>1</v>
      </c>
      <c r="CB36" s="76">
        <v>1</v>
      </c>
      <c r="CC36" s="76">
        <v>1</v>
      </c>
      <c r="CD36" s="76">
        <v>1</v>
      </c>
      <c r="CE36" s="76">
        <v>1</v>
      </c>
      <c r="CF36" s="76">
        <v>1</v>
      </c>
      <c r="CG36" s="76">
        <v>1</v>
      </c>
      <c r="CH36" s="76">
        <v>1</v>
      </c>
      <c r="CI36" s="76">
        <v>1</v>
      </c>
      <c r="CJ36" s="76">
        <v>1</v>
      </c>
      <c r="CK36" s="76">
        <v>1</v>
      </c>
      <c r="CL36" s="76">
        <v>1</v>
      </c>
      <c r="CM36" s="76">
        <v>1</v>
      </c>
      <c r="CN36" s="76">
        <v>1</v>
      </c>
      <c r="CO36" s="76">
        <v>1</v>
      </c>
      <c r="CP36" s="76">
        <v>1</v>
      </c>
    </row>
    <row r="37" spans="2:94" hidden="1" outlineLevel="2" x14ac:dyDescent="0.4">
      <c r="B37" s="69"/>
      <c r="C37" s="70"/>
      <c r="D37" s="75"/>
      <c r="E37" s="70" t="s">
        <v>72</v>
      </c>
      <c r="F37" s="76">
        <f>EDTN[[#This Row],[Nuevos Pesos]]</f>
        <v>0.14634146341463414</v>
      </c>
      <c r="H37" s="76">
        <v>0</v>
      </c>
      <c r="I37" s="76">
        <v>3.4482758620689655E-2</v>
      </c>
      <c r="J37" s="76">
        <f>+PlanBase39[[#This Row],[12/05/25]]+3.4%</f>
        <v>6.8482758620689657E-2</v>
      </c>
      <c r="K37" s="76">
        <f>+PlanBase39[[#This Row],[19/05/25]]+3.4%</f>
        <v>0.10248275862068966</v>
      </c>
      <c r="L37" s="76">
        <f>+PlanBase39[[#This Row],[26/05/25]]+3.4%</f>
        <v>0.13648275862068965</v>
      </c>
      <c r="M37" s="76">
        <f>+PlanBase39[[#This Row],[02/06/25]]+3.4%</f>
        <v>0.17048275862068965</v>
      </c>
      <c r="N37" s="76">
        <f>+PlanBase39[[#This Row],[09/06/25]]+3.4%</f>
        <v>0.20448275862068965</v>
      </c>
      <c r="O37" s="76">
        <f>+PlanBase39[[#This Row],[16/06/25]]+3.4%</f>
        <v>0.23848275862068966</v>
      </c>
      <c r="P37" s="76">
        <f>+PlanBase39[[#This Row],[23/06/25]]+3.4%</f>
        <v>0.27248275862068966</v>
      </c>
      <c r="Q37" s="76">
        <f>+PlanBase39[[#This Row],[30/06/25]]+3.4%</f>
        <v>0.30648275862068963</v>
      </c>
      <c r="R37" s="76">
        <f>+PlanBase39[[#This Row],[07/07/25]]+3.4%</f>
        <v>0.34048275862068966</v>
      </c>
      <c r="S37" s="76">
        <f>+PlanBase39[[#This Row],[14/07/25]]+3.4%</f>
        <v>0.37448275862068969</v>
      </c>
      <c r="T37" s="76">
        <f>+PlanBase39[[#This Row],[21/07/25]]+3.4%</f>
        <v>0.40848275862068972</v>
      </c>
      <c r="U37" s="76">
        <f>+PlanBase39[[#This Row],[28/07/25]]+3.4%</f>
        <v>0.44248275862068975</v>
      </c>
      <c r="V37" s="76">
        <f>+PlanBase39[[#This Row],[04/08/25]]+3.4%</f>
        <v>0.47648275862068978</v>
      </c>
      <c r="W37" s="76">
        <f>+PlanBase39[[#This Row],[11/08/25]]+3.4%</f>
        <v>0.51048275862068981</v>
      </c>
      <c r="X37" s="76">
        <f>+PlanBase39[[#This Row],[18/08/25]]+3.4%</f>
        <v>0.54448275862068984</v>
      </c>
      <c r="Y37" s="76">
        <f>+PlanBase39[[#This Row],[25/08/25]]+3.4%</f>
        <v>0.57848275862068987</v>
      </c>
      <c r="Z37" s="76">
        <f>+PlanBase39[[#This Row],[01/09/25]]+3.4%</f>
        <v>0.6124827586206899</v>
      </c>
      <c r="AA37" s="76">
        <f>+PlanBase39[[#This Row],[08/09/25]]+3.4%</f>
        <v>0.64648275862068993</v>
      </c>
      <c r="AB37" s="76">
        <f>+PlanBase39[[#This Row],[15/09/25]]+3.4%</f>
        <v>0.68048275862068996</v>
      </c>
      <c r="AC37" s="76">
        <f>+PlanBase39[[#This Row],[22/09/25]]+3.4%</f>
        <v>0.71448275862068999</v>
      </c>
      <c r="AD37" s="76">
        <f>+PlanBase39[[#This Row],[29/09/25]]+3.4%</f>
        <v>0.74848275862069003</v>
      </c>
      <c r="AE37" s="76">
        <f>+PlanBase39[[#This Row],[06/10/25]]+3.4%</f>
        <v>0.78248275862069006</v>
      </c>
      <c r="AF37" s="76">
        <f>+PlanBase39[[#This Row],[13/10/25]]+3.4%</f>
        <v>0.81648275862069009</v>
      </c>
      <c r="AG37" s="76">
        <f>+PlanBase39[[#This Row],[20/10/25]]+3.4%</f>
        <v>0.85048275862069012</v>
      </c>
      <c r="AH37" s="76">
        <f>+PlanBase39[[#This Row],[27/10/25]]+3.4%</f>
        <v>0.88448275862069015</v>
      </c>
      <c r="AI37" s="76">
        <f>+PlanBase39[[#This Row],[03/11/25]]+3.4%</f>
        <v>0.91848275862069018</v>
      </c>
      <c r="AJ37" s="76">
        <f>+PlanBase39[[#This Row],[10/11/25]]+3.4%</f>
        <v>0.95248275862069021</v>
      </c>
      <c r="AK37" s="76">
        <v>1</v>
      </c>
      <c r="AL37" s="76">
        <v>1</v>
      </c>
      <c r="AM37" s="76">
        <v>1</v>
      </c>
      <c r="AN37" s="76">
        <v>1</v>
      </c>
      <c r="AO37" s="76">
        <v>1</v>
      </c>
      <c r="AP37" s="76">
        <v>1</v>
      </c>
      <c r="AQ37" s="76">
        <v>1</v>
      </c>
      <c r="AR37" s="76">
        <v>1</v>
      </c>
      <c r="AS37" s="76">
        <v>1</v>
      </c>
      <c r="AT37" s="76">
        <v>1</v>
      </c>
      <c r="AU37" s="76">
        <v>1</v>
      </c>
      <c r="AV37" s="76">
        <v>1</v>
      </c>
      <c r="AW37" s="76">
        <v>1</v>
      </c>
      <c r="AX37" s="76">
        <v>1</v>
      </c>
      <c r="AY37" s="76">
        <v>1</v>
      </c>
      <c r="AZ37" s="76">
        <v>1</v>
      </c>
      <c r="BA37" s="76">
        <v>1</v>
      </c>
      <c r="BB37" s="76">
        <v>1</v>
      </c>
      <c r="BC37" s="76">
        <v>1</v>
      </c>
      <c r="BD37" s="76">
        <v>1</v>
      </c>
      <c r="BE37" s="76">
        <v>1</v>
      </c>
      <c r="BF37" s="76">
        <v>1</v>
      </c>
      <c r="BG37" s="76">
        <v>1</v>
      </c>
      <c r="BH37" s="76">
        <v>1</v>
      </c>
      <c r="BI37" s="76">
        <v>1</v>
      </c>
      <c r="BJ37" s="76">
        <v>1</v>
      </c>
      <c r="BK37" s="76">
        <v>1</v>
      </c>
      <c r="BL37" s="76">
        <v>1</v>
      </c>
      <c r="BM37" s="76">
        <v>1</v>
      </c>
      <c r="BN37" s="76">
        <v>1</v>
      </c>
      <c r="BO37" s="76">
        <v>1</v>
      </c>
      <c r="BP37" s="76">
        <v>1</v>
      </c>
      <c r="BQ37" s="76">
        <v>1</v>
      </c>
      <c r="BR37" s="76">
        <v>1</v>
      </c>
      <c r="BS37" s="76">
        <v>1</v>
      </c>
      <c r="BT37" s="76">
        <v>1</v>
      </c>
      <c r="BU37" s="76">
        <v>1</v>
      </c>
      <c r="BV37" s="76">
        <v>1</v>
      </c>
      <c r="BW37" s="76">
        <v>1</v>
      </c>
      <c r="BX37" s="76">
        <v>1</v>
      </c>
      <c r="BY37" s="76">
        <v>1</v>
      </c>
      <c r="BZ37" s="76">
        <v>1</v>
      </c>
      <c r="CA37" s="76">
        <v>1</v>
      </c>
      <c r="CB37" s="76">
        <v>1</v>
      </c>
      <c r="CC37" s="76">
        <v>1</v>
      </c>
      <c r="CD37" s="76">
        <v>1</v>
      </c>
      <c r="CE37" s="76">
        <v>1</v>
      </c>
      <c r="CF37" s="76">
        <v>1</v>
      </c>
      <c r="CG37" s="76">
        <v>1</v>
      </c>
      <c r="CH37" s="76">
        <v>1</v>
      </c>
      <c r="CI37" s="76">
        <v>1</v>
      </c>
      <c r="CJ37" s="76">
        <v>1</v>
      </c>
      <c r="CK37" s="76">
        <v>1</v>
      </c>
      <c r="CL37" s="76">
        <v>1</v>
      </c>
      <c r="CM37" s="76">
        <v>1</v>
      </c>
      <c r="CN37" s="76">
        <v>1</v>
      </c>
      <c r="CO37" s="76">
        <v>1</v>
      </c>
      <c r="CP37" s="76">
        <v>1</v>
      </c>
    </row>
    <row r="38" spans="2:94" hidden="1" outlineLevel="2" x14ac:dyDescent="0.4">
      <c r="B38" s="69"/>
      <c r="C38" s="70"/>
      <c r="D38" s="75"/>
      <c r="E38" s="70" t="s">
        <v>73</v>
      </c>
      <c r="F38" s="76">
        <f>EDTN[[#This Row],[Nuevos Pesos]]</f>
        <v>7.3170731707317069E-2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0.2</v>
      </c>
      <c r="Z38" s="76">
        <v>0.4</v>
      </c>
      <c r="AA38" s="76">
        <v>0.6</v>
      </c>
      <c r="AB38" s="76">
        <v>0.8</v>
      </c>
      <c r="AC38" s="76">
        <v>1</v>
      </c>
      <c r="AD38" s="76">
        <v>1</v>
      </c>
      <c r="AE38" s="76">
        <v>1</v>
      </c>
      <c r="AF38" s="76">
        <v>1</v>
      </c>
      <c r="AG38" s="76">
        <v>1</v>
      </c>
      <c r="AH38" s="76">
        <v>1</v>
      </c>
      <c r="AI38" s="76">
        <v>1</v>
      </c>
      <c r="AJ38" s="76">
        <v>1</v>
      </c>
      <c r="AK38" s="76">
        <v>1</v>
      </c>
      <c r="AL38" s="76">
        <v>1</v>
      </c>
      <c r="AM38" s="76">
        <v>1</v>
      </c>
      <c r="AN38" s="76">
        <v>1</v>
      </c>
      <c r="AO38" s="76">
        <v>1</v>
      </c>
      <c r="AP38" s="76">
        <v>1</v>
      </c>
      <c r="AQ38" s="76">
        <v>1</v>
      </c>
      <c r="AR38" s="76">
        <v>1</v>
      </c>
      <c r="AS38" s="76">
        <v>1</v>
      </c>
      <c r="AT38" s="76">
        <v>1</v>
      </c>
      <c r="AU38" s="76">
        <v>1</v>
      </c>
      <c r="AV38" s="76">
        <v>1</v>
      </c>
      <c r="AW38" s="76">
        <v>1</v>
      </c>
      <c r="AX38" s="76">
        <v>1</v>
      </c>
      <c r="AY38" s="76">
        <v>1</v>
      </c>
      <c r="AZ38" s="76">
        <v>1</v>
      </c>
      <c r="BA38" s="76">
        <v>1</v>
      </c>
      <c r="BB38" s="76">
        <v>1</v>
      </c>
      <c r="BC38" s="76">
        <v>1</v>
      </c>
      <c r="BD38" s="76">
        <v>1</v>
      </c>
      <c r="BE38" s="76">
        <v>1</v>
      </c>
      <c r="BF38" s="76">
        <v>1</v>
      </c>
      <c r="BG38" s="76">
        <v>1</v>
      </c>
      <c r="BH38" s="76">
        <v>1</v>
      </c>
      <c r="BI38" s="76">
        <v>1</v>
      </c>
      <c r="BJ38" s="76">
        <v>1</v>
      </c>
      <c r="BK38" s="76">
        <v>1</v>
      </c>
      <c r="BL38" s="76">
        <v>1</v>
      </c>
      <c r="BM38" s="76">
        <v>1</v>
      </c>
      <c r="BN38" s="76">
        <v>1</v>
      </c>
      <c r="BO38" s="76">
        <v>1</v>
      </c>
      <c r="BP38" s="76">
        <v>1</v>
      </c>
      <c r="BQ38" s="76">
        <v>1</v>
      </c>
      <c r="BR38" s="76">
        <v>1</v>
      </c>
      <c r="BS38" s="76">
        <v>1</v>
      </c>
      <c r="BT38" s="76">
        <v>1</v>
      </c>
      <c r="BU38" s="76">
        <v>1</v>
      </c>
      <c r="BV38" s="76">
        <v>1</v>
      </c>
      <c r="BW38" s="76">
        <v>1</v>
      </c>
      <c r="BX38" s="76">
        <v>1</v>
      </c>
      <c r="BY38" s="76">
        <v>1</v>
      </c>
      <c r="BZ38" s="76">
        <v>1</v>
      </c>
      <c r="CA38" s="76">
        <v>1</v>
      </c>
      <c r="CB38" s="76">
        <v>1</v>
      </c>
      <c r="CC38" s="76">
        <v>1</v>
      </c>
      <c r="CD38" s="76">
        <v>1</v>
      </c>
      <c r="CE38" s="76">
        <v>1</v>
      </c>
      <c r="CF38" s="76">
        <v>1</v>
      </c>
      <c r="CG38" s="76">
        <v>1</v>
      </c>
      <c r="CH38" s="76">
        <v>1</v>
      </c>
      <c r="CI38" s="76">
        <v>1</v>
      </c>
      <c r="CJ38" s="76">
        <v>1</v>
      </c>
      <c r="CK38" s="76">
        <v>1</v>
      </c>
      <c r="CL38" s="76">
        <v>1</v>
      </c>
      <c r="CM38" s="76">
        <v>1</v>
      </c>
      <c r="CN38" s="76">
        <v>1</v>
      </c>
      <c r="CO38" s="76">
        <v>1</v>
      </c>
      <c r="CP38" s="76">
        <v>1</v>
      </c>
    </row>
    <row r="39" spans="2:94" hidden="1" outlineLevel="2" x14ac:dyDescent="0.4">
      <c r="B39" s="69"/>
      <c r="C39" s="70"/>
      <c r="D39" s="75"/>
      <c r="E39" s="70" t="s">
        <v>74</v>
      </c>
      <c r="F39" s="76">
        <f>EDTN[[#This Row],[Nuevos Pesos]]</f>
        <v>0.14634146341463414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4.1666666666666671E-2</v>
      </c>
      <c r="O39" s="76">
        <f>+PlanBase39[[#This Row],[16/06/25]]+4.2%</f>
        <v>8.3666666666666667E-2</v>
      </c>
      <c r="P39" s="76">
        <f>+PlanBase39[[#This Row],[23/06/25]]+4.2%</f>
        <v>0.12566666666666668</v>
      </c>
      <c r="Q39" s="76">
        <f>+PlanBase39[[#This Row],[30/06/25]]+4.2%</f>
        <v>0.16766666666666669</v>
      </c>
      <c r="R39" s="76">
        <f>+PlanBase39[[#This Row],[07/07/25]]+4.2%</f>
        <v>0.2096666666666667</v>
      </c>
      <c r="S39" s="76">
        <f>+PlanBase39[[#This Row],[14/07/25]]+4.2%</f>
        <v>0.25166666666666671</v>
      </c>
      <c r="T39" s="76">
        <f>+PlanBase39[[#This Row],[21/07/25]]+4.2%</f>
        <v>0.29366666666666669</v>
      </c>
      <c r="U39" s="76">
        <f>+PlanBase39[[#This Row],[28/07/25]]+4.2%</f>
        <v>0.33566666666666667</v>
      </c>
      <c r="V39" s="76">
        <f>+PlanBase39[[#This Row],[04/08/25]]+4.2%</f>
        <v>0.37766666666666665</v>
      </c>
      <c r="W39" s="76">
        <f>+PlanBase39[[#This Row],[11/08/25]]+4.2%</f>
        <v>0.41966666666666663</v>
      </c>
      <c r="X39" s="76">
        <f>+PlanBase39[[#This Row],[18/08/25]]+4.2%</f>
        <v>0.46166666666666661</v>
      </c>
      <c r="Y39" s="76">
        <f>+PlanBase39[[#This Row],[25/08/25]]+4.2%</f>
        <v>0.5036666666666666</v>
      </c>
      <c r="Z39" s="76">
        <f>+PlanBase39[[#This Row],[01/09/25]]+4.2%</f>
        <v>0.54566666666666663</v>
      </c>
      <c r="AA39" s="76">
        <f>+PlanBase39[[#This Row],[08/09/25]]+4.2%</f>
        <v>0.58766666666666667</v>
      </c>
      <c r="AB39" s="76">
        <f>+PlanBase39[[#This Row],[15/09/25]]+4.2%</f>
        <v>0.62966666666666671</v>
      </c>
      <c r="AC39" s="76">
        <f>+PlanBase39[[#This Row],[22/09/25]]+4.2%</f>
        <v>0.67166666666666675</v>
      </c>
      <c r="AD39" s="76">
        <f>+PlanBase39[[#This Row],[29/09/25]]+4.2%</f>
        <v>0.71366666666666678</v>
      </c>
      <c r="AE39" s="76">
        <f>+PlanBase39[[#This Row],[06/10/25]]+4.2%</f>
        <v>0.75566666666666682</v>
      </c>
      <c r="AF39" s="76">
        <f>+PlanBase39[[#This Row],[13/10/25]]+4.2%</f>
        <v>0.79766666666666686</v>
      </c>
      <c r="AG39" s="76">
        <f>+PlanBase39[[#This Row],[20/10/25]]+4.2%</f>
        <v>0.83966666666666689</v>
      </c>
      <c r="AH39" s="76">
        <f>+PlanBase39[[#This Row],[27/10/25]]+4.2%</f>
        <v>0.88166666666666693</v>
      </c>
      <c r="AI39" s="76">
        <f>+PlanBase39[[#This Row],[03/11/25]]+4.2%</f>
        <v>0.92366666666666697</v>
      </c>
      <c r="AJ39" s="76">
        <f>+PlanBase39[[#This Row],[10/11/25]]+4.2%</f>
        <v>0.96566666666666701</v>
      </c>
      <c r="AK39" s="76">
        <v>1</v>
      </c>
      <c r="AL39" s="76">
        <v>1</v>
      </c>
      <c r="AM39" s="76">
        <v>1</v>
      </c>
      <c r="AN39" s="76">
        <v>1</v>
      </c>
      <c r="AO39" s="76">
        <v>1</v>
      </c>
      <c r="AP39" s="76">
        <v>1</v>
      </c>
      <c r="AQ39" s="76">
        <v>1</v>
      </c>
      <c r="AR39" s="76">
        <v>1</v>
      </c>
      <c r="AS39" s="76">
        <v>1</v>
      </c>
      <c r="AT39" s="76">
        <v>1</v>
      </c>
      <c r="AU39" s="76">
        <v>1</v>
      </c>
      <c r="AV39" s="76">
        <v>1</v>
      </c>
      <c r="AW39" s="76">
        <v>1</v>
      </c>
      <c r="AX39" s="76">
        <v>1</v>
      </c>
      <c r="AY39" s="76">
        <v>1</v>
      </c>
      <c r="AZ39" s="76">
        <v>1</v>
      </c>
      <c r="BA39" s="76">
        <v>1</v>
      </c>
      <c r="BB39" s="76">
        <v>1</v>
      </c>
      <c r="BC39" s="76">
        <v>1</v>
      </c>
      <c r="BD39" s="76">
        <v>1</v>
      </c>
      <c r="BE39" s="76">
        <v>1</v>
      </c>
      <c r="BF39" s="76">
        <v>1</v>
      </c>
      <c r="BG39" s="76">
        <v>1</v>
      </c>
      <c r="BH39" s="76">
        <v>1</v>
      </c>
      <c r="BI39" s="76">
        <v>1</v>
      </c>
      <c r="BJ39" s="76">
        <v>1</v>
      </c>
      <c r="BK39" s="76">
        <v>1</v>
      </c>
      <c r="BL39" s="76">
        <v>1</v>
      </c>
      <c r="BM39" s="76">
        <v>1</v>
      </c>
      <c r="BN39" s="76">
        <v>1</v>
      </c>
      <c r="BO39" s="76">
        <v>1</v>
      </c>
      <c r="BP39" s="76">
        <v>1</v>
      </c>
      <c r="BQ39" s="76">
        <v>1</v>
      </c>
      <c r="BR39" s="76">
        <v>1</v>
      </c>
      <c r="BS39" s="76">
        <v>1</v>
      </c>
      <c r="BT39" s="76">
        <v>1</v>
      </c>
      <c r="BU39" s="76">
        <v>1</v>
      </c>
      <c r="BV39" s="76">
        <v>1</v>
      </c>
      <c r="BW39" s="76">
        <v>1</v>
      </c>
      <c r="BX39" s="76">
        <v>1</v>
      </c>
      <c r="BY39" s="76">
        <v>1</v>
      </c>
      <c r="BZ39" s="76">
        <v>1</v>
      </c>
      <c r="CA39" s="76">
        <v>1</v>
      </c>
      <c r="CB39" s="76">
        <v>1</v>
      </c>
      <c r="CC39" s="76">
        <v>1</v>
      </c>
      <c r="CD39" s="76">
        <v>1</v>
      </c>
      <c r="CE39" s="76">
        <v>1</v>
      </c>
      <c r="CF39" s="76">
        <v>1</v>
      </c>
      <c r="CG39" s="76">
        <v>1</v>
      </c>
      <c r="CH39" s="76">
        <v>1</v>
      </c>
      <c r="CI39" s="76">
        <v>1</v>
      </c>
      <c r="CJ39" s="76">
        <v>1</v>
      </c>
      <c r="CK39" s="76">
        <v>1</v>
      </c>
      <c r="CL39" s="76">
        <v>1</v>
      </c>
      <c r="CM39" s="76">
        <v>1</v>
      </c>
      <c r="CN39" s="76">
        <v>1</v>
      </c>
      <c r="CO39" s="76">
        <v>1</v>
      </c>
      <c r="CP39" s="76">
        <v>1</v>
      </c>
    </row>
    <row r="40" spans="2:94" hidden="1" outlineLevel="2" x14ac:dyDescent="0.4">
      <c r="B40" s="69"/>
      <c r="C40" s="70"/>
      <c r="D40" s="75"/>
      <c r="E40" s="70" t="s">
        <v>75</v>
      </c>
      <c r="F40" s="76">
        <f>EDTN[[#This Row],[Nuevos Pesos]]</f>
        <v>0.14634146341463414</v>
      </c>
      <c r="H40" s="76">
        <v>0</v>
      </c>
      <c r="I40" s="76">
        <v>3.4482758620689655E-2</v>
      </c>
      <c r="J40" s="76">
        <f>+PlanBase39[[#This Row],[12/05/25]]+3.4%</f>
        <v>6.8482758620689657E-2</v>
      </c>
      <c r="K40" s="76">
        <f>+PlanBase39[[#This Row],[19/05/25]]+3.4%</f>
        <v>0.10248275862068966</v>
      </c>
      <c r="L40" s="76">
        <f>+PlanBase39[[#This Row],[26/05/25]]+3.4%</f>
        <v>0.13648275862068965</v>
      </c>
      <c r="M40" s="76">
        <f>+PlanBase39[[#This Row],[02/06/25]]+3.4%</f>
        <v>0.17048275862068965</v>
      </c>
      <c r="N40" s="76">
        <f>+PlanBase39[[#This Row],[09/06/25]]+3.4%</f>
        <v>0.20448275862068965</v>
      </c>
      <c r="O40" s="76">
        <f>+PlanBase39[[#This Row],[16/06/25]]+3.4%</f>
        <v>0.23848275862068966</v>
      </c>
      <c r="P40" s="76">
        <f>+PlanBase39[[#This Row],[23/06/25]]+3.4%</f>
        <v>0.27248275862068966</v>
      </c>
      <c r="Q40" s="76">
        <f>+PlanBase39[[#This Row],[30/06/25]]+3.4%</f>
        <v>0.30648275862068963</v>
      </c>
      <c r="R40" s="76">
        <f>+PlanBase39[[#This Row],[07/07/25]]+3.4%</f>
        <v>0.34048275862068966</v>
      </c>
      <c r="S40" s="76">
        <f>+PlanBase39[[#This Row],[14/07/25]]+3.4%</f>
        <v>0.37448275862068969</v>
      </c>
      <c r="T40" s="76">
        <f>+PlanBase39[[#This Row],[21/07/25]]+3.4%</f>
        <v>0.40848275862068972</v>
      </c>
      <c r="U40" s="76">
        <f>+PlanBase39[[#This Row],[28/07/25]]+3.4%</f>
        <v>0.44248275862068975</v>
      </c>
      <c r="V40" s="76">
        <f>+PlanBase39[[#This Row],[04/08/25]]+3.4%</f>
        <v>0.47648275862068978</v>
      </c>
      <c r="W40" s="76">
        <f>+PlanBase39[[#This Row],[11/08/25]]+3.4%</f>
        <v>0.51048275862068981</v>
      </c>
      <c r="X40" s="76">
        <f>+PlanBase39[[#This Row],[18/08/25]]+3.4%</f>
        <v>0.54448275862068984</v>
      </c>
      <c r="Y40" s="76">
        <f>+PlanBase39[[#This Row],[25/08/25]]+3.4%</f>
        <v>0.57848275862068987</v>
      </c>
      <c r="Z40" s="76">
        <f>+PlanBase39[[#This Row],[01/09/25]]+3.4%</f>
        <v>0.6124827586206899</v>
      </c>
      <c r="AA40" s="76">
        <f>+PlanBase39[[#This Row],[08/09/25]]+3.4%</f>
        <v>0.64648275862068993</v>
      </c>
      <c r="AB40" s="76">
        <f>+PlanBase39[[#This Row],[15/09/25]]+3.4%</f>
        <v>0.68048275862068996</v>
      </c>
      <c r="AC40" s="76">
        <f>+PlanBase39[[#This Row],[22/09/25]]+3.4%</f>
        <v>0.71448275862068999</v>
      </c>
      <c r="AD40" s="76">
        <f>+PlanBase39[[#This Row],[29/09/25]]+3.4%</f>
        <v>0.74848275862069003</v>
      </c>
      <c r="AE40" s="76">
        <f>+PlanBase39[[#This Row],[06/10/25]]+3.4%</f>
        <v>0.78248275862069006</v>
      </c>
      <c r="AF40" s="76">
        <f>+PlanBase39[[#This Row],[13/10/25]]+3.4%</f>
        <v>0.81648275862069009</v>
      </c>
      <c r="AG40" s="76">
        <f>+PlanBase39[[#This Row],[20/10/25]]+3.4%</f>
        <v>0.85048275862069012</v>
      </c>
      <c r="AH40" s="76">
        <f>+PlanBase39[[#This Row],[27/10/25]]+3.4%</f>
        <v>0.88448275862069015</v>
      </c>
      <c r="AI40" s="76">
        <f>+PlanBase39[[#This Row],[03/11/25]]+3.4%</f>
        <v>0.91848275862069018</v>
      </c>
      <c r="AJ40" s="76">
        <f>+PlanBase39[[#This Row],[10/11/25]]+3.4%</f>
        <v>0.95248275862069021</v>
      </c>
      <c r="AK40" s="76">
        <v>1</v>
      </c>
      <c r="AL40" s="76">
        <v>1</v>
      </c>
      <c r="AM40" s="76">
        <v>1</v>
      </c>
      <c r="AN40" s="76">
        <v>1</v>
      </c>
      <c r="AO40" s="76">
        <v>1</v>
      </c>
      <c r="AP40" s="76">
        <v>1</v>
      </c>
      <c r="AQ40" s="76">
        <v>1</v>
      </c>
      <c r="AR40" s="76">
        <v>1</v>
      </c>
      <c r="AS40" s="76">
        <v>1</v>
      </c>
      <c r="AT40" s="76">
        <v>1</v>
      </c>
      <c r="AU40" s="76">
        <v>1</v>
      </c>
      <c r="AV40" s="76">
        <v>1</v>
      </c>
      <c r="AW40" s="76">
        <v>1</v>
      </c>
      <c r="AX40" s="76">
        <v>1</v>
      </c>
      <c r="AY40" s="76">
        <v>1</v>
      </c>
      <c r="AZ40" s="76">
        <v>1</v>
      </c>
      <c r="BA40" s="76">
        <v>1</v>
      </c>
      <c r="BB40" s="76">
        <v>1</v>
      </c>
      <c r="BC40" s="76">
        <v>1</v>
      </c>
      <c r="BD40" s="76">
        <v>1</v>
      </c>
      <c r="BE40" s="76">
        <v>1</v>
      </c>
      <c r="BF40" s="76">
        <v>1</v>
      </c>
      <c r="BG40" s="76">
        <v>1</v>
      </c>
      <c r="BH40" s="76">
        <v>1</v>
      </c>
      <c r="BI40" s="76">
        <v>1</v>
      </c>
      <c r="BJ40" s="76">
        <v>1</v>
      </c>
      <c r="BK40" s="76">
        <v>1</v>
      </c>
      <c r="BL40" s="76">
        <v>1</v>
      </c>
      <c r="BM40" s="76">
        <v>1</v>
      </c>
      <c r="BN40" s="76">
        <v>1</v>
      </c>
      <c r="BO40" s="76">
        <v>1</v>
      </c>
      <c r="BP40" s="76">
        <v>1</v>
      </c>
      <c r="BQ40" s="76">
        <v>1</v>
      </c>
      <c r="BR40" s="76">
        <v>1</v>
      </c>
      <c r="BS40" s="76">
        <v>1</v>
      </c>
      <c r="BT40" s="76">
        <v>1</v>
      </c>
      <c r="BU40" s="76">
        <v>1</v>
      </c>
      <c r="BV40" s="76">
        <v>1</v>
      </c>
      <c r="BW40" s="76">
        <v>1</v>
      </c>
      <c r="BX40" s="76">
        <v>1</v>
      </c>
      <c r="BY40" s="76">
        <v>1</v>
      </c>
      <c r="BZ40" s="76">
        <v>1</v>
      </c>
      <c r="CA40" s="76">
        <v>1</v>
      </c>
      <c r="CB40" s="76">
        <v>1</v>
      </c>
      <c r="CC40" s="76">
        <v>1</v>
      </c>
      <c r="CD40" s="76">
        <v>1</v>
      </c>
      <c r="CE40" s="76">
        <v>1</v>
      </c>
      <c r="CF40" s="76">
        <v>1</v>
      </c>
      <c r="CG40" s="76">
        <v>1</v>
      </c>
      <c r="CH40" s="76">
        <v>1</v>
      </c>
      <c r="CI40" s="76">
        <v>1</v>
      </c>
      <c r="CJ40" s="76">
        <v>1</v>
      </c>
      <c r="CK40" s="76">
        <v>1</v>
      </c>
      <c r="CL40" s="76">
        <v>1</v>
      </c>
      <c r="CM40" s="76">
        <v>1</v>
      </c>
      <c r="CN40" s="76">
        <v>1</v>
      </c>
      <c r="CO40" s="76">
        <v>1</v>
      </c>
      <c r="CP40" s="76">
        <v>1</v>
      </c>
    </row>
    <row r="41" spans="2:94" hidden="1" outlineLevel="1" collapsed="1" x14ac:dyDescent="0.4">
      <c r="B41" s="85"/>
      <c r="C41" s="86"/>
      <c r="D41" s="86" t="s">
        <v>77</v>
      </c>
      <c r="E41" s="86"/>
      <c r="F41" s="87">
        <f>EDTN[[#This Row],[Nuevos Pesos]]</f>
        <v>4.4703016488648502E-2</v>
      </c>
      <c r="H41" s="87">
        <f>H42*$F$42</f>
        <v>0</v>
      </c>
      <c r="I41" s="87">
        <f t="shared" ref="I41:BT41" si="120">I42*$F$42</f>
        <v>7.1428571428571438E-2</v>
      </c>
      <c r="J41" s="87">
        <f t="shared" si="120"/>
        <v>0.14242857142857143</v>
      </c>
      <c r="K41" s="87">
        <f t="shared" si="120"/>
        <v>0.21342857142857141</v>
      </c>
      <c r="L41" s="87">
        <f t="shared" si="120"/>
        <v>0.28442857142857142</v>
      </c>
      <c r="M41" s="87">
        <f t="shared" si="120"/>
        <v>0.35542857142857143</v>
      </c>
      <c r="N41" s="87">
        <f t="shared" si="120"/>
        <v>0.42642857142857143</v>
      </c>
      <c r="O41" s="87">
        <f t="shared" si="120"/>
        <v>0.49742857142857144</v>
      </c>
      <c r="P41" s="87">
        <f t="shared" si="120"/>
        <v>0.56842857142857139</v>
      </c>
      <c r="Q41" s="87">
        <f t="shared" si="120"/>
        <v>0.63942857142857135</v>
      </c>
      <c r="R41" s="87">
        <f t="shared" si="120"/>
        <v>0.7104285714285713</v>
      </c>
      <c r="S41" s="87">
        <f t="shared" si="120"/>
        <v>0.78142857142857125</v>
      </c>
      <c r="T41" s="87">
        <f t="shared" si="120"/>
        <v>0.8524285714285712</v>
      </c>
      <c r="U41" s="87">
        <f t="shared" si="120"/>
        <v>0.92342857142857115</v>
      </c>
      <c r="V41" s="87">
        <f t="shared" si="120"/>
        <v>0.99442857142857111</v>
      </c>
      <c r="W41" s="87">
        <f t="shared" si="120"/>
        <v>1</v>
      </c>
      <c r="X41" s="87">
        <f t="shared" si="120"/>
        <v>1</v>
      </c>
      <c r="Y41" s="87">
        <f t="shared" si="120"/>
        <v>1</v>
      </c>
      <c r="Z41" s="87">
        <f t="shared" si="120"/>
        <v>1</v>
      </c>
      <c r="AA41" s="87">
        <f t="shared" si="120"/>
        <v>1</v>
      </c>
      <c r="AB41" s="87">
        <f t="shared" si="120"/>
        <v>1</v>
      </c>
      <c r="AC41" s="87">
        <f t="shared" si="120"/>
        <v>1</v>
      </c>
      <c r="AD41" s="87">
        <f t="shared" si="120"/>
        <v>1</v>
      </c>
      <c r="AE41" s="87">
        <f t="shared" si="120"/>
        <v>1</v>
      </c>
      <c r="AF41" s="87">
        <f t="shared" si="120"/>
        <v>1</v>
      </c>
      <c r="AG41" s="87">
        <f t="shared" si="120"/>
        <v>1</v>
      </c>
      <c r="AH41" s="87">
        <f t="shared" si="120"/>
        <v>1</v>
      </c>
      <c r="AI41" s="87">
        <f t="shared" si="120"/>
        <v>1</v>
      </c>
      <c r="AJ41" s="87">
        <f t="shared" si="120"/>
        <v>1</v>
      </c>
      <c r="AK41" s="87">
        <f t="shared" si="120"/>
        <v>1</v>
      </c>
      <c r="AL41" s="87">
        <f t="shared" si="120"/>
        <v>1</v>
      </c>
      <c r="AM41" s="87">
        <f t="shared" si="120"/>
        <v>1</v>
      </c>
      <c r="AN41" s="87">
        <f t="shared" si="120"/>
        <v>1</v>
      </c>
      <c r="AO41" s="87">
        <f>AO42*$F$42</f>
        <v>1</v>
      </c>
      <c r="AP41" s="87">
        <f t="shared" si="120"/>
        <v>1</v>
      </c>
      <c r="AQ41" s="87">
        <f t="shared" si="120"/>
        <v>1</v>
      </c>
      <c r="AR41" s="87">
        <f t="shared" si="120"/>
        <v>1</v>
      </c>
      <c r="AS41" s="87">
        <f t="shared" si="120"/>
        <v>1</v>
      </c>
      <c r="AT41" s="87">
        <f t="shared" si="120"/>
        <v>1</v>
      </c>
      <c r="AU41" s="87">
        <f t="shared" si="120"/>
        <v>1</v>
      </c>
      <c r="AV41" s="87">
        <f t="shared" si="120"/>
        <v>1</v>
      </c>
      <c r="AW41" s="87">
        <f t="shared" si="120"/>
        <v>1</v>
      </c>
      <c r="AX41" s="87">
        <f t="shared" si="120"/>
        <v>1</v>
      </c>
      <c r="AY41" s="87">
        <f t="shared" si="120"/>
        <v>1</v>
      </c>
      <c r="AZ41" s="87">
        <f t="shared" si="120"/>
        <v>1</v>
      </c>
      <c r="BA41" s="87">
        <f t="shared" si="120"/>
        <v>1</v>
      </c>
      <c r="BB41" s="87">
        <f t="shared" si="120"/>
        <v>1</v>
      </c>
      <c r="BC41" s="87">
        <f t="shared" si="120"/>
        <v>1</v>
      </c>
      <c r="BD41" s="87">
        <f t="shared" si="120"/>
        <v>1</v>
      </c>
      <c r="BE41" s="87">
        <f t="shared" si="120"/>
        <v>1</v>
      </c>
      <c r="BF41" s="87">
        <f t="shared" si="120"/>
        <v>1</v>
      </c>
      <c r="BG41" s="87">
        <f t="shared" si="120"/>
        <v>1</v>
      </c>
      <c r="BH41" s="87">
        <f t="shared" si="120"/>
        <v>1</v>
      </c>
      <c r="BI41" s="87">
        <f t="shared" si="120"/>
        <v>1</v>
      </c>
      <c r="BJ41" s="87">
        <f t="shared" si="120"/>
        <v>1</v>
      </c>
      <c r="BK41" s="87">
        <f t="shared" si="120"/>
        <v>1</v>
      </c>
      <c r="BL41" s="87">
        <f t="shared" si="120"/>
        <v>1</v>
      </c>
      <c r="BM41" s="87">
        <f t="shared" si="120"/>
        <v>1</v>
      </c>
      <c r="BN41" s="87">
        <f t="shared" si="120"/>
        <v>1</v>
      </c>
      <c r="BO41" s="87">
        <f t="shared" si="120"/>
        <v>1</v>
      </c>
      <c r="BP41" s="87">
        <f t="shared" si="120"/>
        <v>1</v>
      </c>
      <c r="BQ41" s="87">
        <f t="shared" si="120"/>
        <v>1</v>
      </c>
      <c r="BR41" s="87">
        <f t="shared" si="120"/>
        <v>1</v>
      </c>
      <c r="BS41" s="87">
        <f t="shared" si="120"/>
        <v>1</v>
      </c>
      <c r="BT41" s="87">
        <f t="shared" si="120"/>
        <v>1</v>
      </c>
      <c r="BU41" s="87">
        <f t="shared" ref="BU41:CP41" si="121">BU42*$F$42</f>
        <v>1</v>
      </c>
      <c r="BV41" s="87">
        <f t="shared" si="121"/>
        <v>1</v>
      </c>
      <c r="BW41" s="87">
        <f t="shared" si="121"/>
        <v>1</v>
      </c>
      <c r="BX41" s="87">
        <f t="shared" si="121"/>
        <v>1</v>
      </c>
      <c r="BY41" s="87">
        <f t="shared" si="121"/>
        <v>1</v>
      </c>
      <c r="BZ41" s="87">
        <f t="shared" si="121"/>
        <v>1</v>
      </c>
      <c r="CA41" s="87">
        <f t="shared" si="121"/>
        <v>1</v>
      </c>
      <c r="CB41" s="87">
        <f t="shared" si="121"/>
        <v>1</v>
      </c>
      <c r="CC41" s="87">
        <f t="shared" si="121"/>
        <v>1</v>
      </c>
      <c r="CD41" s="87">
        <f t="shared" si="121"/>
        <v>1</v>
      </c>
      <c r="CE41" s="87">
        <f t="shared" si="121"/>
        <v>1</v>
      </c>
      <c r="CF41" s="87">
        <f t="shared" si="121"/>
        <v>1</v>
      </c>
      <c r="CG41" s="87">
        <f t="shared" si="121"/>
        <v>1</v>
      </c>
      <c r="CH41" s="87">
        <f t="shared" si="121"/>
        <v>1</v>
      </c>
      <c r="CI41" s="87">
        <f t="shared" si="121"/>
        <v>1</v>
      </c>
      <c r="CJ41" s="87">
        <f t="shared" si="121"/>
        <v>1</v>
      </c>
      <c r="CK41" s="87">
        <f t="shared" si="121"/>
        <v>1</v>
      </c>
      <c r="CL41" s="87">
        <f t="shared" si="121"/>
        <v>1</v>
      </c>
      <c r="CM41" s="87">
        <f t="shared" si="121"/>
        <v>1</v>
      </c>
      <c r="CN41" s="87">
        <f t="shared" si="121"/>
        <v>1</v>
      </c>
      <c r="CO41" s="87">
        <f t="shared" si="121"/>
        <v>1</v>
      </c>
      <c r="CP41" s="87">
        <f t="shared" si="121"/>
        <v>1</v>
      </c>
    </row>
    <row r="42" spans="2:94" hidden="1" outlineLevel="2" x14ac:dyDescent="0.4">
      <c r="B42" s="69"/>
      <c r="C42" s="70"/>
      <c r="D42" s="70"/>
      <c r="E42" s="70" t="s">
        <v>78</v>
      </c>
      <c r="F42" s="71">
        <f>EDTN[[#This Row],[Nuevos Pesos]]</f>
        <v>1</v>
      </c>
      <c r="H42" s="71">
        <v>0</v>
      </c>
      <c r="I42" s="71">
        <v>7.1428571428571438E-2</v>
      </c>
      <c r="J42" s="71">
        <f>+PlanBase39[[#This Row],[12/05/25]]+7.1%</f>
        <v>0.14242857142857143</v>
      </c>
      <c r="K42" s="71">
        <f>+PlanBase39[[#This Row],[19/05/25]]+7.1%</f>
        <v>0.21342857142857141</v>
      </c>
      <c r="L42" s="71">
        <f>+PlanBase39[[#This Row],[26/05/25]]+7.1%</f>
        <v>0.28442857142857142</v>
      </c>
      <c r="M42" s="71">
        <f>+PlanBase39[[#This Row],[02/06/25]]+7.1%</f>
        <v>0.35542857142857143</v>
      </c>
      <c r="N42" s="71">
        <f>+PlanBase39[[#This Row],[09/06/25]]+7.1%</f>
        <v>0.42642857142857143</v>
      </c>
      <c r="O42" s="71">
        <f>+PlanBase39[[#This Row],[16/06/25]]+7.1%</f>
        <v>0.49742857142857144</v>
      </c>
      <c r="P42" s="71">
        <f>+PlanBase39[[#This Row],[23/06/25]]+7.1%</f>
        <v>0.56842857142857139</v>
      </c>
      <c r="Q42" s="71">
        <f>+PlanBase39[[#This Row],[30/06/25]]+7.1%</f>
        <v>0.63942857142857135</v>
      </c>
      <c r="R42" s="71">
        <f>+PlanBase39[[#This Row],[07/07/25]]+7.1%</f>
        <v>0.7104285714285713</v>
      </c>
      <c r="S42" s="71">
        <f>+PlanBase39[[#This Row],[14/07/25]]+7.1%</f>
        <v>0.78142857142857125</v>
      </c>
      <c r="T42" s="71">
        <f>+PlanBase39[[#This Row],[21/07/25]]+7.1%</f>
        <v>0.8524285714285712</v>
      </c>
      <c r="U42" s="71">
        <f>+PlanBase39[[#This Row],[28/07/25]]+7.1%</f>
        <v>0.92342857142857115</v>
      </c>
      <c r="V42" s="71">
        <f>+PlanBase39[[#This Row],[04/08/25]]+7.1%</f>
        <v>0.99442857142857111</v>
      </c>
      <c r="W42" s="71">
        <v>1</v>
      </c>
      <c r="X42" s="71">
        <v>1</v>
      </c>
      <c r="Y42" s="71">
        <v>1</v>
      </c>
      <c r="Z42" s="71">
        <v>1</v>
      </c>
      <c r="AA42" s="71">
        <v>1</v>
      </c>
      <c r="AB42" s="71">
        <v>1</v>
      </c>
      <c r="AC42" s="71">
        <v>1</v>
      </c>
      <c r="AD42" s="71">
        <v>1</v>
      </c>
      <c r="AE42" s="71">
        <v>1</v>
      </c>
      <c r="AF42" s="71">
        <v>1</v>
      </c>
      <c r="AG42" s="71">
        <v>1</v>
      </c>
      <c r="AH42" s="71">
        <v>1</v>
      </c>
      <c r="AI42" s="71">
        <v>1</v>
      </c>
      <c r="AJ42" s="71">
        <v>1</v>
      </c>
      <c r="AK42" s="71">
        <v>1</v>
      </c>
      <c r="AL42" s="71">
        <v>1</v>
      </c>
      <c r="AM42" s="71">
        <v>1</v>
      </c>
      <c r="AN42" s="71">
        <v>1</v>
      </c>
      <c r="AO42" s="71">
        <v>1</v>
      </c>
      <c r="AP42" s="71">
        <v>1</v>
      </c>
      <c r="AQ42" s="71">
        <v>1</v>
      </c>
      <c r="AR42" s="71">
        <v>1</v>
      </c>
      <c r="AS42" s="71">
        <v>1</v>
      </c>
      <c r="AT42" s="71">
        <v>1</v>
      </c>
      <c r="AU42" s="71">
        <v>1</v>
      </c>
      <c r="AV42" s="71">
        <v>1</v>
      </c>
      <c r="AW42" s="71">
        <v>1</v>
      </c>
      <c r="AX42" s="71">
        <v>1</v>
      </c>
      <c r="AY42" s="71">
        <v>1</v>
      </c>
      <c r="AZ42" s="71">
        <v>1</v>
      </c>
      <c r="BA42" s="71">
        <v>1</v>
      </c>
      <c r="BB42" s="71">
        <v>1</v>
      </c>
      <c r="BC42" s="71">
        <v>1</v>
      </c>
      <c r="BD42" s="71">
        <v>1</v>
      </c>
      <c r="BE42" s="71">
        <v>1</v>
      </c>
      <c r="BF42" s="71">
        <v>1</v>
      </c>
      <c r="BG42" s="71">
        <v>1</v>
      </c>
      <c r="BH42" s="71">
        <v>1</v>
      </c>
      <c r="BI42" s="71">
        <v>1</v>
      </c>
      <c r="BJ42" s="71">
        <v>1</v>
      </c>
      <c r="BK42" s="71">
        <v>1</v>
      </c>
      <c r="BL42" s="71">
        <v>1</v>
      </c>
      <c r="BM42" s="71">
        <v>1</v>
      </c>
      <c r="BN42" s="71">
        <v>1</v>
      </c>
      <c r="BO42" s="71">
        <v>1</v>
      </c>
      <c r="BP42" s="71">
        <v>1</v>
      </c>
      <c r="BQ42" s="71">
        <v>1</v>
      </c>
      <c r="BR42" s="71">
        <v>1</v>
      </c>
      <c r="BS42" s="71">
        <v>1</v>
      </c>
      <c r="BT42" s="71">
        <v>1</v>
      </c>
      <c r="BU42" s="71">
        <v>1</v>
      </c>
      <c r="BV42" s="71">
        <v>1</v>
      </c>
      <c r="BW42" s="71">
        <v>1</v>
      </c>
      <c r="BX42" s="71">
        <v>1</v>
      </c>
      <c r="BY42" s="71">
        <v>1</v>
      </c>
      <c r="BZ42" s="71">
        <v>1</v>
      </c>
      <c r="CA42" s="71">
        <v>1</v>
      </c>
      <c r="CB42" s="71">
        <v>1</v>
      </c>
      <c r="CC42" s="71">
        <v>1</v>
      </c>
      <c r="CD42" s="71">
        <v>1</v>
      </c>
      <c r="CE42" s="71">
        <v>1</v>
      </c>
      <c r="CF42" s="71">
        <v>1</v>
      </c>
      <c r="CG42" s="71">
        <v>1</v>
      </c>
      <c r="CH42" s="71">
        <v>1</v>
      </c>
      <c r="CI42" s="71">
        <v>1</v>
      </c>
      <c r="CJ42" s="71">
        <v>1</v>
      </c>
      <c r="CK42" s="71">
        <v>1</v>
      </c>
      <c r="CL42" s="71">
        <v>1</v>
      </c>
      <c r="CM42" s="71">
        <v>1</v>
      </c>
      <c r="CN42" s="71">
        <v>1</v>
      </c>
      <c r="CO42" s="71">
        <v>1</v>
      </c>
      <c r="CP42" s="71">
        <v>1</v>
      </c>
    </row>
    <row r="43" spans="2:94" hidden="1" outlineLevel="1" collapsed="1" x14ac:dyDescent="0.4">
      <c r="B43" s="85"/>
      <c r="C43" s="86"/>
      <c r="D43" s="86" t="s">
        <v>251</v>
      </c>
      <c r="E43" s="86"/>
      <c r="F43" s="87">
        <f>EDTN[[#This Row],[Nuevos Pesos]]</f>
        <v>0</v>
      </c>
      <c r="H43" s="87">
        <f>H44*$F$44</f>
        <v>0</v>
      </c>
      <c r="I43" s="87">
        <f t="shared" ref="I43:BT43" si="122">I44*$F$44</f>
        <v>0</v>
      </c>
      <c r="J43" s="87">
        <f t="shared" si="122"/>
        <v>0</v>
      </c>
      <c r="K43" s="87">
        <f t="shared" si="122"/>
        <v>0</v>
      </c>
      <c r="L43" s="87">
        <f t="shared" si="122"/>
        <v>0</v>
      </c>
      <c r="M43" s="87">
        <f t="shared" si="122"/>
        <v>0</v>
      </c>
      <c r="N43" s="87">
        <f t="shared" si="122"/>
        <v>0</v>
      </c>
      <c r="O43" s="87">
        <f t="shared" si="122"/>
        <v>0</v>
      </c>
      <c r="P43" s="87">
        <f t="shared" si="122"/>
        <v>0</v>
      </c>
      <c r="Q43" s="87">
        <f t="shared" si="122"/>
        <v>0</v>
      </c>
      <c r="R43" s="87">
        <f t="shared" si="122"/>
        <v>0</v>
      </c>
      <c r="S43" s="87">
        <f t="shared" si="122"/>
        <v>0</v>
      </c>
      <c r="T43" s="87">
        <f t="shared" si="122"/>
        <v>0</v>
      </c>
      <c r="U43" s="87">
        <f t="shared" si="122"/>
        <v>0</v>
      </c>
      <c r="V43" s="87">
        <f t="shared" si="122"/>
        <v>0</v>
      </c>
      <c r="W43" s="87">
        <f t="shared" si="122"/>
        <v>0</v>
      </c>
      <c r="X43" s="87">
        <f t="shared" si="122"/>
        <v>0</v>
      </c>
      <c r="Y43" s="87">
        <f t="shared" si="122"/>
        <v>0</v>
      </c>
      <c r="Z43" s="87">
        <f t="shared" si="122"/>
        <v>0</v>
      </c>
      <c r="AA43" s="87">
        <f t="shared" si="122"/>
        <v>0</v>
      </c>
      <c r="AB43" s="87">
        <f t="shared" si="122"/>
        <v>0</v>
      </c>
      <c r="AC43" s="87">
        <f t="shared" si="122"/>
        <v>0</v>
      </c>
      <c r="AD43" s="87">
        <f t="shared" si="122"/>
        <v>0</v>
      </c>
      <c r="AE43" s="87">
        <f t="shared" si="122"/>
        <v>0</v>
      </c>
      <c r="AF43" s="87">
        <f t="shared" si="122"/>
        <v>0</v>
      </c>
      <c r="AG43" s="87">
        <f t="shared" si="122"/>
        <v>0</v>
      </c>
      <c r="AH43" s="87">
        <f t="shared" si="122"/>
        <v>0</v>
      </c>
      <c r="AI43" s="87">
        <f t="shared" si="122"/>
        <v>0</v>
      </c>
      <c r="AJ43" s="87">
        <f t="shared" si="122"/>
        <v>0</v>
      </c>
      <c r="AK43" s="87">
        <f t="shared" si="122"/>
        <v>0</v>
      </c>
      <c r="AL43" s="87">
        <f t="shared" si="122"/>
        <v>1</v>
      </c>
      <c r="AM43" s="87">
        <f t="shared" si="122"/>
        <v>1</v>
      </c>
      <c r="AN43" s="87">
        <f t="shared" si="122"/>
        <v>1</v>
      </c>
      <c r="AO43" s="87">
        <f t="shared" si="122"/>
        <v>1</v>
      </c>
      <c r="AP43" s="87">
        <f t="shared" si="122"/>
        <v>1</v>
      </c>
      <c r="AQ43" s="87">
        <f t="shared" si="122"/>
        <v>1</v>
      </c>
      <c r="AR43" s="87">
        <f t="shared" si="122"/>
        <v>1</v>
      </c>
      <c r="AS43" s="87">
        <f t="shared" si="122"/>
        <v>1</v>
      </c>
      <c r="AT43" s="87">
        <f t="shared" si="122"/>
        <v>1</v>
      </c>
      <c r="AU43" s="87">
        <f t="shared" si="122"/>
        <v>1</v>
      </c>
      <c r="AV43" s="87">
        <f t="shared" si="122"/>
        <v>1</v>
      </c>
      <c r="AW43" s="87">
        <f t="shared" si="122"/>
        <v>1</v>
      </c>
      <c r="AX43" s="87">
        <f t="shared" si="122"/>
        <v>1</v>
      </c>
      <c r="AY43" s="87">
        <f t="shared" si="122"/>
        <v>1</v>
      </c>
      <c r="AZ43" s="87">
        <f t="shared" si="122"/>
        <v>1</v>
      </c>
      <c r="BA43" s="87">
        <f t="shared" si="122"/>
        <v>1</v>
      </c>
      <c r="BB43" s="87">
        <f t="shared" si="122"/>
        <v>1</v>
      </c>
      <c r="BC43" s="87">
        <f t="shared" si="122"/>
        <v>1</v>
      </c>
      <c r="BD43" s="87">
        <f t="shared" si="122"/>
        <v>1</v>
      </c>
      <c r="BE43" s="87">
        <f t="shared" si="122"/>
        <v>1</v>
      </c>
      <c r="BF43" s="87">
        <f t="shared" si="122"/>
        <v>1</v>
      </c>
      <c r="BG43" s="87">
        <f t="shared" si="122"/>
        <v>1</v>
      </c>
      <c r="BH43" s="87">
        <f t="shared" si="122"/>
        <v>1</v>
      </c>
      <c r="BI43" s="87">
        <f t="shared" si="122"/>
        <v>1</v>
      </c>
      <c r="BJ43" s="87">
        <f t="shared" si="122"/>
        <v>1</v>
      </c>
      <c r="BK43" s="87">
        <f t="shared" si="122"/>
        <v>1</v>
      </c>
      <c r="BL43" s="87">
        <f t="shared" si="122"/>
        <v>1</v>
      </c>
      <c r="BM43" s="87">
        <f t="shared" si="122"/>
        <v>1</v>
      </c>
      <c r="BN43" s="87">
        <f t="shared" si="122"/>
        <v>1</v>
      </c>
      <c r="BO43" s="87">
        <f t="shared" si="122"/>
        <v>1</v>
      </c>
      <c r="BP43" s="87">
        <f t="shared" si="122"/>
        <v>1</v>
      </c>
      <c r="BQ43" s="87">
        <f t="shared" si="122"/>
        <v>1</v>
      </c>
      <c r="BR43" s="87">
        <f t="shared" si="122"/>
        <v>1</v>
      </c>
      <c r="BS43" s="87">
        <f t="shared" si="122"/>
        <v>1</v>
      </c>
      <c r="BT43" s="87">
        <f t="shared" si="122"/>
        <v>1</v>
      </c>
      <c r="BU43" s="87">
        <f t="shared" ref="BU43:CP43" si="123">BU44*$F$44</f>
        <v>1</v>
      </c>
      <c r="BV43" s="87">
        <f t="shared" si="123"/>
        <v>1</v>
      </c>
      <c r="BW43" s="87">
        <f t="shared" si="123"/>
        <v>1</v>
      </c>
      <c r="BX43" s="87">
        <f t="shared" si="123"/>
        <v>1</v>
      </c>
      <c r="BY43" s="87">
        <f t="shared" si="123"/>
        <v>1</v>
      </c>
      <c r="BZ43" s="87">
        <f t="shared" si="123"/>
        <v>1</v>
      </c>
      <c r="CA43" s="87">
        <f t="shared" si="123"/>
        <v>1</v>
      </c>
      <c r="CB43" s="87">
        <f t="shared" si="123"/>
        <v>1</v>
      </c>
      <c r="CC43" s="87">
        <f t="shared" si="123"/>
        <v>1</v>
      </c>
      <c r="CD43" s="87">
        <f t="shared" si="123"/>
        <v>1</v>
      </c>
      <c r="CE43" s="87">
        <f t="shared" si="123"/>
        <v>1</v>
      </c>
      <c r="CF43" s="87">
        <f t="shared" si="123"/>
        <v>1</v>
      </c>
      <c r="CG43" s="87">
        <f t="shared" si="123"/>
        <v>1</v>
      </c>
      <c r="CH43" s="87">
        <f t="shared" si="123"/>
        <v>1</v>
      </c>
      <c r="CI43" s="87">
        <f t="shared" si="123"/>
        <v>1</v>
      </c>
      <c r="CJ43" s="87">
        <f t="shared" si="123"/>
        <v>1</v>
      </c>
      <c r="CK43" s="87">
        <f t="shared" si="123"/>
        <v>1</v>
      </c>
      <c r="CL43" s="87">
        <f t="shared" si="123"/>
        <v>1</v>
      </c>
      <c r="CM43" s="87">
        <f t="shared" si="123"/>
        <v>1</v>
      </c>
      <c r="CN43" s="87">
        <f t="shared" si="123"/>
        <v>1</v>
      </c>
      <c r="CO43" s="87">
        <f t="shared" si="123"/>
        <v>1</v>
      </c>
      <c r="CP43" s="87">
        <f t="shared" si="123"/>
        <v>1</v>
      </c>
    </row>
    <row r="44" spans="2:94" hidden="1" outlineLevel="2" x14ac:dyDescent="0.4">
      <c r="B44" s="69"/>
      <c r="C44" s="70"/>
      <c r="D44" s="70"/>
      <c r="E44" s="70" t="s">
        <v>15</v>
      </c>
      <c r="F44" s="71">
        <f>EDTN[[#This Row],[Nuevos Pesos]]</f>
        <v>1</v>
      </c>
      <c r="H44" s="71">
        <v>0</v>
      </c>
      <c r="I44" s="71">
        <v>0</v>
      </c>
      <c r="J44" s="71">
        <v>0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0</v>
      </c>
      <c r="Y44" s="71">
        <v>0</v>
      </c>
      <c r="Z44" s="71">
        <v>0</v>
      </c>
      <c r="AA44" s="71">
        <v>0</v>
      </c>
      <c r="AB44" s="71">
        <v>0</v>
      </c>
      <c r="AC44" s="71">
        <v>0</v>
      </c>
      <c r="AD44" s="71">
        <v>0</v>
      </c>
      <c r="AE44" s="71">
        <v>0</v>
      </c>
      <c r="AF44" s="71">
        <v>0</v>
      </c>
      <c r="AG44" s="71">
        <v>0</v>
      </c>
      <c r="AH44" s="71">
        <v>0</v>
      </c>
      <c r="AI44" s="71">
        <v>0</v>
      </c>
      <c r="AJ44" s="71">
        <v>0</v>
      </c>
      <c r="AK44" s="71">
        <v>0</v>
      </c>
      <c r="AL44" s="71">
        <v>1</v>
      </c>
      <c r="AM44" s="71">
        <v>1</v>
      </c>
      <c r="AN44" s="71">
        <v>1</v>
      </c>
      <c r="AO44" s="71">
        <v>1</v>
      </c>
      <c r="AP44" s="71">
        <v>1</v>
      </c>
      <c r="AQ44" s="71">
        <v>1</v>
      </c>
      <c r="AR44" s="71">
        <v>1</v>
      </c>
      <c r="AS44" s="71">
        <v>1</v>
      </c>
      <c r="AT44" s="71">
        <v>1</v>
      </c>
      <c r="AU44" s="71">
        <v>1</v>
      </c>
      <c r="AV44" s="71">
        <v>1</v>
      </c>
      <c r="AW44" s="71">
        <v>1</v>
      </c>
      <c r="AX44" s="71">
        <v>1</v>
      </c>
      <c r="AY44" s="71">
        <v>1</v>
      </c>
      <c r="AZ44" s="71">
        <v>1</v>
      </c>
      <c r="BA44" s="71">
        <v>1</v>
      </c>
      <c r="BB44" s="71">
        <v>1</v>
      </c>
      <c r="BC44" s="71">
        <v>1</v>
      </c>
      <c r="BD44" s="71">
        <v>1</v>
      </c>
      <c r="BE44" s="71">
        <v>1</v>
      </c>
      <c r="BF44" s="71">
        <v>1</v>
      </c>
      <c r="BG44" s="71">
        <v>1</v>
      </c>
      <c r="BH44" s="71">
        <v>1</v>
      </c>
      <c r="BI44" s="71">
        <v>1</v>
      </c>
      <c r="BJ44" s="71">
        <v>1</v>
      </c>
      <c r="BK44" s="71">
        <v>1</v>
      </c>
      <c r="BL44" s="71">
        <v>1</v>
      </c>
      <c r="BM44" s="71">
        <v>1</v>
      </c>
      <c r="BN44" s="71">
        <v>1</v>
      </c>
      <c r="BO44" s="71">
        <v>1</v>
      </c>
      <c r="BP44" s="71">
        <v>1</v>
      </c>
      <c r="BQ44" s="71">
        <v>1</v>
      </c>
      <c r="BR44" s="71">
        <v>1</v>
      </c>
      <c r="BS44" s="71">
        <v>1</v>
      </c>
      <c r="BT44" s="71">
        <v>1</v>
      </c>
      <c r="BU44" s="71">
        <v>1</v>
      </c>
      <c r="BV44" s="71">
        <v>1</v>
      </c>
      <c r="BW44" s="71">
        <v>1</v>
      </c>
      <c r="BX44" s="71">
        <v>1</v>
      </c>
      <c r="BY44" s="71">
        <v>1</v>
      </c>
      <c r="BZ44" s="71">
        <v>1</v>
      </c>
      <c r="CA44" s="71">
        <v>1</v>
      </c>
      <c r="CB44" s="71">
        <v>1</v>
      </c>
      <c r="CC44" s="71">
        <v>1</v>
      </c>
      <c r="CD44" s="71">
        <v>1</v>
      </c>
      <c r="CE44" s="71">
        <v>1</v>
      </c>
      <c r="CF44" s="71">
        <v>1</v>
      </c>
      <c r="CG44" s="71">
        <v>1</v>
      </c>
      <c r="CH44" s="71">
        <v>1</v>
      </c>
      <c r="CI44" s="71">
        <v>1</v>
      </c>
      <c r="CJ44" s="71">
        <v>1</v>
      </c>
      <c r="CK44" s="71">
        <v>1</v>
      </c>
      <c r="CL44" s="71">
        <v>1</v>
      </c>
      <c r="CM44" s="71">
        <v>1</v>
      </c>
      <c r="CN44" s="71">
        <v>1</v>
      </c>
      <c r="CO44" s="71">
        <v>1</v>
      </c>
      <c r="CP44" s="71">
        <v>1</v>
      </c>
    </row>
    <row r="45" spans="2:94" collapsed="1" x14ac:dyDescent="0.4">
      <c r="B45" s="15"/>
      <c r="C45" s="16" t="s">
        <v>83</v>
      </c>
      <c r="D45" s="16"/>
      <c r="E45" s="16"/>
      <c r="F45" s="66">
        <f>EDTN[[#This Row],[Nuevos Pesos]]</f>
        <v>0.22717450583622398</v>
      </c>
      <c r="H45" s="66">
        <f>H46*$F$46+H48*$F$48+H54*$F$54+H57*$F$57+H59*$F$59+H62*$F$62+H65*$F$65+H68*$F$68+H72*$F$72+H76*$F$76+H83*$F$83+H87*$F$87+H91*$F$91</f>
        <v>0</v>
      </c>
      <c r="I45" s="66">
        <f t="shared" ref="I45:AM45" si="124">I46*$F$46+I48*$F$48+I54*$F$54+I57*$F$57+I59*$F$59+I62*$F$62+I65*$F$65+I68*$F$68+I72*$F$72+I76*$F$76+I83*$F$83+I87*$F$87+I91*$F$91</f>
        <v>1.0219201374189874E-2</v>
      </c>
      <c r="J45" s="66">
        <f t="shared" si="124"/>
        <v>2.0448572053939334E-2</v>
      </c>
      <c r="K45" s="66">
        <f t="shared" si="124"/>
        <v>3.2686662628642088E-2</v>
      </c>
      <c r="L45" s="66">
        <f t="shared" si="124"/>
        <v>4.8427960700143366E-2</v>
      </c>
      <c r="M45" s="66">
        <f t="shared" si="124"/>
        <v>6.4155197732379973E-2</v>
      </c>
      <c r="N45" s="66">
        <f t="shared" si="124"/>
        <v>7.9882434764616567E-2</v>
      </c>
      <c r="O45" s="66">
        <f t="shared" si="124"/>
        <v>9.5609671796853174E-2</v>
      </c>
      <c r="P45" s="66">
        <f t="shared" si="124"/>
        <v>0.1113369088290898</v>
      </c>
      <c r="Q45" s="66">
        <f t="shared" si="124"/>
        <v>0.1270952797309671</v>
      </c>
      <c r="R45" s="66">
        <f t="shared" si="124"/>
        <v>0.13893467479182178</v>
      </c>
      <c r="S45" s="66">
        <f t="shared" si="124"/>
        <v>0.15077406985267644</v>
      </c>
      <c r="T45" s="66">
        <f t="shared" si="124"/>
        <v>0.16261346491353112</v>
      </c>
      <c r="U45" s="66">
        <f t="shared" si="124"/>
        <v>0.17445285997438575</v>
      </c>
      <c r="V45" s="66">
        <f t="shared" si="124"/>
        <v>0.18775165517464812</v>
      </c>
      <c r="W45" s="66">
        <f t="shared" si="124"/>
        <v>0.21063799811984957</v>
      </c>
      <c r="X45" s="66">
        <f t="shared" si="124"/>
        <v>0.23541020686364214</v>
      </c>
      <c r="Y45" s="66">
        <f t="shared" si="124"/>
        <v>0.26193059377243694</v>
      </c>
      <c r="Z45" s="66">
        <f t="shared" si="124"/>
        <v>0.28447312343283143</v>
      </c>
      <c r="AA45" s="66">
        <f t="shared" si="124"/>
        <v>0.31131170015158111</v>
      </c>
      <c r="AB45" s="66">
        <f t="shared" si="124"/>
        <v>0.36168742264544707</v>
      </c>
      <c r="AC45" s="66">
        <f t="shared" si="124"/>
        <v>0.40161997286675838</v>
      </c>
      <c r="AD45" s="66">
        <f t="shared" si="124"/>
        <v>0.44727990660254979</v>
      </c>
      <c r="AE45" s="66">
        <f t="shared" si="124"/>
        <v>0.50574429285036171</v>
      </c>
      <c r="AF45" s="66">
        <f t="shared" si="124"/>
        <v>0.58070105198653199</v>
      </c>
      <c r="AG45" s="66">
        <f t="shared" si="124"/>
        <v>0.65565781112270238</v>
      </c>
      <c r="AH45" s="66">
        <f t="shared" si="124"/>
        <v>0.7356946605739203</v>
      </c>
      <c r="AI45" s="66">
        <f t="shared" si="124"/>
        <v>0.7948632067011856</v>
      </c>
      <c r="AJ45" s="66">
        <f t="shared" si="124"/>
        <v>0.84489949353974603</v>
      </c>
      <c r="AK45" s="66">
        <f t="shared" si="124"/>
        <v>0.88140622587145701</v>
      </c>
      <c r="AL45" s="66">
        <f t="shared" si="124"/>
        <v>0.91207406040096894</v>
      </c>
      <c r="AM45" s="66">
        <f t="shared" si="124"/>
        <v>0.93610162429617627</v>
      </c>
      <c r="AN45" s="66">
        <f t="shared" ref="AN45:AP45" si="125">AN46*$F$46+AN48*$F$48+AN54*$F$54+AN57*$F$57+AN59*$F$59+AN62*$F$62+AN65*$F$65+AN68*$F$68+AN72*$F$72+AN76*$F$76+AN83*$F$83+AN87*$F$87+AN91*$F$91</f>
        <v>0.95767739595717871</v>
      </c>
      <c r="AO45" s="66">
        <f t="shared" si="125"/>
        <v>0.97591989769977405</v>
      </c>
      <c r="AP45" s="66">
        <f t="shared" si="125"/>
        <v>1</v>
      </c>
      <c r="AQ45" s="66">
        <f t="shared" ref="AQ45:AR45" si="126">AQ46*$F$46+AQ48*$F$48+AQ54*$F$54+AQ57*$F$57+AQ59*$F$59+AQ62*$F$62+AQ65*$F$65+AQ68*$F$68+AQ72*$F$72+AQ76*$F$76+AQ83*$F$83+AQ87*$F$87+AQ91*$F$91</f>
        <v>1</v>
      </c>
      <c r="AR45" s="66">
        <f t="shared" si="126"/>
        <v>1</v>
      </c>
      <c r="AS45" s="66">
        <f t="shared" ref="AS45" si="127">AS46*$F$46+AS48*$F$48+AS54*$F$54+AS57*$F$57+AS59*$F$59+AS62*$F$62+AS65*$F$65+AS68*$F$68+AS72*$F$72+AS76*$F$76+AS83*$F$83+AS87*$F$87+AS91*$F$91</f>
        <v>1</v>
      </c>
      <c r="AT45" s="66">
        <f t="shared" ref="AT45:BC45" si="128">AT46*$F$46+AT48*$F$48+AT54*$F$54+AT57*$F$57+AT59*$F$59+AT62*$F$62+AT65*$F$65+AT68*$F$68+AT72*$F$72+AT76*$F$76+AT83*$F$83+AT87*$F$87+AT91*$F$91</f>
        <v>1</v>
      </c>
      <c r="AU45" s="66">
        <f t="shared" si="128"/>
        <v>1</v>
      </c>
      <c r="AV45" s="66">
        <f t="shared" si="128"/>
        <v>1</v>
      </c>
      <c r="AW45" s="66">
        <f t="shared" si="128"/>
        <v>1</v>
      </c>
      <c r="AX45" s="66">
        <f t="shared" si="128"/>
        <v>1</v>
      </c>
      <c r="AY45" s="66">
        <f t="shared" si="128"/>
        <v>1</v>
      </c>
      <c r="AZ45" s="66">
        <f t="shared" si="128"/>
        <v>1</v>
      </c>
      <c r="BA45" s="66">
        <f t="shared" si="128"/>
        <v>1</v>
      </c>
      <c r="BB45" s="66">
        <f t="shared" si="128"/>
        <v>1</v>
      </c>
      <c r="BC45" s="66">
        <f t="shared" si="128"/>
        <v>1</v>
      </c>
      <c r="BD45" s="66">
        <f t="shared" ref="BD45:BE45" si="129">BD46*$F$46+BD48*$F$48+BD54*$F$54+BD57*$F$57+BD59*$F$59+BD62*$F$62+BD65*$F$65+BD68*$F$68+BD72*$F$72+BD76*$F$76+BD83*$F$83+BD87*$F$87+BD91*$F$91</f>
        <v>1</v>
      </c>
      <c r="BE45" s="66">
        <f t="shared" si="129"/>
        <v>1</v>
      </c>
      <c r="BF45" s="66">
        <f t="shared" ref="BF45:BG45" si="130">BF46*$F$46+BF48*$F$48+BF54*$F$54+BF57*$F$57+BF59*$F$59+BF62*$F$62+BF65*$F$65+BF68*$F$68+BF72*$F$72+BF76*$F$76+BF83*$F$83+BF87*$F$87+BF91*$F$91</f>
        <v>1</v>
      </c>
      <c r="BG45" s="66">
        <f t="shared" si="130"/>
        <v>1</v>
      </c>
      <c r="BH45" s="66">
        <f t="shared" ref="BH45:BI45" si="131">BH46*$F$46+BH48*$F$48+BH54*$F$54+BH57*$F$57+BH59*$F$59+BH62*$F$62+BH65*$F$65+BH68*$F$68+BH72*$F$72+BH76*$F$76+BH83*$F$83+BH87*$F$87+BH91*$F$91</f>
        <v>1</v>
      </c>
      <c r="BI45" s="66">
        <f t="shared" si="131"/>
        <v>1</v>
      </c>
      <c r="BJ45" s="66">
        <f t="shared" ref="BJ45:BK45" si="132">BJ46*$F$46+BJ48*$F$48+BJ54*$F$54+BJ57*$F$57+BJ59*$F$59+BJ62*$F$62+BJ65*$F$65+BJ68*$F$68+BJ72*$F$72+BJ76*$F$76+BJ83*$F$83+BJ87*$F$87+BJ91*$F$91</f>
        <v>1</v>
      </c>
      <c r="BK45" s="66">
        <f t="shared" si="132"/>
        <v>1</v>
      </c>
      <c r="BL45" s="66">
        <f t="shared" ref="BL45:CP45" si="133">BL46*$F$46+BL48*$F$48+BL54*$F$54+BL57*$F$57+BL59*$F$59+BL62*$F$62+BL65*$F$65+BL68*$F$68+BL72*$F$72+BL76*$F$76+BL83*$F$83+BL87*$F$87+BL91*$F$91</f>
        <v>1</v>
      </c>
      <c r="BM45" s="66">
        <f t="shared" si="133"/>
        <v>1</v>
      </c>
      <c r="BN45" s="66">
        <f t="shared" si="133"/>
        <v>1</v>
      </c>
      <c r="BO45" s="66">
        <f t="shared" si="133"/>
        <v>1</v>
      </c>
      <c r="BP45" s="66">
        <f t="shared" si="133"/>
        <v>1</v>
      </c>
      <c r="BQ45" s="66">
        <f t="shared" si="133"/>
        <v>1</v>
      </c>
      <c r="BR45" s="66">
        <f t="shared" si="133"/>
        <v>1</v>
      </c>
      <c r="BS45" s="66">
        <f t="shared" si="133"/>
        <v>1</v>
      </c>
      <c r="BT45" s="66">
        <f t="shared" si="133"/>
        <v>1</v>
      </c>
      <c r="BU45" s="66">
        <f t="shared" si="133"/>
        <v>1</v>
      </c>
      <c r="BV45" s="66">
        <f t="shared" si="133"/>
        <v>1</v>
      </c>
      <c r="BW45" s="66">
        <f t="shared" si="133"/>
        <v>1</v>
      </c>
      <c r="BX45" s="66">
        <f t="shared" si="133"/>
        <v>1</v>
      </c>
      <c r="BY45" s="66">
        <f t="shared" si="133"/>
        <v>1</v>
      </c>
      <c r="BZ45" s="66">
        <f t="shared" si="133"/>
        <v>1</v>
      </c>
      <c r="CA45" s="66">
        <f t="shared" si="133"/>
        <v>1</v>
      </c>
      <c r="CB45" s="66">
        <f t="shared" si="133"/>
        <v>1</v>
      </c>
      <c r="CC45" s="66">
        <f t="shared" si="133"/>
        <v>1</v>
      </c>
      <c r="CD45" s="66">
        <f t="shared" si="133"/>
        <v>1</v>
      </c>
      <c r="CE45" s="66">
        <f t="shared" si="133"/>
        <v>1</v>
      </c>
      <c r="CF45" s="66">
        <f t="shared" si="133"/>
        <v>1</v>
      </c>
      <c r="CG45" s="66">
        <f t="shared" si="133"/>
        <v>1</v>
      </c>
      <c r="CH45" s="66">
        <f t="shared" si="133"/>
        <v>1</v>
      </c>
      <c r="CI45" s="66">
        <f t="shared" si="133"/>
        <v>1</v>
      </c>
      <c r="CJ45" s="66">
        <f t="shared" si="133"/>
        <v>1</v>
      </c>
      <c r="CK45" s="66">
        <f t="shared" si="133"/>
        <v>1</v>
      </c>
      <c r="CL45" s="66">
        <f t="shared" si="133"/>
        <v>1</v>
      </c>
      <c r="CM45" s="66">
        <f t="shared" si="133"/>
        <v>1</v>
      </c>
      <c r="CN45" s="66">
        <f t="shared" si="133"/>
        <v>1</v>
      </c>
      <c r="CO45" s="66">
        <f t="shared" si="133"/>
        <v>1</v>
      </c>
      <c r="CP45" s="66">
        <f t="shared" si="133"/>
        <v>1</v>
      </c>
    </row>
    <row r="46" spans="2:94" hidden="1" outlineLevel="1" collapsed="1" x14ac:dyDescent="0.4">
      <c r="B46" s="85"/>
      <c r="C46" s="86"/>
      <c r="D46" s="86" t="s">
        <v>13</v>
      </c>
      <c r="E46" s="86"/>
      <c r="F46" s="87">
        <f>EDTN[[#This Row],[Nuevos Pesos]]</f>
        <v>2.3468375928862552E-2</v>
      </c>
      <c r="H46" s="87">
        <f>H47*$F$47</f>
        <v>0</v>
      </c>
      <c r="I46" s="87">
        <f t="shared" ref="I46:BT46" si="134">I47*$F$47</f>
        <v>0</v>
      </c>
      <c r="J46" s="87">
        <f t="shared" si="134"/>
        <v>0</v>
      </c>
      <c r="K46" s="87">
        <f t="shared" si="134"/>
        <v>0</v>
      </c>
      <c r="L46" s="87">
        <f t="shared" si="134"/>
        <v>0</v>
      </c>
      <c r="M46" s="87">
        <f t="shared" si="134"/>
        <v>0</v>
      </c>
      <c r="N46" s="87">
        <f t="shared" si="134"/>
        <v>0</v>
      </c>
      <c r="O46" s="87">
        <f t="shared" si="134"/>
        <v>0</v>
      </c>
      <c r="P46" s="87">
        <f t="shared" si="134"/>
        <v>0</v>
      </c>
      <c r="Q46" s="87">
        <f t="shared" si="134"/>
        <v>0</v>
      </c>
      <c r="R46" s="87">
        <f t="shared" si="134"/>
        <v>0</v>
      </c>
      <c r="S46" s="87">
        <f t="shared" si="134"/>
        <v>0</v>
      </c>
      <c r="T46" s="87">
        <f t="shared" si="134"/>
        <v>0</v>
      </c>
      <c r="U46" s="87">
        <f t="shared" si="134"/>
        <v>0</v>
      </c>
      <c r="V46" s="87">
        <f t="shared" si="134"/>
        <v>0</v>
      </c>
      <c r="W46" s="87">
        <f t="shared" si="134"/>
        <v>0</v>
      </c>
      <c r="X46" s="87">
        <f t="shared" si="134"/>
        <v>0</v>
      </c>
      <c r="Y46" s="87">
        <f t="shared" si="134"/>
        <v>0</v>
      </c>
      <c r="Z46" s="87">
        <f t="shared" si="134"/>
        <v>0</v>
      </c>
      <c r="AA46" s="87">
        <f t="shared" si="134"/>
        <v>0.5</v>
      </c>
      <c r="AB46" s="87">
        <f t="shared" si="134"/>
        <v>1</v>
      </c>
      <c r="AC46" s="87">
        <f t="shared" si="134"/>
        <v>1</v>
      </c>
      <c r="AD46" s="87">
        <f t="shared" si="134"/>
        <v>1</v>
      </c>
      <c r="AE46" s="87">
        <f t="shared" si="134"/>
        <v>1</v>
      </c>
      <c r="AF46" s="87">
        <f t="shared" si="134"/>
        <v>1</v>
      </c>
      <c r="AG46" s="87">
        <f t="shared" si="134"/>
        <v>1</v>
      </c>
      <c r="AH46" s="87">
        <f t="shared" si="134"/>
        <v>1</v>
      </c>
      <c r="AI46" s="87">
        <f t="shared" si="134"/>
        <v>1</v>
      </c>
      <c r="AJ46" s="87">
        <f t="shared" si="134"/>
        <v>1</v>
      </c>
      <c r="AK46" s="87">
        <f t="shared" si="134"/>
        <v>1</v>
      </c>
      <c r="AL46" s="87">
        <f t="shared" si="134"/>
        <v>1</v>
      </c>
      <c r="AM46" s="87">
        <f t="shared" si="134"/>
        <v>1</v>
      </c>
      <c r="AN46" s="87">
        <f t="shared" si="134"/>
        <v>1</v>
      </c>
      <c r="AO46" s="87">
        <f t="shared" si="134"/>
        <v>1</v>
      </c>
      <c r="AP46" s="87">
        <f t="shared" si="134"/>
        <v>1</v>
      </c>
      <c r="AQ46" s="87">
        <f t="shared" si="134"/>
        <v>1</v>
      </c>
      <c r="AR46" s="87">
        <f t="shared" si="134"/>
        <v>1</v>
      </c>
      <c r="AS46" s="87">
        <f t="shared" si="134"/>
        <v>1</v>
      </c>
      <c r="AT46" s="87">
        <f t="shared" si="134"/>
        <v>1</v>
      </c>
      <c r="AU46" s="87">
        <f t="shared" si="134"/>
        <v>1</v>
      </c>
      <c r="AV46" s="87">
        <f t="shared" si="134"/>
        <v>1</v>
      </c>
      <c r="AW46" s="87">
        <f t="shared" si="134"/>
        <v>1</v>
      </c>
      <c r="AX46" s="87">
        <f t="shared" si="134"/>
        <v>1</v>
      </c>
      <c r="AY46" s="87">
        <f t="shared" si="134"/>
        <v>1</v>
      </c>
      <c r="AZ46" s="87">
        <f t="shared" si="134"/>
        <v>1</v>
      </c>
      <c r="BA46" s="87">
        <f t="shared" si="134"/>
        <v>1</v>
      </c>
      <c r="BB46" s="87">
        <f t="shared" si="134"/>
        <v>1</v>
      </c>
      <c r="BC46" s="87">
        <f t="shared" si="134"/>
        <v>1</v>
      </c>
      <c r="BD46" s="87">
        <f t="shared" si="134"/>
        <v>1</v>
      </c>
      <c r="BE46" s="87">
        <f t="shared" si="134"/>
        <v>1</v>
      </c>
      <c r="BF46" s="87">
        <f t="shared" si="134"/>
        <v>1</v>
      </c>
      <c r="BG46" s="87">
        <f t="shared" si="134"/>
        <v>1</v>
      </c>
      <c r="BH46" s="87">
        <f t="shared" si="134"/>
        <v>1</v>
      </c>
      <c r="BI46" s="87">
        <f t="shared" si="134"/>
        <v>1</v>
      </c>
      <c r="BJ46" s="87">
        <f t="shared" si="134"/>
        <v>1</v>
      </c>
      <c r="BK46" s="87">
        <f t="shared" si="134"/>
        <v>1</v>
      </c>
      <c r="BL46" s="87">
        <f t="shared" si="134"/>
        <v>1</v>
      </c>
      <c r="BM46" s="87">
        <f t="shared" si="134"/>
        <v>1</v>
      </c>
      <c r="BN46" s="87">
        <f t="shared" si="134"/>
        <v>1</v>
      </c>
      <c r="BO46" s="87">
        <f t="shared" si="134"/>
        <v>1</v>
      </c>
      <c r="BP46" s="87">
        <f t="shared" si="134"/>
        <v>1</v>
      </c>
      <c r="BQ46" s="87">
        <f t="shared" si="134"/>
        <v>1</v>
      </c>
      <c r="BR46" s="87">
        <f t="shared" si="134"/>
        <v>1</v>
      </c>
      <c r="BS46" s="87">
        <f t="shared" si="134"/>
        <v>1</v>
      </c>
      <c r="BT46" s="87">
        <f t="shared" si="134"/>
        <v>1</v>
      </c>
      <c r="BU46" s="87">
        <f t="shared" ref="BU46:CP46" si="135">BU47*$F$47</f>
        <v>1</v>
      </c>
      <c r="BV46" s="87">
        <f t="shared" si="135"/>
        <v>1</v>
      </c>
      <c r="BW46" s="87">
        <f t="shared" si="135"/>
        <v>1</v>
      </c>
      <c r="BX46" s="87">
        <f t="shared" si="135"/>
        <v>1</v>
      </c>
      <c r="BY46" s="87">
        <f t="shared" si="135"/>
        <v>1</v>
      </c>
      <c r="BZ46" s="87">
        <f t="shared" si="135"/>
        <v>1</v>
      </c>
      <c r="CA46" s="87">
        <f t="shared" si="135"/>
        <v>1</v>
      </c>
      <c r="CB46" s="87">
        <f t="shared" si="135"/>
        <v>1</v>
      </c>
      <c r="CC46" s="87">
        <f t="shared" si="135"/>
        <v>1</v>
      </c>
      <c r="CD46" s="87">
        <f t="shared" si="135"/>
        <v>1</v>
      </c>
      <c r="CE46" s="87">
        <f t="shared" si="135"/>
        <v>1</v>
      </c>
      <c r="CF46" s="87">
        <f t="shared" si="135"/>
        <v>1</v>
      </c>
      <c r="CG46" s="87">
        <f t="shared" si="135"/>
        <v>1</v>
      </c>
      <c r="CH46" s="87">
        <f t="shared" si="135"/>
        <v>1</v>
      </c>
      <c r="CI46" s="87">
        <f t="shared" si="135"/>
        <v>1</v>
      </c>
      <c r="CJ46" s="87">
        <f t="shared" si="135"/>
        <v>1</v>
      </c>
      <c r="CK46" s="87">
        <f t="shared" si="135"/>
        <v>1</v>
      </c>
      <c r="CL46" s="87">
        <f t="shared" si="135"/>
        <v>1</v>
      </c>
      <c r="CM46" s="87">
        <f t="shared" si="135"/>
        <v>1</v>
      </c>
      <c r="CN46" s="87">
        <f t="shared" si="135"/>
        <v>1</v>
      </c>
      <c r="CO46" s="87">
        <f t="shared" si="135"/>
        <v>1</v>
      </c>
      <c r="CP46" s="87">
        <f t="shared" si="135"/>
        <v>1</v>
      </c>
    </row>
    <row r="47" spans="2:94" hidden="1" outlineLevel="2" x14ac:dyDescent="0.4">
      <c r="B47" s="69"/>
      <c r="C47" s="70"/>
      <c r="D47" s="70"/>
      <c r="E47" s="70" t="s">
        <v>86</v>
      </c>
      <c r="F47" s="71">
        <f>EDTN[[#This Row],[Nuevos Pesos]]</f>
        <v>1</v>
      </c>
      <c r="H47" s="71">
        <v>0</v>
      </c>
      <c r="I47" s="71">
        <v>0</v>
      </c>
      <c r="J47" s="71">
        <v>0</v>
      </c>
      <c r="K47" s="71">
        <v>0</v>
      </c>
      <c r="L47" s="71">
        <v>0</v>
      </c>
      <c r="M47" s="71">
        <v>0</v>
      </c>
      <c r="N47" s="71">
        <v>0</v>
      </c>
      <c r="O47" s="71">
        <v>0</v>
      </c>
      <c r="P47" s="71">
        <v>0</v>
      </c>
      <c r="Q47" s="71">
        <v>0</v>
      </c>
      <c r="R47" s="71">
        <v>0</v>
      </c>
      <c r="S47" s="71">
        <v>0</v>
      </c>
      <c r="T47" s="71">
        <v>0</v>
      </c>
      <c r="U47" s="71">
        <v>0</v>
      </c>
      <c r="V47" s="71">
        <v>0</v>
      </c>
      <c r="W47" s="71">
        <v>0</v>
      </c>
      <c r="X47" s="71">
        <v>0</v>
      </c>
      <c r="Y47" s="71">
        <v>0</v>
      </c>
      <c r="Z47" s="71">
        <v>0</v>
      </c>
      <c r="AA47" s="71">
        <v>0.5</v>
      </c>
      <c r="AB47" s="71">
        <v>1</v>
      </c>
      <c r="AC47" s="71">
        <v>1</v>
      </c>
      <c r="AD47" s="71">
        <v>1</v>
      </c>
      <c r="AE47" s="71">
        <v>1</v>
      </c>
      <c r="AF47" s="71">
        <v>1</v>
      </c>
      <c r="AG47" s="71">
        <v>1</v>
      </c>
      <c r="AH47" s="71">
        <v>1</v>
      </c>
      <c r="AI47" s="71">
        <v>1</v>
      </c>
      <c r="AJ47" s="71">
        <v>1</v>
      </c>
      <c r="AK47" s="71">
        <v>1</v>
      </c>
      <c r="AL47" s="71">
        <v>1</v>
      </c>
      <c r="AM47" s="71">
        <v>1</v>
      </c>
      <c r="AN47" s="71">
        <v>1</v>
      </c>
      <c r="AO47" s="71">
        <v>1</v>
      </c>
      <c r="AP47" s="71">
        <v>1</v>
      </c>
      <c r="AQ47" s="71">
        <v>1</v>
      </c>
      <c r="AR47" s="71">
        <v>1</v>
      </c>
      <c r="AS47" s="71">
        <v>1</v>
      </c>
      <c r="AT47" s="71">
        <v>1</v>
      </c>
      <c r="AU47" s="71">
        <v>1</v>
      </c>
      <c r="AV47" s="71">
        <v>1</v>
      </c>
      <c r="AW47" s="71">
        <v>1</v>
      </c>
      <c r="AX47" s="71">
        <v>1</v>
      </c>
      <c r="AY47" s="71">
        <v>1</v>
      </c>
      <c r="AZ47" s="71">
        <v>1</v>
      </c>
      <c r="BA47" s="71">
        <v>1</v>
      </c>
      <c r="BB47" s="71">
        <v>1</v>
      </c>
      <c r="BC47" s="71">
        <v>1</v>
      </c>
      <c r="BD47" s="71">
        <v>1</v>
      </c>
      <c r="BE47" s="71">
        <v>1</v>
      </c>
      <c r="BF47" s="71">
        <v>1</v>
      </c>
      <c r="BG47" s="71">
        <v>1</v>
      </c>
      <c r="BH47" s="71">
        <v>1</v>
      </c>
      <c r="BI47" s="71">
        <v>1</v>
      </c>
      <c r="BJ47" s="71">
        <v>1</v>
      </c>
      <c r="BK47" s="71">
        <v>1</v>
      </c>
      <c r="BL47" s="71">
        <v>1</v>
      </c>
      <c r="BM47" s="71">
        <v>1</v>
      </c>
      <c r="BN47" s="71">
        <v>1</v>
      </c>
      <c r="BO47" s="71">
        <v>1</v>
      </c>
      <c r="BP47" s="71">
        <v>1</v>
      </c>
      <c r="BQ47" s="71">
        <v>1</v>
      </c>
      <c r="BR47" s="71">
        <v>1</v>
      </c>
      <c r="BS47" s="71">
        <v>1</v>
      </c>
      <c r="BT47" s="71">
        <v>1</v>
      </c>
      <c r="BU47" s="71">
        <v>1</v>
      </c>
      <c r="BV47" s="71">
        <v>1</v>
      </c>
      <c r="BW47" s="71">
        <v>1</v>
      </c>
      <c r="BX47" s="71">
        <v>1</v>
      </c>
      <c r="BY47" s="71">
        <v>1</v>
      </c>
      <c r="BZ47" s="71">
        <v>1</v>
      </c>
      <c r="CA47" s="71">
        <v>1</v>
      </c>
      <c r="CB47" s="71">
        <v>1</v>
      </c>
      <c r="CC47" s="71">
        <v>1</v>
      </c>
      <c r="CD47" s="71">
        <v>1</v>
      </c>
      <c r="CE47" s="71">
        <v>1</v>
      </c>
      <c r="CF47" s="71">
        <v>1</v>
      </c>
      <c r="CG47" s="71">
        <v>1</v>
      </c>
      <c r="CH47" s="71">
        <v>1</v>
      </c>
      <c r="CI47" s="71">
        <v>1</v>
      </c>
      <c r="CJ47" s="71">
        <v>1</v>
      </c>
      <c r="CK47" s="71">
        <v>1</v>
      </c>
      <c r="CL47" s="71">
        <v>1</v>
      </c>
      <c r="CM47" s="71">
        <v>1</v>
      </c>
      <c r="CN47" s="71">
        <v>1</v>
      </c>
      <c r="CO47" s="71">
        <v>1</v>
      </c>
      <c r="CP47" s="71">
        <v>1</v>
      </c>
    </row>
    <row r="48" spans="2:94" hidden="1" outlineLevel="1" collapsed="1" x14ac:dyDescent="0.4">
      <c r="B48" s="85"/>
      <c r="C48" s="86"/>
      <c r="D48" s="86" t="s">
        <v>92</v>
      </c>
      <c r="E48" s="86"/>
      <c r="F48" s="87">
        <f>EDTN[[#This Row],[Nuevos Pesos]]</f>
        <v>0.18279351044074912</v>
      </c>
      <c r="H48" s="87">
        <f>SUMPRODUCT(H49:H53,$F$49:$F$53)</f>
        <v>0</v>
      </c>
      <c r="I48" s="87">
        <f t="shared" ref="I48:AP48" si="136">SUMPRODUCT(I49:I53,$F$49:$F$53)</f>
        <v>3.4615384615384617E-2</v>
      </c>
      <c r="J48" s="87">
        <f t="shared" si="136"/>
        <v>6.9307692307692306E-2</v>
      </c>
      <c r="K48" s="87">
        <f t="shared" si="136"/>
        <v>0.11498901098901101</v>
      </c>
      <c r="L48" s="87">
        <f t="shared" si="136"/>
        <v>0.17983516483516485</v>
      </c>
      <c r="M48" s="87">
        <f t="shared" si="136"/>
        <v>0.24460439560439565</v>
      </c>
      <c r="N48" s="87">
        <f t="shared" si="136"/>
        <v>0.30937362637362636</v>
      </c>
      <c r="O48" s="87">
        <f t="shared" si="136"/>
        <v>0.37414285714285711</v>
      </c>
      <c r="P48" s="87">
        <f t="shared" si="136"/>
        <v>0.43891208791208791</v>
      </c>
      <c r="Q48" s="87">
        <f t="shared" si="136"/>
        <v>0.50368131868131871</v>
      </c>
      <c r="R48" s="87">
        <f t="shared" si="136"/>
        <v>0.56845054945054951</v>
      </c>
      <c r="S48" s="87">
        <f t="shared" si="136"/>
        <v>0.63321978021978009</v>
      </c>
      <c r="T48" s="87">
        <f t="shared" si="136"/>
        <v>0.69798901098901101</v>
      </c>
      <c r="U48" s="87">
        <f t="shared" si="136"/>
        <v>0.7627582417582417</v>
      </c>
      <c r="V48" s="87">
        <f t="shared" si="136"/>
        <v>0.82752747252747261</v>
      </c>
      <c r="W48" s="87">
        <f t="shared" si="136"/>
        <v>0.89121978021978032</v>
      </c>
      <c r="X48" s="87">
        <f t="shared" si="136"/>
        <v>0.92264835164835168</v>
      </c>
      <c r="Y48" s="87">
        <f t="shared" si="136"/>
        <v>0.94230769230769251</v>
      </c>
      <c r="Z48" s="87">
        <f t="shared" si="136"/>
        <v>0.96153846153846168</v>
      </c>
      <c r="AA48" s="87">
        <f t="shared" si="136"/>
        <v>0.98076923076923084</v>
      </c>
      <c r="AB48" s="87">
        <f t="shared" si="136"/>
        <v>1.0000000000000002</v>
      </c>
      <c r="AC48" s="87">
        <f t="shared" si="136"/>
        <v>1</v>
      </c>
      <c r="AD48" s="87">
        <f t="shared" si="136"/>
        <v>1</v>
      </c>
      <c r="AE48" s="87">
        <f t="shared" si="136"/>
        <v>1</v>
      </c>
      <c r="AF48" s="87">
        <f t="shared" si="136"/>
        <v>1</v>
      </c>
      <c r="AG48" s="87">
        <f t="shared" si="136"/>
        <v>1</v>
      </c>
      <c r="AH48" s="87">
        <f t="shared" si="136"/>
        <v>1</v>
      </c>
      <c r="AI48" s="87">
        <f t="shared" si="136"/>
        <v>1</v>
      </c>
      <c r="AJ48" s="87">
        <f t="shared" si="136"/>
        <v>1</v>
      </c>
      <c r="AK48" s="87">
        <f t="shared" si="136"/>
        <v>1</v>
      </c>
      <c r="AL48" s="87">
        <f t="shared" si="136"/>
        <v>1</v>
      </c>
      <c r="AM48" s="87">
        <f t="shared" si="136"/>
        <v>1</v>
      </c>
      <c r="AN48" s="87">
        <f t="shared" si="136"/>
        <v>1</v>
      </c>
      <c r="AO48" s="87">
        <f t="shared" si="136"/>
        <v>1</v>
      </c>
      <c r="AP48" s="87">
        <f t="shared" si="136"/>
        <v>1</v>
      </c>
      <c r="AQ48" s="87">
        <f t="shared" ref="AQ48:AR48" si="137">SUMPRODUCT(AQ49:AQ53,$F$49:$F$53)</f>
        <v>1</v>
      </c>
      <c r="AR48" s="87">
        <f t="shared" si="137"/>
        <v>1</v>
      </c>
      <c r="AS48" s="87">
        <f t="shared" ref="AS48" si="138">SUMPRODUCT(AS49:AS53,$F$49:$F$53)</f>
        <v>1</v>
      </c>
      <c r="AT48" s="87">
        <f t="shared" ref="AT48:BC48" si="139">SUMPRODUCT(AT49:AT53,$F$49:$F$53)</f>
        <v>1</v>
      </c>
      <c r="AU48" s="87">
        <f t="shared" si="139"/>
        <v>1</v>
      </c>
      <c r="AV48" s="87">
        <f t="shared" si="139"/>
        <v>1</v>
      </c>
      <c r="AW48" s="87">
        <f t="shared" si="139"/>
        <v>1</v>
      </c>
      <c r="AX48" s="87">
        <f t="shared" si="139"/>
        <v>1</v>
      </c>
      <c r="AY48" s="87">
        <f t="shared" si="139"/>
        <v>1</v>
      </c>
      <c r="AZ48" s="87">
        <f t="shared" si="139"/>
        <v>1</v>
      </c>
      <c r="BA48" s="87">
        <f t="shared" si="139"/>
        <v>1</v>
      </c>
      <c r="BB48" s="87">
        <f t="shared" si="139"/>
        <v>1</v>
      </c>
      <c r="BC48" s="87">
        <f t="shared" si="139"/>
        <v>1</v>
      </c>
      <c r="BD48" s="87">
        <f t="shared" ref="BD48:BE48" si="140">SUMPRODUCT(BD49:BD53,$F$49:$F$53)</f>
        <v>1</v>
      </c>
      <c r="BE48" s="87">
        <f t="shared" si="140"/>
        <v>1</v>
      </c>
      <c r="BF48" s="87">
        <f t="shared" ref="BF48:BG48" si="141">SUMPRODUCT(BF49:BF53,$F$49:$F$53)</f>
        <v>1</v>
      </c>
      <c r="BG48" s="87">
        <f t="shared" si="141"/>
        <v>1</v>
      </c>
      <c r="BH48" s="87">
        <f t="shared" ref="BH48:BI48" si="142">SUMPRODUCT(BH49:BH53,$F$49:$F$53)</f>
        <v>1</v>
      </c>
      <c r="BI48" s="87">
        <f t="shared" si="142"/>
        <v>1</v>
      </c>
      <c r="BJ48" s="87">
        <f t="shared" ref="BJ48:BK48" si="143">SUMPRODUCT(BJ49:BJ53,$F$49:$F$53)</f>
        <v>1</v>
      </c>
      <c r="BK48" s="87">
        <f t="shared" si="143"/>
        <v>1</v>
      </c>
      <c r="BL48" s="87">
        <f t="shared" ref="BL48:CP48" si="144">SUMPRODUCT(BL49:BL53,$F$49:$F$53)</f>
        <v>1</v>
      </c>
      <c r="BM48" s="87">
        <f t="shared" si="144"/>
        <v>1</v>
      </c>
      <c r="BN48" s="87">
        <f t="shared" si="144"/>
        <v>1</v>
      </c>
      <c r="BO48" s="87">
        <f t="shared" si="144"/>
        <v>1</v>
      </c>
      <c r="BP48" s="87">
        <f t="shared" si="144"/>
        <v>1</v>
      </c>
      <c r="BQ48" s="87">
        <f t="shared" si="144"/>
        <v>1</v>
      </c>
      <c r="BR48" s="87">
        <f t="shared" si="144"/>
        <v>1</v>
      </c>
      <c r="BS48" s="87">
        <f t="shared" si="144"/>
        <v>1</v>
      </c>
      <c r="BT48" s="87">
        <f t="shared" si="144"/>
        <v>1</v>
      </c>
      <c r="BU48" s="87">
        <f t="shared" si="144"/>
        <v>1</v>
      </c>
      <c r="BV48" s="87">
        <f t="shared" si="144"/>
        <v>1</v>
      </c>
      <c r="BW48" s="87">
        <f t="shared" si="144"/>
        <v>1</v>
      </c>
      <c r="BX48" s="87">
        <f t="shared" si="144"/>
        <v>1</v>
      </c>
      <c r="BY48" s="87">
        <f t="shared" si="144"/>
        <v>1</v>
      </c>
      <c r="BZ48" s="87">
        <f t="shared" si="144"/>
        <v>1</v>
      </c>
      <c r="CA48" s="87">
        <f t="shared" si="144"/>
        <v>1</v>
      </c>
      <c r="CB48" s="87">
        <f t="shared" si="144"/>
        <v>1</v>
      </c>
      <c r="CC48" s="87">
        <f t="shared" si="144"/>
        <v>1</v>
      </c>
      <c r="CD48" s="87">
        <f t="shared" si="144"/>
        <v>1</v>
      </c>
      <c r="CE48" s="87">
        <f t="shared" si="144"/>
        <v>1</v>
      </c>
      <c r="CF48" s="87">
        <f t="shared" si="144"/>
        <v>1</v>
      </c>
      <c r="CG48" s="87">
        <f t="shared" si="144"/>
        <v>1</v>
      </c>
      <c r="CH48" s="87">
        <f t="shared" si="144"/>
        <v>1</v>
      </c>
      <c r="CI48" s="87">
        <f t="shared" si="144"/>
        <v>1</v>
      </c>
      <c r="CJ48" s="87">
        <f t="shared" si="144"/>
        <v>1</v>
      </c>
      <c r="CK48" s="87">
        <f t="shared" si="144"/>
        <v>1</v>
      </c>
      <c r="CL48" s="87">
        <f t="shared" si="144"/>
        <v>1</v>
      </c>
      <c r="CM48" s="87">
        <f t="shared" si="144"/>
        <v>1</v>
      </c>
      <c r="CN48" s="87">
        <f t="shared" si="144"/>
        <v>1</v>
      </c>
      <c r="CO48" s="87">
        <f t="shared" si="144"/>
        <v>1</v>
      </c>
      <c r="CP48" s="87">
        <f t="shared" si="144"/>
        <v>1</v>
      </c>
    </row>
    <row r="49" spans="2:94" hidden="1" outlineLevel="2" x14ac:dyDescent="0.4">
      <c r="B49" s="69"/>
      <c r="C49" s="70"/>
      <c r="D49" s="70"/>
      <c r="E49" s="70" t="s">
        <v>93</v>
      </c>
      <c r="F49" s="71">
        <f>EDTN[[#This Row],[Nuevos Pesos]]</f>
        <v>0.23076923076923078</v>
      </c>
      <c r="H49" s="71">
        <v>0</v>
      </c>
      <c r="I49" s="71">
        <v>0</v>
      </c>
      <c r="J49" s="71">
        <v>0</v>
      </c>
      <c r="K49" s="71">
        <v>0</v>
      </c>
      <c r="L49" s="71">
        <v>8.3333333333333343E-2</v>
      </c>
      <c r="M49" s="71">
        <f>+PlanBase39[[#This Row],[02/06/25]]+8.3%</f>
        <v>0.16633333333333333</v>
      </c>
      <c r="N49" s="71">
        <f>+PlanBase39[[#This Row],[09/06/25]]+8.3%</f>
        <v>0.24933333333333335</v>
      </c>
      <c r="O49" s="71">
        <f>+PlanBase39[[#This Row],[16/06/25]]+8.3%</f>
        <v>0.33233333333333337</v>
      </c>
      <c r="P49" s="71">
        <f>+PlanBase39[[#This Row],[23/06/25]]+8.3%</f>
        <v>0.41533333333333339</v>
      </c>
      <c r="Q49" s="71">
        <f>+PlanBase39[[#This Row],[30/06/25]]+8.3%</f>
        <v>0.49833333333333341</v>
      </c>
      <c r="R49" s="71">
        <f>+PlanBase39[[#This Row],[07/07/25]]+8.3%</f>
        <v>0.58133333333333337</v>
      </c>
      <c r="S49" s="71">
        <f>+PlanBase39[[#This Row],[14/07/25]]+8.3%</f>
        <v>0.66433333333333333</v>
      </c>
      <c r="T49" s="71">
        <f>+PlanBase39[[#This Row],[21/07/25]]+8.3%</f>
        <v>0.74733333333333329</v>
      </c>
      <c r="U49" s="71">
        <f>+PlanBase39[[#This Row],[28/07/25]]+8.3%</f>
        <v>0.83033333333333326</v>
      </c>
      <c r="V49" s="71">
        <f>+PlanBase39[[#This Row],[04/08/25]]+8.3%</f>
        <v>0.91333333333333322</v>
      </c>
      <c r="W49" s="71">
        <f>+PlanBase39[[#This Row],[11/08/25]]+8.3%</f>
        <v>0.99633333333333318</v>
      </c>
      <c r="X49" s="71">
        <v>1</v>
      </c>
      <c r="Y49" s="71">
        <v>1</v>
      </c>
      <c r="Z49" s="71">
        <v>1</v>
      </c>
      <c r="AA49" s="71">
        <v>1</v>
      </c>
      <c r="AB49" s="71">
        <v>1</v>
      </c>
      <c r="AC49" s="71">
        <v>1</v>
      </c>
      <c r="AD49" s="71">
        <v>1</v>
      </c>
      <c r="AE49" s="71">
        <v>1</v>
      </c>
      <c r="AF49" s="71">
        <v>1</v>
      </c>
      <c r="AG49" s="71">
        <v>1</v>
      </c>
      <c r="AH49" s="71">
        <v>1</v>
      </c>
      <c r="AI49" s="71">
        <v>1</v>
      </c>
      <c r="AJ49" s="71">
        <v>1</v>
      </c>
      <c r="AK49" s="71">
        <v>1</v>
      </c>
      <c r="AL49" s="71">
        <v>1</v>
      </c>
      <c r="AM49" s="71">
        <v>1</v>
      </c>
      <c r="AN49" s="71">
        <v>1</v>
      </c>
      <c r="AO49" s="71">
        <v>1</v>
      </c>
      <c r="AP49" s="71">
        <v>1</v>
      </c>
      <c r="AQ49" s="71">
        <v>1</v>
      </c>
      <c r="AR49" s="71">
        <v>1</v>
      </c>
      <c r="AS49" s="71">
        <v>1</v>
      </c>
      <c r="AT49" s="71">
        <v>1</v>
      </c>
      <c r="AU49" s="71">
        <v>1</v>
      </c>
      <c r="AV49" s="71">
        <v>1</v>
      </c>
      <c r="AW49" s="71">
        <v>1</v>
      </c>
      <c r="AX49" s="71">
        <v>1</v>
      </c>
      <c r="AY49" s="71">
        <v>1</v>
      </c>
      <c r="AZ49" s="71">
        <v>1</v>
      </c>
      <c r="BA49" s="71">
        <v>1</v>
      </c>
      <c r="BB49" s="71">
        <v>1</v>
      </c>
      <c r="BC49" s="71">
        <v>1</v>
      </c>
      <c r="BD49" s="71">
        <v>1</v>
      </c>
      <c r="BE49" s="71">
        <v>1</v>
      </c>
      <c r="BF49" s="71">
        <v>1</v>
      </c>
      <c r="BG49" s="71">
        <v>1</v>
      </c>
      <c r="BH49" s="71">
        <v>1</v>
      </c>
      <c r="BI49" s="71">
        <v>1</v>
      </c>
      <c r="BJ49" s="71">
        <v>1</v>
      </c>
      <c r="BK49" s="71">
        <v>1</v>
      </c>
      <c r="BL49" s="71">
        <v>1</v>
      </c>
      <c r="BM49" s="71">
        <v>1</v>
      </c>
      <c r="BN49" s="71">
        <v>1</v>
      </c>
      <c r="BO49" s="71">
        <v>1</v>
      </c>
      <c r="BP49" s="71">
        <v>1</v>
      </c>
      <c r="BQ49" s="71">
        <v>1</v>
      </c>
      <c r="BR49" s="71">
        <v>1</v>
      </c>
      <c r="BS49" s="71">
        <v>1</v>
      </c>
      <c r="BT49" s="71">
        <v>1</v>
      </c>
      <c r="BU49" s="71">
        <v>1</v>
      </c>
      <c r="BV49" s="71">
        <v>1</v>
      </c>
      <c r="BW49" s="71">
        <v>1</v>
      </c>
      <c r="BX49" s="71">
        <v>1</v>
      </c>
      <c r="BY49" s="71">
        <v>1</v>
      </c>
      <c r="BZ49" s="71">
        <v>1</v>
      </c>
      <c r="CA49" s="71">
        <v>1</v>
      </c>
      <c r="CB49" s="71">
        <v>1</v>
      </c>
      <c r="CC49" s="71">
        <v>1</v>
      </c>
      <c r="CD49" s="71">
        <v>1</v>
      </c>
      <c r="CE49" s="71">
        <v>1</v>
      </c>
      <c r="CF49" s="71">
        <v>1</v>
      </c>
      <c r="CG49" s="71">
        <v>1</v>
      </c>
      <c r="CH49" s="71">
        <v>1</v>
      </c>
      <c r="CI49" s="71">
        <v>1</v>
      </c>
      <c r="CJ49" s="71">
        <v>1</v>
      </c>
      <c r="CK49" s="71">
        <v>1</v>
      </c>
      <c r="CL49" s="71">
        <v>1</v>
      </c>
      <c r="CM49" s="71">
        <v>1</v>
      </c>
      <c r="CN49" s="71">
        <v>1</v>
      </c>
      <c r="CO49" s="71">
        <v>1</v>
      </c>
      <c r="CP49" s="71">
        <v>1</v>
      </c>
    </row>
    <row r="50" spans="2:94" hidden="1" outlineLevel="2" x14ac:dyDescent="0.4">
      <c r="B50" s="69"/>
      <c r="C50" s="70"/>
      <c r="D50" s="70"/>
      <c r="E50" s="70" t="s">
        <v>96</v>
      </c>
      <c r="F50" s="71">
        <f>EDTN[[#This Row],[Nuevos Pesos]]</f>
        <v>0.38461538461538464</v>
      </c>
      <c r="H50" s="71">
        <v>0</v>
      </c>
      <c r="I50" s="71">
        <v>0.05</v>
      </c>
      <c r="J50" s="71">
        <f>+PlanBase39[[#This Row],[12/05/25]]+5%</f>
        <v>0.1</v>
      </c>
      <c r="K50" s="71">
        <f>+PlanBase39[[#This Row],[19/05/25]]+5%</f>
        <v>0.15000000000000002</v>
      </c>
      <c r="L50" s="71">
        <f>+PlanBase39[[#This Row],[26/05/25]]+5%</f>
        <v>0.2</v>
      </c>
      <c r="M50" s="71">
        <f>+PlanBase39[[#This Row],[02/06/25]]+5%</f>
        <v>0.25</v>
      </c>
      <c r="N50" s="71">
        <f>+PlanBase39[[#This Row],[09/06/25]]+5%</f>
        <v>0.3</v>
      </c>
      <c r="O50" s="71">
        <f>+PlanBase39[[#This Row],[16/06/25]]+5%</f>
        <v>0.35</v>
      </c>
      <c r="P50" s="71">
        <f>+PlanBase39[[#This Row],[23/06/25]]+5%</f>
        <v>0.39999999999999997</v>
      </c>
      <c r="Q50" s="71">
        <f>+PlanBase39[[#This Row],[30/06/25]]+5%</f>
        <v>0.44999999999999996</v>
      </c>
      <c r="R50" s="71">
        <f>+PlanBase39[[#This Row],[07/07/25]]+5%</f>
        <v>0.49999999999999994</v>
      </c>
      <c r="S50" s="71">
        <f>+PlanBase39[[#This Row],[14/07/25]]+5%</f>
        <v>0.54999999999999993</v>
      </c>
      <c r="T50" s="71">
        <f>+PlanBase39[[#This Row],[21/07/25]]+5%</f>
        <v>0.6</v>
      </c>
      <c r="U50" s="71">
        <f>+PlanBase39[[#This Row],[28/07/25]]+5%</f>
        <v>0.65</v>
      </c>
      <c r="V50" s="71">
        <f>+PlanBase39[[#This Row],[04/08/25]]+5%</f>
        <v>0.70000000000000007</v>
      </c>
      <c r="W50" s="71">
        <f>+PlanBase39[[#This Row],[11/08/25]]+5%</f>
        <v>0.75000000000000011</v>
      </c>
      <c r="X50" s="71">
        <f>+PlanBase39[[#This Row],[18/08/25]]+5%</f>
        <v>0.80000000000000016</v>
      </c>
      <c r="Y50" s="71">
        <f>+PlanBase39[[#This Row],[25/08/25]]+5%</f>
        <v>0.8500000000000002</v>
      </c>
      <c r="Z50" s="71">
        <f>+PlanBase39[[#This Row],[01/09/25]]+5%</f>
        <v>0.90000000000000024</v>
      </c>
      <c r="AA50" s="71">
        <f>+PlanBase39[[#This Row],[08/09/25]]+5%</f>
        <v>0.95000000000000029</v>
      </c>
      <c r="AB50" s="71">
        <f>+PlanBase39[[#This Row],[15/09/25]]+5%</f>
        <v>1.0000000000000002</v>
      </c>
      <c r="AC50" s="71">
        <v>1</v>
      </c>
      <c r="AD50" s="71">
        <v>1</v>
      </c>
      <c r="AE50" s="71">
        <v>1</v>
      </c>
      <c r="AF50" s="71">
        <v>1</v>
      </c>
      <c r="AG50" s="71">
        <v>1</v>
      </c>
      <c r="AH50" s="71">
        <v>1</v>
      </c>
      <c r="AI50" s="71">
        <v>1</v>
      </c>
      <c r="AJ50" s="71">
        <v>1</v>
      </c>
      <c r="AK50" s="71">
        <v>1</v>
      </c>
      <c r="AL50" s="71">
        <v>1</v>
      </c>
      <c r="AM50" s="71">
        <v>1</v>
      </c>
      <c r="AN50" s="71">
        <v>1</v>
      </c>
      <c r="AO50" s="71">
        <v>1</v>
      </c>
      <c r="AP50" s="71">
        <v>1</v>
      </c>
      <c r="AQ50" s="71">
        <v>1</v>
      </c>
      <c r="AR50" s="71">
        <v>1</v>
      </c>
      <c r="AS50" s="71">
        <v>1</v>
      </c>
      <c r="AT50" s="71">
        <v>1</v>
      </c>
      <c r="AU50" s="71">
        <v>1</v>
      </c>
      <c r="AV50" s="71">
        <v>1</v>
      </c>
      <c r="AW50" s="71">
        <v>1</v>
      </c>
      <c r="AX50" s="71">
        <v>1</v>
      </c>
      <c r="AY50" s="71">
        <v>1</v>
      </c>
      <c r="AZ50" s="71">
        <v>1</v>
      </c>
      <c r="BA50" s="71">
        <v>1</v>
      </c>
      <c r="BB50" s="71">
        <v>1</v>
      </c>
      <c r="BC50" s="71">
        <v>1</v>
      </c>
      <c r="BD50" s="71">
        <v>1</v>
      </c>
      <c r="BE50" s="71">
        <v>1</v>
      </c>
      <c r="BF50" s="71">
        <v>1</v>
      </c>
      <c r="BG50" s="71">
        <v>1</v>
      </c>
      <c r="BH50" s="71">
        <v>1</v>
      </c>
      <c r="BI50" s="71">
        <v>1</v>
      </c>
      <c r="BJ50" s="71">
        <v>1</v>
      </c>
      <c r="BK50" s="71">
        <v>1</v>
      </c>
      <c r="BL50" s="71">
        <v>1</v>
      </c>
      <c r="BM50" s="71">
        <v>1</v>
      </c>
      <c r="BN50" s="71">
        <v>1</v>
      </c>
      <c r="BO50" s="71">
        <v>1</v>
      </c>
      <c r="BP50" s="71">
        <v>1</v>
      </c>
      <c r="BQ50" s="71">
        <v>1</v>
      </c>
      <c r="BR50" s="71">
        <v>1</v>
      </c>
      <c r="BS50" s="71">
        <v>1</v>
      </c>
      <c r="BT50" s="71">
        <v>1</v>
      </c>
      <c r="BU50" s="71">
        <v>1</v>
      </c>
      <c r="BV50" s="71">
        <v>1</v>
      </c>
      <c r="BW50" s="71">
        <v>1</v>
      </c>
      <c r="BX50" s="71">
        <v>1</v>
      </c>
      <c r="BY50" s="71">
        <v>1</v>
      </c>
      <c r="BZ50" s="71">
        <v>1</v>
      </c>
      <c r="CA50" s="71">
        <v>1</v>
      </c>
      <c r="CB50" s="71">
        <v>1</v>
      </c>
      <c r="CC50" s="71">
        <v>1</v>
      </c>
      <c r="CD50" s="71">
        <v>1</v>
      </c>
      <c r="CE50" s="71">
        <v>1</v>
      </c>
      <c r="CF50" s="71">
        <v>1</v>
      </c>
      <c r="CG50" s="71">
        <v>1</v>
      </c>
      <c r="CH50" s="71">
        <v>1</v>
      </c>
      <c r="CI50" s="71">
        <v>1</v>
      </c>
      <c r="CJ50" s="71">
        <v>1</v>
      </c>
      <c r="CK50" s="71">
        <v>1</v>
      </c>
      <c r="CL50" s="71">
        <v>1</v>
      </c>
      <c r="CM50" s="71">
        <v>1</v>
      </c>
      <c r="CN50" s="71">
        <v>1</v>
      </c>
      <c r="CO50" s="71">
        <v>1</v>
      </c>
      <c r="CP50" s="71">
        <v>1</v>
      </c>
    </row>
    <row r="51" spans="2:94" hidden="1" outlineLevel="2" x14ac:dyDescent="0.4">
      <c r="B51" s="69"/>
      <c r="C51" s="70"/>
      <c r="D51" s="70"/>
      <c r="E51" s="70" t="s">
        <v>97</v>
      </c>
      <c r="F51" s="71">
        <f>EDTN[[#This Row],[Nuevos Pesos]]</f>
        <v>7.6923076923076927E-2</v>
      </c>
      <c r="H51" s="71">
        <v>0</v>
      </c>
      <c r="I51" s="71">
        <v>0</v>
      </c>
      <c r="J51" s="71">
        <v>0</v>
      </c>
      <c r="K51" s="71">
        <v>7.1428571428571438E-2</v>
      </c>
      <c r="L51" s="71">
        <f>+PlanBase39[[#This Row],[26/05/25]]+7.1%</f>
        <v>0.14242857142857143</v>
      </c>
      <c r="M51" s="71">
        <f>+PlanBase39[[#This Row],[02/06/25]]+7.1%</f>
        <v>0.21342857142857141</v>
      </c>
      <c r="N51" s="71">
        <f>+PlanBase39[[#This Row],[09/06/25]]+7.1%</f>
        <v>0.28442857142857142</v>
      </c>
      <c r="O51" s="71">
        <f>+PlanBase39[[#This Row],[16/06/25]]+7.1%</f>
        <v>0.35542857142857143</v>
      </c>
      <c r="P51" s="71">
        <f>+PlanBase39[[#This Row],[23/06/25]]+7.1%</f>
        <v>0.42642857142857143</v>
      </c>
      <c r="Q51" s="71">
        <f>+PlanBase39[[#This Row],[30/06/25]]+7.1%</f>
        <v>0.49742857142857144</v>
      </c>
      <c r="R51" s="71">
        <f>+PlanBase39[[#This Row],[07/07/25]]+7.1%</f>
        <v>0.56842857142857139</v>
      </c>
      <c r="S51" s="71">
        <f>+PlanBase39[[#This Row],[14/07/25]]+7.1%</f>
        <v>0.63942857142857135</v>
      </c>
      <c r="T51" s="71">
        <f>+PlanBase39[[#This Row],[21/07/25]]+7.1%</f>
        <v>0.7104285714285713</v>
      </c>
      <c r="U51" s="71">
        <f>+PlanBase39[[#This Row],[28/07/25]]+7.1%</f>
        <v>0.78142857142857125</v>
      </c>
      <c r="V51" s="71">
        <f>+PlanBase39[[#This Row],[04/08/25]]+7.1%</f>
        <v>0.8524285714285712</v>
      </c>
      <c r="W51" s="71">
        <f>+PlanBase39[[#This Row],[11/08/25]]+7.1%</f>
        <v>0.92342857142857115</v>
      </c>
      <c r="X51" s="71">
        <f>+PlanBase39[[#This Row],[18/08/25]]+7.1%</f>
        <v>0.99442857142857111</v>
      </c>
      <c r="Y51" s="71">
        <v>1</v>
      </c>
      <c r="Z51" s="71">
        <v>1</v>
      </c>
      <c r="AA51" s="71">
        <v>1</v>
      </c>
      <c r="AB51" s="71">
        <v>1</v>
      </c>
      <c r="AC51" s="71">
        <v>1</v>
      </c>
      <c r="AD51" s="71">
        <v>1</v>
      </c>
      <c r="AE51" s="71">
        <v>1</v>
      </c>
      <c r="AF51" s="71">
        <v>1</v>
      </c>
      <c r="AG51" s="71">
        <v>1</v>
      </c>
      <c r="AH51" s="71">
        <v>1</v>
      </c>
      <c r="AI51" s="71">
        <v>1</v>
      </c>
      <c r="AJ51" s="71">
        <v>1</v>
      </c>
      <c r="AK51" s="71">
        <v>1</v>
      </c>
      <c r="AL51" s="71">
        <v>1</v>
      </c>
      <c r="AM51" s="71">
        <v>1</v>
      </c>
      <c r="AN51" s="71">
        <v>1</v>
      </c>
      <c r="AO51" s="71">
        <v>1</v>
      </c>
      <c r="AP51" s="71">
        <v>1</v>
      </c>
      <c r="AQ51" s="71">
        <v>1</v>
      </c>
      <c r="AR51" s="71">
        <v>1</v>
      </c>
      <c r="AS51" s="71">
        <v>1</v>
      </c>
      <c r="AT51" s="71">
        <v>1</v>
      </c>
      <c r="AU51" s="71">
        <v>1</v>
      </c>
      <c r="AV51" s="71">
        <v>1</v>
      </c>
      <c r="AW51" s="71">
        <v>1</v>
      </c>
      <c r="AX51" s="71">
        <v>1</v>
      </c>
      <c r="AY51" s="71">
        <v>1</v>
      </c>
      <c r="AZ51" s="71">
        <v>1</v>
      </c>
      <c r="BA51" s="71">
        <v>1</v>
      </c>
      <c r="BB51" s="71">
        <v>1</v>
      </c>
      <c r="BC51" s="71">
        <v>1</v>
      </c>
      <c r="BD51" s="71">
        <v>1</v>
      </c>
      <c r="BE51" s="71">
        <v>1</v>
      </c>
      <c r="BF51" s="71">
        <v>1</v>
      </c>
      <c r="BG51" s="71">
        <v>1</v>
      </c>
      <c r="BH51" s="71">
        <v>1</v>
      </c>
      <c r="BI51" s="71">
        <v>1</v>
      </c>
      <c r="BJ51" s="71">
        <v>1</v>
      </c>
      <c r="BK51" s="71">
        <v>1</v>
      </c>
      <c r="BL51" s="71">
        <v>1</v>
      </c>
      <c r="BM51" s="71">
        <v>1</v>
      </c>
      <c r="BN51" s="71">
        <v>1</v>
      </c>
      <c r="BO51" s="71">
        <v>1</v>
      </c>
      <c r="BP51" s="71">
        <v>1</v>
      </c>
      <c r="BQ51" s="71">
        <v>1</v>
      </c>
      <c r="BR51" s="71">
        <v>1</v>
      </c>
      <c r="BS51" s="71">
        <v>1</v>
      </c>
      <c r="BT51" s="71">
        <v>1</v>
      </c>
      <c r="BU51" s="71">
        <v>1</v>
      </c>
      <c r="BV51" s="71">
        <v>1</v>
      </c>
      <c r="BW51" s="71">
        <v>1</v>
      </c>
      <c r="BX51" s="71">
        <v>1</v>
      </c>
      <c r="BY51" s="71">
        <v>1</v>
      </c>
      <c r="BZ51" s="71">
        <v>1</v>
      </c>
      <c r="CA51" s="71">
        <v>1</v>
      </c>
      <c r="CB51" s="71">
        <v>1</v>
      </c>
      <c r="CC51" s="71">
        <v>1</v>
      </c>
      <c r="CD51" s="71">
        <v>1</v>
      </c>
      <c r="CE51" s="71">
        <v>1</v>
      </c>
      <c r="CF51" s="71">
        <v>1</v>
      </c>
      <c r="CG51" s="71">
        <v>1</v>
      </c>
      <c r="CH51" s="71">
        <v>1</v>
      </c>
      <c r="CI51" s="71">
        <v>1</v>
      </c>
      <c r="CJ51" s="71">
        <v>1</v>
      </c>
      <c r="CK51" s="71">
        <v>1</v>
      </c>
      <c r="CL51" s="71">
        <v>1</v>
      </c>
      <c r="CM51" s="71">
        <v>1</v>
      </c>
      <c r="CN51" s="71">
        <v>1</v>
      </c>
      <c r="CO51" s="71">
        <v>1</v>
      </c>
      <c r="CP51" s="71">
        <v>1</v>
      </c>
    </row>
    <row r="52" spans="2:94" hidden="1" outlineLevel="2" x14ac:dyDescent="0.4">
      <c r="B52" s="69"/>
      <c r="C52" s="70"/>
      <c r="D52" s="70"/>
      <c r="E52" s="70" t="s">
        <v>99</v>
      </c>
      <c r="F52" s="71">
        <f>EDTN[[#This Row],[Nuevos Pesos]]</f>
        <v>0.23076923076923078</v>
      </c>
      <c r="H52" s="71">
        <v>0</v>
      </c>
      <c r="I52" s="71">
        <v>6.6666666666666666E-2</v>
      </c>
      <c r="J52" s="71">
        <f>+PlanBase39[[#This Row],[12/05/25]]+6.7%</f>
        <v>0.13366666666666666</v>
      </c>
      <c r="K52" s="71">
        <f>+PlanBase39[[#This Row],[19/05/25]]+6.7%</f>
        <v>0.20066666666666666</v>
      </c>
      <c r="L52" s="71">
        <f>+PlanBase39[[#This Row],[26/05/25]]+6.7%</f>
        <v>0.26766666666666666</v>
      </c>
      <c r="M52" s="71">
        <f>+PlanBase39[[#This Row],[02/06/25]]+6.7%</f>
        <v>0.33466666666666667</v>
      </c>
      <c r="N52" s="71">
        <f>+PlanBase39[[#This Row],[09/06/25]]+6.7%</f>
        <v>0.40166666666666667</v>
      </c>
      <c r="O52" s="71">
        <f>+PlanBase39[[#This Row],[16/06/25]]+6.7%</f>
        <v>0.46866666666666668</v>
      </c>
      <c r="P52" s="71">
        <f>+PlanBase39[[#This Row],[23/06/25]]+6.7%</f>
        <v>0.53566666666666674</v>
      </c>
      <c r="Q52" s="71">
        <f>+PlanBase39[[#This Row],[30/06/25]]+6.7%</f>
        <v>0.60266666666666668</v>
      </c>
      <c r="R52" s="71">
        <f>+PlanBase39[[#This Row],[07/07/25]]+6.7%</f>
        <v>0.66966666666666663</v>
      </c>
      <c r="S52" s="71">
        <f>+PlanBase39[[#This Row],[14/07/25]]+6.7%</f>
        <v>0.73666666666666658</v>
      </c>
      <c r="T52" s="71">
        <f>+PlanBase39[[#This Row],[21/07/25]]+6.7%</f>
        <v>0.80366666666666653</v>
      </c>
      <c r="U52" s="71">
        <f>+PlanBase39[[#This Row],[28/07/25]]+6.7%</f>
        <v>0.87066666666666648</v>
      </c>
      <c r="V52" s="71">
        <f>+PlanBase39[[#This Row],[04/08/25]]+6.7%</f>
        <v>0.93766666666666643</v>
      </c>
      <c r="W52" s="71">
        <v>1</v>
      </c>
      <c r="X52" s="71">
        <v>1</v>
      </c>
      <c r="Y52" s="71">
        <v>1</v>
      </c>
      <c r="Z52" s="71">
        <v>1</v>
      </c>
      <c r="AA52" s="71">
        <v>1</v>
      </c>
      <c r="AB52" s="71">
        <v>1</v>
      </c>
      <c r="AC52" s="71">
        <v>1</v>
      </c>
      <c r="AD52" s="71">
        <v>1</v>
      </c>
      <c r="AE52" s="71">
        <v>1</v>
      </c>
      <c r="AF52" s="71">
        <v>1</v>
      </c>
      <c r="AG52" s="71">
        <v>1</v>
      </c>
      <c r="AH52" s="71">
        <v>1</v>
      </c>
      <c r="AI52" s="71">
        <v>1</v>
      </c>
      <c r="AJ52" s="71">
        <v>1</v>
      </c>
      <c r="AK52" s="71">
        <v>1</v>
      </c>
      <c r="AL52" s="71">
        <v>1</v>
      </c>
      <c r="AM52" s="71">
        <v>1</v>
      </c>
      <c r="AN52" s="71">
        <v>1</v>
      </c>
      <c r="AO52" s="71">
        <v>1</v>
      </c>
      <c r="AP52" s="71">
        <v>1</v>
      </c>
      <c r="AQ52" s="71">
        <v>1</v>
      </c>
      <c r="AR52" s="71">
        <v>1</v>
      </c>
      <c r="AS52" s="71">
        <v>1</v>
      </c>
      <c r="AT52" s="71">
        <v>1</v>
      </c>
      <c r="AU52" s="71">
        <v>1</v>
      </c>
      <c r="AV52" s="71">
        <v>1</v>
      </c>
      <c r="AW52" s="71">
        <v>1</v>
      </c>
      <c r="AX52" s="71">
        <v>1</v>
      </c>
      <c r="AY52" s="71">
        <v>1</v>
      </c>
      <c r="AZ52" s="71">
        <v>1</v>
      </c>
      <c r="BA52" s="71">
        <v>1</v>
      </c>
      <c r="BB52" s="71">
        <v>1</v>
      </c>
      <c r="BC52" s="71">
        <v>1</v>
      </c>
      <c r="BD52" s="71">
        <v>1</v>
      </c>
      <c r="BE52" s="71">
        <v>1</v>
      </c>
      <c r="BF52" s="71">
        <v>1</v>
      </c>
      <c r="BG52" s="71">
        <v>1</v>
      </c>
      <c r="BH52" s="71">
        <v>1</v>
      </c>
      <c r="BI52" s="71">
        <v>1</v>
      </c>
      <c r="BJ52" s="71">
        <v>1</v>
      </c>
      <c r="BK52" s="71">
        <v>1</v>
      </c>
      <c r="BL52" s="71">
        <v>1</v>
      </c>
      <c r="BM52" s="71">
        <v>1</v>
      </c>
      <c r="BN52" s="71">
        <v>1</v>
      </c>
      <c r="BO52" s="71">
        <v>1</v>
      </c>
      <c r="BP52" s="71">
        <v>1</v>
      </c>
      <c r="BQ52" s="71">
        <v>1</v>
      </c>
      <c r="BR52" s="71">
        <v>1</v>
      </c>
      <c r="BS52" s="71">
        <v>1</v>
      </c>
      <c r="BT52" s="71">
        <v>1</v>
      </c>
      <c r="BU52" s="71">
        <v>1</v>
      </c>
      <c r="BV52" s="71">
        <v>1</v>
      </c>
      <c r="BW52" s="71">
        <v>1</v>
      </c>
      <c r="BX52" s="71">
        <v>1</v>
      </c>
      <c r="BY52" s="71">
        <v>1</v>
      </c>
      <c r="BZ52" s="71">
        <v>1</v>
      </c>
      <c r="CA52" s="71">
        <v>1</v>
      </c>
      <c r="CB52" s="71">
        <v>1</v>
      </c>
      <c r="CC52" s="71">
        <v>1</v>
      </c>
      <c r="CD52" s="71">
        <v>1</v>
      </c>
      <c r="CE52" s="71">
        <v>1</v>
      </c>
      <c r="CF52" s="71">
        <v>1</v>
      </c>
      <c r="CG52" s="71">
        <v>1</v>
      </c>
      <c r="CH52" s="71">
        <v>1</v>
      </c>
      <c r="CI52" s="71">
        <v>1</v>
      </c>
      <c r="CJ52" s="71">
        <v>1</v>
      </c>
      <c r="CK52" s="71">
        <v>1</v>
      </c>
      <c r="CL52" s="71">
        <v>1</v>
      </c>
      <c r="CM52" s="71">
        <v>1</v>
      </c>
      <c r="CN52" s="71">
        <v>1</v>
      </c>
      <c r="CO52" s="71">
        <v>1</v>
      </c>
      <c r="CP52" s="71">
        <v>1</v>
      </c>
    </row>
    <row r="53" spans="2:94" hidden="1" outlineLevel="2" x14ac:dyDescent="0.4">
      <c r="B53" s="69"/>
      <c r="C53" s="70"/>
      <c r="D53" s="70"/>
      <c r="E53" s="70" t="s">
        <v>100</v>
      </c>
      <c r="F53" s="71">
        <f>EDTN[[#This Row],[Nuevos Pesos]]</f>
        <v>7.6923076923076927E-2</v>
      </c>
      <c r="H53" s="71">
        <v>0</v>
      </c>
      <c r="I53" s="71">
        <v>0</v>
      </c>
      <c r="J53" s="71">
        <v>0</v>
      </c>
      <c r="K53" s="71">
        <v>7.1428571428571438E-2</v>
      </c>
      <c r="L53" s="71">
        <f>+PlanBase39[[#This Row],[26/05/25]]+7.1%</f>
        <v>0.14242857142857143</v>
      </c>
      <c r="M53" s="71">
        <f>+PlanBase39[[#This Row],[02/06/25]]+7.1%</f>
        <v>0.21342857142857141</v>
      </c>
      <c r="N53" s="71">
        <f>+PlanBase39[[#This Row],[09/06/25]]+7.1%</f>
        <v>0.28442857142857142</v>
      </c>
      <c r="O53" s="71">
        <f>+PlanBase39[[#This Row],[16/06/25]]+7.1%</f>
        <v>0.35542857142857143</v>
      </c>
      <c r="P53" s="71">
        <f>+PlanBase39[[#This Row],[23/06/25]]+7.1%</f>
        <v>0.42642857142857143</v>
      </c>
      <c r="Q53" s="71">
        <f>+PlanBase39[[#This Row],[30/06/25]]+7.1%</f>
        <v>0.49742857142857144</v>
      </c>
      <c r="R53" s="71">
        <f>+PlanBase39[[#This Row],[07/07/25]]+7.1%</f>
        <v>0.56842857142857139</v>
      </c>
      <c r="S53" s="71">
        <f>+PlanBase39[[#This Row],[14/07/25]]+7.1%</f>
        <v>0.63942857142857135</v>
      </c>
      <c r="T53" s="71">
        <f>+PlanBase39[[#This Row],[21/07/25]]+7.1%</f>
        <v>0.7104285714285713</v>
      </c>
      <c r="U53" s="71">
        <f>+PlanBase39[[#This Row],[28/07/25]]+7.1%</f>
        <v>0.78142857142857125</v>
      </c>
      <c r="V53" s="71">
        <f>+PlanBase39[[#This Row],[04/08/25]]+7.1%</f>
        <v>0.8524285714285712</v>
      </c>
      <c r="W53" s="71">
        <f>+PlanBase39[[#This Row],[11/08/25]]+7.1%</f>
        <v>0.92342857142857115</v>
      </c>
      <c r="X53" s="71">
        <v>1</v>
      </c>
      <c r="Y53" s="71">
        <v>1</v>
      </c>
      <c r="Z53" s="71">
        <v>1</v>
      </c>
      <c r="AA53" s="71">
        <v>1</v>
      </c>
      <c r="AB53" s="71">
        <v>1</v>
      </c>
      <c r="AC53" s="71">
        <v>1</v>
      </c>
      <c r="AD53" s="71">
        <v>1</v>
      </c>
      <c r="AE53" s="71">
        <v>1</v>
      </c>
      <c r="AF53" s="71">
        <v>1</v>
      </c>
      <c r="AG53" s="71">
        <v>1</v>
      </c>
      <c r="AH53" s="71">
        <v>1</v>
      </c>
      <c r="AI53" s="71">
        <v>1</v>
      </c>
      <c r="AJ53" s="71">
        <v>1</v>
      </c>
      <c r="AK53" s="71">
        <v>1</v>
      </c>
      <c r="AL53" s="71">
        <v>1</v>
      </c>
      <c r="AM53" s="71">
        <v>1</v>
      </c>
      <c r="AN53" s="71">
        <v>1</v>
      </c>
      <c r="AO53" s="71">
        <v>1</v>
      </c>
      <c r="AP53" s="71">
        <v>1</v>
      </c>
      <c r="AQ53" s="71">
        <v>1</v>
      </c>
      <c r="AR53" s="71">
        <v>1</v>
      </c>
      <c r="AS53" s="71">
        <v>1</v>
      </c>
      <c r="AT53" s="71">
        <v>1</v>
      </c>
      <c r="AU53" s="71">
        <v>1</v>
      </c>
      <c r="AV53" s="71">
        <v>1</v>
      </c>
      <c r="AW53" s="71">
        <v>1</v>
      </c>
      <c r="AX53" s="71">
        <v>1</v>
      </c>
      <c r="AY53" s="71">
        <v>1</v>
      </c>
      <c r="AZ53" s="71">
        <v>1</v>
      </c>
      <c r="BA53" s="71">
        <v>1</v>
      </c>
      <c r="BB53" s="71">
        <v>1</v>
      </c>
      <c r="BC53" s="71">
        <v>1</v>
      </c>
      <c r="BD53" s="71">
        <v>1</v>
      </c>
      <c r="BE53" s="71">
        <v>1</v>
      </c>
      <c r="BF53" s="71">
        <v>1</v>
      </c>
      <c r="BG53" s="71">
        <v>1</v>
      </c>
      <c r="BH53" s="71">
        <v>1</v>
      </c>
      <c r="BI53" s="71">
        <v>1</v>
      </c>
      <c r="BJ53" s="71">
        <v>1</v>
      </c>
      <c r="BK53" s="71">
        <v>1</v>
      </c>
      <c r="BL53" s="71">
        <v>1</v>
      </c>
      <c r="BM53" s="71">
        <v>1</v>
      </c>
      <c r="BN53" s="71">
        <v>1</v>
      </c>
      <c r="BO53" s="71">
        <v>1</v>
      </c>
      <c r="BP53" s="71">
        <v>1</v>
      </c>
      <c r="BQ53" s="71">
        <v>1</v>
      </c>
      <c r="BR53" s="71">
        <v>1</v>
      </c>
      <c r="BS53" s="71">
        <v>1</v>
      </c>
      <c r="BT53" s="71">
        <v>1</v>
      </c>
      <c r="BU53" s="71">
        <v>1</v>
      </c>
      <c r="BV53" s="71">
        <v>1</v>
      </c>
      <c r="BW53" s="71">
        <v>1</v>
      </c>
      <c r="BX53" s="71">
        <v>1</v>
      </c>
      <c r="BY53" s="71">
        <v>1</v>
      </c>
      <c r="BZ53" s="71">
        <v>1</v>
      </c>
      <c r="CA53" s="71">
        <v>1</v>
      </c>
      <c r="CB53" s="71">
        <v>1</v>
      </c>
      <c r="CC53" s="71">
        <v>1</v>
      </c>
      <c r="CD53" s="71">
        <v>1</v>
      </c>
      <c r="CE53" s="71">
        <v>1</v>
      </c>
      <c r="CF53" s="71">
        <v>1</v>
      </c>
      <c r="CG53" s="71">
        <v>1</v>
      </c>
      <c r="CH53" s="71">
        <v>1</v>
      </c>
      <c r="CI53" s="71">
        <v>1</v>
      </c>
      <c r="CJ53" s="71">
        <v>1</v>
      </c>
      <c r="CK53" s="71">
        <v>1</v>
      </c>
      <c r="CL53" s="71">
        <v>1</v>
      </c>
      <c r="CM53" s="71">
        <v>1</v>
      </c>
      <c r="CN53" s="71">
        <v>1</v>
      </c>
      <c r="CO53" s="71">
        <v>1</v>
      </c>
      <c r="CP53" s="71">
        <v>1</v>
      </c>
    </row>
    <row r="54" spans="2:94" hidden="1" outlineLevel="1" collapsed="1" x14ac:dyDescent="0.4">
      <c r="B54" s="85"/>
      <c r="C54" s="86"/>
      <c r="D54" s="86" t="s">
        <v>102</v>
      </c>
      <c r="E54" s="86"/>
      <c r="F54" s="87">
        <f>EDTN[[#This Row],[Nuevos Pesos]]</f>
        <v>3.5025603345783182E-2</v>
      </c>
      <c r="H54" s="87">
        <f>SUMPRODUCT(H55:H56,$F$55:$F$56)</f>
        <v>0</v>
      </c>
      <c r="I54" s="87">
        <f t="shared" ref="I54:AP54" si="145">SUMPRODUCT(I55:I56,$F$55:$F$56)</f>
        <v>0.1111111111111111</v>
      </c>
      <c r="J54" s="87">
        <f t="shared" si="145"/>
        <v>0.22211111111111109</v>
      </c>
      <c r="K54" s="87">
        <f t="shared" si="145"/>
        <v>0.33311111111111108</v>
      </c>
      <c r="L54" s="87">
        <f t="shared" si="145"/>
        <v>0.44411111111111107</v>
      </c>
      <c r="M54" s="87">
        <f t="shared" si="145"/>
        <v>0.55511111111111111</v>
      </c>
      <c r="N54" s="87">
        <f t="shared" si="145"/>
        <v>0.6661111111111111</v>
      </c>
      <c r="O54" s="87">
        <f t="shared" si="145"/>
        <v>0.77711111111111109</v>
      </c>
      <c r="P54" s="87">
        <f t="shared" si="145"/>
        <v>0.88811111111111107</v>
      </c>
      <c r="Q54" s="87">
        <f t="shared" si="145"/>
        <v>1</v>
      </c>
      <c r="R54" s="87">
        <f t="shared" si="145"/>
        <v>1</v>
      </c>
      <c r="S54" s="87">
        <f t="shared" si="145"/>
        <v>1</v>
      </c>
      <c r="T54" s="87">
        <f t="shared" si="145"/>
        <v>1</v>
      </c>
      <c r="U54" s="87">
        <f t="shared" si="145"/>
        <v>1</v>
      </c>
      <c r="V54" s="87">
        <f t="shared" si="145"/>
        <v>1</v>
      </c>
      <c r="W54" s="87">
        <f t="shared" si="145"/>
        <v>1</v>
      </c>
      <c r="X54" s="87">
        <f t="shared" si="145"/>
        <v>1</v>
      </c>
      <c r="Y54" s="87">
        <f t="shared" si="145"/>
        <v>1</v>
      </c>
      <c r="Z54" s="87">
        <f t="shared" si="145"/>
        <v>1</v>
      </c>
      <c r="AA54" s="87">
        <f t="shared" si="145"/>
        <v>1</v>
      </c>
      <c r="AB54" s="87">
        <f t="shared" si="145"/>
        <v>1</v>
      </c>
      <c r="AC54" s="87">
        <f t="shared" si="145"/>
        <v>1</v>
      </c>
      <c r="AD54" s="87">
        <f t="shared" si="145"/>
        <v>1</v>
      </c>
      <c r="AE54" s="87">
        <f t="shared" si="145"/>
        <v>1</v>
      </c>
      <c r="AF54" s="87">
        <f t="shared" si="145"/>
        <v>1</v>
      </c>
      <c r="AG54" s="87">
        <f t="shared" si="145"/>
        <v>1</v>
      </c>
      <c r="AH54" s="87">
        <f t="shared" si="145"/>
        <v>1</v>
      </c>
      <c r="AI54" s="87">
        <f t="shared" si="145"/>
        <v>1</v>
      </c>
      <c r="AJ54" s="87">
        <f t="shared" si="145"/>
        <v>1</v>
      </c>
      <c r="AK54" s="87">
        <f t="shared" si="145"/>
        <v>1</v>
      </c>
      <c r="AL54" s="87">
        <f t="shared" si="145"/>
        <v>1</v>
      </c>
      <c r="AM54" s="87">
        <f t="shared" si="145"/>
        <v>1</v>
      </c>
      <c r="AN54" s="87">
        <f t="shared" si="145"/>
        <v>1</v>
      </c>
      <c r="AO54" s="87">
        <f t="shared" si="145"/>
        <v>1</v>
      </c>
      <c r="AP54" s="87">
        <f t="shared" si="145"/>
        <v>1</v>
      </c>
      <c r="AQ54" s="87">
        <f t="shared" ref="AQ54:AR54" si="146">SUMPRODUCT(AQ55:AQ56,$F$55:$F$56)</f>
        <v>1</v>
      </c>
      <c r="AR54" s="87">
        <f t="shared" si="146"/>
        <v>1</v>
      </c>
      <c r="AS54" s="87">
        <f t="shared" ref="AS54" si="147">SUMPRODUCT(AS55:AS56,$F$55:$F$56)</f>
        <v>1</v>
      </c>
      <c r="AT54" s="87">
        <f t="shared" ref="AT54:BC54" si="148">SUMPRODUCT(AT55:AT56,$F$55:$F$56)</f>
        <v>1</v>
      </c>
      <c r="AU54" s="87">
        <f t="shared" si="148"/>
        <v>1</v>
      </c>
      <c r="AV54" s="87">
        <f t="shared" si="148"/>
        <v>1</v>
      </c>
      <c r="AW54" s="87">
        <f t="shared" si="148"/>
        <v>1</v>
      </c>
      <c r="AX54" s="87">
        <f t="shared" si="148"/>
        <v>1</v>
      </c>
      <c r="AY54" s="87">
        <f t="shared" si="148"/>
        <v>1</v>
      </c>
      <c r="AZ54" s="87">
        <f t="shared" si="148"/>
        <v>1</v>
      </c>
      <c r="BA54" s="87">
        <f t="shared" si="148"/>
        <v>1</v>
      </c>
      <c r="BB54" s="87">
        <f t="shared" si="148"/>
        <v>1</v>
      </c>
      <c r="BC54" s="87">
        <f t="shared" si="148"/>
        <v>1</v>
      </c>
      <c r="BD54" s="87">
        <f t="shared" ref="BD54:BE54" si="149">SUMPRODUCT(BD55:BD56,$F$55:$F$56)</f>
        <v>1</v>
      </c>
      <c r="BE54" s="87">
        <f t="shared" si="149"/>
        <v>1</v>
      </c>
      <c r="BF54" s="87">
        <f t="shared" ref="BF54:BG54" si="150">SUMPRODUCT(BF55:BF56,$F$55:$F$56)</f>
        <v>1</v>
      </c>
      <c r="BG54" s="87">
        <f t="shared" si="150"/>
        <v>1</v>
      </c>
      <c r="BH54" s="87">
        <f t="shared" ref="BH54:BI54" si="151">SUMPRODUCT(BH55:BH56,$F$55:$F$56)</f>
        <v>1</v>
      </c>
      <c r="BI54" s="87">
        <f t="shared" si="151"/>
        <v>1</v>
      </c>
      <c r="BJ54" s="87">
        <f t="shared" ref="BJ54:BK54" si="152">SUMPRODUCT(BJ55:BJ56,$F$55:$F$56)</f>
        <v>1</v>
      </c>
      <c r="BK54" s="87">
        <f t="shared" si="152"/>
        <v>1</v>
      </c>
      <c r="BL54" s="87">
        <f t="shared" ref="BL54:CP54" si="153">SUMPRODUCT(BL55:BL56,$F$55:$F$56)</f>
        <v>1</v>
      </c>
      <c r="BM54" s="87">
        <f t="shared" si="153"/>
        <v>1</v>
      </c>
      <c r="BN54" s="87">
        <f t="shared" si="153"/>
        <v>1</v>
      </c>
      <c r="BO54" s="87">
        <f t="shared" si="153"/>
        <v>1</v>
      </c>
      <c r="BP54" s="87">
        <f t="shared" si="153"/>
        <v>1</v>
      </c>
      <c r="BQ54" s="87">
        <f t="shared" si="153"/>
        <v>1</v>
      </c>
      <c r="BR54" s="87">
        <f t="shared" si="153"/>
        <v>1</v>
      </c>
      <c r="BS54" s="87">
        <f t="shared" si="153"/>
        <v>1</v>
      </c>
      <c r="BT54" s="87">
        <f t="shared" si="153"/>
        <v>1</v>
      </c>
      <c r="BU54" s="87">
        <f t="shared" si="153"/>
        <v>1</v>
      </c>
      <c r="BV54" s="87">
        <f t="shared" si="153"/>
        <v>1</v>
      </c>
      <c r="BW54" s="87">
        <f t="shared" si="153"/>
        <v>1</v>
      </c>
      <c r="BX54" s="87">
        <f t="shared" si="153"/>
        <v>1</v>
      </c>
      <c r="BY54" s="87">
        <f t="shared" si="153"/>
        <v>1</v>
      </c>
      <c r="BZ54" s="87">
        <f t="shared" si="153"/>
        <v>1</v>
      </c>
      <c r="CA54" s="87">
        <f t="shared" si="153"/>
        <v>1</v>
      </c>
      <c r="CB54" s="87">
        <f t="shared" si="153"/>
        <v>1</v>
      </c>
      <c r="CC54" s="87">
        <f t="shared" si="153"/>
        <v>1</v>
      </c>
      <c r="CD54" s="87">
        <f t="shared" si="153"/>
        <v>1</v>
      </c>
      <c r="CE54" s="87">
        <f t="shared" si="153"/>
        <v>1</v>
      </c>
      <c r="CF54" s="87">
        <f t="shared" si="153"/>
        <v>1</v>
      </c>
      <c r="CG54" s="87">
        <f t="shared" si="153"/>
        <v>1</v>
      </c>
      <c r="CH54" s="87">
        <f t="shared" si="153"/>
        <v>1</v>
      </c>
      <c r="CI54" s="87">
        <f t="shared" si="153"/>
        <v>1</v>
      </c>
      <c r="CJ54" s="87">
        <f t="shared" si="153"/>
        <v>1</v>
      </c>
      <c r="CK54" s="87">
        <f t="shared" si="153"/>
        <v>1</v>
      </c>
      <c r="CL54" s="87">
        <f t="shared" si="153"/>
        <v>1</v>
      </c>
      <c r="CM54" s="87">
        <f t="shared" si="153"/>
        <v>1</v>
      </c>
      <c r="CN54" s="87">
        <f t="shared" si="153"/>
        <v>1</v>
      </c>
      <c r="CO54" s="87">
        <f t="shared" si="153"/>
        <v>1</v>
      </c>
      <c r="CP54" s="87">
        <f t="shared" si="153"/>
        <v>1</v>
      </c>
    </row>
    <row r="55" spans="2:94" hidden="1" outlineLevel="2" x14ac:dyDescent="0.4">
      <c r="B55" s="69"/>
      <c r="C55" s="70"/>
      <c r="D55" s="70"/>
      <c r="E55" s="70" t="s">
        <v>105</v>
      </c>
      <c r="F55" s="71">
        <f>EDTN[[#This Row],[Nuevos Pesos]]</f>
        <v>0.25</v>
      </c>
      <c r="H55" s="71">
        <v>0</v>
      </c>
      <c r="I55" s="71">
        <v>0.1111111111111111</v>
      </c>
      <c r="J55" s="71">
        <f>+PlanBase39[[#This Row],[12/05/25]]+11.1%</f>
        <v>0.22211111111111109</v>
      </c>
      <c r="K55" s="71">
        <f>+PlanBase39[[#This Row],[19/05/25]]+11.1%</f>
        <v>0.33311111111111108</v>
      </c>
      <c r="L55" s="71">
        <f>+PlanBase39[[#This Row],[26/05/25]]+11.1%</f>
        <v>0.44411111111111107</v>
      </c>
      <c r="M55" s="71">
        <f>+PlanBase39[[#This Row],[02/06/25]]+11.1%</f>
        <v>0.55511111111111111</v>
      </c>
      <c r="N55" s="71">
        <f>+PlanBase39[[#This Row],[09/06/25]]+11.1%</f>
        <v>0.6661111111111111</v>
      </c>
      <c r="O55" s="71">
        <f>+PlanBase39[[#This Row],[16/06/25]]+11.1%</f>
        <v>0.77711111111111109</v>
      </c>
      <c r="P55" s="71">
        <f>+PlanBase39[[#This Row],[23/06/25]]+11.1%</f>
        <v>0.88811111111111107</v>
      </c>
      <c r="Q55" s="71">
        <v>1</v>
      </c>
      <c r="R55" s="71">
        <v>1</v>
      </c>
      <c r="S55" s="71">
        <v>1</v>
      </c>
      <c r="T55" s="71">
        <v>1</v>
      </c>
      <c r="U55" s="71">
        <v>1</v>
      </c>
      <c r="V55" s="71">
        <v>1</v>
      </c>
      <c r="W55" s="71">
        <v>1</v>
      </c>
      <c r="X55" s="71">
        <v>1</v>
      </c>
      <c r="Y55" s="71">
        <v>1</v>
      </c>
      <c r="Z55" s="71">
        <v>1</v>
      </c>
      <c r="AA55" s="71">
        <v>1</v>
      </c>
      <c r="AB55" s="71">
        <v>1</v>
      </c>
      <c r="AC55" s="71">
        <v>1</v>
      </c>
      <c r="AD55" s="71">
        <v>1</v>
      </c>
      <c r="AE55" s="71">
        <v>1</v>
      </c>
      <c r="AF55" s="71">
        <v>1</v>
      </c>
      <c r="AG55" s="71">
        <v>1</v>
      </c>
      <c r="AH55" s="71">
        <v>1</v>
      </c>
      <c r="AI55" s="71">
        <v>1</v>
      </c>
      <c r="AJ55" s="71">
        <v>1</v>
      </c>
      <c r="AK55" s="71">
        <v>1</v>
      </c>
      <c r="AL55" s="71">
        <v>1</v>
      </c>
      <c r="AM55" s="71">
        <v>1</v>
      </c>
      <c r="AN55" s="71">
        <v>1</v>
      </c>
      <c r="AO55" s="71">
        <v>1</v>
      </c>
      <c r="AP55" s="71">
        <v>1</v>
      </c>
      <c r="AQ55" s="71">
        <v>1</v>
      </c>
      <c r="AR55" s="71">
        <v>1</v>
      </c>
      <c r="AS55" s="71">
        <v>1</v>
      </c>
      <c r="AT55" s="71">
        <v>1</v>
      </c>
      <c r="AU55" s="71">
        <v>1</v>
      </c>
      <c r="AV55" s="71">
        <v>1</v>
      </c>
      <c r="AW55" s="71">
        <v>1</v>
      </c>
      <c r="AX55" s="71">
        <v>1</v>
      </c>
      <c r="AY55" s="71">
        <v>1</v>
      </c>
      <c r="AZ55" s="71">
        <v>1</v>
      </c>
      <c r="BA55" s="71">
        <v>1</v>
      </c>
      <c r="BB55" s="71">
        <v>1</v>
      </c>
      <c r="BC55" s="71">
        <v>1</v>
      </c>
      <c r="BD55" s="71">
        <v>1</v>
      </c>
      <c r="BE55" s="71">
        <v>1</v>
      </c>
      <c r="BF55" s="71">
        <v>1</v>
      </c>
      <c r="BG55" s="71">
        <v>1</v>
      </c>
      <c r="BH55" s="71">
        <v>1</v>
      </c>
      <c r="BI55" s="71">
        <v>1</v>
      </c>
      <c r="BJ55" s="71">
        <v>1</v>
      </c>
      <c r="BK55" s="71">
        <v>1</v>
      </c>
      <c r="BL55" s="71">
        <v>1</v>
      </c>
      <c r="BM55" s="71">
        <v>1</v>
      </c>
      <c r="BN55" s="71">
        <v>1</v>
      </c>
      <c r="BO55" s="71">
        <v>1</v>
      </c>
      <c r="BP55" s="71">
        <v>1</v>
      </c>
      <c r="BQ55" s="71">
        <v>1</v>
      </c>
      <c r="BR55" s="71">
        <v>1</v>
      </c>
      <c r="BS55" s="71">
        <v>1</v>
      </c>
      <c r="BT55" s="71">
        <v>1</v>
      </c>
      <c r="BU55" s="71">
        <v>1</v>
      </c>
      <c r="BV55" s="71">
        <v>1</v>
      </c>
      <c r="BW55" s="71">
        <v>1</v>
      </c>
      <c r="BX55" s="71">
        <v>1</v>
      </c>
      <c r="BY55" s="71">
        <v>1</v>
      </c>
      <c r="BZ55" s="71">
        <v>1</v>
      </c>
      <c r="CA55" s="71">
        <v>1</v>
      </c>
      <c r="CB55" s="71">
        <v>1</v>
      </c>
      <c r="CC55" s="71">
        <v>1</v>
      </c>
      <c r="CD55" s="71">
        <v>1</v>
      </c>
      <c r="CE55" s="71">
        <v>1</v>
      </c>
      <c r="CF55" s="71">
        <v>1</v>
      </c>
      <c r="CG55" s="71">
        <v>1</v>
      </c>
      <c r="CH55" s="71">
        <v>1</v>
      </c>
      <c r="CI55" s="71">
        <v>1</v>
      </c>
      <c r="CJ55" s="71">
        <v>1</v>
      </c>
      <c r="CK55" s="71">
        <v>1</v>
      </c>
      <c r="CL55" s="71">
        <v>1</v>
      </c>
      <c r="CM55" s="71">
        <v>1</v>
      </c>
      <c r="CN55" s="71">
        <v>1</v>
      </c>
      <c r="CO55" s="71">
        <v>1</v>
      </c>
      <c r="CP55" s="71">
        <v>1</v>
      </c>
    </row>
    <row r="56" spans="2:94" hidden="1" outlineLevel="2" x14ac:dyDescent="0.4">
      <c r="B56" s="69"/>
      <c r="C56" s="70"/>
      <c r="D56" s="70"/>
      <c r="E56" s="70" t="s">
        <v>106</v>
      </c>
      <c r="F56" s="71">
        <f>EDTN[[#This Row],[Nuevos Pesos]]</f>
        <v>0.75</v>
      </c>
      <c r="H56" s="71">
        <v>0</v>
      </c>
      <c r="I56" s="71">
        <v>0.1111111111111111</v>
      </c>
      <c r="J56" s="71">
        <f>+PlanBase39[[#This Row],[12/05/25]]+11.1%</f>
        <v>0.22211111111111109</v>
      </c>
      <c r="K56" s="71">
        <f>+PlanBase39[[#This Row],[19/05/25]]+11.1%</f>
        <v>0.33311111111111108</v>
      </c>
      <c r="L56" s="71">
        <f>+PlanBase39[[#This Row],[26/05/25]]+11.1%</f>
        <v>0.44411111111111107</v>
      </c>
      <c r="M56" s="71">
        <f>+PlanBase39[[#This Row],[02/06/25]]+11.1%</f>
        <v>0.55511111111111111</v>
      </c>
      <c r="N56" s="71">
        <f>+PlanBase39[[#This Row],[09/06/25]]+11.1%</f>
        <v>0.6661111111111111</v>
      </c>
      <c r="O56" s="71">
        <f>+PlanBase39[[#This Row],[16/06/25]]+11.1%</f>
        <v>0.77711111111111109</v>
      </c>
      <c r="P56" s="71">
        <f>+PlanBase39[[#This Row],[23/06/25]]+11.1%</f>
        <v>0.88811111111111107</v>
      </c>
      <c r="Q56" s="71">
        <v>1</v>
      </c>
      <c r="R56" s="71">
        <v>1</v>
      </c>
      <c r="S56" s="71">
        <v>1</v>
      </c>
      <c r="T56" s="71">
        <v>1</v>
      </c>
      <c r="U56" s="71">
        <v>1</v>
      </c>
      <c r="V56" s="71">
        <v>1</v>
      </c>
      <c r="W56" s="71">
        <v>1</v>
      </c>
      <c r="X56" s="71">
        <v>1</v>
      </c>
      <c r="Y56" s="71">
        <v>1</v>
      </c>
      <c r="Z56" s="71">
        <v>1</v>
      </c>
      <c r="AA56" s="71">
        <v>1</v>
      </c>
      <c r="AB56" s="71">
        <v>1</v>
      </c>
      <c r="AC56" s="71">
        <v>1</v>
      </c>
      <c r="AD56" s="71">
        <v>1</v>
      </c>
      <c r="AE56" s="71">
        <v>1</v>
      </c>
      <c r="AF56" s="71">
        <v>1</v>
      </c>
      <c r="AG56" s="71">
        <v>1</v>
      </c>
      <c r="AH56" s="71">
        <v>1</v>
      </c>
      <c r="AI56" s="71">
        <v>1</v>
      </c>
      <c r="AJ56" s="71">
        <v>1</v>
      </c>
      <c r="AK56" s="71">
        <v>1</v>
      </c>
      <c r="AL56" s="71">
        <v>1</v>
      </c>
      <c r="AM56" s="71">
        <v>1</v>
      </c>
      <c r="AN56" s="71">
        <v>1</v>
      </c>
      <c r="AO56" s="71">
        <v>1</v>
      </c>
      <c r="AP56" s="71">
        <v>1</v>
      </c>
      <c r="AQ56" s="71">
        <v>1</v>
      </c>
      <c r="AR56" s="71">
        <v>1</v>
      </c>
      <c r="AS56" s="71">
        <v>1</v>
      </c>
      <c r="AT56" s="71">
        <v>1</v>
      </c>
      <c r="AU56" s="71">
        <v>1</v>
      </c>
      <c r="AV56" s="71">
        <v>1</v>
      </c>
      <c r="AW56" s="71">
        <v>1</v>
      </c>
      <c r="AX56" s="71">
        <v>1</v>
      </c>
      <c r="AY56" s="71">
        <v>1</v>
      </c>
      <c r="AZ56" s="71">
        <v>1</v>
      </c>
      <c r="BA56" s="71">
        <v>1</v>
      </c>
      <c r="BB56" s="71">
        <v>1</v>
      </c>
      <c r="BC56" s="71">
        <v>1</v>
      </c>
      <c r="BD56" s="71">
        <v>1</v>
      </c>
      <c r="BE56" s="71">
        <v>1</v>
      </c>
      <c r="BF56" s="71">
        <v>1</v>
      </c>
      <c r="BG56" s="71">
        <v>1</v>
      </c>
      <c r="BH56" s="71">
        <v>1</v>
      </c>
      <c r="BI56" s="71">
        <v>1</v>
      </c>
      <c r="BJ56" s="71">
        <v>1</v>
      </c>
      <c r="BK56" s="71">
        <v>1</v>
      </c>
      <c r="BL56" s="71">
        <v>1</v>
      </c>
      <c r="BM56" s="71">
        <v>1</v>
      </c>
      <c r="BN56" s="71">
        <v>1</v>
      </c>
      <c r="BO56" s="71">
        <v>1</v>
      </c>
      <c r="BP56" s="71">
        <v>1</v>
      </c>
      <c r="BQ56" s="71">
        <v>1</v>
      </c>
      <c r="BR56" s="71">
        <v>1</v>
      </c>
      <c r="BS56" s="71">
        <v>1</v>
      </c>
      <c r="BT56" s="71">
        <v>1</v>
      </c>
      <c r="BU56" s="71">
        <v>1</v>
      </c>
      <c r="BV56" s="71">
        <v>1</v>
      </c>
      <c r="BW56" s="71">
        <v>1</v>
      </c>
      <c r="BX56" s="71">
        <v>1</v>
      </c>
      <c r="BY56" s="71">
        <v>1</v>
      </c>
      <c r="BZ56" s="71">
        <v>1</v>
      </c>
      <c r="CA56" s="71">
        <v>1</v>
      </c>
      <c r="CB56" s="71">
        <v>1</v>
      </c>
      <c r="CC56" s="71">
        <v>1</v>
      </c>
      <c r="CD56" s="71">
        <v>1</v>
      </c>
      <c r="CE56" s="71">
        <v>1</v>
      </c>
      <c r="CF56" s="71">
        <v>1</v>
      </c>
      <c r="CG56" s="71">
        <v>1</v>
      </c>
      <c r="CH56" s="71">
        <v>1</v>
      </c>
      <c r="CI56" s="71">
        <v>1</v>
      </c>
      <c r="CJ56" s="71">
        <v>1</v>
      </c>
      <c r="CK56" s="71">
        <v>1</v>
      </c>
      <c r="CL56" s="71">
        <v>1</v>
      </c>
      <c r="CM56" s="71">
        <v>1</v>
      </c>
      <c r="CN56" s="71">
        <v>1</v>
      </c>
      <c r="CO56" s="71">
        <v>1</v>
      </c>
      <c r="CP56" s="71">
        <v>1</v>
      </c>
    </row>
    <row r="57" spans="2:94" hidden="1" outlineLevel="1" collapsed="1" x14ac:dyDescent="0.4">
      <c r="B57" s="85"/>
      <c r="C57" s="86"/>
      <c r="D57" s="86" t="s">
        <v>107</v>
      </c>
      <c r="E57" s="86"/>
      <c r="F57" s="87">
        <f>EDTN[[#This Row],[Nuevos Pesos]]</f>
        <v>5.0592538166131268E-2</v>
      </c>
      <c r="H57" s="87">
        <f>H58*$F$58</f>
        <v>0</v>
      </c>
      <c r="I57" s="87">
        <f t="shared" ref="I57:BT57" si="154">I58*$F$58</f>
        <v>0</v>
      </c>
      <c r="J57" s="87">
        <f t="shared" si="154"/>
        <v>0</v>
      </c>
      <c r="K57" s="87">
        <f t="shared" si="154"/>
        <v>0</v>
      </c>
      <c r="L57" s="87">
        <f t="shared" si="154"/>
        <v>0</v>
      </c>
      <c r="M57" s="87">
        <f t="shared" si="154"/>
        <v>0</v>
      </c>
      <c r="N57" s="87">
        <f t="shared" si="154"/>
        <v>0</v>
      </c>
      <c r="O57" s="87">
        <f t="shared" si="154"/>
        <v>0</v>
      </c>
      <c r="P57" s="87">
        <f t="shared" si="154"/>
        <v>0</v>
      </c>
      <c r="Q57" s="87">
        <f t="shared" si="154"/>
        <v>0</v>
      </c>
      <c r="R57" s="87">
        <f t="shared" si="154"/>
        <v>0</v>
      </c>
      <c r="S57" s="87">
        <f t="shared" si="154"/>
        <v>0</v>
      </c>
      <c r="T57" s="87">
        <f t="shared" si="154"/>
        <v>0</v>
      </c>
      <c r="U57" s="87">
        <f t="shared" si="154"/>
        <v>0</v>
      </c>
      <c r="V57" s="87">
        <f t="shared" si="154"/>
        <v>0</v>
      </c>
      <c r="W57" s="87">
        <f t="shared" si="154"/>
        <v>0</v>
      </c>
      <c r="X57" s="87">
        <f t="shared" si="154"/>
        <v>0</v>
      </c>
      <c r="Y57" s="87">
        <f t="shared" si="154"/>
        <v>0</v>
      </c>
      <c r="Z57" s="87">
        <f t="shared" si="154"/>
        <v>0</v>
      </c>
      <c r="AA57" s="87">
        <f t="shared" si="154"/>
        <v>0</v>
      </c>
      <c r="AB57" s="87">
        <f t="shared" si="154"/>
        <v>0</v>
      </c>
      <c r="AC57" s="87">
        <f t="shared" si="154"/>
        <v>0</v>
      </c>
      <c r="AD57" s="87">
        <f t="shared" si="154"/>
        <v>0</v>
      </c>
      <c r="AE57" s="87">
        <f t="shared" si="154"/>
        <v>0.16666666666666669</v>
      </c>
      <c r="AF57" s="87">
        <f t="shared" si="154"/>
        <v>0.33366666666666667</v>
      </c>
      <c r="AG57" s="87">
        <f t="shared" si="154"/>
        <v>0.50066666666666659</v>
      </c>
      <c r="AH57" s="87">
        <f t="shared" si="154"/>
        <v>0.66766666666666663</v>
      </c>
      <c r="AI57" s="87">
        <f t="shared" si="154"/>
        <v>0.83466666666666667</v>
      </c>
      <c r="AJ57" s="87">
        <f t="shared" si="154"/>
        <v>1</v>
      </c>
      <c r="AK57" s="87">
        <f t="shared" si="154"/>
        <v>1</v>
      </c>
      <c r="AL57" s="87">
        <f t="shared" si="154"/>
        <v>1</v>
      </c>
      <c r="AM57" s="87">
        <f t="shared" si="154"/>
        <v>1</v>
      </c>
      <c r="AN57" s="87">
        <f t="shared" si="154"/>
        <v>1</v>
      </c>
      <c r="AO57" s="87">
        <f t="shared" si="154"/>
        <v>1</v>
      </c>
      <c r="AP57" s="87">
        <f t="shared" si="154"/>
        <v>1</v>
      </c>
      <c r="AQ57" s="87">
        <f t="shared" si="154"/>
        <v>1</v>
      </c>
      <c r="AR57" s="87">
        <f t="shared" si="154"/>
        <v>1</v>
      </c>
      <c r="AS57" s="87">
        <f t="shared" si="154"/>
        <v>1</v>
      </c>
      <c r="AT57" s="87">
        <f t="shared" si="154"/>
        <v>1</v>
      </c>
      <c r="AU57" s="87">
        <f t="shared" si="154"/>
        <v>1</v>
      </c>
      <c r="AV57" s="87">
        <f t="shared" si="154"/>
        <v>1</v>
      </c>
      <c r="AW57" s="87">
        <f t="shared" si="154"/>
        <v>1</v>
      </c>
      <c r="AX57" s="87">
        <f t="shared" si="154"/>
        <v>1</v>
      </c>
      <c r="AY57" s="87">
        <f t="shared" si="154"/>
        <v>1</v>
      </c>
      <c r="AZ57" s="87">
        <f t="shared" si="154"/>
        <v>1</v>
      </c>
      <c r="BA57" s="87">
        <f t="shared" si="154"/>
        <v>1</v>
      </c>
      <c r="BB57" s="87">
        <f t="shared" si="154"/>
        <v>1</v>
      </c>
      <c r="BC57" s="87">
        <f t="shared" si="154"/>
        <v>1</v>
      </c>
      <c r="BD57" s="87">
        <f t="shared" si="154"/>
        <v>1</v>
      </c>
      <c r="BE57" s="87">
        <f t="shared" si="154"/>
        <v>1</v>
      </c>
      <c r="BF57" s="87">
        <f t="shared" si="154"/>
        <v>1</v>
      </c>
      <c r="BG57" s="87">
        <f t="shared" si="154"/>
        <v>1</v>
      </c>
      <c r="BH57" s="87">
        <f t="shared" si="154"/>
        <v>1</v>
      </c>
      <c r="BI57" s="87">
        <f t="shared" si="154"/>
        <v>1</v>
      </c>
      <c r="BJ57" s="87">
        <f t="shared" si="154"/>
        <v>1</v>
      </c>
      <c r="BK57" s="87">
        <f t="shared" si="154"/>
        <v>1</v>
      </c>
      <c r="BL57" s="87">
        <f t="shared" si="154"/>
        <v>1</v>
      </c>
      <c r="BM57" s="87">
        <f t="shared" si="154"/>
        <v>1</v>
      </c>
      <c r="BN57" s="87">
        <f t="shared" si="154"/>
        <v>1</v>
      </c>
      <c r="BO57" s="87">
        <f t="shared" si="154"/>
        <v>1</v>
      </c>
      <c r="BP57" s="87">
        <f t="shared" si="154"/>
        <v>1</v>
      </c>
      <c r="BQ57" s="87">
        <f t="shared" si="154"/>
        <v>1</v>
      </c>
      <c r="BR57" s="87">
        <f t="shared" si="154"/>
        <v>1</v>
      </c>
      <c r="BS57" s="87">
        <f t="shared" si="154"/>
        <v>1</v>
      </c>
      <c r="BT57" s="87">
        <f t="shared" si="154"/>
        <v>1</v>
      </c>
      <c r="BU57" s="87">
        <f t="shared" ref="BU57:CP57" si="155">BU58*$F$58</f>
        <v>1</v>
      </c>
      <c r="BV57" s="87">
        <f t="shared" si="155"/>
        <v>1</v>
      </c>
      <c r="BW57" s="87">
        <f t="shared" si="155"/>
        <v>1</v>
      </c>
      <c r="BX57" s="87">
        <f t="shared" si="155"/>
        <v>1</v>
      </c>
      <c r="BY57" s="87">
        <f t="shared" si="155"/>
        <v>1</v>
      </c>
      <c r="BZ57" s="87">
        <f t="shared" si="155"/>
        <v>1</v>
      </c>
      <c r="CA57" s="87">
        <f t="shared" si="155"/>
        <v>1</v>
      </c>
      <c r="CB57" s="87">
        <f t="shared" si="155"/>
        <v>1</v>
      </c>
      <c r="CC57" s="87">
        <f t="shared" si="155"/>
        <v>1</v>
      </c>
      <c r="CD57" s="87">
        <f t="shared" si="155"/>
        <v>1</v>
      </c>
      <c r="CE57" s="87">
        <f t="shared" si="155"/>
        <v>1</v>
      </c>
      <c r="CF57" s="87">
        <f t="shared" si="155"/>
        <v>1</v>
      </c>
      <c r="CG57" s="87">
        <f t="shared" si="155"/>
        <v>1</v>
      </c>
      <c r="CH57" s="87">
        <f t="shared" si="155"/>
        <v>1</v>
      </c>
      <c r="CI57" s="87">
        <f t="shared" si="155"/>
        <v>1</v>
      </c>
      <c r="CJ57" s="87">
        <f t="shared" si="155"/>
        <v>1</v>
      </c>
      <c r="CK57" s="87">
        <f t="shared" si="155"/>
        <v>1</v>
      </c>
      <c r="CL57" s="87">
        <f t="shared" si="155"/>
        <v>1</v>
      </c>
      <c r="CM57" s="87">
        <f t="shared" si="155"/>
        <v>1</v>
      </c>
      <c r="CN57" s="87">
        <f t="shared" si="155"/>
        <v>1</v>
      </c>
      <c r="CO57" s="87">
        <f t="shared" si="155"/>
        <v>1</v>
      </c>
      <c r="CP57" s="87">
        <f t="shared" si="155"/>
        <v>1</v>
      </c>
    </row>
    <row r="58" spans="2:94" hidden="1" outlineLevel="2" x14ac:dyDescent="0.4">
      <c r="B58" s="69"/>
      <c r="C58" s="70"/>
      <c r="D58" s="70"/>
      <c r="E58" s="70" t="s">
        <v>108</v>
      </c>
      <c r="F58" s="71">
        <f>EDTN[[#This Row],[Nuevos Pesos]]</f>
        <v>1</v>
      </c>
      <c r="H58" s="71">
        <v>0</v>
      </c>
      <c r="I58" s="71">
        <v>0</v>
      </c>
      <c r="J58" s="71">
        <v>0</v>
      </c>
      <c r="K58" s="71">
        <v>0</v>
      </c>
      <c r="L58" s="71">
        <v>0</v>
      </c>
      <c r="M58" s="71">
        <v>0</v>
      </c>
      <c r="N58" s="71">
        <v>0</v>
      </c>
      <c r="O58" s="71">
        <v>0</v>
      </c>
      <c r="P58" s="71">
        <v>0</v>
      </c>
      <c r="Q58" s="71">
        <v>0</v>
      </c>
      <c r="R58" s="71">
        <v>0</v>
      </c>
      <c r="S58" s="71">
        <v>0</v>
      </c>
      <c r="T58" s="71">
        <v>0</v>
      </c>
      <c r="U58" s="71">
        <v>0</v>
      </c>
      <c r="V58" s="71">
        <v>0</v>
      </c>
      <c r="W58" s="71">
        <v>0</v>
      </c>
      <c r="X58" s="71">
        <v>0</v>
      </c>
      <c r="Y58" s="71">
        <v>0</v>
      </c>
      <c r="Z58" s="71">
        <v>0</v>
      </c>
      <c r="AA58" s="71">
        <v>0</v>
      </c>
      <c r="AB58" s="71">
        <v>0</v>
      </c>
      <c r="AC58" s="71">
        <v>0</v>
      </c>
      <c r="AD58" s="71">
        <v>0</v>
      </c>
      <c r="AE58" s="71">
        <v>0.16666666666666669</v>
      </c>
      <c r="AF58" s="71">
        <f>+PlanBase39[[#This Row],[13/10/25]]+16.7%</f>
        <v>0.33366666666666667</v>
      </c>
      <c r="AG58" s="71">
        <f>+PlanBase39[[#This Row],[20/10/25]]+16.7%</f>
        <v>0.50066666666666659</v>
      </c>
      <c r="AH58" s="71">
        <f>+PlanBase39[[#This Row],[27/10/25]]+16.7%</f>
        <v>0.66766666666666663</v>
      </c>
      <c r="AI58" s="71">
        <f>+PlanBase39[[#This Row],[03/11/25]]+16.7%</f>
        <v>0.83466666666666667</v>
      </c>
      <c r="AJ58" s="71">
        <v>1</v>
      </c>
      <c r="AK58" s="71">
        <v>1</v>
      </c>
      <c r="AL58" s="71">
        <v>1</v>
      </c>
      <c r="AM58" s="71">
        <v>1</v>
      </c>
      <c r="AN58" s="71">
        <v>1</v>
      </c>
      <c r="AO58" s="71">
        <v>1</v>
      </c>
      <c r="AP58" s="71">
        <v>1</v>
      </c>
      <c r="AQ58" s="71">
        <v>1</v>
      </c>
      <c r="AR58" s="71">
        <v>1</v>
      </c>
      <c r="AS58" s="71">
        <v>1</v>
      </c>
      <c r="AT58" s="71">
        <v>1</v>
      </c>
      <c r="AU58" s="71">
        <v>1</v>
      </c>
      <c r="AV58" s="71">
        <v>1</v>
      </c>
      <c r="AW58" s="71">
        <v>1</v>
      </c>
      <c r="AX58" s="71">
        <v>1</v>
      </c>
      <c r="AY58" s="71">
        <v>1</v>
      </c>
      <c r="AZ58" s="71">
        <v>1</v>
      </c>
      <c r="BA58" s="71">
        <v>1</v>
      </c>
      <c r="BB58" s="71">
        <v>1</v>
      </c>
      <c r="BC58" s="71">
        <v>1</v>
      </c>
      <c r="BD58" s="71">
        <v>1</v>
      </c>
      <c r="BE58" s="71">
        <v>1</v>
      </c>
      <c r="BF58" s="71">
        <v>1</v>
      </c>
      <c r="BG58" s="71">
        <v>1</v>
      </c>
      <c r="BH58" s="71">
        <v>1</v>
      </c>
      <c r="BI58" s="71">
        <v>1</v>
      </c>
      <c r="BJ58" s="71">
        <v>1</v>
      </c>
      <c r="BK58" s="71">
        <v>1</v>
      </c>
      <c r="BL58" s="71">
        <v>1</v>
      </c>
      <c r="BM58" s="71">
        <v>1</v>
      </c>
      <c r="BN58" s="71">
        <v>1</v>
      </c>
      <c r="BO58" s="71">
        <v>1</v>
      </c>
      <c r="BP58" s="71">
        <v>1</v>
      </c>
      <c r="BQ58" s="71">
        <v>1</v>
      </c>
      <c r="BR58" s="71">
        <v>1</v>
      </c>
      <c r="BS58" s="71">
        <v>1</v>
      </c>
      <c r="BT58" s="71">
        <v>1</v>
      </c>
      <c r="BU58" s="71">
        <v>1</v>
      </c>
      <c r="BV58" s="71">
        <v>1</v>
      </c>
      <c r="BW58" s="71">
        <v>1</v>
      </c>
      <c r="BX58" s="71">
        <v>1</v>
      </c>
      <c r="BY58" s="71">
        <v>1</v>
      </c>
      <c r="BZ58" s="71">
        <v>1</v>
      </c>
      <c r="CA58" s="71">
        <v>1</v>
      </c>
      <c r="CB58" s="71">
        <v>1</v>
      </c>
      <c r="CC58" s="71">
        <v>1</v>
      </c>
      <c r="CD58" s="71">
        <v>1</v>
      </c>
      <c r="CE58" s="71">
        <v>1</v>
      </c>
      <c r="CF58" s="71">
        <v>1</v>
      </c>
      <c r="CG58" s="71">
        <v>1</v>
      </c>
      <c r="CH58" s="71">
        <v>1</v>
      </c>
      <c r="CI58" s="71">
        <v>1</v>
      </c>
      <c r="CJ58" s="71">
        <v>1</v>
      </c>
      <c r="CK58" s="71">
        <v>1</v>
      </c>
      <c r="CL58" s="71">
        <v>1</v>
      </c>
      <c r="CM58" s="71">
        <v>1</v>
      </c>
      <c r="CN58" s="71">
        <v>1</v>
      </c>
      <c r="CO58" s="71">
        <v>1</v>
      </c>
      <c r="CP58" s="71">
        <v>1</v>
      </c>
    </row>
    <row r="59" spans="2:94" hidden="1" outlineLevel="1" collapsed="1" x14ac:dyDescent="0.4">
      <c r="B59" s="85"/>
      <c r="C59" s="86"/>
      <c r="D59" s="86" t="s">
        <v>109</v>
      </c>
      <c r="E59" s="86"/>
      <c r="F59" s="87">
        <f>EDTN[[#This Row],[Nuevos Pesos]]</f>
        <v>4.2809070755957225E-2</v>
      </c>
      <c r="H59" s="87">
        <f>SUMPRODUCT(H60:H61,$F$60:$F$61)</f>
        <v>0</v>
      </c>
      <c r="I59" s="87">
        <f t="shared" ref="I59:AP59" si="156">SUMPRODUCT(I60:I61,$F$60:$F$61)</f>
        <v>0</v>
      </c>
      <c r="J59" s="87">
        <f t="shared" si="156"/>
        <v>0</v>
      </c>
      <c r="K59" s="87">
        <f t="shared" si="156"/>
        <v>0</v>
      </c>
      <c r="L59" s="87">
        <f t="shared" si="156"/>
        <v>0</v>
      </c>
      <c r="M59" s="87">
        <f t="shared" si="156"/>
        <v>0</v>
      </c>
      <c r="N59" s="87">
        <f t="shared" si="156"/>
        <v>0</v>
      </c>
      <c r="O59" s="87">
        <f t="shared" si="156"/>
        <v>0</v>
      </c>
      <c r="P59" s="87">
        <f t="shared" si="156"/>
        <v>0</v>
      </c>
      <c r="Q59" s="87">
        <f t="shared" si="156"/>
        <v>0</v>
      </c>
      <c r="R59" s="87">
        <f t="shared" si="156"/>
        <v>0</v>
      </c>
      <c r="S59" s="87">
        <f t="shared" si="156"/>
        <v>0</v>
      </c>
      <c r="T59" s="87">
        <f t="shared" si="156"/>
        <v>0</v>
      </c>
      <c r="U59" s="87">
        <f t="shared" si="156"/>
        <v>0</v>
      </c>
      <c r="V59" s="87">
        <f t="shared" si="156"/>
        <v>0</v>
      </c>
      <c r="W59" s="87">
        <f t="shared" si="156"/>
        <v>0</v>
      </c>
      <c r="X59" s="87">
        <f t="shared" si="156"/>
        <v>0</v>
      </c>
      <c r="Y59" s="87">
        <f t="shared" si="156"/>
        <v>0</v>
      </c>
      <c r="Z59" s="87">
        <f t="shared" si="156"/>
        <v>0</v>
      </c>
      <c r="AA59" s="87">
        <f t="shared" si="156"/>
        <v>0</v>
      </c>
      <c r="AB59" s="87">
        <f t="shared" si="156"/>
        <v>0</v>
      </c>
      <c r="AC59" s="87">
        <f t="shared" si="156"/>
        <v>0</v>
      </c>
      <c r="AD59" s="87">
        <f t="shared" si="156"/>
        <v>0</v>
      </c>
      <c r="AE59" s="87">
        <f t="shared" si="156"/>
        <v>0</v>
      </c>
      <c r="AF59" s="87">
        <f t="shared" si="156"/>
        <v>0</v>
      </c>
      <c r="AG59" s="87">
        <f t="shared" si="156"/>
        <v>0</v>
      </c>
      <c r="AH59" s="87">
        <f t="shared" si="156"/>
        <v>0</v>
      </c>
      <c r="AI59" s="87">
        <f t="shared" si="156"/>
        <v>8.3333333333333343E-2</v>
      </c>
      <c r="AJ59" s="87">
        <f t="shared" si="156"/>
        <v>0.16658333333333333</v>
      </c>
      <c r="AK59" s="87">
        <f t="shared" si="156"/>
        <v>0.25</v>
      </c>
      <c r="AL59" s="87">
        <f t="shared" si="156"/>
        <v>0.25</v>
      </c>
      <c r="AM59" s="87">
        <f t="shared" si="156"/>
        <v>0.25</v>
      </c>
      <c r="AN59" s="87">
        <f t="shared" si="156"/>
        <v>0.25</v>
      </c>
      <c r="AO59" s="87">
        <f t="shared" si="156"/>
        <v>0.4375</v>
      </c>
      <c r="AP59" s="87">
        <f t="shared" si="156"/>
        <v>1</v>
      </c>
      <c r="AQ59" s="87">
        <f t="shared" ref="AQ59:AR59" si="157">SUMPRODUCT(AQ60:AQ61,$F$60:$F$61)</f>
        <v>1</v>
      </c>
      <c r="AR59" s="87">
        <f t="shared" si="157"/>
        <v>1</v>
      </c>
      <c r="AS59" s="87">
        <f t="shared" ref="AS59" si="158">SUMPRODUCT(AS60:AS61,$F$60:$F$61)</f>
        <v>1</v>
      </c>
      <c r="AT59" s="87">
        <f t="shared" ref="AT59:BC59" si="159">SUMPRODUCT(AT60:AT61,$F$60:$F$61)</f>
        <v>1</v>
      </c>
      <c r="AU59" s="87">
        <f t="shared" si="159"/>
        <v>1</v>
      </c>
      <c r="AV59" s="87">
        <f t="shared" si="159"/>
        <v>1</v>
      </c>
      <c r="AW59" s="87">
        <f t="shared" si="159"/>
        <v>1</v>
      </c>
      <c r="AX59" s="87">
        <f t="shared" si="159"/>
        <v>1</v>
      </c>
      <c r="AY59" s="87">
        <f t="shared" si="159"/>
        <v>1</v>
      </c>
      <c r="AZ59" s="87">
        <f t="shared" si="159"/>
        <v>1</v>
      </c>
      <c r="BA59" s="87">
        <f t="shared" si="159"/>
        <v>1</v>
      </c>
      <c r="BB59" s="87">
        <f t="shared" si="159"/>
        <v>1</v>
      </c>
      <c r="BC59" s="87">
        <f t="shared" si="159"/>
        <v>1</v>
      </c>
      <c r="BD59" s="87">
        <f t="shared" ref="BD59:BE59" si="160">SUMPRODUCT(BD60:BD61,$F$60:$F$61)</f>
        <v>1</v>
      </c>
      <c r="BE59" s="87">
        <f t="shared" si="160"/>
        <v>1</v>
      </c>
      <c r="BF59" s="87">
        <f t="shared" ref="BF59:BG59" si="161">SUMPRODUCT(BF60:BF61,$F$60:$F$61)</f>
        <v>1</v>
      </c>
      <c r="BG59" s="87">
        <f t="shared" si="161"/>
        <v>1</v>
      </c>
      <c r="BH59" s="87">
        <f t="shared" ref="BH59:BI59" si="162">SUMPRODUCT(BH60:BH61,$F$60:$F$61)</f>
        <v>1</v>
      </c>
      <c r="BI59" s="87">
        <f t="shared" si="162"/>
        <v>1</v>
      </c>
      <c r="BJ59" s="87">
        <f t="shared" ref="BJ59:BK59" si="163">SUMPRODUCT(BJ60:BJ61,$F$60:$F$61)</f>
        <v>1</v>
      </c>
      <c r="BK59" s="87">
        <f t="shared" si="163"/>
        <v>1</v>
      </c>
      <c r="BL59" s="87">
        <f t="shared" ref="BL59:CP59" si="164">SUMPRODUCT(BL60:BL61,$F$60:$F$61)</f>
        <v>1</v>
      </c>
      <c r="BM59" s="87">
        <f t="shared" si="164"/>
        <v>1</v>
      </c>
      <c r="BN59" s="87">
        <f t="shared" si="164"/>
        <v>1</v>
      </c>
      <c r="BO59" s="87">
        <f t="shared" si="164"/>
        <v>1</v>
      </c>
      <c r="BP59" s="87">
        <f t="shared" si="164"/>
        <v>1</v>
      </c>
      <c r="BQ59" s="87">
        <f t="shared" si="164"/>
        <v>1</v>
      </c>
      <c r="BR59" s="87">
        <f t="shared" si="164"/>
        <v>1</v>
      </c>
      <c r="BS59" s="87">
        <f t="shared" si="164"/>
        <v>1</v>
      </c>
      <c r="BT59" s="87">
        <f t="shared" si="164"/>
        <v>1</v>
      </c>
      <c r="BU59" s="87">
        <f t="shared" si="164"/>
        <v>1</v>
      </c>
      <c r="BV59" s="87">
        <f t="shared" si="164"/>
        <v>1</v>
      </c>
      <c r="BW59" s="87">
        <f t="shared" si="164"/>
        <v>1</v>
      </c>
      <c r="BX59" s="87">
        <f t="shared" si="164"/>
        <v>1</v>
      </c>
      <c r="BY59" s="87">
        <f t="shared" si="164"/>
        <v>1</v>
      </c>
      <c r="BZ59" s="87">
        <f t="shared" si="164"/>
        <v>1</v>
      </c>
      <c r="CA59" s="87">
        <f t="shared" si="164"/>
        <v>1</v>
      </c>
      <c r="CB59" s="87">
        <f t="shared" si="164"/>
        <v>1</v>
      </c>
      <c r="CC59" s="87">
        <f t="shared" si="164"/>
        <v>1</v>
      </c>
      <c r="CD59" s="87">
        <f t="shared" si="164"/>
        <v>1</v>
      </c>
      <c r="CE59" s="87">
        <f t="shared" si="164"/>
        <v>1</v>
      </c>
      <c r="CF59" s="87">
        <f t="shared" si="164"/>
        <v>1</v>
      </c>
      <c r="CG59" s="87">
        <f t="shared" si="164"/>
        <v>1</v>
      </c>
      <c r="CH59" s="87">
        <f t="shared" si="164"/>
        <v>1</v>
      </c>
      <c r="CI59" s="87">
        <f t="shared" si="164"/>
        <v>1</v>
      </c>
      <c r="CJ59" s="87">
        <f t="shared" si="164"/>
        <v>1</v>
      </c>
      <c r="CK59" s="87">
        <f t="shared" si="164"/>
        <v>1</v>
      </c>
      <c r="CL59" s="87">
        <f t="shared" si="164"/>
        <v>1</v>
      </c>
      <c r="CM59" s="87">
        <f t="shared" si="164"/>
        <v>1</v>
      </c>
      <c r="CN59" s="87">
        <f t="shared" si="164"/>
        <v>1</v>
      </c>
      <c r="CO59" s="87">
        <f t="shared" si="164"/>
        <v>1</v>
      </c>
      <c r="CP59" s="87">
        <f t="shared" si="164"/>
        <v>1</v>
      </c>
    </row>
    <row r="60" spans="2:94" hidden="1" outlineLevel="2" x14ac:dyDescent="0.4">
      <c r="B60" s="69"/>
      <c r="C60" s="70"/>
      <c r="D60" s="70"/>
      <c r="E60" s="70" t="s">
        <v>110</v>
      </c>
      <c r="F60" s="71">
        <f>EDTN[[#This Row],[Nuevos Pesos]]</f>
        <v>0.25</v>
      </c>
      <c r="H60" s="71">
        <v>0</v>
      </c>
      <c r="I60" s="71">
        <v>0</v>
      </c>
      <c r="J60" s="71">
        <v>0</v>
      </c>
      <c r="K60" s="71">
        <v>0</v>
      </c>
      <c r="L60" s="71">
        <v>0</v>
      </c>
      <c r="M60" s="71">
        <v>0</v>
      </c>
      <c r="N60" s="71">
        <v>0</v>
      </c>
      <c r="O60" s="71">
        <v>0</v>
      </c>
      <c r="P60" s="71">
        <v>0</v>
      </c>
      <c r="Q60" s="71">
        <v>0</v>
      </c>
      <c r="R60" s="71">
        <v>0</v>
      </c>
      <c r="S60" s="71">
        <v>0</v>
      </c>
      <c r="T60" s="71">
        <v>0</v>
      </c>
      <c r="U60" s="71">
        <v>0</v>
      </c>
      <c r="V60" s="71">
        <v>0</v>
      </c>
      <c r="W60" s="71">
        <v>0</v>
      </c>
      <c r="X60" s="71">
        <v>0</v>
      </c>
      <c r="Y60" s="71">
        <v>0</v>
      </c>
      <c r="Z60" s="71">
        <v>0</v>
      </c>
      <c r="AA60" s="71">
        <v>0</v>
      </c>
      <c r="AB60" s="71">
        <v>0</v>
      </c>
      <c r="AC60" s="71">
        <v>0</v>
      </c>
      <c r="AD60" s="71">
        <v>0</v>
      </c>
      <c r="AE60" s="71">
        <v>0</v>
      </c>
      <c r="AF60" s="71">
        <v>0</v>
      </c>
      <c r="AG60" s="71">
        <v>0</v>
      </c>
      <c r="AH60" s="71">
        <v>0</v>
      </c>
      <c r="AI60" s="71">
        <v>0.33333333333333337</v>
      </c>
      <c r="AJ60" s="71">
        <f>+PlanBase39[[#This Row],[10/11/25]]+33.3%</f>
        <v>0.66633333333333333</v>
      </c>
      <c r="AK60" s="71">
        <v>1</v>
      </c>
      <c r="AL60" s="71">
        <v>1</v>
      </c>
      <c r="AM60" s="71">
        <v>1</v>
      </c>
      <c r="AN60" s="71">
        <v>1</v>
      </c>
      <c r="AO60" s="71">
        <v>1</v>
      </c>
      <c r="AP60" s="71">
        <v>1</v>
      </c>
      <c r="AQ60" s="71">
        <v>1</v>
      </c>
      <c r="AR60" s="71">
        <v>1</v>
      </c>
      <c r="AS60" s="71">
        <v>1</v>
      </c>
      <c r="AT60" s="71">
        <v>1</v>
      </c>
      <c r="AU60" s="71">
        <v>1</v>
      </c>
      <c r="AV60" s="71">
        <v>1</v>
      </c>
      <c r="AW60" s="71">
        <v>1</v>
      </c>
      <c r="AX60" s="71">
        <v>1</v>
      </c>
      <c r="AY60" s="71">
        <v>1</v>
      </c>
      <c r="AZ60" s="71">
        <v>1</v>
      </c>
      <c r="BA60" s="71">
        <v>1</v>
      </c>
      <c r="BB60" s="71">
        <v>1</v>
      </c>
      <c r="BC60" s="71">
        <v>1</v>
      </c>
      <c r="BD60" s="71">
        <v>1</v>
      </c>
      <c r="BE60" s="71">
        <v>1</v>
      </c>
      <c r="BF60" s="71">
        <v>1</v>
      </c>
      <c r="BG60" s="71">
        <v>1</v>
      </c>
      <c r="BH60" s="71">
        <v>1</v>
      </c>
      <c r="BI60" s="71">
        <v>1</v>
      </c>
      <c r="BJ60" s="71">
        <v>1</v>
      </c>
      <c r="BK60" s="71">
        <v>1</v>
      </c>
      <c r="BL60" s="71">
        <v>1</v>
      </c>
      <c r="BM60" s="71">
        <v>1</v>
      </c>
      <c r="BN60" s="71">
        <v>1</v>
      </c>
      <c r="BO60" s="71">
        <v>1</v>
      </c>
      <c r="BP60" s="71">
        <v>1</v>
      </c>
      <c r="BQ60" s="71">
        <v>1</v>
      </c>
      <c r="BR60" s="71">
        <v>1</v>
      </c>
      <c r="BS60" s="71">
        <v>1</v>
      </c>
      <c r="BT60" s="71">
        <v>1</v>
      </c>
      <c r="BU60" s="71">
        <v>1</v>
      </c>
      <c r="BV60" s="71">
        <v>1</v>
      </c>
      <c r="BW60" s="71">
        <v>1</v>
      </c>
      <c r="BX60" s="71">
        <v>1</v>
      </c>
      <c r="BY60" s="71">
        <v>1</v>
      </c>
      <c r="BZ60" s="71">
        <v>1</v>
      </c>
      <c r="CA60" s="71">
        <v>1</v>
      </c>
      <c r="CB60" s="71">
        <v>1</v>
      </c>
      <c r="CC60" s="71">
        <v>1</v>
      </c>
      <c r="CD60" s="71">
        <v>1</v>
      </c>
      <c r="CE60" s="71">
        <v>1</v>
      </c>
      <c r="CF60" s="71">
        <v>1</v>
      </c>
      <c r="CG60" s="71">
        <v>1</v>
      </c>
      <c r="CH60" s="71">
        <v>1</v>
      </c>
      <c r="CI60" s="71">
        <v>1</v>
      </c>
      <c r="CJ60" s="71">
        <v>1</v>
      </c>
      <c r="CK60" s="71">
        <v>1</v>
      </c>
      <c r="CL60" s="71">
        <v>1</v>
      </c>
      <c r="CM60" s="71">
        <v>1</v>
      </c>
      <c r="CN60" s="71">
        <v>1</v>
      </c>
      <c r="CO60" s="71">
        <v>1</v>
      </c>
      <c r="CP60" s="71">
        <v>1</v>
      </c>
    </row>
    <row r="61" spans="2:94" hidden="1" outlineLevel="2" x14ac:dyDescent="0.4">
      <c r="B61" s="69"/>
      <c r="C61" s="70"/>
      <c r="D61" s="70"/>
      <c r="E61" s="70" t="s">
        <v>111</v>
      </c>
      <c r="F61" s="71">
        <f>EDTN[[#This Row],[Nuevos Pesos]]</f>
        <v>0.75</v>
      </c>
      <c r="H61" s="71">
        <v>0</v>
      </c>
      <c r="I61" s="71">
        <v>0</v>
      </c>
      <c r="J61" s="71">
        <v>0</v>
      </c>
      <c r="K61" s="71">
        <v>0</v>
      </c>
      <c r="L61" s="71">
        <v>0</v>
      </c>
      <c r="M61" s="71">
        <v>0</v>
      </c>
      <c r="N61" s="71">
        <v>0</v>
      </c>
      <c r="O61" s="71">
        <v>0</v>
      </c>
      <c r="P61" s="71">
        <v>0</v>
      </c>
      <c r="Q61" s="71">
        <v>0</v>
      </c>
      <c r="R61" s="71">
        <v>0</v>
      </c>
      <c r="S61" s="71">
        <v>0</v>
      </c>
      <c r="T61" s="71">
        <v>0</v>
      </c>
      <c r="U61" s="71">
        <v>0</v>
      </c>
      <c r="V61" s="71">
        <v>0</v>
      </c>
      <c r="W61" s="71">
        <v>0</v>
      </c>
      <c r="X61" s="71">
        <v>0</v>
      </c>
      <c r="Y61" s="71">
        <v>0</v>
      </c>
      <c r="Z61" s="71">
        <v>0</v>
      </c>
      <c r="AA61" s="71">
        <v>0</v>
      </c>
      <c r="AB61" s="71">
        <v>0</v>
      </c>
      <c r="AC61" s="71">
        <v>0</v>
      </c>
      <c r="AD61" s="71">
        <v>0</v>
      </c>
      <c r="AE61" s="71">
        <v>0</v>
      </c>
      <c r="AF61" s="71">
        <v>0</v>
      </c>
      <c r="AG61" s="71">
        <v>0</v>
      </c>
      <c r="AH61" s="71">
        <v>0</v>
      </c>
      <c r="AI61" s="71">
        <v>0</v>
      </c>
      <c r="AJ61" s="71">
        <v>0</v>
      </c>
      <c r="AK61" s="71">
        <v>0</v>
      </c>
      <c r="AL61" s="71">
        <v>0</v>
      </c>
      <c r="AM61" s="71">
        <v>0</v>
      </c>
      <c r="AN61" s="71">
        <v>0</v>
      </c>
      <c r="AO61" s="71">
        <v>0.25</v>
      </c>
      <c r="AP61" s="71">
        <v>1</v>
      </c>
      <c r="AQ61" s="71">
        <v>1</v>
      </c>
      <c r="AR61" s="71">
        <v>1</v>
      </c>
      <c r="AS61" s="71">
        <v>1</v>
      </c>
      <c r="AT61" s="71">
        <v>1</v>
      </c>
      <c r="AU61" s="71">
        <v>1</v>
      </c>
      <c r="AV61" s="71">
        <v>1</v>
      </c>
      <c r="AW61" s="71">
        <v>1</v>
      </c>
      <c r="AX61" s="71">
        <v>1</v>
      </c>
      <c r="AY61" s="71">
        <v>1</v>
      </c>
      <c r="AZ61" s="71">
        <v>1</v>
      </c>
      <c r="BA61" s="71">
        <v>1</v>
      </c>
      <c r="BB61" s="71">
        <v>1</v>
      </c>
      <c r="BC61" s="71">
        <v>1</v>
      </c>
      <c r="BD61" s="71">
        <v>1</v>
      </c>
      <c r="BE61" s="71">
        <v>1</v>
      </c>
      <c r="BF61" s="71">
        <v>1</v>
      </c>
      <c r="BG61" s="71">
        <v>1</v>
      </c>
      <c r="BH61" s="71">
        <v>1</v>
      </c>
      <c r="BI61" s="71">
        <v>1</v>
      </c>
      <c r="BJ61" s="71">
        <v>1</v>
      </c>
      <c r="BK61" s="71">
        <v>1</v>
      </c>
      <c r="BL61" s="71">
        <v>1</v>
      </c>
      <c r="BM61" s="71">
        <v>1</v>
      </c>
      <c r="BN61" s="71">
        <v>1</v>
      </c>
      <c r="BO61" s="71">
        <v>1</v>
      </c>
      <c r="BP61" s="71">
        <v>1</v>
      </c>
      <c r="BQ61" s="71">
        <v>1</v>
      </c>
      <c r="BR61" s="71">
        <v>1</v>
      </c>
      <c r="BS61" s="71">
        <v>1</v>
      </c>
      <c r="BT61" s="71">
        <v>1</v>
      </c>
      <c r="BU61" s="71">
        <v>1</v>
      </c>
      <c r="BV61" s="71">
        <v>1</v>
      </c>
      <c r="BW61" s="71">
        <v>1</v>
      </c>
      <c r="BX61" s="71">
        <v>1</v>
      </c>
      <c r="BY61" s="71">
        <v>1</v>
      </c>
      <c r="BZ61" s="71">
        <v>1</v>
      </c>
      <c r="CA61" s="71">
        <v>1</v>
      </c>
      <c r="CB61" s="71">
        <v>1</v>
      </c>
      <c r="CC61" s="71">
        <v>1</v>
      </c>
      <c r="CD61" s="71">
        <v>1</v>
      </c>
      <c r="CE61" s="71">
        <v>1</v>
      </c>
      <c r="CF61" s="71">
        <v>1</v>
      </c>
      <c r="CG61" s="71">
        <v>1</v>
      </c>
      <c r="CH61" s="71">
        <v>1</v>
      </c>
      <c r="CI61" s="71">
        <v>1</v>
      </c>
      <c r="CJ61" s="71">
        <v>1</v>
      </c>
      <c r="CK61" s="71">
        <v>1</v>
      </c>
      <c r="CL61" s="71">
        <v>1</v>
      </c>
      <c r="CM61" s="71">
        <v>1</v>
      </c>
      <c r="CN61" s="71">
        <v>1</v>
      </c>
      <c r="CO61" s="71">
        <v>1</v>
      </c>
      <c r="CP61" s="71">
        <v>1</v>
      </c>
    </row>
    <row r="62" spans="2:94" hidden="1" outlineLevel="1" collapsed="1" x14ac:dyDescent="0.4">
      <c r="B62" s="85"/>
      <c r="C62" s="86"/>
      <c r="D62" s="86" t="s">
        <v>112</v>
      </c>
      <c r="E62" s="86"/>
      <c r="F62" s="87">
        <f>EDTN[[#This Row],[Nuevos Pesos]]</f>
        <v>8.1726407806827425E-2</v>
      </c>
      <c r="H62" s="87">
        <f>SUMPRODUCT(H63:H64,$F$63:$F$64)</f>
        <v>0</v>
      </c>
      <c r="I62" s="87">
        <f t="shared" ref="I62:AP62" si="165">SUMPRODUCT(I63:I64,$F$63:$F$64)</f>
        <v>0</v>
      </c>
      <c r="J62" s="87">
        <f t="shared" si="165"/>
        <v>0</v>
      </c>
      <c r="K62" s="87">
        <f t="shared" si="165"/>
        <v>0</v>
      </c>
      <c r="L62" s="87">
        <f t="shared" si="165"/>
        <v>0</v>
      </c>
      <c r="M62" s="87">
        <f t="shared" si="165"/>
        <v>0</v>
      </c>
      <c r="N62" s="87">
        <f t="shared" si="165"/>
        <v>0</v>
      </c>
      <c r="O62" s="87">
        <f t="shared" si="165"/>
        <v>0</v>
      </c>
      <c r="P62" s="87">
        <f t="shared" si="165"/>
        <v>0</v>
      </c>
      <c r="Q62" s="87">
        <f t="shared" si="165"/>
        <v>0</v>
      </c>
      <c r="R62" s="87">
        <f t="shared" si="165"/>
        <v>0</v>
      </c>
      <c r="S62" s="87">
        <f t="shared" si="165"/>
        <v>0</v>
      </c>
      <c r="T62" s="87">
        <f t="shared" si="165"/>
        <v>0</v>
      </c>
      <c r="U62" s="87">
        <f t="shared" si="165"/>
        <v>0</v>
      </c>
      <c r="V62" s="87">
        <f t="shared" si="165"/>
        <v>0</v>
      </c>
      <c r="W62" s="87">
        <f t="shared" si="165"/>
        <v>4.4400000000000002E-2</v>
      </c>
      <c r="X62" s="87">
        <f t="shared" si="165"/>
        <v>8.8800000000000004E-2</v>
      </c>
      <c r="Y62" s="87">
        <f t="shared" si="165"/>
        <v>0.13319999999999999</v>
      </c>
      <c r="Z62" s="87">
        <f t="shared" si="165"/>
        <v>0.17760000000000001</v>
      </c>
      <c r="AA62" s="87">
        <f t="shared" si="165"/>
        <v>0.13084444444444446</v>
      </c>
      <c r="AB62" s="87">
        <f t="shared" si="165"/>
        <v>0.39480244444444446</v>
      </c>
      <c r="AC62" s="87">
        <f t="shared" si="165"/>
        <v>0.48116044444444439</v>
      </c>
      <c r="AD62" s="87">
        <f t="shared" si="165"/>
        <v>0.56751844444444444</v>
      </c>
      <c r="AE62" s="87">
        <f t="shared" si="165"/>
        <v>0.65387644444444448</v>
      </c>
      <c r="AF62" s="87">
        <f t="shared" si="165"/>
        <v>0.74023444444444442</v>
      </c>
      <c r="AG62" s="87">
        <f t="shared" si="165"/>
        <v>0.82659244444444446</v>
      </c>
      <c r="AH62" s="87">
        <f t="shared" si="165"/>
        <v>0.9129504444444444</v>
      </c>
      <c r="AI62" s="87">
        <f t="shared" si="165"/>
        <v>0.99930844444444444</v>
      </c>
      <c r="AJ62" s="87">
        <f t="shared" si="165"/>
        <v>1</v>
      </c>
      <c r="AK62" s="87">
        <f t="shared" si="165"/>
        <v>1</v>
      </c>
      <c r="AL62" s="87">
        <f t="shared" si="165"/>
        <v>1</v>
      </c>
      <c r="AM62" s="87">
        <f t="shared" si="165"/>
        <v>1</v>
      </c>
      <c r="AN62" s="87">
        <f t="shared" si="165"/>
        <v>1</v>
      </c>
      <c r="AO62" s="87">
        <f t="shared" si="165"/>
        <v>1</v>
      </c>
      <c r="AP62" s="87">
        <f t="shared" si="165"/>
        <v>1</v>
      </c>
      <c r="AQ62" s="87">
        <f t="shared" ref="AQ62:AR62" si="166">SUMPRODUCT(AQ63:AQ64,$F$63:$F$64)</f>
        <v>1</v>
      </c>
      <c r="AR62" s="87">
        <f t="shared" si="166"/>
        <v>1</v>
      </c>
      <c r="AS62" s="87">
        <f t="shared" ref="AS62" si="167">SUMPRODUCT(AS63:AS64,$F$63:$F$64)</f>
        <v>1</v>
      </c>
      <c r="AT62" s="87">
        <f t="shared" ref="AT62:BC62" si="168">SUMPRODUCT(AT63:AT64,$F$63:$F$64)</f>
        <v>1</v>
      </c>
      <c r="AU62" s="87">
        <f t="shared" si="168"/>
        <v>1</v>
      </c>
      <c r="AV62" s="87">
        <f t="shared" si="168"/>
        <v>1</v>
      </c>
      <c r="AW62" s="87">
        <f t="shared" si="168"/>
        <v>1</v>
      </c>
      <c r="AX62" s="87">
        <f t="shared" si="168"/>
        <v>1</v>
      </c>
      <c r="AY62" s="87">
        <f t="shared" si="168"/>
        <v>1</v>
      </c>
      <c r="AZ62" s="87">
        <f t="shared" si="168"/>
        <v>1</v>
      </c>
      <c r="BA62" s="87">
        <f t="shared" si="168"/>
        <v>1</v>
      </c>
      <c r="BB62" s="87">
        <f t="shared" si="168"/>
        <v>1</v>
      </c>
      <c r="BC62" s="87">
        <f t="shared" si="168"/>
        <v>1</v>
      </c>
      <c r="BD62" s="87">
        <f t="shared" ref="BD62:BE62" si="169">SUMPRODUCT(BD63:BD64,$F$63:$F$64)</f>
        <v>1</v>
      </c>
      <c r="BE62" s="87">
        <f t="shared" si="169"/>
        <v>1</v>
      </c>
      <c r="BF62" s="87">
        <f t="shared" ref="BF62:BG62" si="170">SUMPRODUCT(BF63:BF64,$F$63:$F$64)</f>
        <v>1</v>
      </c>
      <c r="BG62" s="87">
        <f t="shared" si="170"/>
        <v>1</v>
      </c>
      <c r="BH62" s="87">
        <f t="shared" ref="BH62:BI62" si="171">SUMPRODUCT(BH63:BH64,$F$63:$F$64)</f>
        <v>1</v>
      </c>
      <c r="BI62" s="87">
        <f t="shared" si="171"/>
        <v>1</v>
      </c>
      <c r="BJ62" s="87">
        <f t="shared" ref="BJ62:BK62" si="172">SUMPRODUCT(BJ63:BJ64,$F$63:$F$64)</f>
        <v>1</v>
      </c>
      <c r="BK62" s="87">
        <f t="shared" si="172"/>
        <v>1</v>
      </c>
      <c r="BL62" s="87">
        <f t="shared" ref="BL62:CP62" si="173">SUMPRODUCT(BL63:BL64,$F$63:$F$64)</f>
        <v>1</v>
      </c>
      <c r="BM62" s="87">
        <f t="shared" si="173"/>
        <v>1</v>
      </c>
      <c r="BN62" s="87">
        <f t="shared" si="173"/>
        <v>1</v>
      </c>
      <c r="BO62" s="87">
        <f t="shared" si="173"/>
        <v>1</v>
      </c>
      <c r="BP62" s="87">
        <f t="shared" si="173"/>
        <v>1</v>
      </c>
      <c r="BQ62" s="87">
        <f t="shared" si="173"/>
        <v>1</v>
      </c>
      <c r="BR62" s="87">
        <f t="shared" si="173"/>
        <v>1</v>
      </c>
      <c r="BS62" s="87">
        <f t="shared" si="173"/>
        <v>1</v>
      </c>
      <c r="BT62" s="87">
        <f t="shared" si="173"/>
        <v>1</v>
      </c>
      <c r="BU62" s="87">
        <f t="shared" si="173"/>
        <v>1</v>
      </c>
      <c r="BV62" s="87">
        <f t="shared" si="173"/>
        <v>1</v>
      </c>
      <c r="BW62" s="87">
        <f t="shared" si="173"/>
        <v>1</v>
      </c>
      <c r="BX62" s="87">
        <f t="shared" si="173"/>
        <v>1</v>
      </c>
      <c r="BY62" s="87">
        <f t="shared" si="173"/>
        <v>1</v>
      </c>
      <c r="BZ62" s="87">
        <f t="shared" si="173"/>
        <v>1</v>
      </c>
      <c r="CA62" s="87">
        <f t="shared" si="173"/>
        <v>1</v>
      </c>
      <c r="CB62" s="87">
        <f t="shared" si="173"/>
        <v>1</v>
      </c>
      <c r="CC62" s="87">
        <f t="shared" si="173"/>
        <v>1</v>
      </c>
      <c r="CD62" s="87">
        <f t="shared" si="173"/>
        <v>1</v>
      </c>
      <c r="CE62" s="87">
        <f t="shared" si="173"/>
        <v>1</v>
      </c>
      <c r="CF62" s="87">
        <f t="shared" si="173"/>
        <v>1</v>
      </c>
      <c r="CG62" s="87">
        <f t="shared" si="173"/>
        <v>1</v>
      </c>
      <c r="CH62" s="87">
        <f t="shared" si="173"/>
        <v>1</v>
      </c>
      <c r="CI62" s="87">
        <f t="shared" si="173"/>
        <v>1</v>
      </c>
      <c r="CJ62" s="87">
        <f t="shared" si="173"/>
        <v>1</v>
      </c>
      <c r="CK62" s="87">
        <f t="shared" si="173"/>
        <v>1</v>
      </c>
      <c r="CL62" s="87">
        <f t="shared" si="173"/>
        <v>1</v>
      </c>
      <c r="CM62" s="87">
        <f t="shared" si="173"/>
        <v>1</v>
      </c>
      <c r="CN62" s="87">
        <f t="shared" si="173"/>
        <v>1</v>
      </c>
      <c r="CO62" s="87">
        <f t="shared" si="173"/>
        <v>1</v>
      </c>
      <c r="CP62" s="87">
        <f t="shared" si="173"/>
        <v>1</v>
      </c>
    </row>
    <row r="63" spans="2:94" hidden="1" outlineLevel="2" x14ac:dyDescent="0.4">
      <c r="B63" s="69"/>
      <c r="C63" s="70"/>
      <c r="D63" s="70"/>
      <c r="E63" s="70" t="s">
        <v>113</v>
      </c>
      <c r="F63" s="71">
        <f>EDTN[[#This Row],[Nuevos Pesos]]</f>
        <v>0.222</v>
      </c>
      <c r="H63" s="71">
        <v>0</v>
      </c>
      <c r="I63" s="71">
        <v>0</v>
      </c>
      <c r="J63" s="71">
        <v>0</v>
      </c>
      <c r="K63" s="71">
        <v>0</v>
      </c>
      <c r="L63" s="71">
        <v>0</v>
      </c>
      <c r="M63" s="71">
        <v>0</v>
      </c>
      <c r="N63" s="71">
        <v>0</v>
      </c>
      <c r="O63" s="71">
        <v>0</v>
      </c>
      <c r="P63" s="71">
        <v>0</v>
      </c>
      <c r="Q63" s="71">
        <v>0</v>
      </c>
      <c r="R63" s="71">
        <v>0</v>
      </c>
      <c r="S63" s="71">
        <v>0</v>
      </c>
      <c r="T63" s="71">
        <v>0</v>
      </c>
      <c r="U63" s="71">
        <v>0</v>
      </c>
      <c r="V63" s="71">
        <v>0</v>
      </c>
      <c r="W63" s="71">
        <v>0.2</v>
      </c>
      <c r="X63" s="71">
        <v>0.4</v>
      </c>
      <c r="Y63" s="71">
        <v>0.6</v>
      </c>
      <c r="Z63" s="71">
        <v>0.8</v>
      </c>
      <c r="AA63" s="71">
        <v>0.2</v>
      </c>
      <c r="AB63" s="71">
        <v>1</v>
      </c>
      <c r="AC63" s="71">
        <v>1</v>
      </c>
      <c r="AD63" s="71">
        <v>1</v>
      </c>
      <c r="AE63" s="71">
        <v>1</v>
      </c>
      <c r="AF63" s="71">
        <v>1</v>
      </c>
      <c r="AG63" s="71">
        <v>1</v>
      </c>
      <c r="AH63" s="71">
        <v>1</v>
      </c>
      <c r="AI63" s="71">
        <v>1</v>
      </c>
      <c r="AJ63" s="71">
        <v>1</v>
      </c>
      <c r="AK63" s="71">
        <v>1</v>
      </c>
      <c r="AL63" s="71">
        <v>1</v>
      </c>
      <c r="AM63" s="71">
        <v>1</v>
      </c>
      <c r="AN63" s="71">
        <v>1</v>
      </c>
      <c r="AO63" s="71">
        <v>1</v>
      </c>
      <c r="AP63" s="71">
        <v>1</v>
      </c>
      <c r="AQ63" s="71">
        <v>1</v>
      </c>
      <c r="AR63" s="71">
        <v>1</v>
      </c>
      <c r="AS63" s="71">
        <v>1</v>
      </c>
      <c r="AT63" s="71">
        <v>1</v>
      </c>
      <c r="AU63" s="71">
        <v>1</v>
      </c>
      <c r="AV63" s="71">
        <v>1</v>
      </c>
      <c r="AW63" s="71">
        <v>1</v>
      </c>
      <c r="AX63" s="71">
        <v>1</v>
      </c>
      <c r="AY63" s="71">
        <v>1</v>
      </c>
      <c r="AZ63" s="71">
        <v>1</v>
      </c>
      <c r="BA63" s="71">
        <v>1</v>
      </c>
      <c r="BB63" s="71">
        <v>1</v>
      </c>
      <c r="BC63" s="71">
        <v>1</v>
      </c>
      <c r="BD63" s="71">
        <v>1</v>
      </c>
      <c r="BE63" s="71">
        <v>1</v>
      </c>
      <c r="BF63" s="71">
        <v>1</v>
      </c>
      <c r="BG63" s="71">
        <v>1</v>
      </c>
      <c r="BH63" s="71">
        <v>1</v>
      </c>
      <c r="BI63" s="71">
        <v>1</v>
      </c>
      <c r="BJ63" s="71">
        <v>1</v>
      </c>
      <c r="BK63" s="71">
        <v>1</v>
      </c>
      <c r="BL63" s="71">
        <v>1</v>
      </c>
      <c r="BM63" s="71">
        <v>1</v>
      </c>
      <c r="BN63" s="71">
        <v>1</v>
      </c>
      <c r="BO63" s="71">
        <v>1</v>
      </c>
      <c r="BP63" s="71">
        <v>1</v>
      </c>
      <c r="BQ63" s="71">
        <v>1</v>
      </c>
      <c r="BR63" s="71">
        <v>1</v>
      </c>
      <c r="BS63" s="71">
        <v>1</v>
      </c>
      <c r="BT63" s="71">
        <v>1</v>
      </c>
      <c r="BU63" s="71">
        <v>1</v>
      </c>
      <c r="BV63" s="71">
        <v>1</v>
      </c>
      <c r="BW63" s="71">
        <v>1</v>
      </c>
      <c r="BX63" s="71">
        <v>1</v>
      </c>
      <c r="BY63" s="71">
        <v>1</v>
      </c>
      <c r="BZ63" s="71">
        <v>1</v>
      </c>
      <c r="CA63" s="71">
        <v>1</v>
      </c>
      <c r="CB63" s="71">
        <v>1</v>
      </c>
      <c r="CC63" s="71">
        <v>1</v>
      </c>
      <c r="CD63" s="71">
        <v>1</v>
      </c>
      <c r="CE63" s="71">
        <v>1</v>
      </c>
      <c r="CF63" s="71">
        <v>1</v>
      </c>
      <c r="CG63" s="71">
        <v>1</v>
      </c>
      <c r="CH63" s="71">
        <v>1</v>
      </c>
      <c r="CI63" s="71">
        <v>1</v>
      </c>
      <c r="CJ63" s="71">
        <v>1</v>
      </c>
      <c r="CK63" s="71">
        <v>1</v>
      </c>
      <c r="CL63" s="71">
        <v>1</v>
      </c>
      <c r="CM63" s="71">
        <v>1</v>
      </c>
      <c r="CN63" s="71">
        <v>1</v>
      </c>
      <c r="CO63" s="71">
        <v>1</v>
      </c>
      <c r="CP63" s="71">
        <v>1</v>
      </c>
    </row>
    <row r="64" spans="2:94" hidden="1" outlineLevel="2" x14ac:dyDescent="0.4">
      <c r="B64" s="69"/>
      <c r="C64" s="70"/>
      <c r="D64" s="70"/>
      <c r="E64" s="70" t="s">
        <v>114</v>
      </c>
      <c r="F64" s="71">
        <f>EDTN[[#This Row],[Nuevos Pesos]]</f>
        <v>0.77800000000000002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0.1111111111111111</v>
      </c>
      <c r="AB64" s="71">
        <f>+PlanBase39[[#This Row],[15/09/25]]+11.1%</f>
        <v>0.22211111111111109</v>
      </c>
      <c r="AC64" s="71">
        <f>+PlanBase39[[#This Row],[22/09/25]]+11.1%</f>
        <v>0.33311111111111108</v>
      </c>
      <c r="AD64" s="71">
        <f>+PlanBase39[[#This Row],[29/09/25]]+11.1%</f>
        <v>0.44411111111111107</v>
      </c>
      <c r="AE64" s="71">
        <f>+PlanBase39[[#This Row],[06/10/25]]+11.1%</f>
        <v>0.55511111111111111</v>
      </c>
      <c r="AF64" s="71">
        <f>+PlanBase39[[#This Row],[13/10/25]]+11.1%</f>
        <v>0.6661111111111111</v>
      </c>
      <c r="AG64" s="71">
        <f>+PlanBase39[[#This Row],[20/10/25]]+11.1%</f>
        <v>0.77711111111111109</v>
      </c>
      <c r="AH64" s="71">
        <f>+PlanBase39[[#This Row],[27/10/25]]+11.1%</f>
        <v>0.88811111111111107</v>
      </c>
      <c r="AI64" s="71">
        <f>+PlanBase39[[#This Row],[03/11/25]]+11.1%</f>
        <v>0.99911111111111106</v>
      </c>
      <c r="AJ64" s="71">
        <v>1</v>
      </c>
      <c r="AK64" s="71">
        <v>1</v>
      </c>
      <c r="AL64" s="71">
        <v>1</v>
      </c>
      <c r="AM64" s="71">
        <v>1</v>
      </c>
      <c r="AN64" s="71">
        <v>1</v>
      </c>
      <c r="AO64" s="71">
        <v>1</v>
      </c>
      <c r="AP64" s="71">
        <v>1</v>
      </c>
      <c r="AQ64" s="71">
        <v>1</v>
      </c>
      <c r="AR64" s="71">
        <v>1</v>
      </c>
      <c r="AS64" s="71">
        <v>1</v>
      </c>
      <c r="AT64" s="71">
        <v>1</v>
      </c>
      <c r="AU64" s="71">
        <v>1</v>
      </c>
      <c r="AV64" s="71">
        <v>1</v>
      </c>
      <c r="AW64" s="71">
        <v>1</v>
      </c>
      <c r="AX64" s="71">
        <v>1</v>
      </c>
      <c r="AY64" s="71">
        <v>1</v>
      </c>
      <c r="AZ64" s="71">
        <v>1</v>
      </c>
      <c r="BA64" s="71">
        <v>1</v>
      </c>
      <c r="BB64" s="71">
        <v>1</v>
      </c>
      <c r="BC64" s="71">
        <v>1</v>
      </c>
      <c r="BD64" s="71">
        <v>1</v>
      </c>
      <c r="BE64" s="71">
        <v>1</v>
      </c>
      <c r="BF64" s="71">
        <v>1</v>
      </c>
      <c r="BG64" s="71">
        <v>1</v>
      </c>
      <c r="BH64" s="71">
        <v>1</v>
      </c>
      <c r="BI64" s="71">
        <v>1</v>
      </c>
      <c r="BJ64" s="71">
        <v>1</v>
      </c>
      <c r="BK64" s="71">
        <v>1</v>
      </c>
      <c r="BL64" s="71">
        <v>1</v>
      </c>
      <c r="BM64" s="71">
        <v>1</v>
      </c>
      <c r="BN64" s="71">
        <v>1</v>
      </c>
      <c r="BO64" s="71">
        <v>1</v>
      </c>
      <c r="BP64" s="71">
        <v>1</v>
      </c>
      <c r="BQ64" s="71">
        <v>1</v>
      </c>
      <c r="BR64" s="71">
        <v>1</v>
      </c>
      <c r="BS64" s="71">
        <v>1</v>
      </c>
      <c r="BT64" s="71">
        <v>1</v>
      </c>
      <c r="BU64" s="71">
        <v>1</v>
      </c>
      <c r="BV64" s="71">
        <v>1</v>
      </c>
      <c r="BW64" s="71">
        <v>1</v>
      </c>
      <c r="BX64" s="71">
        <v>1</v>
      </c>
      <c r="BY64" s="71">
        <v>1</v>
      </c>
      <c r="BZ64" s="71">
        <v>1</v>
      </c>
      <c r="CA64" s="71">
        <v>1</v>
      </c>
      <c r="CB64" s="71">
        <v>1</v>
      </c>
      <c r="CC64" s="71">
        <v>1</v>
      </c>
      <c r="CD64" s="71">
        <v>1</v>
      </c>
      <c r="CE64" s="71">
        <v>1</v>
      </c>
      <c r="CF64" s="71">
        <v>1</v>
      </c>
      <c r="CG64" s="71">
        <v>1</v>
      </c>
      <c r="CH64" s="71">
        <v>1</v>
      </c>
      <c r="CI64" s="71">
        <v>1</v>
      </c>
      <c r="CJ64" s="71">
        <v>1</v>
      </c>
      <c r="CK64" s="71">
        <v>1</v>
      </c>
      <c r="CL64" s="71">
        <v>1</v>
      </c>
      <c r="CM64" s="71">
        <v>1</v>
      </c>
      <c r="CN64" s="71">
        <v>1</v>
      </c>
      <c r="CO64" s="71">
        <v>1</v>
      </c>
      <c r="CP64" s="71">
        <v>1</v>
      </c>
    </row>
    <row r="65" spans="2:94" hidden="1" outlineLevel="1" collapsed="1" x14ac:dyDescent="0.4">
      <c r="B65" s="85"/>
      <c r="C65" s="86"/>
      <c r="D65" s="86" t="s">
        <v>115</v>
      </c>
      <c r="E65" s="86"/>
      <c r="F65" s="87">
        <f>EDTN[[#This Row],[Nuevos Pesos]]</f>
        <v>0.24500366121311851</v>
      </c>
      <c r="H65" s="87">
        <f>SUMPRODUCT(H66:H67,$F$66:$F$67)</f>
        <v>0</v>
      </c>
      <c r="I65" s="87">
        <f t="shared" ref="I65:AP65" si="174">SUMPRODUCT(I66:I67,$F$66:$F$67)</f>
        <v>0</v>
      </c>
      <c r="J65" s="87">
        <f t="shared" si="174"/>
        <v>0</v>
      </c>
      <c r="K65" s="87">
        <f t="shared" si="174"/>
        <v>0</v>
      </c>
      <c r="L65" s="87">
        <f t="shared" si="174"/>
        <v>0</v>
      </c>
      <c r="M65" s="87">
        <f t="shared" si="174"/>
        <v>0</v>
      </c>
      <c r="N65" s="87">
        <f t="shared" si="174"/>
        <v>0</v>
      </c>
      <c r="O65" s="87">
        <f t="shared" si="174"/>
        <v>0</v>
      </c>
      <c r="P65" s="87">
        <f t="shared" si="174"/>
        <v>0</v>
      </c>
      <c r="Q65" s="87">
        <f t="shared" si="174"/>
        <v>0</v>
      </c>
      <c r="R65" s="87">
        <f t="shared" si="174"/>
        <v>0</v>
      </c>
      <c r="S65" s="87">
        <f t="shared" si="174"/>
        <v>0</v>
      </c>
      <c r="T65" s="87">
        <f t="shared" si="174"/>
        <v>0</v>
      </c>
      <c r="U65" s="87">
        <f t="shared" si="174"/>
        <v>0</v>
      </c>
      <c r="V65" s="87">
        <f t="shared" si="174"/>
        <v>0</v>
      </c>
      <c r="W65" s="87">
        <f t="shared" si="174"/>
        <v>0</v>
      </c>
      <c r="X65" s="87">
        <f t="shared" si="174"/>
        <v>0</v>
      </c>
      <c r="Y65" s="87">
        <f t="shared" si="174"/>
        <v>0</v>
      </c>
      <c r="Z65" s="87">
        <f t="shared" si="174"/>
        <v>0</v>
      </c>
      <c r="AA65" s="87">
        <f t="shared" si="174"/>
        <v>0</v>
      </c>
      <c r="AB65" s="87">
        <f t="shared" si="174"/>
        <v>0</v>
      </c>
      <c r="AC65" s="87">
        <f t="shared" si="174"/>
        <v>0.11062835881923658</v>
      </c>
      <c r="AD65" s="87">
        <f t="shared" si="174"/>
        <v>0.22147797435611161</v>
      </c>
      <c r="AE65" s="87">
        <f t="shared" si="174"/>
        <v>0.33232758989298661</v>
      </c>
      <c r="AF65" s="87">
        <f t="shared" si="174"/>
        <v>0.51042317484677779</v>
      </c>
      <c r="AG65" s="87">
        <f t="shared" si="174"/>
        <v>0.68851875980056898</v>
      </c>
      <c r="AH65" s="87">
        <f t="shared" si="174"/>
        <v>0.86550806116616774</v>
      </c>
      <c r="AI65" s="87">
        <f t="shared" si="174"/>
        <v>0.93275403058308393</v>
      </c>
      <c r="AJ65" s="87">
        <f t="shared" si="174"/>
        <v>1</v>
      </c>
      <c r="AK65" s="87">
        <f t="shared" si="174"/>
        <v>1</v>
      </c>
      <c r="AL65" s="87">
        <f t="shared" si="174"/>
        <v>1</v>
      </c>
      <c r="AM65" s="87">
        <f t="shared" si="174"/>
        <v>1</v>
      </c>
      <c r="AN65" s="87">
        <f t="shared" si="174"/>
        <v>1</v>
      </c>
      <c r="AO65" s="87">
        <f t="shared" si="174"/>
        <v>1</v>
      </c>
      <c r="AP65" s="87">
        <f t="shared" si="174"/>
        <v>1</v>
      </c>
      <c r="AQ65" s="87">
        <f t="shared" ref="AQ65:AR65" si="175">SUMPRODUCT(AQ66:AQ67,$F$66:$F$67)</f>
        <v>1</v>
      </c>
      <c r="AR65" s="87">
        <f t="shared" si="175"/>
        <v>1</v>
      </c>
      <c r="AS65" s="87">
        <f t="shared" ref="AS65" si="176">SUMPRODUCT(AS66:AS67,$F$66:$F$67)</f>
        <v>1</v>
      </c>
      <c r="AT65" s="87">
        <f t="shared" ref="AT65:BC65" si="177">SUMPRODUCT(AT66:AT67,$F$66:$F$67)</f>
        <v>1</v>
      </c>
      <c r="AU65" s="87">
        <f t="shared" si="177"/>
        <v>1</v>
      </c>
      <c r="AV65" s="87">
        <f t="shared" si="177"/>
        <v>1</v>
      </c>
      <c r="AW65" s="87">
        <f t="shared" si="177"/>
        <v>1</v>
      </c>
      <c r="AX65" s="87">
        <f t="shared" si="177"/>
        <v>1</v>
      </c>
      <c r="AY65" s="87">
        <f t="shared" si="177"/>
        <v>1</v>
      </c>
      <c r="AZ65" s="87">
        <f t="shared" si="177"/>
        <v>1</v>
      </c>
      <c r="BA65" s="87">
        <f t="shared" si="177"/>
        <v>1</v>
      </c>
      <c r="BB65" s="87">
        <f t="shared" si="177"/>
        <v>1</v>
      </c>
      <c r="BC65" s="87">
        <f t="shared" si="177"/>
        <v>1</v>
      </c>
      <c r="BD65" s="87">
        <f t="shared" ref="BD65:BE65" si="178">SUMPRODUCT(BD66:BD67,$F$66:$F$67)</f>
        <v>1</v>
      </c>
      <c r="BE65" s="87">
        <f t="shared" si="178"/>
        <v>1</v>
      </c>
      <c r="BF65" s="87">
        <f t="shared" ref="BF65:BG65" si="179">SUMPRODUCT(BF66:BF67,$F$66:$F$67)</f>
        <v>1</v>
      </c>
      <c r="BG65" s="87">
        <f t="shared" si="179"/>
        <v>1</v>
      </c>
      <c r="BH65" s="87">
        <f t="shared" ref="BH65:BI65" si="180">SUMPRODUCT(BH66:BH67,$F$66:$F$67)</f>
        <v>1</v>
      </c>
      <c r="BI65" s="87">
        <f t="shared" si="180"/>
        <v>1</v>
      </c>
      <c r="BJ65" s="87">
        <f t="shared" ref="BJ65:BK65" si="181">SUMPRODUCT(BJ66:BJ67,$F$66:$F$67)</f>
        <v>1</v>
      </c>
      <c r="BK65" s="87">
        <f t="shared" si="181"/>
        <v>1</v>
      </c>
      <c r="BL65" s="87">
        <f t="shared" ref="BL65:CP65" si="182">SUMPRODUCT(BL66:BL67,$F$66:$F$67)</f>
        <v>1</v>
      </c>
      <c r="BM65" s="87">
        <f t="shared" si="182"/>
        <v>1</v>
      </c>
      <c r="BN65" s="87">
        <f t="shared" si="182"/>
        <v>1</v>
      </c>
      <c r="BO65" s="87">
        <f t="shared" si="182"/>
        <v>1</v>
      </c>
      <c r="BP65" s="87">
        <f t="shared" si="182"/>
        <v>1</v>
      </c>
      <c r="BQ65" s="87">
        <f t="shared" si="182"/>
        <v>1</v>
      </c>
      <c r="BR65" s="87">
        <f t="shared" si="182"/>
        <v>1</v>
      </c>
      <c r="BS65" s="87">
        <f t="shared" si="182"/>
        <v>1</v>
      </c>
      <c r="BT65" s="87">
        <f t="shared" si="182"/>
        <v>1</v>
      </c>
      <c r="BU65" s="87">
        <f t="shared" si="182"/>
        <v>1</v>
      </c>
      <c r="BV65" s="87">
        <f t="shared" si="182"/>
        <v>1</v>
      </c>
      <c r="BW65" s="87">
        <f t="shared" si="182"/>
        <v>1</v>
      </c>
      <c r="BX65" s="87">
        <f t="shared" si="182"/>
        <v>1</v>
      </c>
      <c r="BY65" s="87">
        <f t="shared" si="182"/>
        <v>1</v>
      </c>
      <c r="BZ65" s="87">
        <f t="shared" si="182"/>
        <v>1</v>
      </c>
      <c r="CA65" s="87">
        <f t="shared" si="182"/>
        <v>1</v>
      </c>
      <c r="CB65" s="87">
        <f t="shared" si="182"/>
        <v>1</v>
      </c>
      <c r="CC65" s="87">
        <f t="shared" si="182"/>
        <v>1</v>
      </c>
      <c r="CD65" s="87">
        <f t="shared" si="182"/>
        <v>1</v>
      </c>
      <c r="CE65" s="87">
        <f t="shared" si="182"/>
        <v>1</v>
      </c>
      <c r="CF65" s="87">
        <f t="shared" si="182"/>
        <v>1</v>
      </c>
      <c r="CG65" s="87">
        <f t="shared" si="182"/>
        <v>1</v>
      </c>
      <c r="CH65" s="87">
        <f t="shared" si="182"/>
        <v>1</v>
      </c>
      <c r="CI65" s="87">
        <f t="shared" si="182"/>
        <v>1</v>
      </c>
      <c r="CJ65" s="87">
        <f t="shared" si="182"/>
        <v>1</v>
      </c>
      <c r="CK65" s="87">
        <f t="shared" si="182"/>
        <v>1</v>
      </c>
      <c r="CL65" s="87">
        <f t="shared" si="182"/>
        <v>1</v>
      </c>
      <c r="CM65" s="87">
        <f t="shared" si="182"/>
        <v>1</v>
      </c>
      <c r="CN65" s="87">
        <f t="shared" si="182"/>
        <v>1</v>
      </c>
      <c r="CO65" s="87">
        <f t="shared" si="182"/>
        <v>1</v>
      </c>
      <c r="CP65" s="87">
        <f t="shared" si="182"/>
        <v>1</v>
      </c>
    </row>
    <row r="66" spans="2:94" hidden="1" outlineLevel="2" x14ac:dyDescent="0.4">
      <c r="B66" s="69"/>
      <c r="C66" s="70"/>
      <c r="D66" s="70"/>
      <c r="E66" s="70" t="s">
        <v>116</v>
      </c>
      <c r="F66" s="71">
        <f>EDTN[[#This Row],[Nuevos Pesos]]</f>
        <v>0.66377015291541941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0</v>
      </c>
      <c r="S66" s="71">
        <v>0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0.16666666666666669</v>
      </c>
      <c r="AD66" s="71">
        <f>+PlanBase39[[#This Row],[29/09/25]]+16.7%</f>
        <v>0.33366666666666667</v>
      </c>
      <c r="AE66" s="71">
        <f>+PlanBase39[[#This Row],[06/10/25]]+16.7%</f>
        <v>0.50066666666666659</v>
      </c>
      <c r="AF66" s="71">
        <f>+PlanBase39[[#This Row],[13/10/25]]+16.7%</f>
        <v>0.66766666666666663</v>
      </c>
      <c r="AG66" s="71">
        <f>+PlanBase39[[#This Row],[20/10/25]]+16.7%</f>
        <v>0.83466666666666667</v>
      </c>
      <c r="AH66" s="71">
        <v>1</v>
      </c>
      <c r="AI66" s="71">
        <v>1</v>
      </c>
      <c r="AJ66" s="71">
        <v>1</v>
      </c>
      <c r="AK66" s="71">
        <v>1</v>
      </c>
      <c r="AL66" s="71">
        <v>1</v>
      </c>
      <c r="AM66" s="71">
        <v>1</v>
      </c>
      <c r="AN66" s="71">
        <v>1</v>
      </c>
      <c r="AO66" s="71">
        <v>1</v>
      </c>
      <c r="AP66" s="71">
        <v>1</v>
      </c>
      <c r="AQ66" s="71">
        <v>1</v>
      </c>
      <c r="AR66" s="71">
        <v>1</v>
      </c>
      <c r="AS66" s="71">
        <v>1</v>
      </c>
      <c r="AT66" s="71">
        <v>1</v>
      </c>
      <c r="AU66" s="71">
        <v>1</v>
      </c>
      <c r="AV66" s="71">
        <v>1</v>
      </c>
      <c r="AW66" s="71">
        <v>1</v>
      </c>
      <c r="AX66" s="71">
        <v>1</v>
      </c>
      <c r="AY66" s="71">
        <v>1</v>
      </c>
      <c r="AZ66" s="71">
        <v>1</v>
      </c>
      <c r="BA66" s="71">
        <v>1</v>
      </c>
      <c r="BB66" s="71">
        <v>1</v>
      </c>
      <c r="BC66" s="71">
        <v>1</v>
      </c>
      <c r="BD66" s="71">
        <v>1</v>
      </c>
      <c r="BE66" s="71">
        <v>1</v>
      </c>
      <c r="BF66" s="71">
        <v>1</v>
      </c>
      <c r="BG66" s="71">
        <v>1</v>
      </c>
      <c r="BH66" s="71">
        <v>1</v>
      </c>
      <c r="BI66" s="71">
        <v>1</v>
      </c>
      <c r="BJ66" s="71">
        <v>1</v>
      </c>
      <c r="BK66" s="71">
        <v>1</v>
      </c>
      <c r="BL66" s="71">
        <v>1</v>
      </c>
      <c r="BM66" s="71">
        <v>1</v>
      </c>
      <c r="BN66" s="71">
        <v>1</v>
      </c>
      <c r="BO66" s="71">
        <v>1</v>
      </c>
      <c r="BP66" s="71">
        <v>1</v>
      </c>
      <c r="BQ66" s="71">
        <v>1</v>
      </c>
      <c r="BR66" s="71">
        <v>1</v>
      </c>
      <c r="BS66" s="71">
        <v>1</v>
      </c>
      <c r="BT66" s="71">
        <v>1</v>
      </c>
      <c r="BU66" s="71">
        <v>1</v>
      </c>
      <c r="BV66" s="71">
        <v>1</v>
      </c>
      <c r="BW66" s="71">
        <v>1</v>
      </c>
      <c r="BX66" s="71">
        <v>1</v>
      </c>
      <c r="BY66" s="71">
        <v>1</v>
      </c>
      <c r="BZ66" s="71">
        <v>1</v>
      </c>
      <c r="CA66" s="71">
        <v>1</v>
      </c>
      <c r="CB66" s="71">
        <v>1</v>
      </c>
      <c r="CC66" s="71">
        <v>1</v>
      </c>
      <c r="CD66" s="71">
        <v>1</v>
      </c>
      <c r="CE66" s="71">
        <v>1</v>
      </c>
      <c r="CF66" s="71">
        <v>1</v>
      </c>
      <c r="CG66" s="71">
        <v>1</v>
      </c>
      <c r="CH66" s="71">
        <v>1</v>
      </c>
      <c r="CI66" s="71">
        <v>1</v>
      </c>
      <c r="CJ66" s="71">
        <v>1</v>
      </c>
      <c r="CK66" s="71">
        <v>1</v>
      </c>
      <c r="CL66" s="71">
        <v>1</v>
      </c>
      <c r="CM66" s="71">
        <v>1</v>
      </c>
      <c r="CN66" s="71">
        <v>1</v>
      </c>
      <c r="CO66" s="71">
        <v>1</v>
      </c>
      <c r="CP66" s="71">
        <v>1</v>
      </c>
    </row>
    <row r="67" spans="2:94" hidden="1" outlineLevel="2" x14ac:dyDescent="0.4">
      <c r="B67" s="69"/>
      <c r="C67" s="70"/>
      <c r="D67" s="70"/>
      <c r="E67" s="70" t="s">
        <v>117</v>
      </c>
      <c r="F67" s="71">
        <f>EDTN[[#This Row],[Nuevos Pesos]]</f>
        <v>0.33622984708458059</v>
      </c>
      <c r="H67" s="71">
        <v>0</v>
      </c>
      <c r="I67" s="71">
        <v>0</v>
      </c>
      <c r="J67" s="71">
        <v>0</v>
      </c>
      <c r="K67" s="71">
        <v>0</v>
      </c>
      <c r="L67" s="71">
        <v>0</v>
      </c>
      <c r="M67" s="71">
        <v>0</v>
      </c>
      <c r="N67" s="71">
        <v>0</v>
      </c>
      <c r="O67" s="71">
        <v>0</v>
      </c>
      <c r="P67" s="71">
        <v>0</v>
      </c>
      <c r="Q67" s="71">
        <v>0</v>
      </c>
      <c r="R67" s="71">
        <v>0</v>
      </c>
      <c r="S67" s="71">
        <v>0</v>
      </c>
      <c r="T67" s="71">
        <v>0</v>
      </c>
      <c r="U67" s="71">
        <v>0</v>
      </c>
      <c r="V67" s="71">
        <v>0</v>
      </c>
      <c r="W67" s="71">
        <v>0</v>
      </c>
      <c r="X67" s="71">
        <v>0</v>
      </c>
      <c r="Y67" s="71">
        <v>0</v>
      </c>
      <c r="Z67" s="71">
        <v>0</v>
      </c>
      <c r="AA67" s="71">
        <v>0</v>
      </c>
      <c r="AB67" s="71">
        <v>0</v>
      </c>
      <c r="AC67" s="71">
        <v>0</v>
      </c>
      <c r="AD67" s="71">
        <v>0</v>
      </c>
      <c r="AE67" s="71">
        <v>0</v>
      </c>
      <c r="AF67" s="71">
        <v>0.2</v>
      </c>
      <c r="AG67" s="71">
        <v>0.4</v>
      </c>
      <c r="AH67" s="71">
        <v>0.6</v>
      </c>
      <c r="AI67" s="71">
        <v>0.8</v>
      </c>
      <c r="AJ67" s="71">
        <v>1</v>
      </c>
      <c r="AK67" s="71">
        <v>1</v>
      </c>
      <c r="AL67" s="71">
        <v>1</v>
      </c>
      <c r="AM67" s="71">
        <v>1</v>
      </c>
      <c r="AN67" s="71">
        <v>1</v>
      </c>
      <c r="AO67" s="71">
        <v>1</v>
      </c>
      <c r="AP67" s="71">
        <v>1</v>
      </c>
      <c r="AQ67" s="71">
        <v>1</v>
      </c>
      <c r="AR67" s="71">
        <v>1</v>
      </c>
      <c r="AS67" s="71">
        <v>1</v>
      </c>
      <c r="AT67" s="71">
        <v>1</v>
      </c>
      <c r="AU67" s="71">
        <v>1</v>
      </c>
      <c r="AV67" s="71">
        <v>1</v>
      </c>
      <c r="AW67" s="71">
        <v>1</v>
      </c>
      <c r="AX67" s="71">
        <v>1</v>
      </c>
      <c r="AY67" s="71">
        <v>1</v>
      </c>
      <c r="AZ67" s="71">
        <v>1</v>
      </c>
      <c r="BA67" s="71">
        <v>1</v>
      </c>
      <c r="BB67" s="71">
        <v>1</v>
      </c>
      <c r="BC67" s="71">
        <v>1</v>
      </c>
      <c r="BD67" s="71">
        <v>1</v>
      </c>
      <c r="BE67" s="71">
        <v>1</v>
      </c>
      <c r="BF67" s="71">
        <v>1</v>
      </c>
      <c r="BG67" s="71">
        <v>1</v>
      </c>
      <c r="BH67" s="71">
        <v>1</v>
      </c>
      <c r="BI67" s="71">
        <v>1</v>
      </c>
      <c r="BJ67" s="71">
        <v>1</v>
      </c>
      <c r="BK67" s="71">
        <v>1</v>
      </c>
      <c r="BL67" s="71">
        <v>1</v>
      </c>
      <c r="BM67" s="71">
        <v>1</v>
      </c>
      <c r="BN67" s="71">
        <v>1</v>
      </c>
      <c r="BO67" s="71">
        <v>1</v>
      </c>
      <c r="BP67" s="71">
        <v>1</v>
      </c>
      <c r="BQ67" s="71">
        <v>1</v>
      </c>
      <c r="BR67" s="71">
        <v>1</v>
      </c>
      <c r="BS67" s="71">
        <v>1</v>
      </c>
      <c r="BT67" s="71">
        <v>1</v>
      </c>
      <c r="BU67" s="71">
        <v>1</v>
      </c>
      <c r="BV67" s="71">
        <v>1</v>
      </c>
      <c r="BW67" s="71">
        <v>1</v>
      </c>
      <c r="BX67" s="71">
        <v>1</v>
      </c>
      <c r="BY67" s="71">
        <v>1</v>
      </c>
      <c r="BZ67" s="71">
        <v>1</v>
      </c>
      <c r="CA67" s="71">
        <v>1</v>
      </c>
      <c r="CB67" s="71">
        <v>1</v>
      </c>
      <c r="CC67" s="71">
        <v>1</v>
      </c>
      <c r="CD67" s="71">
        <v>1</v>
      </c>
      <c r="CE67" s="71">
        <v>1</v>
      </c>
      <c r="CF67" s="71">
        <v>1</v>
      </c>
      <c r="CG67" s="71">
        <v>1</v>
      </c>
      <c r="CH67" s="71">
        <v>1</v>
      </c>
      <c r="CI67" s="71">
        <v>1</v>
      </c>
      <c r="CJ67" s="71">
        <v>1</v>
      </c>
      <c r="CK67" s="71">
        <v>1</v>
      </c>
      <c r="CL67" s="71">
        <v>1</v>
      </c>
      <c r="CM67" s="71">
        <v>1</v>
      </c>
      <c r="CN67" s="71">
        <v>1</v>
      </c>
      <c r="CO67" s="71">
        <v>1</v>
      </c>
      <c r="CP67" s="71">
        <v>1</v>
      </c>
    </row>
    <row r="68" spans="2:94" hidden="1" outlineLevel="1" collapsed="1" x14ac:dyDescent="0.4">
      <c r="B68" s="85"/>
      <c r="C68" s="86"/>
      <c r="D68" s="86" t="s">
        <v>118</v>
      </c>
      <c r="E68" s="86"/>
      <c r="F68" s="87">
        <f>EDTN[[#This Row],[Nuevos Pesos]]</f>
        <v>5.8376005576305304E-2</v>
      </c>
      <c r="H68" s="87">
        <f>SUMPRODUCT(H69:H71,$F$69:$F$71)</f>
        <v>0</v>
      </c>
      <c r="I68" s="87">
        <f t="shared" ref="I68:AP68" si="183">SUMPRODUCT(I69:I71,$F$69:$F$71)</f>
        <v>0</v>
      </c>
      <c r="J68" s="87">
        <f t="shared" si="183"/>
        <v>0</v>
      </c>
      <c r="K68" s="87">
        <f t="shared" si="183"/>
        <v>0</v>
      </c>
      <c r="L68" s="87">
        <f t="shared" si="183"/>
        <v>0</v>
      </c>
      <c r="M68" s="87">
        <f t="shared" si="183"/>
        <v>0</v>
      </c>
      <c r="N68" s="87">
        <f t="shared" si="183"/>
        <v>0</v>
      </c>
      <c r="O68" s="87">
        <f t="shared" si="183"/>
        <v>0</v>
      </c>
      <c r="P68" s="87">
        <f t="shared" si="183"/>
        <v>0</v>
      </c>
      <c r="Q68" s="87">
        <f t="shared" si="183"/>
        <v>0</v>
      </c>
      <c r="R68" s="87">
        <f t="shared" si="183"/>
        <v>0</v>
      </c>
      <c r="S68" s="87">
        <f t="shared" si="183"/>
        <v>0</v>
      </c>
      <c r="T68" s="87">
        <f t="shared" si="183"/>
        <v>0</v>
      </c>
      <c r="U68" s="87">
        <f t="shared" si="183"/>
        <v>0</v>
      </c>
      <c r="V68" s="87">
        <f t="shared" si="183"/>
        <v>0</v>
      </c>
      <c r="W68" s="87">
        <f t="shared" si="183"/>
        <v>0</v>
      </c>
      <c r="X68" s="87">
        <f t="shared" si="183"/>
        <v>0.13333333333333333</v>
      </c>
      <c r="Y68" s="87">
        <f t="shared" si="183"/>
        <v>0.26666666666666666</v>
      </c>
      <c r="Z68" s="87">
        <f t="shared" si="183"/>
        <v>0.39999999999999997</v>
      </c>
      <c r="AA68" s="87">
        <f t="shared" si="183"/>
        <v>0.53333333333333333</v>
      </c>
      <c r="AB68" s="87">
        <f t="shared" si="183"/>
        <v>0.66666666666666663</v>
      </c>
      <c r="AC68" s="87">
        <f t="shared" si="183"/>
        <v>0.66666666666666663</v>
      </c>
      <c r="AD68" s="87">
        <f t="shared" si="183"/>
        <v>0.75</v>
      </c>
      <c r="AE68" s="87">
        <f t="shared" si="183"/>
        <v>0.83333333333333326</v>
      </c>
      <c r="AF68" s="87">
        <f t="shared" si="183"/>
        <v>0.91666666666666652</v>
      </c>
      <c r="AG68" s="87">
        <f t="shared" si="183"/>
        <v>1</v>
      </c>
      <c r="AH68" s="87">
        <f t="shared" si="183"/>
        <v>1</v>
      </c>
      <c r="AI68" s="87">
        <f t="shared" si="183"/>
        <v>1</v>
      </c>
      <c r="AJ68" s="87">
        <f t="shared" si="183"/>
        <v>1</v>
      </c>
      <c r="AK68" s="87">
        <f t="shared" si="183"/>
        <v>1</v>
      </c>
      <c r="AL68" s="87">
        <f t="shared" si="183"/>
        <v>1</v>
      </c>
      <c r="AM68" s="87">
        <f t="shared" si="183"/>
        <v>1</v>
      </c>
      <c r="AN68" s="87">
        <f t="shared" si="183"/>
        <v>1</v>
      </c>
      <c r="AO68" s="87">
        <f t="shared" si="183"/>
        <v>1</v>
      </c>
      <c r="AP68" s="87">
        <f t="shared" si="183"/>
        <v>1</v>
      </c>
      <c r="AQ68" s="87">
        <f t="shared" ref="AQ68:AR68" si="184">SUMPRODUCT(AQ69:AQ71,$F$69:$F$71)</f>
        <v>1</v>
      </c>
      <c r="AR68" s="87">
        <f t="shared" si="184"/>
        <v>1</v>
      </c>
      <c r="AS68" s="87">
        <f t="shared" ref="AS68" si="185">SUMPRODUCT(AS69:AS71,$F$69:$F$71)</f>
        <v>1</v>
      </c>
      <c r="AT68" s="87">
        <f t="shared" ref="AT68:BC68" si="186">SUMPRODUCT(AT69:AT71,$F$69:$F$71)</f>
        <v>1</v>
      </c>
      <c r="AU68" s="87">
        <f t="shared" si="186"/>
        <v>1</v>
      </c>
      <c r="AV68" s="87">
        <f t="shared" si="186"/>
        <v>1</v>
      </c>
      <c r="AW68" s="87">
        <f t="shared" si="186"/>
        <v>1</v>
      </c>
      <c r="AX68" s="87">
        <f t="shared" si="186"/>
        <v>1</v>
      </c>
      <c r="AY68" s="87">
        <f t="shared" si="186"/>
        <v>1</v>
      </c>
      <c r="AZ68" s="87">
        <f t="shared" si="186"/>
        <v>1</v>
      </c>
      <c r="BA68" s="87">
        <f t="shared" si="186"/>
        <v>1</v>
      </c>
      <c r="BB68" s="87">
        <f t="shared" si="186"/>
        <v>1</v>
      </c>
      <c r="BC68" s="87">
        <f t="shared" si="186"/>
        <v>1</v>
      </c>
      <c r="BD68" s="87">
        <f t="shared" ref="BD68:BE68" si="187">SUMPRODUCT(BD69:BD71,$F$69:$F$71)</f>
        <v>1</v>
      </c>
      <c r="BE68" s="87">
        <f t="shared" si="187"/>
        <v>1</v>
      </c>
      <c r="BF68" s="87">
        <f t="shared" ref="BF68:BG68" si="188">SUMPRODUCT(BF69:BF71,$F$69:$F$71)</f>
        <v>1</v>
      </c>
      <c r="BG68" s="87">
        <f t="shared" si="188"/>
        <v>1</v>
      </c>
      <c r="BH68" s="87">
        <f t="shared" ref="BH68:BI68" si="189">SUMPRODUCT(BH69:BH71,$F$69:$F$71)</f>
        <v>1</v>
      </c>
      <c r="BI68" s="87">
        <f t="shared" si="189"/>
        <v>1</v>
      </c>
      <c r="BJ68" s="87">
        <f t="shared" ref="BJ68:BK68" si="190">SUMPRODUCT(BJ69:BJ71,$F$69:$F$71)</f>
        <v>1</v>
      </c>
      <c r="BK68" s="87">
        <f t="shared" si="190"/>
        <v>1</v>
      </c>
      <c r="BL68" s="87">
        <f t="shared" ref="BL68:CP68" si="191">SUMPRODUCT(BL69:BL71,$F$69:$F$71)</f>
        <v>1</v>
      </c>
      <c r="BM68" s="87">
        <f t="shared" si="191"/>
        <v>1</v>
      </c>
      <c r="BN68" s="87">
        <f t="shared" si="191"/>
        <v>1</v>
      </c>
      <c r="BO68" s="87">
        <f t="shared" si="191"/>
        <v>1</v>
      </c>
      <c r="BP68" s="87">
        <f t="shared" si="191"/>
        <v>1</v>
      </c>
      <c r="BQ68" s="87">
        <f t="shared" si="191"/>
        <v>1</v>
      </c>
      <c r="BR68" s="87">
        <f t="shared" si="191"/>
        <v>1</v>
      </c>
      <c r="BS68" s="87">
        <f t="shared" si="191"/>
        <v>1</v>
      </c>
      <c r="BT68" s="87">
        <f t="shared" si="191"/>
        <v>1</v>
      </c>
      <c r="BU68" s="87">
        <f t="shared" si="191"/>
        <v>1</v>
      </c>
      <c r="BV68" s="87">
        <f t="shared" si="191"/>
        <v>1</v>
      </c>
      <c r="BW68" s="87">
        <f t="shared" si="191"/>
        <v>1</v>
      </c>
      <c r="BX68" s="87">
        <f t="shared" si="191"/>
        <v>1</v>
      </c>
      <c r="BY68" s="87">
        <f t="shared" si="191"/>
        <v>1</v>
      </c>
      <c r="BZ68" s="87">
        <f t="shared" si="191"/>
        <v>1</v>
      </c>
      <c r="CA68" s="87">
        <f t="shared" si="191"/>
        <v>1</v>
      </c>
      <c r="CB68" s="87">
        <f t="shared" si="191"/>
        <v>1</v>
      </c>
      <c r="CC68" s="87">
        <f t="shared" si="191"/>
        <v>1</v>
      </c>
      <c r="CD68" s="87">
        <f t="shared" si="191"/>
        <v>1</v>
      </c>
      <c r="CE68" s="87">
        <f t="shared" si="191"/>
        <v>1</v>
      </c>
      <c r="CF68" s="87">
        <f t="shared" si="191"/>
        <v>1</v>
      </c>
      <c r="CG68" s="87">
        <f t="shared" si="191"/>
        <v>1</v>
      </c>
      <c r="CH68" s="87">
        <f t="shared" si="191"/>
        <v>1</v>
      </c>
      <c r="CI68" s="87">
        <f t="shared" si="191"/>
        <v>1</v>
      </c>
      <c r="CJ68" s="87">
        <f t="shared" si="191"/>
        <v>1</v>
      </c>
      <c r="CK68" s="87">
        <f t="shared" si="191"/>
        <v>1</v>
      </c>
      <c r="CL68" s="87">
        <f t="shared" si="191"/>
        <v>1</v>
      </c>
      <c r="CM68" s="87">
        <f t="shared" si="191"/>
        <v>1</v>
      </c>
      <c r="CN68" s="87">
        <f t="shared" si="191"/>
        <v>1</v>
      </c>
      <c r="CO68" s="87">
        <f t="shared" si="191"/>
        <v>1</v>
      </c>
      <c r="CP68" s="87">
        <f t="shared" si="191"/>
        <v>1</v>
      </c>
    </row>
    <row r="69" spans="2:94" hidden="1" outlineLevel="2" x14ac:dyDescent="0.4">
      <c r="B69" s="69"/>
      <c r="C69" s="70"/>
      <c r="D69" s="70"/>
      <c r="E69" s="70" t="s">
        <v>119</v>
      </c>
      <c r="F69" s="71">
        <f>EDTN[[#This Row],[Nuevos Pesos]]</f>
        <v>0.33333333333333331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0.2</v>
      </c>
      <c r="Y69" s="71">
        <v>0.4</v>
      </c>
      <c r="Z69" s="71">
        <v>0.6</v>
      </c>
      <c r="AA69" s="71">
        <v>0.8</v>
      </c>
      <c r="AB69" s="71">
        <v>1</v>
      </c>
      <c r="AC69" s="71">
        <v>1</v>
      </c>
      <c r="AD69" s="71">
        <v>1</v>
      </c>
      <c r="AE69" s="71">
        <v>1</v>
      </c>
      <c r="AF69" s="71">
        <v>1</v>
      </c>
      <c r="AG69" s="71">
        <v>1</v>
      </c>
      <c r="AH69" s="71">
        <v>1</v>
      </c>
      <c r="AI69" s="71">
        <v>1</v>
      </c>
      <c r="AJ69" s="71">
        <v>1</v>
      </c>
      <c r="AK69" s="71">
        <v>1</v>
      </c>
      <c r="AL69" s="71">
        <v>1</v>
      </c>
      <c r="AM69" s="71">
        <v>1</v>
      </c>
      <c r="AN69" s="71">
        <v>1</v>
      </c>
      <c r="AO69" s="71">
        <v>1</v>
      </c>
      <c r="AP69" s="71">
        <v>1</v>
      </c>
      <c r="AQ69" s="71">
        <v>1</v>
      </c>
      <c r="AR69" s="71">
        <v>1</v>
      </c>
      <c r="AS69" s="71">
        <v>1</v>
      </c>
      <c r="AT69" s="71">
        <v>1</v>
      </c>
      <c r="AU69" s="71">
        <v>1</v>
      </c>
      <c r="AV69" s="71">
        <v>1</v>
      </c>
      <c r="AW69" s="71">
        <v>1</v>
      </c>
      <c r="AX69" s="71">
        <v>1</v>
      </c>
      <c r="AY69" s="71">
        <v>1</v>
      </c>
      <c r="AZ69" s="71">
        <v>1</v>
      </c>
      <c r="BA69" s="71">
        <v>1</v>
      </c>
      <c r="BB69" s="71">
        <v>1</v>
      </c>
      <c r="BC69" s="71">
        <v>1</v>
      </c>
      <c r="BD69" s="71">
        <v>1</v>
      </c>
      <c r="BE69" s="71">
        <v>1</v>
      </c>
      <c r="BF69" s="71">
        <v>1</v>
      </c>
      <c r="BG69" s="71">
        <v>1</v>
      </c>
      <c r="BH69" s="71">
        <v>1</v>
      </c>
      <c r="BI69" s="71">
        <v>1</v>
      </c>
      <c r="BJ69" s="71">
        <v>1</v>
      </c>
      <c r="BK69" s="71">
        <v>1</v>
      </c>
      <c r="BL69" s="71">
        <v>1</v>
      </c>
      <c r="BM69" s="71">
        <v>1</v>
      </c>
      <c r="BN69" s="71">
        <v>1</v>
      </c>
      <c r="BO69" s="71">
        <v>1</v>
      </c>
      <c r="BP69" s="71">
        <v>1</v>
      </c>
      <c r="BQ69" s="71">
        <v>1</v>
      </c>
      <c r="BR69" s="71">
        <v>1</v>
      </c>
      <c r="BS69" s="71">
        <v>1</v>
      </c>
      <c r="BT69" s="71">
        <v>1</v>
      </c>
      <c r="BU69" s="71">
        <v>1</v>
      </c>
      <c r="BV69" s="71">
        <v>1</v>
      </c>
      <c r="BW69" s="71">
        <v>1</v>
      </c>
      <c r="BX69" s="71">
        <v>1</v>
      </c>
      <c r="BY69" s="71">
        <v>1</v>
      </c>
      <c r="BZ69" s="71">
        <v>1</v>
      </c>
      <c r="CA69" s="71">
        <v>1</v>
      </c>
      <c r="CB69" s="71">
        <v>1</v>
      </c>
      <c r="CC69" s="71">
        <v>1</v>
      </c>
      <c r="CD69" s="71">
        <v>1</v>
      </c>
      <c r="CE69" s="71">
        <v>1</v>
      </c>
      <c r="CF69" s="71">
        <v>1</v>
      </c>
      <c r="CG69" s="71">
        <v>1</v>
      </c>
      <c r="CH69" s="71">
        <v>1</v>
      </c>
      <c r="CI69" s="71">
        <v>1</v>
      </c>
      <c r="CJ69" s="71">
        <v>1</v>
      </c>
      <c r="CK69" s="71">
        <v>1</v>
      </c>
      <c r="CL69" s="71">
        <v>1</v>
      </c>
      <c r="CM69" s="71">
        <v>1</v>
      </c>
      <c r="CN69" s="71">
        <v>1</v>
      </c>
      <c r="CO69" s="71">
        <v>1</v>
      </c>
      <c r="CP69" s="71">
        <v>1</v>
      </c>
    </row>
    <row r="70" spans="2:94" hidden="1" outlineLevel="2" x14ac:dyDescent="0.4">
      <c r="B70" s="69"/>
      <c r="C70" s="70"/>
      <c r="D70" s="70"/>
      <c r="E70" s="77" t="s">
        <v>120</v>
      </c>
      <c r="F70" s="71">
        <f>EDTN[[#This Row],[Nuevos Pesos]]</f>
        <v>0.33333333333333331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0</v>
      </c>
      <c r="S70" s="71">
        <v>0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>
        <v>0</v>
      </c>
      <c r="AA70" s="71">
        <v>0</v>
      </c>
      <c r="AB70" s="71">
        <v>0</v>
      </c>
      <c r="AC70" s="71">
        <v>0</v>
      </c>
      <c r="AD70" s="71">
        <v>0.25</v>
      </c>
      <c r="AE70" s="71">
        <v>0.5</v>
      </c>
      <c r="AF70" s="71">
        <v>0.75</v>
      </c>
      <c r="AG70" s="71">
        <v>1</v>
      </c>
      <c r="AH70" s="71">
        <v>1</v>
      </c>
      <c r="AI70" s="71">
        <v>1</v>
      </c>
      <c r="AJ70" s="71">
        <v>1</v>
      </c>
      <c r="AK70" s="71">
        <v>1</v>
      </c>
      <c r="AL70" s="71">
        <v>1</v>
      </c>
      <c r="AM70" s="71">
        <v>1</v>
      </c>
      <c r="AN70" s="71">
        <v>1</v>
      </c>
      <c r="AO70" s="71">
        <v>1</v>
      </c>
      <c r="AP70" s="71">
        <v>1</v>
      </c>
      <c r="AQ70" s="71">
        <v>1</v>
      </c>
      <c r="AR70" s="71">
        <v>1</v>
      </c>
      <c r="AS70" s="71">
        <v>1</v>
      </c>
      <c r="AT70" s="71">
        <v>1</v>
      </c>
      <c r="AU70" s="71">
        <v>1</v>
      </c>
      <c r="AV70" s="71">
        <v>1</v>
      </c>
      <c r="AW70" s="71">
        <v>1</v>
      </c>
      <c r="AX70" s="71">
        <v>1</v>
      </c>
      <c r="AY70" s="71">
        <v>1</v>
      </c>
      <c r="AZ70" s="71">
        <v>1</v>
      </c>
      <c r="BA70" s="71">
        <v>1</v>
      </c>
      <c r="BB70" s="71">
        <v>1</v>
      </c>
      <c r="BC70" s="71">
        <v>1</v>
      </c>
      <c r="BD70" s="71">
        <v>1</v>
      </c>
      <c r="BE70" s="71">
        <v>1</v>
      </c>
      <c r="BF70" s="71">
        <v>1</v>
      </c>
      <c r="BG70" s="71">
        <v>1</v>
      </c>
      <c r="BH70" s="71">
        <v>1</v>
      </c>
      <c r="BI70" s="71">
        <v>1</v>
      </c>
      <c r="BJ70" s="71">
        <v>1</v>
      </c>
      <c r="BK70" s="71">
        <v>1</v>
      </c>
      <c r="BL70" s="71">
        <v>1</v>
      </c>
      <c r="BM70" s="71">
        <v>1</v>
      </c>
      <c r="BN70" s="71">
        <v>1</v>
      </c>
      <c r="BO70" s="71">
        <v>1</v>
      </c>
      <c r="BP70" s="71">
        <v>1</v>
      </c>
      <c r="BQ70" s="71">
        <v>1</v>
      </c>
      <c r="BR70" s="71">
        <v>1</v>
      </c>
      <c r="BS70" s="71">
        <v>1</v>
      </c>
      <c r="BT70" s="71">
        <v>1</v>
      </c>
      <c r="BU70" s="71">
        <v>1</v>
      </c>
      <c r="BV70" s="71">
        <v>1</v>
      </c>
      <c r="BW70" s="71">
        <v>1</v>
      </c>
      <c r="BX70" s="71">
        <v>1</v>
      </c>
      <c r="BY70" s="71">
        <v>1</v>
      </c>
      <c r="BZ70" s="71">
        <v>1</v>
      </c>
      <c r="CA70" s="71">
        <v>1</v>
      </c>
      <c r="CB70" s="71">
        <v>1</v>
      </c>
      <c r="CC70" s="71">
        <v>1</v>
      </c>
      <c r="CD70" s="71">
        <v>1</v>
      </c>
      <c r="CE70" s="71">
        <v>1</v>
      </c>
      <c r="CF70" s="71">
        <v>1</v>
      </c>
      <c r="CG70" s="71">
        <v>1</v>
      </c>
      <c r="CH70" s="71">
        <v>1</v>
      </c>
      <c r="CI70" s="71">
        <v>1</v>
      </c>
      <c r="CJ70" s="71">
        <v>1</v>
      </c>
      <c r="CK70" s="71">
        <v>1</v>
      </c>
      <c r="CL70" s="71">
        <v>1</v>
      </c>
      <c r="CM70" s="71">
        <v>1</v>
      </c>
      <c r="CN70" s="71">
        <v>1</v>
      </c>
      <c r="CO70" s="71">
        <v>1</v>
      </c>
      <c r="CP70" s="71">
        <v>1</v>
      </c>
    </row>
    <row r="71" spans="2:94" hidden="1" outlineLevel="2" x14ac:dyDescent="0.4">
      <c r="B71" s="69"/>
      <c r="C71" s="70"/>
      <c r="D71" s="70"/>
      <c r="E71" s="77" t="s">
        <v>121</v>
      </c>
      <c r="F71" s="71">
        <f>EDTN[[#This Row],[Nuevos Pesos]]</f>
        <v>0.33333333333333331</v>
      </c>
      <c r="H71" s="71">
        <v>0</v>
      </c>
      <c r="I71" s="71">
        <v>0</v>
      </c>
      <c r="J71" s="71">
        <v>0</v>
      </c>
      <c r="K71" s="71">
        <v>0</v>
      </c>
      <c r="L71" s="71">
        <v>0</v>
      </c>
      <c r="M71" s="71">
        <v>0</v>
      </c>
      <c r="N71" s="71">
        <v>0</v>
      </c>
      <c r="O71" s="71">
        <v>0</v>
      </c>
      <c r="P71" s="71">
        <v>0</v>
      </c>
      <c r="Q71" s="71">
        <v>0</v>
      </c>
      <c r="R71" s="71">
        <v>0</v>
      </c>
      <c r="S71" s="71">
        <v>0</v>
      </c>
      <c r="T71" s="71">
        <v>0</v>
      </c>
      <c r="U71" s="71">
        <v>0</v>
      </c>
      <c r="V71" s="71">
        <v>0</v>
      </c>
      <c r="W71" s="71">
        <v>0</v>
      </c>
      <c r="X71" s="71">
        <v>0.2</v>
      </c>
      <c r="Y71" s="71">
        <v>0.4</v>
      </c>
      <c r="Z71" s="71">
        <v>0.6</v>
      </c>
      <c r="AA71" s="71">
        <v>0.8</v>
      </c>
      <c r="AB71" s="71">
        <v>1</v>
      </c>
      <c r="AC71" s="71">
        <v>1</v>
      </c>
      <c r="AD71" s="71">
        <v>1</v>
      </c>
      <c r="AE71" s="71">
        <v>1</v>
      </c>
      <c r="AF71" s="71">
        <v>1</v>
      </c>
      <c r="AG71" s="71">
        <v>1</v>
      </c>
      <c r="AH71" s="71">
        <v>1</v>
      </c>
      <c r="AI71" s="71">
        <v>1</v>
      </c>
      <c r="AJ71" s="71">
        <v>1</v>
      </c>
      <c r="AK71" s="71">
        <v>1</v>
      </c>
      <c r="AL71" s="71">
        <v>1</v>
      </c>
      <c r="AM71" s="71">
        <v>1</v>
      </c>
      <c r="AN71" s="71">
        <v>1</v>
      </c>
      <c r="AO71" s="71">
        <v>1</v>
      </c>
      <c r="AP71" s="71">
        <v>1</v>
      </c>
      <c r="AQ71" s="71">
        <v>1</v>
      </c>
      <c r="AR71" s="71">
        <v>1</v>
      </c>
      <c r="AS71" s="71">
        <v>1</v>
      </c>
      <c r="AT71" s="71">
        <v>1</v>
      </c>
      <c r="AU71" s="71">
        <v>1</v>
      </c>
      <c r="AV71" s="71">
        <v>1</v>
      </c>
      <c r="AW71" s="71">
        <v>1</v>
      </c>
      <c r="AX71" s="71">
        <v>1</v>
      </c>
      <c r="AY71" s="71">
        <v>1</v>
      </c>
      <c r="AZ71" s="71">
        <v>1</v>
      </c>
      <c r="BA71" s="71">
        <v>1</v>
      </c>
      <c r="BB71" s="71">
        <v>1</v>
      </c>
      <c r="BC71" s="71">
        <v>1</v>
      </c>
      <c r="BD71" s="71">
        <v>1</v>
      </c>
      <c r="BE71" s="71">
        <v>1</v>
      </c>
      <c r="BF71" s="71">
        <v>1</v>
      </c>
      <c r="BG71" s="71">
        <v>1</v>
      </c>
      <c r="BH71" s="71">
        <v>1</v>
      </c>
      <c r="BI71" s="71">
        <v>1</v>
      </c>
      <c r="BJ71" s="71">
        <v>1</v>
      </c>
      <c r="BK71" s="71">
        <v>1</v>
      </c>
      <c r="BL71" s="71">
        <v>1</v>
      </c>
      <c r="BM71" s="71">
        <v>1</v>
      </c>
      <c r="BN71" s="71">
        <v>1</v>
      </c>
      <c r="BO71" s="71">
        <v>1</v>
      </c>
      <c r="BP71" s="71">
        <v>1</v>
      </c>
      <c r="BQ71" s="71">
        <v>1</v>
      </c>
      <c r="BR71" s="71">
        <v>1</v>
      </c>
      <c r="BS71" s="71">
        <v>1</v>
      </c>
      <c r="BT71" s="71">
        <v>1</v>
      </c>
      <c r="BU71" s="71">
        <v>1</v>
      </c>
      <c r="BV71" s="71">
        <v>1</v>
      </c>
      <c r="BW71" s="71">
        <v>1</v>
      </c>
      <c r="BX71" s="71">
        <v>1</v>
      </c>
      <c r="BY71" s="71">
        <v>1</v>
      </c>
      <c r="BZ71" s="71">
        <v>1</v>
      </c>
      <c r="CA71" s="71">
        <v>1</v>
      </c>
      <c r="CB71" s="71">
        <v>1</v>
      </c>
      <c r="CC71" s="71">
        <v>1</v>
      </c>
      <c r="CD71" s="71">
        <v>1</v>
      </c>
      <c r="CE71" s="71">
        <v>1</v>
      </c>
      <c r="CF71" s="71">
        <v>1</v>
      </c>
      <c r="CG71" s="71">
        <v>1</v>
      </c>
      <c r="CH71" s="71">
        <v>1</v>
      </c>
      <c r="CI71" s="71">
        <v>1</v>
      </c>
      <c r="CJ71" s="71">
        <v>1</v>
      </c>
      <c r="CK71" s="71">
        <v>1</v>
      </c>
      <c r="CL71" s="71">
        <v>1</v>
      </c>
      <c r="CM71" s="71">
        <v>1</v>
      </c>
      <c r="CN71" s="71">
        <v>1</v>
      </c>
      <c r="CO71" s="71">
        <v>1</v>
      </c>
      <c r="CP71" s="71">
        <v>1</v>
      </c>
    </row>
    <row r="72" spans="2:94" hidden="1" outlineLevel="1" collapsed="1" x14ac:dyDescent="0.4">
      <c r="B72" s="85"/>
      <c r="C72" s="86"/>
      <c r="D72" s="86" t="s">
        <v>122</v>
      </c>
      <c r="E72" s="86"/>
      <c r="F72" s="87">
        <f>EDTN[[#This Row],[Nuevos Pesos]]</f>
        <v>3.5025603345783182E-2</v>
      </c>
      <c r="H72" s="87">
        <f>SUMPRODUCT(H73:H75,$F$73:$F$75)</f>
        <v>0</v>
      </c>
      <c r="I72" s="87">
        <f t="shared" ref="I72:AP72" si="192">SUMPRODUCT(I73:I75,$F$73:$F$75)</f>
        <v>0</v>
      </c>
      <c r="J72" s="87">
        <f t="shared" si="192"/>
        <v>0</v>
      </c>
      <c r="K72" s="87">
        <f t="shared" si="192"/>
        <v>0</v>
      </c>
      <c r="L72" s="87">
        <f t="shared" si="192"/>
        <v>0</v>
      </c>
      <c r="M72" s="87">
        <f t="shared" si="192"/>
        <v>0</v>
      </c>
      <c r="N72" s="87">
        <f t="shared" si="192"/>
        <v>0</v>
      </c>
      <c r="O72" s="87">
        <f t="shared" si="192"/>
        <v>0</v>
      </c>
      <c r="P72" s="87">
        <f t="shared" si="192"/>
        <v>0</v>
      </c>
      <c r="Q72" s="87">
        <f t="shared" si="192"/>
        <v>0</v>
      </c>
      <c r="R72" s="87">
        <f t="shared" si="192"/>
        <v>0</v>
      </c>
      <c r="S72" s="87">
        <f t="shared" si="192"/>
        <v>0</v>
      </c>
      <c r="T72" s="87">
        <f t="shared" si="192"/>
        <v>0</v>
      </c>
      <c r="U72" s="87">
        <f t="shared" si="192"/>
        <v>0</v>
      </c>
      <c r="V72" s="87">
        <f t="shared" si="192"/>
        <v>4.1666666666666664E-2</v>
      </c>
      <c r="W72" s="87">
        <f t="shared" si="192"/>
        <v>0.19433333333333333</v>
      </c>
      <c r="X72" s="87">
        <f t="shared" si="192"/>
        <v>0.34699999999999998</v>
      </c>
      <c r="Y72" s="87">
        <f t="shared" si="192"/>
        <v>0.61099999999999999</v>
      </c>
      <c r="Z72" s="87">
        <f t="shared" si="192"/>
        <v>0.7636666666666666</v>
      </c>
      <c r="AA72" s="87">
        <f t="shared" si="192"/>
        <v>0.91666666666666652</v>
      </c>
      <c r="AB72" s="87">
        <f t="shared" si="192"/>
        <v>0.95833333333333326</v>
      </c>
      <c r="AC72" s="87">
        <f t="shared" si="192"/>
        <v>1</v>
      </c>
      <c r="AD72" s="87">
        <f t="shared" si="192"/>
        <v>1</v>
      </c>
      <c r="AE72" s="87">
        <f t="shared" si="192"/>
        <v>1</v>
      </c>
      <c r="AF72" s="87">
        <f t="shared" si="192"/>
        <v>1</v>
      </c>
      <c r="AG72" s="87">
        <f t="shared" si="192"/>
        <v>1</v>
      </c>
      <c r="AH72" s="87">
        <f t="shared" si="192"/>
        <v>1</v>
      </c>
      <c r="AI72" s="87">
        <f t="shared" si="192"/>
        <v>1</v>
      </c>
      <c r="AJ72" s="87">
        <f t="shared" si="192"/>
        <v>1</v>
      </c>
      <c r="AK72" s="87">
        <f t="shared" si="192"/>
        <v>1</v>
      </c>
      <c r="AL72" s="87">
        <f t="shared" si="192"/>
        <v>1</v>
      </c>
      <c r="AM72" s="87">
        <f t="shared" si="192"/>
        <v>1</v>
      </c>
      <c r="AN72" s="87">
        <f t="shared" si="192"/>
        <v>1</v>
      </c>
      <c r="AO72" s="87">
        <f t="shared" si="192"/>
        <v>1</v>
      </c>
      <c r="AP72" s="87">
        <f t="shared" si="192"/>
        <v>1</v>
      </c>
      <c r="AQ72" s="87">
        <f t="shared" ref="AQ72:AR72" si="193">SUMPRODUCT(AQ73:AQ75,$F$73:$F$75)</f>
        <v>1</v>
      </c>
      <c r="AR72" s="87">
        <f t="shared" si="193"/>
        <v>1</v>
      </c>
      <c r="AS72" s="87">
        <f t="shared" ref="AS72" si="194">SUMPRODUCT(AS73:AS75,$F$73:$F$75)</f>
        <v>1</v>
      </c>
      <c r="AT72" s="87">
        <f t="shared" ref="AT72:BC72" si="195">SUMPRODUCT(AT73:AT75,$F$73:$F$75)</f>
        <v>1</v>
      </c>
      <c r="AU72" s="87">
        <f t="shared" si="195"/>
        <v>1</v>
      </c>
      <c r="AV72" s="87">
        <f t="shared" si="195"/>
        <v>1</v>
      </c>
      <c r="AW72" s="87">
        <f t="shared" si="195"/>
        <v>1</v>
      </c>
      <c r="AX72" s="87">
        <f t="shared" si="195"/>
        <v>1</v>
      </c>
      <c r="AY72" s="87">
        <f t="shared" si="195"/>
        <v>1</v>
      </c>
      <c r="AZ72" s="87">
        <f t="shared" si="195"/>
        <v>1</v>
      </c>
      <c r="BA72" s="87">
        <f t="shared" si="195"/>
        <v>1</v>
      </c>
      <c r="BB72" s="87">
        <f t="shared" si="195"/>
        <v>1</v>
      </c>
      <c r="BC72" s="87">
        <f t="shared" si="195"/>
        <v>1</v>
      </c>
      <c r="BD72" s="87">
        <f t="shared" ref="BD72:BE72" si="196">SUMPRODUCT(BD73:BD75,$F$73:$F$75)</f>
        <v>1</v>
      </c>
      <c r="BE72" s="87">
        <f t="shared" si="196"/>
        <v>1</v>
      </c>
      <c r="BF72" s="87">
        <f t="shared" ref="BF72:BG72" si="197">SUMPRODUCT(BF73:BF75,$F$73:$F$75)</f>
        <v>1</v>
      </c>
      <c r="BG72" s="87">
        <f t="shared" si="197"/>
        <v>1</v>
      </c>
      <c r="BH72" s="87">
        <f t="shared" ref="BH72:BI72" si="198">SUMPRODUCT(BH73:BH75,$F$73:$F$75)</f>
        <v>1</v>
      </c>
      <c r="BI72" s="87">
        <f t="shared" si="198"/>
        <v>1</v>
      </c>
      <c r="BJ72" s="87">
        <f t="shared" ref="BJ72:BK72" si="199">SUMPRODUCT(BJ73:BJ75,$F$73:$F$75)</f>
        <v>1</v>
      </c>
      <c r="BK72" s="87">
        <f t="shared" si="199"/>
        <v>1</v>
      </c>
      <c r="BL72" s="87">
        <f t="shared" ref="BL72:CP72" si="200">SUMPRODUCT(BL73:BL75,$F$73:$F$75)</f>
        <v>1</v>
      </c>
      <c r="BM72" s="87">
        <f t="shared" si="200"/>
        <v>1</v>
      </c>
      <c r="BN72" s="87">
        <f t="shared" si="200"/>
        <v>1</v>
      </c>
      <c r="BO72" s="87">
        <f t="shared" si="200"/>
        <v>1</v>
      </c>
      <c r="BP72" s="87">
        <f t="shared" si="200"/>
        <v>1</v>
      </c>
      <c r="BQ72" s="87">
        <f t="shared" si="200"/>
        <v>1</v>
      </c>
      <c r="BR72" s="87">
        <f t="shared" si="200"/>
        <v>1</v>
      </c>
      <c r="BS72" s="87">
        <f t="shared" si="200"/>
        <v>1</v>
      </c>
      <c r="BT72" s="87">
        <f t="shared" si="200"/>
        <v>1</v>
      </c>
      <c r="BU72" s="87">
        <f t="shared" si="200"/>
        <v>1</v>
      </c>
      <c r="BV72" s="87">
        <f t="shared" si="200"/>
        <v>1</v>
      </c>
      <c r="BW72" s="87">
        <f t="shared" si="200"/>
        <v>1</v>
      </c>
      <c r="BX72" s="87">
        <f t="shared" si="200"/>
        <v>1</v>
      </c>
      <c r="BY72" s="87">
        <f t="shared" si="200"/>
        <v>1</v>
      </c>
      <c r="BZ72" s="87">
        <f t="shared" si="200"/>
        <v>1</v>
      </c>
      <c r="CA72" s="87">
        <f t="shared" si="200"/>
        <v>1</v>
      </c>
      <c r="CB72" s="87">
        <f t="shared" si="200"/>
        <v>1</v>
      </c>
      <c r="CC72" s="87">
        <f t="shared" si="200"/>
        <v>1</v>
      </c>
      <c r="CD72" s="87">
        <f t="shared" si="200"/>
        <v>1</v>
      </c>
      <c r="CE72" s="87">
        <f t="shared" si="200"/>
        <v>1</v>
      </c>
      <c r="CF72" s="87">
        <f t="shared" si="200"/>
        <v>1</v>
      </c>
      <c r="CG72" s="87">
        <f t="shared" si="200"/>
        <v>1</v>
      </c>
      <c r="CH72" s="87">
        <f t="shared" si="200"/>
        <v>1</v>
      </c>
      <c r="CI72" s="87">
        <f t="shared" si="200"/>
        <v>1</v>
      </c>
      <c r="CJ72" s="87">
        <f t="shared" si="200"/>
        <v>1</v>
      </c>
      <c r="CK72" s="87">
        <f t="shared" si="200"/>
        <v>1</v>
      </c>
      <c r="CL72" s="87">
        <f t="shared" si="200"/>
        <v>1</v>
      </c>
      <c r="CM72" s="87">
        <f t="shared" si="200"/>
        <v>1</v>
      </c>
      <c r="CN72" s="87">
        <f t="shared" si="200"/>
        <v>1</v>
      </c>
      <c r="CO72" s="87">
        <f t="shared" si="200"/>
        <v>1</v>
      </c>
      <c r="CP72" s="87">
        <f t="shared" si="200"/>
        <v>1</v>
      </c>
    </row>
    <row r="73" spans="2:94" hidden="1" outlineLevel="2" x14ac:dyDescent="0.4">
      <c r="B73" s="69"/>
      <c r="C73" s="70"/>
      <c r="D73" s="70"/>
      <c r="E73" s="70" t="s">
        <v>123</v>
      </c>
      <c r="F73" s="71">
        <f>EDTN[[#This Row],[Nuevos Pesos]]</f>
        <v>0.33333333333333331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0.33300000000000002</v>
      </c>
      <c r="X73" s="71">
        <v>0.66600000000000004</v>
      </c>
      <c r="Y73" s="71">
        <v>1</v>
      </c>
      <c r="Z73" s="71">
        <v>1</v>
      </c>
      <c r="AA73" s="71">
        <v>1</v>
      </c>
      <c r="AB73" s="71">
        <v>1</v>
      </c>
      <c r="AC73" s="71">
        <v>1</v>
      </c>
      <c r="AD73" s="71">
        <v>1</v>
      </c>
      <c r="AE73" s="71">
        <v>1</v>
      </c>
      <c r="AF73" s="71">
        <v>1</v>
      </c>
      <c r="AG73" s="71">
        <v>1</v>
      </c>
      <c r="AH73" s="71">
        <v>1</v>
      </c>
      <c r="AI73" s="71">
        <v>1</v>
      </c>
      <c r="AJ73" s="71">
        <v>1</v>
      </c>
      <c r="AK73" s="71">
        <v>1</v>
      </c>
      <c r="AL73" s="71">
        <v>1</v>
      </c>
      <c r="AM73" s="71">
        <v>1</v>
      </c>
      <c r="AN73" s="71">
        <v>1</v>
      </c>
      <c r="AO73" s="71">
        <v>1</v>
      </c>
      <c r="AP73" s="71">
        <v>1</v>
      </c>
      <c r="AQ73" s="71">
        <v>1</v>
      </c>
      <c r="AR73" s="71">
        <v>1</v>
      </c>
      <c r="AS73" s="71">
        <v>1</v>
      </c>
      <c r="AT73" s="71">
        <v>1</v>
      </c>
      <c r="AU73" s="71">
        <v>1</v>
      </c>
      <c r="AV73" s="71">
        <v>1</v>
      </c>
      <c r="AW73" s="71">
        <v>1</v>
      </c>
      <c r="AX73" s="71">
        <v>1</v>
      </c>
      <c r="AY73" s="71">
        <v>1</v>
      </c>
      <c r="AZ73" s="71">
        <v>1</v>
      </c>
      <c r="BA73" s="71">
        <v>1</v>
      </c>
      <c r="BB73" s="71">
        <v>1</v>
      </c>
      <c r="BC73" s="71">
        <v>1</v>
      </c>
      <c r="BD73" s="71">
        <v>1</v>
      </c>
      <c r="BE73" s="71">
        <v>1</v>
      </c>
      <c r="BF73" s="71">
        <v>1</v>
      </c>
      <c r="BG73" s="71">
        <v>1</v>
      </c>
      <c r="BH73" s="71">
        <v>1</v>
      </c>
      <c r="BI73" s="71">
        <v>1</v>
      </c>
      <c r="BJ73" s="71">
        <v>1</v>
      </c>
      <c r="BK73" s="71">
        <v>1</v>
      </c>
      <c r="BL73" s="71">
        <v>1</v>
      </c>
      <c r="BM73" s="71">
        <v>1</v>
      </c>
      <c r="BN73" s="71">
        <v>1</v>
      </c>
      <c r="BO73" s="71">
        <v>1</v>
      </c>
      <c r="BP73" s="71">
        <v>1</v>
      </c>
      <c r="BQ73" s="71">
        <v>1</v>
      </c>
      <c r="BR73" s="71">
        <v>1</v>
      </c>
      <c r="BS73" s="71">
        <v>1</v>
      </c>
      <c r="BT73" s="71">
        <v>1</v>
      </c>
      <c r="BU73" s="71">
        <v>1</v>
      </c>
      <c r="BV73" s="71">
        <v>1</v>
      </c>
      <c r="BW73" s="71">
        <v>1</v>
      </c>
      <c r="BX73" s="71">
        <v>1</v>
      </c>
      <c r="BY73" s="71">
        <v>1</v>
      </c>
      <c r="BZ73" s="71">
        <v>1</v>
      </c>
      <c r="CA73" s="71">
        <v>1</v>
      </c>
      <c r="CB73" s="71">
        <v>1</v>
      </c>
      <c r="CC73" s="71">
        <v>1</v>
      </c>
      <c r="CD73" s="71">
        <v>1</v>
      </c>
      <c r="CE73" s="71">
        <v>1</v>
      </c>
      <c r="CF73" s="71">
        <v>1</v>
      </c>
      <c r="CG73" s="71">
        <v>1</v>
      </c>
      <c r="CH73" s="71">
        <v>1</v>
      </c>
      <c r="CI73" s="71">
        <v>1</v>
      </c>
      <c r="CJ73" s="71">
        <v>1</v>
      </c>
      <c r="CK73" s="71">
        <v>1</v>
      </c>
      <c r="CL73" s="71">
        <v>1</v>
      </c>
      <c r="CM73" s="71">
        <v>1</v>
      </c>
      <c r="CN73" s="71">
        <v>1</v>
      </c>
      <c r="CO73" s="71">
        <v>1</v>
      </c>
      <c r="CP73" s="71">
        <v>1</v>
      </c>
    </row>
    <row r="74" spans="2:94" hidden="1" outlineLevel="2" x14ac:dyDescent="0.4">
      <c r="B74" s="69"/>
      <c r="C74" s="70"/>
      <c r="D74" s="70"/>
      <c r="E74" s="70" t="s">
        <v>124</v>
      </c>
      <c r="F74" s="71">
        <f>EDTN[[#This Row],[Nuevos Pesos]]</f>
        <v>0.33333333333333331</v>
      </c>
      <c r="H74" s="71">
        <v>0</v>
      </c>
      <c r="I74" s="71">
        <v>0</v>
      </c>
      <c r="J74" s="71">
        <v>0</v>
      </c>
      <c r="K74" s="71">
        <v>0</v>
      </c>
      <c r="L74" s="71">
        <v>0</v>
      </c>
      <c r="M74" s="71">
        <v>0</v>
      </c>
      <c r="N74" s="71">
        <v>0</v>
      </c>
      <c r="O74" s="71">
        <v>0</v>
      </c>
      <c r="P74" s="71">
        <v>0</v>
      </c>
      <c r="Q74" s="71">
        <v>0</v>
      </c>
      <c r="R74" s="71">
        <v>0</v>
      </c>
      <c r="S74" s="71">
        <v>0</v>
      </c>
      <c r="T74" s="71">
        <v>0</v>
      </c>
      <c r="U74" s="71">
        <v>0</v>
      </c>
      <c r="V74" s="71">
        <v>0.125</v>
      </c>
      <c r="W74" s="71">
        <f>+PlanBase39[[#This Row],[11/08/25]]+12.5%</f>
        <v>0.25</v>
      </c>
      <c r="X74" s="71">
        <f>+PlanBase39[[#This Row],[18/08/25]]+12.5%</f>
        <v>0.375</v>
      </c>
      <c r="Y74" s="71">
        <f>+PlanBase39[[#This Row],[25/08/25]]+12.5%</f>
        <v>0.5</v>
      </c>
      <c r="Z74" s="71">
        <f>+PlanBase39[[#This Row],[01/09/25]]+12.5%</f>
        <v>0.625</v>
      </c>
      <c r="AA74" s="71">
        <f>+PlanBase39[[#This Row],[08/09/25]]+12.5%</f>
        <v>0.75</v>
      </c>
      <c r="AB74" s="71">
        <f>+PlanBase39[[#This Row],[15/09/25]]+12.5%</f>
        <v>0.875</v>
      </c>
      <c r="AC74" s="71">
        <f>+PlanBase39[[#This Row],[22/09/25]]+12.5%</f>
        <v>1</v>
      </c>
      <c r="AD74" s="71">
        <v>1</v>
      </c>
      <c r="AE74" s="71">
        <v>1</v>
      </c>
      <c r="AF74" s="71">
        <v>1</v>
      </c>
      <c r="AG74" s="71">
        <v>1</v>
      </c>
      <c r="AH74" s="71">
        <v>1</v>
      </c>
      <c r="AI74" s="71">
        <v>1</v>
      </c>
      <c r="AJ74" s="71">
        <v>1</v>
      </c>
      <c r="AK74" s="71">
        <v>1</v>
      </c>
      <c r="AL74" s="71">
        <v>1</v>
      </c>
      <c r="AM74" s="71">
        <v>1</v>
      </c>
      <c r="AN74" s="71">
        <v>1</v>
      </c>
      <c r="AO74" s="71">
        <v>1</v>
      </c>
      <c r="AP74" s="71">
        <v>1</v>
      </c>
      <c r="AQ74" s="71">
        <v>1</v>
      </c>
      <c r="AR74" s="71">
        <v>1</v>
      </c>
      <c r="AS74" s="71">
        <v>1</v>
      </c>
      <c r="AT74" s="71">
        <v>1</v>
      </c>
      <c r="AU74" s="71">
        <v>1</v>
      </c>
      <c r="AV74" s="71">
        <v>1</v>
      </c>
      <c r="AW74" s="71">
        <v>1</v>
      </c>
      <c r="AX74" s="71">
        <v>1</v>
      </c>
      <c r="AY74" s="71">
        <v>1</v>
      </c>
      <c r="AZ74" s="71">
        <v>1</v>
      </c>
      <c r="BA74" s="71">
        <v>1</v>
      </c>
      <c r="BB74" s="71">
        <v>1</v>
      </c>
      <c r="BC74" s="71">
        <v>1</v>
      </c>
      <c r="BD74" s="71">
        <v>1</v>
      </c>
      <c r="BE74" s="71">
        <v>1</v>
      </c>
      <c r="BF74" s="71">
        <v>1</v>
      </c>
      <c r="BG74" s="71">
        <v>1</v>
      </c>
      <c r="BH74" s="71">
        <v>1</v>
      </c>
      <c r="BI74" s="71">
        <v>1</v>
      </c>
      <c r="BJ74" s="71">
        <v>1</v>
      </c>
      <c r="BK74" s="71">
        <v>1</v>
      </c>
      <c r="BL74" s="71">
        <v>1</v>
      </c>
      <c r="BM74" s="71">
        <v>1</v>
      </c>
      <c r="BN74" s="71">
        <v>1</v>
      </c>
      <c r="BO74" s="71">
        <v>1</v>
      </c>
      <c r="BP74" s="71">
        <v>1</v>
      </c>
      <c r="BQ74" s="71">
        <v>1</v>
      </c>
      <c r="BR74" s="71">
        <v>1</v>
      </c>
      <c r="BS74" s="71">
        <v>1</v>
      </c>
      <c r="BT74" s="71">
        <v>1</v>
      </c>
      <c r="BU74" s="71">
        <v>1</v>
      </c>
      <c r="BV74" s="71">
        <v>1</v>
      </c>
      <c r="BW74" s="71">
        <v>1</v>
      </c>
      <c r="BX74" s="71">
        <v>1</v>
      </c>
      <c r="BY74" s="71">
        <v>1</v>
      </c>
      <c r="BZ74" s="71">
        <v>1</v>
      </c>
      <c r="CA74" s="71">
        <v>1</v>
      </c>
      <c r="CB74" s="71">
        <v>1</v>
      </c>
      <c r="CC74" s="71">
        <v>1</v>
      </c>
      <c r="CD74" s="71">
        <v>1</v>
      </c>
      <c r="CE74" s="71">
        <v>1</v>
      </c>
      <c r="CF74" s="71">
        <v>1</v>
      </c>
      <c r="CG74" s="71">
        <v>1</v>
      </c>
      <c r="CH74" s="71">
        <v>1</v>
      </c>
      <c r="CI74" s="71">
        <v>1</v>
      </c>
      <c r="CJ74" s="71">
        <v>1</v>
      </c>
      <c r="CK74" s="71">
        <v>1</v>
      </c>
      <c r="CL74" s="71">
        <v>1</v>
      </c>
      <c r="CM74" s="71">
        <v>1</v>
      </c>
      <c r="CN74" s="71">
        <v>1</v>
      </c>
      <c r="CO74" s="71">
        <v>1</v>
      </c>
      <c r="CP74" s="71">
        <v>1</v>
      </c>
    </row>
    <row r="75" spans="2:94" hidden="1" outlineLevel="2" x14ac:dyDescent="0.4">
      <c r="B75" s="69"/>
      <c r="C75" s="70"/>
      <c r="D75" s="70"/>
      <c r="E75" s="70" t="s">
        <v>125</v>
      </c>
      <c r="F75" s="71">
        <f>EDTN[[#This Row],[Nuevos Pesos]]</f>
        <v>0.33333333333333331</v>
      </c>
      <c r="H75" s="71">
        <v>0</v>
      </c>
      <c r="I75" s="71">
        <v>0</v>
      </c>
      <c r="J75" s="71">
        <v>0</v>
      </c>
      <c r="K75" s="71">
        <v>0</v>
      </c>
      <c r="L75" s="71">
        <v>0</v>
      </c>
      <c r="M75" s="71">
        <v>0</v>
      </c>
      <c r="N75" s="71">
        <v>0</v>
      </c>
      <c r="O75" s="71">
        <v>0</v>
      </c>
      <c r="P75" s="71">
        <v>0</v>
      </c>
      <c r="Q75" s="71">
        <v>0</v>
      </c>
      <c r="R75" s="71">
        <v>0</v>
      </c>
      <c r="S75" s="71">
        <v>0</v>
      </c>
      <c r="T75" s="71">
        <v>0</v>
      </c>
      <c r="U75" s="71">
        <v>0</v>
      </c>
      <c r="V75" s="71">
        <v>0</v>
      </c>
      <c r="W75" s="71">
        <v>0</v>
      </c>
      <c r="X75" s="71">
        <v>0</v>
      </c>
      <c r="Y75" s="71">
        <v>0.33300000000000002</v>
      </c>
      <c r="Z75" s="71">
        <v>0.66600000000000004</v>
      </c>
      <c r="AA75" s="71">
        <v>1</v>
      </c>
      <c r="AB75" s="71">
        <v>1</v>
      </c>
      <c r="AC75" s="71">
        <v>1</v>
      </c>
      <c r="AD75" s="71">
        <v>1</v>
      </c>
      <c r="AE75" s="71">
        <v>1</v>
      </c>
      <c r="AF75" s="71">
        <v>1</v>
      </c>
      <c r="AG75" s="71">
        <v>1</v>
      </c>
      <c r="AH75" s="71">
        <v>1</v>
      </c>
      <c r="AI75" s="71">
        <v>1</v>
      </c>
      <c r="AJ75" s="71">
        <v>1</v>
      </c>
      <c r="AK75" s="71">
        <v>1</v>
      </c>
      <c r="AL75" s="71">
        <v>1</v>
      </c>
      <c r="AM75" s="71">
        <v>1</v>
      </c>
      <c r="AN75" s="71">
        <v>1</v>
      </c>
      <c r="AO75" s="71">
        <v>1</v>
      </c>
      <c r="AP75" s="71">
        <v>1</v>
      </c>
      <c r="AQ75" s="71">
        <v>1</v>
      </c>
      <c r="AR75" s="71">
        <v>1</v>
      </c>
      <c r="AS75" s="71">
        <v>1</v>
      </c>
      <c r="AT75" s="71">
        <v>1</v>
      </c>
      <c r="AU75" s="71">
        <v>1</v>
      </c>
      <c r="AV75" s="71">
        <v>1</v>
      </c>
      <c r="AW75" s="71">
        <v>1</v>
      </c>
      <c r="AX75" s="71">
        <v>1</v>
      </c>
      <c r="AY75" s="71">
        <v>1</v>
      </c>
      <c r="AZ75" s="71">
        <v>1</v>
      </c>
      <c r="BA75" s="71">
        <v>1</v>
      </c>
      <c r="BB75" s="71">
        <v>1</v>
      </c>
      <c r="BC75" s="71">
        <v>1</v>
      </c>
      <c r="BD75" s="71">
        <v>1</v>
      </c>
      <c r="BE75" s="71">
        <v>1</v>
      </c>
      <c r="BF75" s="71">
        <v>1</v>
      </c>
      <c r="BG75" s="71">
        <v>1</v>
      </c>
      <c r="BH75" s="71">
        <v>1</v>
      </c>
      <c r="BI75" s="71">
        <v>1</v>
      </c>
      <c r="BJ75" s="71">
        <v>1</v>
      </c>
      <c r="BK75" s="71">
        <v>1</v>
      </c>
      <c r="BL75" s="71">
        <v>1</v>
      </c>
      <c r="BM75" s="71">
        <v>1</v>
      </c>
      <c r="BN75" s="71">
        <v>1</v>
      </c>
      <c r="BO75" s="71">
        <v>1</v>
      </c>
      <c r="BP75" s="71">
        <v>1</v>
      </c>
      <c r="BQ75" s="71">
        <v>1</v>
      </c>
      <c r="BR75" s="71">
        <v>1</v>
      </c>
      <c r="BS75" s="71">
        <v>1</v>
      </c>
      <c r="BT75" s="71">
        <v>1</v>
      </c>
      <c r="BU75" s="71">
        <v>1</v>
      </c>
      <c r="BV75" s="71">
        <v>1</v>
      </c>
      <c r="BW75" s="71">
        <v>1</v>
      </c>
      <c r="BX75" s="71">
        <v>1</v>
      </c>
      <c r="BY75" s="71">
        <v>1</v>
      </c>
      <c r="BZ75" s="71">
        <v>1</v>
      </c>
      <c r="CA75" s="71">
        <v>1</v>
      </c>
      <c r="CB75" s="71">
        <v>1</v>
      </c>
      <c r="CC75" s="71">
        <v>1</v>
      </c>
      <c r="CD75" s="71">
        <v>1</v>
      </c>
      <c r="CE75" s="71">
        <v>1</v>
      </c>
      <c r="CF75" s="71">
        <v>1</v>
      </c>
      <c r="CG75" s="71">
        <v>1</v>
      </c>
      <c r="CH75" s="71">
        <v>1</v>
      </c>
      <c r="CI75" s="71">
        <v>1</v>
      </c>
      <c r="CJ75" s="71">
        <v>1</v>
      </c>
      <c r="CK75" s="71">
        <v>1</v>
      </c>
      <c r="CL75" s="71">
        <v>1</v>
      </c>
      <c r="CM75" s="71">
        <v>1</v>
      </c>
      <c r="CN75" s="71">
        <v>1</v>
      </c>
      <c r="CO75" s="71">
        <v>1</v>
      </c>
      <c r="CP75" s="71">
        <v>1</v>
      </c>
    </row>
    <row r="76" spans="2:94" hidden="1" outlineLevel="1" collapsed="1" x14ac:dyDescent="0.4">
      <c r="B76" s="85"/>
      <c r="C76" s="86"/>
      <c r="D76" s="86" t="s">
        <v>126</v>
      </c>
      <c r="E76" s="86"/>
      <c r="F76" s="87">
        <f>EDTN[[#This Row],[Nuevos Pesos]]</f>
        <v>8.1726407806827425E-2</v>
      </c>
      <c r="H76" s="87">
        <f>SUMPRODUCT(H77:H82,$F$77:$F$82)</f>
        <v>0</v>
      </c>
      <c r="I76" s="87">
        <f t="shared" ref="I76:AP76" si="201">SUMPRODUCT(I77:I82,$F$77:$F$82)</f>
        <v>0</v>
      </c>
      <c r="J76" s="87">
        <f t="shared" si="201"/>
        <v>0</v>
      </c>
      <c r="K76" s="87">
        <f t="shared" si="201"/>
        <v>0</v>
      </c>
      <c r="L76" s="87">
        <f t="shared" si="201"/>
        <v>0</v>
      </c>
      <c r="M76" s="87">
        <f t="shared" si="201"/>
        <v>0</v>
      </c>
      <c r="N76" s="87">
        <f t="shared" si="201"/>
        <v>0</v>
      </c>
      <c r="O76" s="87">
        <f t="shared" si="201"/>
        <v>0</v>
      </c>
      <c r="P76" s="87">
        <f t="shared" si="201"/>
        <v>0</v>
      </c>
      <c r="Q76" s="87">
        <f t="shared" si="201"/>
        <v>0</v>
      </c>
      <c r="R76" s="87">
        <f t="shared" si="201"/>
        <v>0</v>
      </c>
      <c r="S76" s="87">
        <f t="shared" si="201"/>
        <v>0</v>
      </c>
      <c r="T76" s="87">
        <f t="shared" si="201"/>
        <v>0</v>
      </c>
      <c r="U76" s="87">
        <f t="shared" si="201"/>
        <v>0</v>
      </c>
      <c r="V76" s="87">
        <f t="shared" si="201"/>
        <v>0</v>
      </c>
      <c r="W76" s="87">
        <f t="shared" si="201"/>
        <v>0</v>
      </c>
      <c r="X76" s="87">
        <f t="shared" si="201"/>
        <v>0</v>
      </c>
      <c r="Y76" s="87">
        <f t="shared" si="201"/>
        <v>0</v>
      </c>
      <c r="Z76" s="87">
        <f t="shared" si="201"/>
        <v>0</v>
      </c>
      <c r="AA76" s="87">
        <f t="shared" si="201"/>
        <v>0</v>
      </c>
      <c r="AB76" s="87">
        <f t="shared" si="201"/>
        <v>0</v>
      </c>
      <c r="AC76" s="87">
        <f t="shared" si="201"/>
        <v>0</v>
      </c>
      <c r="AD76" s="87">
        <f t="shared" si="201"/>
        <v>0</v>
      </c>
      <c r="AE76" s="87">
        <f t="shared" si="201"/>
        <v>0</v>
      </c>
      <c r="AF76" s="87">
        <f t="shared" si="201"/>
        <v>0</v>
      </c>
      <c r="AG76" s="87">
        <f t="shared" si="201"/>
        <v>0</v>
      </c>
      <c r="AH76" s="87">
        <f t="shared" si="201"/>
        <v>0.12499999999999999</v>
      </c>
      <c r="AI76" s="87">
        <f t="shared" si="201"/>
        <v>0.24999999999999997</v>
      </c>
      <c r="AJ76" s="87">
        <f t="shared" si="201"/>
        <v>0.375</v>
      </c>
      <c r="AK76" s="87">
        <f t="shared" si="201"/>
        <v>0.49999999999999994</v>
      </c>
      <c r="AL76" s="87">
        <f t="shared" si="201"/>
        <v>0.625</v>
      </c>
      <c r="AM76" s="87">
        <f t="shared" si="201"/>
        <v>0.75</v>
      </c>
      <c r="AN76" s="87">
        <f t="shared" si="201"/>
        <v>0.87499999999999989</v>
      </c>
      <c r="AO76" s="87">
        <f t="shared" si="201"/>
        <v>0.99999999999999989</v>
      </c>
      <c r="AP76" s="87">
        <f t="shared" si="201"/>
        <v>0.99999999999999989</v>
      </c>
      <c r="AQ76" s="87">
        <f t="shared" ref="AQ76:AR76" si="202">SUMPRODUCT(AQ77:AQ82,$F$77:$F$82)</f>
        <v>0.99999999999999989</v>
      </c>
      <c r="AR76" s="87">
        <f t="shared" si="202"/>
        <v>0.99999999999999989</v>
      </c>
      <c r="AS76" s="87">
        <f t="shared" ref="AS76" si="203">SUMPRODUCT(AS77:AS82,$F$77:$F$82)</f>
        <v>0.99999999999999989</v>
      </c>
      <c r="AT76" s="87">
        <f t="shared" ref="AT76:BC76" si="204">SUMPRODUCT(AT77:AT82,$F$77:$F$82)</f>
        <v>0.99999999999999989</v>
      </c>
      <c r="AU76" s="87">
        <f t="shared" si="204"/>
        <v>0.99999999999999989</v>
      </c>
      <c r="AV76" s="87">
        <f t="shared" si="204"/>
        <v>0.99999999999999989</v>
      </c>
      <c r="AW76" s="87">
        <f t="shared" si="204"/>
        <v>0.99999999999999989</v>
      </c>
      <c r="AX76" s="87">
        <f t="shared" si="204"/>
        <v>0.99999999999999989</v>
      </c>
      <c r="AY76" s="87">
        <f t="shared" si="204"/>
        <v>0.99999999999999989</v>
      </c>
      <c r="AZ76" s="87">
        <f t="shared" si="204"/>
        <v>0.99999999999999989</v>
      </c>
      <c r="BA76" s="87">
        <f t="shared" si="204"/>
        <v>0.99999999999999989</v>
      </c>
      <c r="BB76" s="87">
        <f t="shared" si="204"/>
        <v>0.99999999999999989</v>
      </c>
      <c r="BC76" s="87">
        <f t="shared" si="204"/>
        <v>0.99999999999999989</v>
      </c>
      <c r="BD76" s="87">
        <f t="shared" ref="BD76:BE76" si="205">SUMPRODUCT(BD77:BD82,$F$77:$F$82)</f>
        <v>0.99999999999999989</v>
      </c>
      <c r="BE76" s="87">
        <f t="shared" si="205"/>
        <v>0.99999999999999989</v>
      </c>
      <c r="BF76" s="87">
        <f t="shared" ref="BF76:BG76" si="206">SUMPRODUCT(BF77:BF82,$F$77:$F$82)</f>
        <v>0.99999999999999989</v>
      </c>
      <c r="BG76" s="87">
        <f t="shared" si="206"/>
        <v>0.99999999999999989</v>
      </c>
      <c r="BH76" s="87">
        <f t="shared" ref="BH76:BI76" si="207">SUMPRODUCT(BH77:BH82,$F$77:$F$82)</f>
        <v>0.99999999999999989</v>
      </c>
      <c r="BI76" s="87">
        <f t="shared" si="207"/>
        <v>0.99999999999999989</v>
      </c>
      <c r="BJ76" s="87">
        <f t="shared" ref="BJ76:BK76" si="208">SUMPRODUCT(BJ77:BJ82,$F$77:$F$82)</f>
        <v>0.99999999999999989</v>
      </c>
      <c r="BK76" s="87">
        <f t="shared" si="208"/>
        <v>0.99999999999999989</v>
      </c>
      <c r="BL76" s="87">
        <f t="shared" ref="BL76:CP76" si="209">SUMPRODUCT(BL77:BL82,$F$77:$F$82)</f>
        <v>0.99999999999999989</v>
      </c>
      <c r="BM76" s="87">
        <f t="shared" si="209"/>
        <v>0.99999999999999989</v>
      </c>
      <c r="BN76" s="87">
        <f t="shared" si="209"/>
        <v>0.99999999999999989</v>
      </c>
      <c r="BO76" s="87">
        <f t="shared" si="209"/>
        <v>0.99999999999999989</v>
      </c>
      <c r="BP76" s="87">
        <f t="shared" si="209"/>
        <v>0.99999999999999989</v>
      </c>
      <c r="BQ76" s="87">
        <f t="shared" si="209"/>
        <v>0.99999999999999989</v>
      </c>
      <c r="BR76" s="87">
        <f t="shared" si="209"/>
        <v>0.99999999999999989</v>
      </c>
      <c r="BS76" s="87">
        <f t="shared" si="209"/>
        <v>0.99999999999999989</v>
      </c>
      <c r="BT76" s="87">
        <f t="shared" si="209"/>
        <v>0.99999999999999989</v>
      </c>
      <c r="BU76" s="87">
        <f t="shared" si="209"/>
        <v>0.99999999999999989</v>
      </c>
      <c r="BV76" s="87">
        <f t="shared" si="209"/>
        <v>0.99999999999999989</v>
      </c>
      <c r="BW76" s="87">
        <f t="shared" si="209"/>
        <v>0.99999999999999989</v>
      </c>
      <c r="BX76" s="87">
        <f t="shared" si="209"/>
        <v>0.99999999999999989</v>
      </c>
      <c r="BY76" s="87">
        <f t="shared" si="209"/>
        <v>0.99999999999999989</v>
      </c>
      <c r="BZ76" s="87">
        <f t="shared" si="209"/>
        <v>0.99999999999999989</v>
      </c>
      <c r="CA76" s="87">
        <f t="shared" si="209"/>
        <v>0.99999999999999989</v>
      </c>
      <c r="CB76" s="87">
        <f t="shared" si="209"/>
        <v>0.99999999999999989</v>
      </c>
      <c r="CC76" s="87">
        <f t="shared" si="209"/>
        <v>0.99999999999999989</v>
      </c>
      <c r="CD76" s="87">
        <f t="shared" si="209"/>
        <v>0.99999999999999989</v>
      </c>
      <c r="CE76" s="87">
        <f t="shared" si="209"/>
        <v>0.99999999999999989</v>
      </c>
      <c r="CF76" s="87">
        <f t="shared" si="209"/>
        <v>0.99999999999999989</v>
      </c>
      <c r="CG76" s="87">
        <f t="shared" si="209"/>
        <v>0.99999999999999989</v>
      </c>
      <c r="CH76" s="87">
        <f t="shared" si="209"/>
        <v>0.99999999999999989</v>
      </c>
      <c r="CI76" s="87">
        <f t="shared" si="209"/>
        <v>0.99999999999999989</v>
      </c>
      <c r="CJ76" s="87">
        <f t="shared" si="209"/>
        <v>0.99999999999999989</v>
      </c>
      <c r="CK76" s="87">
        <f t="shared" si="209"/>
        <v>0.99999999999999989</v>
      </c>
      <c r="CL76" s="87">
        <f t="shared" si="209"/>
        <v>0.99999999999999989</v>
      </c>
      <c r="CM76" s="87">
        <f t="shared" si="209"/>
        <v>0.99999999999999989</v>
      </c>
      <c r="CN76" s="87">
        <f t="shared" si="209"/>
        <v>0.99999999999999989</v>
      </c>
      <c r="CO76" s="87">
        <f t="shared" si="209"/>
        <v>0.99999999999999989</v>
      </c>
      <c r="CP76" s="87">
        <f t="shared" si="209"/>
        <v>0.99999999999999989</v>
      </c>
    </row>
    <row r="77" spans="2:94" hidden="1" outlineLevel="2" x14ac:dyDescent="0.4">
      <c r="B77" s="69"/>
      <c r="C77" s="70"/>
      <c r="D77" s="70"/>
      <c r="E77" s="70" t="s">
        <v>127</v>
      </c>
      <c r="F77" s="71">
        <f>EDTN[[#This Row],[Nuevos Pesos]]</f>
        <v>0.22222222222222221</v>
      </c>
      <c r="H77" s="71">
        <v>0</v>
      </c>
      <c r="I77" s="71">
        <v>0</v>
      </c>
      <c r="J77" s="71">
        <v>0</v>
      </c>
      <c r="K77" s="71">
        <v>0</v>
      </c>
      <c r="L77" s="71">
        <v>0</v>
      </c>
      <c r="M77" s="71">
        <v>0</v>
      </c>
      <c r="N77" s="71">
        <v>0</v>
      </c>
      <c r="O77" s="71">
        <v>0</v>
      </c>
      <c r="P77" s="71">
        <v>0</v>
      </c>
      <c r="Q77" s="71">
        <v>0</v>
      </c>
      <c r="R77" s="71">
        <v>0</v>
      </c>
      <c r="S77" s="71">
        <v>0</v>
      </c>
      <c r="T77" s="71">
        <v>0</v>
      </c>
      <c r="U77" s="71">
        <v>0</v>
      </c>
      <c r="V77" s="71">
        <v>0</v>
      </c>
      <c r="W77" s="71">
        <v>0</v>
      </c>
      <c r="X77" s="71">
        <v>0</v>
      </c>
      <c r="Y77" s="71">
        <v>0</v>
      </c>
      <c r="Z77" s="71">
        <v>0</v>
      </c>
      <c r="AA77" s="71">
        <v>0</v>
      </c>
      <c r="AB77" s="71">
        <v>0</v>
      </c>
      <c r="AC77" s="71">
        <v>0</v>
      </c>
      <c r="AD77" s="71">
        <v>0</v>
      </c>
      <c r="AE77" s="71">
        <v>0</v>
      </c>
      <c r="AF77" s="71">
        <v>0</v>
      </c>
      <c r="AG77" s="71">
        <v>0</v>
      </c>
      <c r="AH77" s="71">
        <v>0.125</v>
      </c>
      <c r="AI77" s="71">
        <f>+PlanBase39[[#This Row],[03/11/25]]+12.5%</f>
        <v>0.25</v>
      </c>
      <c r="AJ77" s="71">
        <f>+PlanBase39[[#This Row],[10/11/25]]+12.5%</f>
        <v>0.375</v>
      </c>
      <c r="AK77" s="71">
        <f>+PlanBase39[[#This Row],[17/11/25]]+12.5%</f>
        <v>0.5</v>
      </c>
      <c r="AL77" s="71">
        <f>+PlanBase39[[#This Row],[24/11/25]]+12.5%</f>
        <v>0.625</v>
      </c>
      <c r="AM77" s="71">
        <f>+PlanBase39[[#This Row],[01/12/25]]+12.5%</f>
        <v>0.75</v>
      </c>
      <c r="AN77" s="71">
        <f>+PlanBase39[[#This Row],[08/12/25]]+12.5%</f>
        <v>0.875</v>
      </c>
      <c r="AO77" s="71">
        <f>+PlanBase39[[#This Row],[15/12/25]]+12.5%</f>
        <v>1</v>
      </c>
      <c r="AP77" s="71">
        <v>1</v>
      </c>
      <c r="AQ77" s="71">
        <v>1</v>
      </c>
      <c r="AR77" s="71">
        <v>1</v>
      </c>
      <c r="AS77" s="71">
        <v>1</v>
      </c>
      <c r="AT77" s="71">
        <v>1</v>
      </c>
      <c r="AU77" s="71">
        <v>1</v>
      </c>
      <c r="AV77" s="71">
        <v>1</v>
      </c>
      <c r="AW77" s="71">
        <v>1</v>
      </c>
      <c r="AX77" s="71">
        <v>1</v>
      </c>
      <c r="AY77" s="71">
        <v>1</v>
      </c>
      <c r="AZ77" s="71">
        <v>1</v>
      </c>
      <c r="BA77" s="71">
        <v>1</v>
      </c>
      <c r="BB77" s="71">
        <v>1</v>
      </c>
      <c r="BC77" s="71">
        <v>1</v>
      </c>
      <c r="BD77" s="71">
        <v>1</v>
      </c>
      <c r="BE77" s="71">
        <v>1</v>
      </c>
      <c r="BF77" s="71">
        <v>1</v>
      </c>
      <c r="BG77" s="71">
        <v>1</v>
      </c>
      <c r="BH77" s="71">
        <v>1</v>
      </c>
      <c r="BI77" s="71">
        <v>1</v>
      </c>
      <c r="BJ77" s="71">
        <v>1</v>
      </c>
      <c r="BK77" s="71">
        <v>1</v>
      </c>
      <c r="BL77" s="71">
        <v>1</v>
      </c>
      <c r="BM77" s="71">
        <v>1</v>
      </c>
      <c r="BN77" s="71">
        <v>1</v>
      </c>
      <c r="BO77" s="71">
        <v>1</v>
      </c>
      <c r="BP77" s="71">
        <v>1</v>
      </c>
      <c r="BQ77" s="71">
        <v>1</v>
      </c>
      <c r="BR77" s="71">
        <v>1</v>
      </c>
      <c r="BS77" s="71">
        <v>1</v>
      </c>
      <c r="BT77" s="71">
        <v>1</v>
      </c>
      <c r="BU77" s="71">
        <v>1</v>
      </c>
      <c r="BV77" s="71">
        <v>1</v>
      </c>
      <c r="BW77" s="71">
        <v>1</v>
      </c>
      <c r="BX77" s="71">
        <v>1</v>
      </c>
      <c r="BY77" s="71">
        <v>1</v>
      </c>
      <c r="BZ77" s="71">
        <v>1</v>
      </c>
      <c r="CA77" s="71">
        <v>1</v>
      </c>
      <c r="CB77" s="71">
        <v>1</v>
      </c>
      <c r="CC77" s="71">
        <v>1</v>
      </c>
      <c r="CD77" s="71">
        <v>1</v>
      </c>
      <c r="CE77" s="71">
        <v>1</v>
      </c>
      <c r="CF77" s="71">
        <v>1</v>
      </c>
      <c r="CG77" s="71">
        <v>1</v>
      </c>
      <c r="CH77" s="71">
        <v>1</v>
      </c>
      <c r="CI77" s="71">
        <v>1</v>
      </c>
      <c r="CJ77" s="71">
        <v>1</v>
      </c>
      <c r="CK77" s="71">
        <v>1</v>
      </c>
      <c r="CL77" s="71">
        <v>1</v>
      </c>
      <c r="CM77" s="71">
        <v>1</v>
      </c>
      <c r="CN77" s="71">
        <v>1</v>
      </c>
      <c r="CO77" s="71">
        <v>1</v>
      </c>
      <c r="CP77" s="71">
        <v>1</v>
      </c>
    </row>
    <row r="78" spans="2:94" hidden="1" outlineLevel="2" x14ac:dyDescent="0.4">
      <c r="B78" s="69"/>
      <c r="C78" s="70"/>
      <c r="D78" s="70"/>
      <c r="E78" s="70" t="s">
        <v>128</v>
      </c>
      <c r="F78" s="71">
        <f>EDTN[[#This Row],[Nuevos Pesos]]</f>
        <v>0.1111111111111111</v>
      </c>
      <c r="H78" s="71">
        <v>0</v>
      </c>
      <c r="I78" s="71">
        <v>0</v>
      </c>
      <c r="J78" s="71">
        <v>0</v>
      </c>
      <c r="K78" s="71">
        <v>0</v>
      </c>
      <c r="L78" s="71">
        <v>0</v>
      </c>
      <c r="M78" s="71">
        <v>0</v>
      </c>
      <c r="N78" s="71">
        <v>0</v>
      </c>
      <c r="O78" s="71">
        <v>0</v>
      </c>
      <c r="P78" s="71">
        <v>0</v>
      </c>
      <c r="Q78" s="71">
        <v>0</v>
      </c>
      <c r="R78" s="71">
        <v>0</v>
      </c>
      <c r="S78" s="71">
        <v>0</v>
      </c>
      <c r="T78" s="71">
        <v>0</v>
      </c>
      <c r="U78" s="71">
        <v>0</v>
      </c>
      <c r="V78" s="71">
        <v>0</v>
      </c>
      <c r="W78" s="71">
        <v>0</v>
      </c>
      <c r="X78" s="71">
        <v>0</v>
      </c>
      <c r="Y78" s="71">
        <v>0</v>
      </c>
      <c r="Z78" s="71">
        <v>0</v>
      </c>
      <c r="AA78" s="71">
        <v>0</v>
      </c>
      <c r="AB78" s="71">
        <v>0</v>
      </c>
      <c r="AC78" s="71">
        <v>0</v>
      </c>
      <c r="AD78" s="71">
        <v>0</v>
      </c>
      <c r="AE78" s="71">
        <v>0</v>
      </c>
      <c r="AF78" s="71">
        <v>0</v>
      </c>
      <c r="AG78" s="71">
        <v>0</v>
      </c>
      <c r="AH78" s="71">
        <v>0.125</v>
      </c>
      <c r="AI78" s="71">
        <f>+PlanBase39[[#This Row],[03/11/25]]+12.5%</f>
        <v>0.25</v>
      </c>
      <c r="AJ78" s="71">
        <f>+PlanBase39[[#This Row],[10/11/25]]+12.5%</f>
        <v>0.375</v>
      </c>
      <c r="AK78" s="71">
        <f>+PlanBase39[[#This Row],[17/11/25]]+12.5%</f>
        <v>0.5</v>
      </c>
      <c r="AL78" s="71">
        <f>+PlanBase39[[#This Row],[24/11/25]]+12.5%</f>
        <v>0.625</v>
      </c>
      <c r="AM78" s="71">
        <f>+PlanBase39[[#This Row],[01/12/25]]+12.5%</f>
        <v>0.75</v>
      </c>
      <c r="AN78" s="71">
        <f>+PlanBase39[[#This Row],[08/12/25]]+12.5%</f>
        <v>0.875</v>
      </c>
      <c r="AO78" s="71">
        <f>+PlanBase39[[#This Row],[15/12/25]]+12.5%</f>
        <v>1</v>
      </c>
      <c r="AP78" s="71">
        <v>1</v>
      </c>
      <c r="AQ78" s="71">
        <v>1</v>
      </c>
      <c r="AR78" s="71">
        <v>1</v>
      </c>
      <c r="AS78" s="71">
        <v>1</v>
      </c>
      <c r="AT78" s="71">
        <v>1</v>
      </c>
      <c r="AU78" s="71">
        <v>1</v>
      </c>
      <c r="AV78" s="71">
        <v>1</v>
      </c>
      <c r="AW78" s="71">
        <v>1</v>
      </c>
      <c r="AX78" s="71">
        <v>1</v>
      </c>
      <c r="AY78" s="71">
        <v>1</v>
      </c>
      <c r="AZ78" s="71">
        <v>1</v>
      </c>
      <c r="BA78" s="71">
        <v>1</v>
      </c>
      <c r="BB78" s="71">
        <v>1</v>
      </c>
      <c r="BC78" s="71">
        <v>1</v>
      </c>
      <c r="BD78" s="71">
        <v>1</v>
      </c>
      <c r="BE78" s="71">
        <v>1</v>
      </c>
      <c r="BF78" s="71">
        <v>1</v>
      </c>
      <c r="BG78" s="71">
        <v>1</v>
      </c>
      <c r="BH78" s="71">
        <v>1</v>
      </c>
      <c r="BI78" s="71">
        <v>1</v>
      </c>
      <c r="BJ78" s="71">
        <v>1</v>
      </c>
      <c r="BK78" s="71">
        <v>1</v>
      </c>
      <c r="BL78" s="71">
        <v>1</v>
      </c>
      <c r="BM78" s="71">
        <v>1</v>
      </c>
      <c r="BN78" s="71">
        <v>1</v>
      </c>
      <c r="BO78" s="71">
        <v>1</v>
      </c>
      <c r="BP78" s="71">
        <v>1</v>
      </c>
      <c r="BQ78" s="71">
        <v>1</v>
      </c>
      <c r="BR78" s="71">
        <v>1</v>
      </c>
      <c r="BS78" s="71">
        <v>1</v>
      </c>
      <c r="BT78" s="71">
        <v>1</v>
      </c>
      <c r="BU78" s="71">
        <v>1</v>
      </c>
      <c r="BV78" s="71">
        <v>1</v>
      </c>
      <c r="BW78" s="71">
        <v>1</v>
      </c>
      <c r="BX78" s="71">
        <v>1</v>
      </c>
      <c r="BY78" s="71">
        <v>1</v>
      </c>
      <c r="BZ78" s="71">
        <v>1</v>
      </c>
      <c r="CA78" s="71">
        <v>1</v>
      </c>
      <c r="CB78" s="71">
        <v>1</v>
      </c>
      <c r="CC78" s="71">
        <v>1</v>
      </c>
      <c r="CD78" s="71">
        <v>1</v>
      </c>
      <c r="CE78" s="71">
        <v>1</v>
      </c>
      <c r="CF78" s="71">
        <v>1</v>
      </c>
      <c r="CG78" s="71">
        <v>1</v>
      </c>
      <c r="CH78" s="71">
        <v>1</v>
      </c>
      <c r="CI78" s="71">
        <v>1</v>
      </c>
      <c r="CJ78" s="71">
        <v>1</v>
      </c>
      <c r="CK78" s="71">
        <v>1</v>
      </c>
      <c r="CL78" s="71">
        <v>1</v>
      </c>
      <c r="CM78" s="71">
        <v>1</v>
      </c>
      <c r="CN78" s="71">
        <v>1</v>
      </c>
      <c r="CO78" s="71">
        <v>1</v>
      </c>
      <c r="CP78" s="71">
        <v>1</v>
      </c>
    </row>
    <row r="79" spans="2:94" hidden="1" outlineLevel="2" x14ac:dyDescent="0.4">
      <c r="B79" s="69"/>
      <c r="C79" s="70"/>
      <c r="D79" s="70"/>
      <c r="E79" s="70" t="s">
        <v>129</v>
      </c>
      <c r="F79" s="71">
        <f>EDTN[[#This Row],[Nuevos Pesos]]</f>
        <v>0.1111111111111111</v>
      </c>
      <c r="H79" s="71">
        <v>0</v>
      </c>
      <c r="I79" s="71">
        <v>0</v>
      </c>
      <c r="J79" s="71">
        <v>0</v>
      </c>
      <c r="K79" s="71">
        <v>0</v>
      </c>
      <c r="L79" s="71">
        <v>0</v>
      </c>
      <c r="M79" s="71">
        <v>0</v>
      </c>
      <c r="N79" s="71">
        <v>0</v>
      </c>
      <c r="O79" s="71">
        <v>0</v>
      </c>
      <c r="P79" s="71">
        <v>0</v>
      </c>
      <c r="Q79" s="71">
        <v>0</v>
      </c>
      <c r="R79" s="71">
        <v>0</v>
      </c>
      <c r="S79" s="71">
        <v>0</v>
      </c>
      <c r="T79" s="71">
        <v>0</v>
      </c>
      <c r="U79" s="71">
        <v>0</v>
      </c>
      <c r="V79" s="71">
        <v>0</v>
      </c>
      <c r="W79" s="71">
        <v>0</v>
      </c>
      <c r="X79" s="71">
        <v>0</v>
      </c>
      <c r="Y79" s="71">
        <v>0</v>
      </c>
      <c r="Z79" s="71">
        <v>0</v>
      </c>
      <c r="AA79" s="71">
        <v>0</v>
      </c>
      <c r="AB79" s="71">
        <v>0</v>
      </c>
      <c r="AC79" s="71">
        <v>0</v>
      </c>
      <c r="AD79" s="71">
        <v>0</v>
      </c>
      <c r="AE79" s="71">
        <v>0</v>
      </c>
      <c r="AF79" s="71">
        <v>0</v>
      </c>
      <c r="AG79" s="71">
        <v>0</v>
      </c>
      <c r="AH79" s="71">
        <v>0.125</v>
      </c>
      <c r="AI79" s="71">
        <f>+PlanBase39[[#This Row],[03/11/25]]+12.5%</f>
        <v>0.25</v>
      </c>
      <c r="AJ79" s="71">
        <f>+PlanBase39[[#This Row],[10/11/25]]+12.5%</f>
        <v>0.375</v>
      </c>
      <c r="AK79" s="71">
        <f>+PlanBase39[[#This Row],[17/11/25]]+12.5%</f>
        <v>0.5</v>
      </c>
      <c r="AL79" s="71">
        <f>+PlanBase39[[#This Row],[24/11/25]]+12.5%</f>
        <v>0.625</v>
      </c>
      <c r="AM79" s="71">
        <f>+PlanBase39[[#This Row],[01/12/25]]+12.5%</f>
        <v>0.75</v>
      </c>
      <c r="AN79" s="71">
        <f>+PlanBase39[[#This Row],[08/12/25]]+12.5%</f>
        <v>0.875</v>
      </c>
      <c r="AO79" s="71">
        <f>+PlanBase39[[#This Row],[15/12/25]]+12.5%</f>
        <v>1</v>
      </c>
      <c r="AP79" s="71">
        <v>1</v>
      </c>
      <c r="AQ79" s="71">
        <v>1</v>
      </c>
      <c r="AR79" s="71">
        <v>1</v>
      </c>
      <c r="AS79" s="71">
        <v>1</v>
      </c>
      <c r="AT79" s="71">
        <v>1</v>
      </c>
      <c r="AU79" s="71">
        <v>1</v>
      </c>
      <c r="AV79" s="71">
        <v>1</v>
      </c>
      <c r="AW79" s="71">
        <v>1</v>
      </c>
      <c r="AX79" s="71">
        <v>1</v>
      </c>
      <c r="AY79" s="71">
        <v>1</v>
      </c>
      <c r="AZ79" s="71">
        <v>1</v>
      </c>
      <c r="BA79" s="71">
        <v>1</v>
      </c>
      <c r="BB79" s="71">
        <v>1</v>
      </c>
      <c r="BC79" s="71">
        <v>1</v>
      </c>
      <c r="BD79" s="71">
        <v>1</v>
      </c>
      <c r="BE79" s="71">
        <v>1</v>
      </c>
      <c r="BF79" s="71">
        <v>1</v>
      </c>
      <c r="BG79" s="71">
        <v>1</v>
      </c>
      <c r="BH79" s="71">
        <v>1</v>
      </c>
      <c r="BI79" s="71">
        <v>1</v>
      </c>
      <c r="BJ79" s="71">
        <v>1</v>
      </c>
      <c r="BK79" s="71">
        <v>1</v>
      </c>
      <c r="BL79" s="71">
        <v>1</v>
      </c>
      <c r="BM79" s="71">
        <v>1</v>
      </c>
      <c r="BN79" s="71">
        <v>1</v>
      </c>
      <c r="BO79" s="71">
        <v>1</v>
      </c>
      <c r="BP79" s="71">
        <v>1</v>
      </c>
      <c r="BQ79" s="71">
        <v>1</v>
      </c>
      <c r="BR79" s="71">
        <v>1</v>
      </c>
      <c r="BS79" s="71">
        <v>1</v>
      </c>
      <c r="BT79" s="71">
        <v>1</v>
      </c>
      <c r="BU79" s="71">
        <v>1</v>
      </c>
      <c r="BV79" s="71">
        <v>1</v>
      </c>
      <c r="BW79" s="71">
        <v>1</v>
      </c>
      <c r="BX79" s="71">
        <v>1</v>
      </c>
      <c r="BY79" s="71">
        <v>1</v>
      </c>
      <c r="BZ79" s="71">
        <v>1</v>
      </c>
      <c r="CA79" s="71">
        <v>1</v>
      </c>
      <c r="CB79" s="71">
        <v>1</v>
      </c>
      <c r="CC79" s="71">
        <v>1</v>
      </c>
      <c r="CD79" s="71">
        <v>1</v>
      </c>
      <c r="CE79" s="71">
        <v>1</v>
      </c>
      <c r="CF79" s="71">
        <v>1</v>
      </c>
      <c r="CG79" s="71">
        <v>1</v>
      </c>
      <c r="CH79" s="71">
        <v>1</v>
      </c>
      <c r="CI79" s="71">
        <v>1</v>
      </c>
      <c r="CJ79" s="71">
        <v>1</v>
      </c>
      <c r="CK79" s="71">
        <v>1</v>
      </c>
      <c r="CL79" s="71">
        <v>1</v>
      </c>
      <c r="CM79" s="71">
        <v>1</v>
      </c>
      <c r="CN79" s="71">
        <v>1</v>
      </c>
      <c r="CO79" s="71">
        <v>1</v>
      </c>
      <c r="CP79" s="71">
        <v>1</v>
      </c>
    </row>
    <row r="80" spans="2:94" hidden="1" outlineLevel="2" x14ac:dyDescent="0.4">
      <c r="B80" s="69"/>
      <c r="C80" s="70"/>
      <c r="D80" s="70"/>
      <c r="E80" s="70" t="s">
        <v>130</v>
      </c>
      <c r="F80" s="71">
        <f>EDTN[[#This Row],[Nuevos Pesos]]</f>
        <v>0.22222222222222221</v>
      </c>
      <c r="H80" s="71">
        <v>0</v>
      </c>
      <c r="I80" s="71">
        <v>0</v>
      </c>
      <c r="J80" s="71">
        <v>0</v>
      </c>
      <c r="K80" s="71">
        <v>0</v>
      </c>
      <c r="L80" s="71">
        <v>0</v>
      </c>
      <c r="M80" s="71">
        <v>0</v>
      </c>
      <c r="N80" s="71">
        <v>0</v>
      </c>
      <c r="O80" s="71">
        <v>0</v>
      </c>
      <c r="P80" s="71">
        <v>0</v>
      </c>
      <c r="Q80" s="71">
        <v>0</v>
      </c>
      <c r="R80" s="71">
        <v>0</v>
      </c>
      <c r="S80" s="71">
        <v>0</v>
      </c>
      <c r="T80" s="71">
        <v>0</v>
      </c>
      <c r="U80" s="71">
        <v>0</v>
      </c>
      <c r="V80" s="71">
        <v>0</v>
      </c>
      <c r="W80" s="71">
        <v>0</v>
      </c>
      <c r="X80" s="71">
        <v>0</v>
      </c>
      <c r="Y80" s="71">
        <v>0</v>
      </c>
      <c r="Z80" s="71">
        <v>0</v>
      </c>
      <c r="AA80" s="71">
        <v>0</v>
      </c>
      <c r="AB80" s="71">
        <v>0</v>
      </c>
      <c r="AC80" s="71">
        <v>0</v>
      </c>
      <c r="AD80" s="71">
        <v>0</v>
      </c>
      <c r="AE80" s="71">
        <v>0</v>
      </c>
      <c r="AF80" s="71">
        <v>0</v>
      </c>
      <c r="AG80" s="71">
        <v>0</v>
      </c>
      <c r="AH80" s="71">
        <v>0.125</v>
      </c>
      <c r="AI80" s="71">
        <f>+PlanBase39[[#This Row],[03/11/25]]+12.5%</f>
        <v>0.25</v>
      </c>
      <c r="AJ80" s="71">
        <f>+PlanBase39[[#This Row],[10/11/25]]+12.5%</f>
        <v>0.375</v>
      </c>
      <c r="AK80" s="71">
        <f>+PlanBase39[[#This Row],[17/11/25]]+12.5%</f>
        <v>0.5</v>
      </c>
      <c r="AL80" s="71">
        <f>+PlanBase39[[#This Row],[24/11/25]]+12.5%</f>
        <v>0.625</v>
      </c>
      <c r="AM80" s="71">
        <f>+PlanBase39[[#This Row],[01/12/25]]+12.5%</f>
        <v>0.75</v>
      </c>
      <c r="AN80" s="71">
        <f>+PlanBase39[[#This Row],[08/12/25]]+12.5%</f>
        <v>0.875</v>
      </c>
      <c r="AO80" s="71">
        <f>+PlanBase39[[#This Row],[15/12/25]]+12.5%</f>
        <v>1</v>
      </c>
      <c r="AP80" s="71">
        <v>1</v>
      </c>
      <c r="AQ80" s="71">
        <v>1</v>
      </c>
      <c r="AR80" s="71">
        <v>1</v>
      </c>
      <c r="AS80" s="71">
        <v>1</v>
      </c>
      <c r="AT80" s="71">
        <v>1</v>
      </c>
      <c r="AU80" s="71">
        <v>1</v>
      </c>
      <c r="AV80" s="71">
        <v>1</v>
      </c>
      <c r="AW80" s="71">
        <v>1</v>
      </c>
      <c r="AX80" s="71">
        <v>1</v>
      </c>
      <c r="AY80" s="71">
        <v>1</v>
      </c>
      <c r="AZ80" s="71">
        <v>1</v>
      </c>
      <c r="BA80" s="71">
        <v>1</v>
      </c>
      <c r="BB80" s="71">
        <v>1</v>
      </c>
      <c r="BC80" s="71">
        <v>1</v>
      </c>
      <c r="BD80" s="71">
        <v>1</v>
      </c>
      <c r="BE80" s="71">
        <v>1</v>
      </c>
      <c r="BF80" s="71">
        <v>1</v>
      </c>
      <c r="BG80" s="71">
        <v>1</v>
      </c>
      <c r="BH80" s="71">
        <v>1</v>
      </c>
      <c r="BI80" s="71">
        <v>1</v>
      </c>
      <c r="BJ80" s="71">
        <v>1</v>
      </c>
      <c r="BK80" s="71">
        <v>1</v>
      </c>
      <c r="BL80" s="71">
        <v>1</v>
      </c>
      <c r="BM80" s="71">
        <v>1</v>
      </c>
      <c r="BN80" s="71">
        <v>1</v>
      </c>
      <c r="BO80" s="71">
        <v>1</v>
      </c>
      <c r="BP80" s="71">
        <v>1</v>
      </c>
      <c r="BQ80" s="71">
        <v>1</v>
      </c>
      <c r="BR80" s="71">
        <v>1</v>
      </c>
      <c r="BS80" s="71">
        <v>1</v>
      </c>
      <c r="BT80" s="71">
        <v>1</v>
      </c>
      <c r="BU80" s="71">
        <v>1</v>
      </c>
      <c r="BV80" s="71">
        <v>1</v>
      </c>
      <c r="BW80" s="71">
        <v>1</v>
      </c>
      <c r="BX80" s="71">
        <v>1</v>
      </c>
      <c r="BY80" s="71">
        <v>1</v>
      </c>
      <c r="BZ80" s="71">
        <v>1</v>
      </c>
      <c r="CA80" s="71">
        <v>1</v>
      </c>
      <c r="CB80" s="71">
        <v>1</v>
      </c>
      <c r="CC80" s="71">
        <v>1</v>
      </c>
      <c r="CD80" s="71">
        <v>1</v>
      </c>
      <c r="CE80" s="71">
        <v>1</v>
      </c>
      <c r="CF80" s="71">
        <v>1</v>
      </c>
      <c r="CG80" s="71">
        <v>1</v>
      </c>
      <c r="CH80" s="71">
        <v>1</v>
      </c>
      <c r="CI80" s="71">
        <v>1</v>
      </c>
      <c r="CJ80" s="71">
        <v>1</v>
      </c>
      <c r="CK80" s="71">
        <v>1</v>
      </c>
      <c r="CL80" s="71">
        <v>1</v>
      </c>
      <c r="CM80" s="71">
        <v>1</v>
      </c>
      <c r="CN80" s="71">
        <v>1</v>
      </c>
      <c r="CO80" s="71">
        <v>1</v>
      </c>
      <c r="CP80" s="71">
        <v>1</v>
      </c>
    </row>
    <row r="81" spans="2:94" hidden="1" outlineLevel="2" x14ac:dyDescent="0.4">
      <c r="B81" s="69"/>
      <c r="C81" s="70"/>
      <c r="D81" s="70"/>
      <c r="E81" s="70" t="s">
        <v>131</v>
      </c>
      <c r="F81" s="71">
        <f>EDTN[[#This Row],[Nuevos Pesos]]</f>
        <v>0.1111111111111111</v>
      </c>
      <c r="H81" s="71">
        <v>0</v>
      </c>
      <c r="I81" s="71">
        <v>0</v>
      </c>
      <c r="J81" s="71">
        <v>0</v>
      </c>
      <c r="K81" s="71">
        <v>0</v>
      </c>
      <c r="L81" s="71">
        <v>0</v>
      </c>
      <c r="M81" s="71">
        <v>0</v>
      </c>
      <c r="N81" s="71">
        <v>0</v>
      </c>
      <c r="O81" s="71">
        <v>0</v>
      </c>
      <c r="P81" s="71">
        <v>0</v>
      </c>
      <c r="Q81" s="71">
        <v>0</v>
      </c>
      <c r="R81" s="71">
        <v>0</v>
      </c>
      <c r="S81" s="71">
        <v>0</v>
      </c>
      <c r="T81" s="71">
        <v>0</v>
      </c>
      <c r="U81" s="71">
        <v>0</v>
      </c>
      <c r="V81" s="71">
        <v>0</v>
      </c>
      <c r="W81" s="71">
        <v>0</v>
      </c>
      <c r="X81" s="71">
        <v>0</v>
      </c>
      <c r="Y81" s="71">
        <v>0</v>
      </c>
      <c r="Z81" s="71">
        <v>0</v>
      </c>
      <c r="AA81" s="71">
        <v>0</v>
      </c>
      <c r="AB81" s="71">
        <v>0</v>
      </c>
      <c r="AC81" s="71">
        <v>0</v>
      </c>
      <c r="AD81" s="71">
        <v>0</v>
      </c>
      <c r="AE81" s="71">
        <v>0</v>
      </c>
      <c r="AF81" s="71">
        <v>0</v>
      </c>
      <c r="AG81" s="71">
        <v>0</v>
      </c>
      <c r="AH81" s="71">
        <v>0.125</v>
      </c>
      <c r="AI81" s="71">
        <f>+PlanBase39[[#This Row],[03/11/25]]+12.5%</f>
        <v>0.25</v>
      </c>
      <c r="AJ81" s="71">
        <f>+PlanBase39[[#This Row],[10/11/25]]+12.5%</f>
        <v>0.375</v>
      </c>
      <c r="AK81" s="71">
        <f>+PlanBase39[[#This Row],[17/11/25]]+12.5%</f>
        <v>0.5</v>
      </c>
      <c r="AL81" s="71">
        <f>+PlanBase39[[#This Row],[24/11/25]]+12.5%</f>
        <v>0.625</v>
      </c>
      <c r="AM81" s="71">
        <f>+PlanBase39[[#This Row],[01/12/25]]+12.5%</f>
        <v>0.75</v>
      </c>
      <c r="AN81" s="71">
        <f>+PlanBase39[[#This Row],[08/12/25]]+12.5%</f>
        <v>0.875</v>
      </c>
      <c r="AO81" s="71">
        <f>+PlanBase39[[#This Row],[15/12/25]]+12.5%</f>
        <v>1</v>
      </c>
      <c r="AP81" s="71">
        <v>1</v>
      </c>
      <c r="AQ81" s="71">
        <v>1</v>
      </c>
      <c r="AR81" s="71">
        <v>1</v>
      </c>
      <c r="AS81" s="71">
        <v>1</v>
      </c>
      <c r="AT81" s="71">
        <v>1</v>
      </c>
      <c r="AU81" s="71">
        <v>1</v>
      </c>
      <c r="AV81" s="71">
        <v>1</v>
      </c>
      <c r="AW81" s="71">
        <v>1</v>
      </c>
      <c r="AX81" s="71">
        <v>1</v>
      </c>
      <c r="AY81" s="71">
        <v>1</v>
      </c>
      <c r="AZ81" s="71">
        <v>1</v>
      </c>
      <c r="BA81" s="71">
        <v>1</v>
      </c>
      <c r="BB81" s="71">
        <v>1</v>
      </c>
      <c r="BC81" s="71">
        <v>1</v>
      </c>
      <c r="BD81" s="71">
        <v>1</v>
      </c>
      <c r="BE81" s="71">
        <v>1</v>
      </c>
      <c r="BF81" s="71">
        <v>1</v>
      </c>
      <c r="BG81" s="71">
        <v>1</v>
      </c>
      <c r="BH81" s="71">
        <v>1</v>
      </c>
      <c r="BI81" s="71">
        <v>1</v>
      </c>
      <c r="BJ81" s="71">
        <v>1</v>
      </c>
      <c r="BK81" s="71">
        <v>1</v>
      </c>
      <c r="BL81" s="71">
        <v>1</v>
      </c>
      <c r="BM81" s="71">
        <v>1</v>
      </c>
      <c r="BN81" s="71">
        <v>1</v>
      </c>
      <c r="BO81" s="71">
        <v>1</v>
      </c>
      <c r="BP81" s="71">
        <v>1</v>
      </c>
      <c r="BQ81" s="71">
        <v>1</v>
      </c>
      <c r="BR81" s="71">
        <v>1</v>
      </c>
      <c r="BS81" s="71">
        <v>1</v>
      </c>
      <c r="BT81" s="71">
        <v>1</v>
      </c>
      <c r="BU81" s="71">
        <v>1</v>
      </c>
      <c r="BV81" s="71">
        <v>1</v>
      </c>
      <c r="BW81" s="71">
        <v>1</v>
      </c>
      <c r="BX81" s="71">
        <v>1</v>
      </c>
      <c r="BY81" s="71">
        <v>1</v>
      </c>
      <c r="BZ81" s="71">
        <v>1</v>
      </c>
      <c r="CA81" s="71">
        <v>1</v>
      </c>
      <c r="CB81" s="71">
        <v>1</v>
      </c>
      <c r="CC81" s="71">
        <v>1</v>
      </c>
      <c r="CD81" s="71">
        <v>1</v>
      </c>
      <c r="CE81" s="71">
        <v>1</v>
      </c>
      <c r="CF81" s="71">
        <v>1</v>
      </c>
      <c r="CG81" s="71">
        <v>1</v>
      </c>
      <c r="CH81" s="71">
        <v>1</v>
      </c>
      <c r="CI81" s="71">
        <v>1</v>
      </c>
      <c r="CJ81" s="71">
        <v>1</v>
      </c>
      <c r="CK81" s="71">
        <v>1</v>
      </c>
      <c r="CL81" s="71">
        <v>1</v>
      </c>
      <c r="CM81" s="71">
        <v>1</v>
      </c>
      <c r="CN81" s="71">
        <v>1</v>
      </c>
      <c r="CO81" s="71">
        <v>1</v>
      </c>
      <c r="CP81" s="71">
        <v>1</v>
      </c>
    </row>
    <row r="82" spans="2:94" hidden="1" outlineLevel="2" x14ac:dyDescent="0.4">
      <c r="B82" s="69"/>
      <c r="C82" s="70"/>
      <c r="D82" s="70"/>
      <c r="E82" s="70" t="s">
        <v>132</v>
      </c>
      <c r="F82" s="71">
        <f>EDTN[[#This Row],[Nuevos Pesos]]</f>
        <v>0.22222222222222221</v>
      </c>
      <c r="H82" s="71">
        <v>0</v>
      </c>
      <c r="I82" s="71">
        <v>0</v>
      </c>
      <c r="J82" s="71">
        <v>0</v>
      </c>
      <c r="K82" s="71">
        <v>0</v>
      </c>
      <c r="L82" s="71">
        <v>0</v>
      </c>
      <c r="M82" s="71">
        <v>0</v>
      </c>
      <c r="N82" s="71">
        <v>0</v>
      </c>
      <c r="O82" s="71">
        <v>0</v>
      </c>
      <c r="P82" s="71">
        <v>0</v>
      </c>
      <c r="Q82" s="71">
        <v>0</v>
      </c>
      <c r="R82" s="71">
        <v>0</v>
      </c>
      <c r="S82" s="71">
        <v>0</v>
      </c>
      <c r="T82" s="71">
        <v>0</v>
      </c>
      <c r="U82" s="71">
        <v>0</v>
      </c>
      <c r="V82" s="71">
        <v>0</v>
      </c>
      <c r="W82" s="71">
        <v>0</v>
      </c>
      <c r="X82" s="71">
        <v>0</v>
      </c>
      <c r="Y82" s="71">
        <v>0</v>
      </c>
      <c r="Z82" s="71">
        <v>0</v>
      </c>
      <c r="AA82" s="71">
        <v>0</v>
      </c>
      <c r="AB82" s="71">
        <v>0</v>
      </c>
      <c r="AC82" s="71">
        <v>0</v>
      </c>
      <c r="AD82" s="71">
        <v>0</v>
      </c>
      <c r="AE82" s="71">
        <v>0</v>
      </c>
      <c r="AF82" s="71">
        <v>0</v>
      </c>
      <c r="AG82" s="71">
        <v>0</v>
      </c>
      <c r="AH82" s="71">
        <v>0.125</v>
      </c>
      <c r="AI82" s="71">
        <f>+PlanBase39[[#This Row],[03/11/25]]+12.5%</f>
        <v>0.25</v>
      </c>
      <c r="AJ82" s="71">
        <f>+PlanBase39[[#This Row],[10/11/25]]+12.5%</f>
        <v>0.375</v>
      </c>
      <c r="AK82" s="71">
        <f>+PlanBase39[[#This Row],[17/11/25]]+12.5%</f>
        <v>0.5</v>
      </c>
      <c r="AL82" s="71">
        <f>+PlanBase39[[#This Row],[24/11/25]]+12.5%</f>
        <v>0.625</v>
      </c>
      <c r="AM82" s="71">
        <f>+PlanBase39[[#This Row],[01/12/25]]+12.5%</f>
        <v>0.75</v>
      </c>
      <c r="AN82" s="71">
        <f>+PlanBase39[[#This Row],[08/12/25]]+12.5%</f>
        <v>0.875</v>
      </c>
      <c r="AO82" s="71">
        <f>+PlanBase39[[#This Row],[15/12/25]]+12.5%</f>
        <v>1</v>
      </c>
      <c r="AP82" s="71">
        <v>1</v>
      </c>
      <c r="AQ82" s="71">
        <v>1</v>
      </c>
      <c r="AR82" s="71">
        <v>1</v>
      </c>
      <c r="AS82" s="71">
        <v>1</v>
      </c>
      <c r="AT82" s="71">
        <v>1</v>
      </c>
      <c r="AU82" s="71">
        <v>1</v>
      </c>
      <c r="AV82" s="71">
        <v>1</v>
      </c>
      <c r="AW82" s="71">
        <v>1</v>
      </c>
      <c r="AX82" s="71">
        <v>1</v>
      </c>
      <c r="AY82" s="71">
        <v>1</v>
      </c>
      <c r="AZ82" s="71">
        <v>1</v>
      </c>
      <c r="BA82" s="71">
        <v>1</v>
      </c>
      <c r="BB82" s="71">
        <v>1</v>
      </c>
      <c r="BC82" s="71">
        <v>1</v>
      </c>
      <c r="BD82" s="71">
        <v>1</v>
      </c>
      <c r="BE82" s="71">
        <v>1</v>
      </c>
      <c r="BF82" s="71">
        <v>1</v>
      </c>
      <c r="BG82" s="71">
        <v>1</v>
      </c>
      <c r="BH82" s="71">
        <v>1</v>
      </c>
      <c r="BI82" s="71">
        <v>1</v>
      </c>
      <c r="BJ82" s="71">
        <v>1</v>
      </c>
      <c r="BK82" s="71">
        <v>1</v>
      </c>
      <c r="BL82" s="71">
        <v>1</v>
      </c>
      <c r="BM82" s="71">
        <v>1</v>
      </c>
      <c r="BN82" s="71">
        <v>1</v>
      </c>
      <c r="BO82" s="71">
        <v>1</v>
      </c>
      <c r="BP82" s="71">
        <v>1</v>
      </c>
      <c r="BQ82" s="71">
        <v>1</v>
      </c>
      <c r="BR82" s="71">
        <v>1</v>
      </c>
      <c r="BS82" s="71">
        <v>1</v>
      </c>
      <c r="BT82" s="71">
        <v>1</v>
      </c>
      <c r="BU82" s="71">
        <v>1</v>
      </c>
      <c r="BV82" s="71">
        <v>1</v>
      </c>
      <c r="BW82" s="71">
        <v>1</v>
      </c>
      <c r="BX82" s="71">
        <v>1</v>
      </c>
      <c r="BY82" s="71">
        <v>1</v>
      </c>
      <c r="BZ82" s="71">
        <v>1</v>
      </c>
      <c r="CA82" s="71">
        <v>1</v>
      </c>
      <c r="CB82" s="71">
        <v>1</v>
      </c>
      <c r="CC82" s="71">
        <v>1</v>
      </c>
      <c r="CD82" s="71">
        <v>1</v>
      </c>
      <c r="CE82" s="71">
        <v>1</v>
      </c>
      <c r="CF82" s="71">
        <v>1</v>
      </c>
      <c r="CG82" s="71">
        <v>1</v>
      </c>
      <c r="CH82" s="71">
        <v>1</v>
      </c>
      <c r="CI82" s="71">
        <v>1</v>
      </c>
      <c r="CJ82" s="71">
        <v>1</v>
      </c>
      <c r="CK82" s="71">
        <v>1</v>
      </c>
      <c r="CL82" s="71">
        <v>1</v>
      </c>
      <c r="CM82" s="71">
        <v>1</v>
      </c>
      <c r="CN82" s="71">
        <v>1</v>
      </c>
      <c r="CO82" s="71">
        <v>1</v>
      </c>
      <c r="CP82" s="71">
        <v>1</v>
      </c>
    </row>
    <row r="83" spans="2:94" hidden="1" outlineLevel="1" collapsed="1" x14ac:dyDescent="0.4">
      <c r="B83" s="85"/>
      <c r="C83" s="86"/>
      <c r="D83" s="86" t="s">
        <v>133</v>
      </c>
      <c r="E83" s="86"/>
      <c r="F83" s="87">
        <f>EDTN[[#This Row],[Nuevos Pesos]]</f>
        <v>8.1726407806827439E-2</v>
      </c>
      <c r="H83" s="87">
        <f>SUMPRODUCT(H84:H86,$F$84:$F$86)</f>
        <v>0</v>
      </c>
      <c r="I83" s="87">
        <f t="shared" ref="I83:AP83" si="210">SUMPRODUCT(I84:I86,$F$84:$F$86)</f>
        <v>0</v>
      </c>
      <c r="J83" s="87">
        <f t="shared" si="210"/>
        <v>0</v>
      </c>
      <c r="K83" s="87">
        <f t="shared" si="210"/>
        <v>0</v>
      </c>
      <c r="L83" s="87">
        <f t="shared" si="210"/>
        <v>0</v>
      </c>
      <c r="M83" s="87">
        <f t="shared" si="210"/>
        <v>0</v>
      </c>
      <c r="N83" s="87">
        <f t="shared" si="210"/>
        <v>0</v>
      </c>
      <c r="O83" s="87">
        <f t="shared" si="210"/>
        <v>0</v>
      </c>
      <c r="P83" s="87">
        <f t="shared" si="210"/>
        <v>0</v>
      </c>
      <c r="Q83" s="87">
        <f t="shared" si="210"/>
        <v>0</v>
      </c>
      <c r="R83" s="87">
        <f t="shared" si="210"/>
        <v>0</v>
      </c>
      <c r="S83" s="87">
        <f t="shared" si="210"/>
        <v>0</v>
      </c>
      <c r="T83" s="87">
        <f t="shared" si="210"/>
        <v>0</v>
      </c>
      <c r="U83" s="87">
        <f t="shared" si="210"/>
        <v>0</v>
      </c>
      <c r="V83" s="87">
        <f t="shared" si="210"/>
        <v>0</v>
      </c>
      <c r="W83" s="87">
        <f t="shared" si="210"/>
        <v>2.775E-2</v>
      </c>
      <c r="X83" s="87">
        <f t="shared" si="210"/>
        <v>5.5500000000000001E-2</v>
      </c>
      <c r="Y83" s="87">
        <f t="shared" si="210"/>
        <v>8.3250000000000005E-2</v>
      </c>
      <c r="Z83" s="87">
        <f t="shared" si="210"/>
        <v>0.111</v>
      </c>
      <c r="AA83" s="87">
        <f t="shared" si="210"/>
        <v>0.13875000000000001</v>
      </c>
      <c r="AB83" s="87">
        <f t="shared" si="210"/>
        <v>0.16650000000000001</v>
      </c>
      <c r="AC83" s="87">
        <f t="shared" si="210"/>
        <v>0.19425000000000001</v>
      </c>
      <c r="AD83" s="87">
        <f t="shared" si="210"/>
        <v>0.24975</v>
      </c>
      <c r="AE83" s="87">
        <f t="shared" si="210"/>
        <v>0.27750000000000002</v>
      </c>
      <c r="AF83" s="87">
        <f t="shared" si="210"/>
        <v>0.30525000000000002</v>
      </c>
      <c r="AG83" s="87">
        <f t="shared" si="210"/>
        <v>0.33300000000000002</v>
      </c>
      <c r="AH83" s="87">
        <f t="shared" si="210"/>
        <v>0.36075000000000002</v>
      </c>
      <c r="AI83" s="87">
        <f t="shared" si="210"/>
        <v>0.38850000000000001</v>
      </c>
      <c r="AJ83" s="87">
        <f t="shared" si="210"/>
        <v>0.41625000000000001</v>
      </c>
      <c r="AK83" s="87">
        <f t="shared" si="210"/>
        <v>0.58299999999999996</v>
      </c>
      <c r="AL83" s="87">
        <f t="shared" si="210"/>
        <v>0.72199999999999998</v>
      </c>
      <c r="AM83" s="87">
        <f t="shared" si="210"/>
        <v>0.86099999999999999</v>
      </c>
      <c r="AN83" s="87">
        <f t="shared" si="210"/>
        <v>1</v>
      </c>
      <c r="AO83" s="87">
        <f t="shared" si="210"/>
        <v>1</v>
      </c>
      <c r="AP83" s="87">
        <f t="shared" si="210"/>
        <v>1</v>
      </c>
      <c r="AQ83" s="87">
        <f t="shared" ref="AQ83:AR83" si="211">SUMPRODUCT(AQ84:AQ86,$F$84:$F$86)</f>
        <v>1</v>
      </c>
      <c r="AR83" s="87">
        <f t="shared" si="211"/>
        <v>1</v>
      </c>
      <c r="AS83" s="87">
        <f t="shared" ref="AS83" si="212">SUMPRODUCT(AS84:AS86,$F$84:$F$86)</f>
        <v>1</v>
      </c>
      <c r="AT83" s="87">
        <f t="shared" ref="AT83:BC83" si="213">SUMPRODUCT(AT84:AT86,$F$84:$F$86)</f>
        <v>1</v>
      </c>
      <c r="AU83" s="87">
        <f t="shared" si="213"/>
        <v>1</v>
      </c>
      <c r="AV83" s="87">
        <f t="shared" si="213"/>
        <v>1</v>
      </c>
      <c r="AW83" s="87">
        <f t="shared" si="213"/>
        <v>1</v>
      </c>
      <c r="AX83" s="87">
        <f t="shared" si="213"/>
        <v>1</v>
      </c>
      <c r="AY83" s="87">
        <f t="shared" si="213"/>
        <v>1</v>
      </c>
      <c r="AZ83" s="87">
        <f t="shared" si="213"/>
        <v>1</v>
      </c>
      <c r="BA83" s="87">
        <f t="shared" si="213"/>
        <v>1</v>
      </c>
      <c r="BB83" s="87">
        <f t="shared" si="213"/>
        <v>1</v>
      </c>
      <c r="BC83" s="87">
        <f t="shared" si="213"/>
        <v>1</v>
      </c>
      <c r="BD83" s="87">
        <f t="shared" ref="BD83:BE83" si="214">SUMPRODUCT(BD84:BD86,$F$84:$F$86)</f>
        <v>1</v>
      </c>
      <c r="BE83" s="87">
        <f t="shared" si="214"/>
        <v>1</v>
      </c>
      <c r="BF83" s="87">
        <f t="shared" ref="BF83:BG83" si="215">SUMPRODUCT(BF84:BF86,$F$84:$F$86)</f>
        <v>1</v>
      </c>
      <c r="BG83" s="87">
        <f t="shared" si="215"/>
        <v>1</v>
      </c>
      <c r="BH83" s="87">
        <f t="shared" ref="BH83:BI83" si="216">SUMPRODUCT(BH84:BH86,$F$84:$F$86)</f>
        <v>1</v>
      </c>
      <c r="BI83" s="87">
        <f t="shared" si="216"/>
        <v>1</v>
      </c>
      <c r="BJ83" s="87">
        <f t="shared" ref="BJ83:BK83" si="217">SUMPRODUCT(BJ84:BJ86,$F$84:$F$86)</f>
        <v>1</v>
      </c>
      <c r="BK83" s="87">
        <f t="shared" si="217"/>
        <v>1</v>
      </c>
      <c r="BL83" s="87">
        <f t="shared" ref="BL83:CP83" si="218">SUMPRODUCT(BL84:BL86,$F$84:$F$86)</f>
        <v>1</v>
      </c>
      <c r="BM83" s="87">
        <f t="shared" si="218"/>
        <v>1</v>
      </c>
      <c r="BN83" s="87">
        <f t="shared" si="218"/>
        <v>1</v>
      </c>
      <c r="BO83" s="87">
        <f t="shared" si="218"/>
        <v>1</v>
      </c>
      <c r="BP83" s="87">
        <f t="shared" si="218"/>
        <v>1</v>
      </c>
      <c r="BQ83" s="87">
        <f t="shared" si="218"/>
        <v>1</v>
      </c>
      <c r="BR83" s="87">
        <f t="shared" si="218"/>
        <v>1</v>
      </c>
      <c r="BS83" s="87">
        <f t="shared" si="218"/>
        <v>1</v>
      </c>
      <c r="BT83" s="87">
        <f t="shared" si="218"/>
        <v>1</v>
      </c>
      <c r="BU83" s="87">
        <f t="shared" si="218"/>
        <v>1</v>
      </c>
      <c r="BV83" s="87">
        <f t="shared" si="218"/>
        <v>1</v>
      </c>
      <c r="BW83" s="87">
        <f t="shared" si="218"/>
        <v>1</v>
      </c>
      <c r="BX83" s="87">
        <f t="shared" si="218"/>
        <v>1</v>
      </c>
      <c r="BY83" s="87">
        <f t="shared" si="218"/>
        <v>1</v>
      </c>
      <c r="BZ83" s="87">
        <f t="shared" si="218"/>
        <v>1</v>
      </c>
      <c r="CA83" s="87">
        <f t="shared" si="218"/>
        <v>1</v>
      </c>
      <c r="CB83" s="87">
        <f t="shared" si="218"/>
        <v>1</v>
      </c>
      <c r="CC83" s="87">
        <f t="shared" si="218"/>
        <v>1</v>
      </c>
      <c r="CD83" s="87">
        <f t="shared" si="218"/>
        <v>1</v>
      </c>
      <c r="CE83" s="87">
        <f t="shared" si="218"/>
        <v>1</v>
      </c>
      <c r="CF83" s="87">
        <f t="shared" si="218"/>
        <v>1</v>
      </c>
      <c r="CG83" s="87">
        <f t="shared" si="218"/>
        <v>1</v>
      </c>
      <c r="CH83" s="87">
        <f t="shared" si="218"/>
        <v>1</v>
      </c>
      <c r="CI83" s="87">
        <f t="shared" si="218"/>
        <v>1</v>
      </c>
      <c r="CJ83" s="87">
        <f t="shared" si="218"/>
        <v>1</v>
      </c>
      <c r="CK83" s="87">
        <f t="shared" si="218"/>
        <v>1</v>
      </c>
      <c r="CL83" s="87">
        <f t="shared" si="218"/>
        <v>1</v>
      </c>
      <c r="CM83" s="87">
        <f t="shared" si="218"/>
        <v>1</v>
      </c>
      <c r="CN83" s="87">
        <f t="shared" si="218"/>
        <v>1</v>
      </c>
      <c r="CO83" s="87">
        <f t="shared" si="218"/>
        <v>1</v>
      </c>
      <c r="CP83" s="87">
        <f t="shared" si="218"/>
        <v>1</v>
      </c>
    </row>
    <row r="84" spans="2:94" hidden="1" outlineLevel="2" x14ac:dyDescent="0.4">
      <c r="B84" s="69"/>
      <c r="C84" s="70"/>
      <c r="D84" s="70"/>
      <c r="E84" s="70" t="s">
        <v>134</v>
      </c>
      <c r="F84" s="71">
        <f>EDTN[[#This Row],[Nuevos Pesos]]</f>
        <v>0.222</v>
      </c>
      <c r="H84" s="71">
        <v>0</v>
      </c>
      <c r="I84" s="71">
        <v>0</v>
      </c>
      <c r="J84" s="71">
        <v>0</v>
      </c>
      <c r="K84" s="71">
        <v>0</v>
      </c>
      <c r="L84" s="71">
        <v>0</v>
      </c>
      <c r="M84" s="71">
        <v>0</v>
      </c>
      <c r="N84" s="71">
        <v>0</v>
      </c>
      <c r="O84" s="71">
        <v>0</v>
      </c>
      <c r="P84" s="71">
        <v>0</v>
      </c>
      <c r="Q84" s="71">
        <v>0</v>
      </c>
      <c r="R84" s="71">
        <v>0</v>
      </c>
      <c r="S84" s="71">
        <v>0</v>
      </c>
      <c r="T84" s="71">
        <v>0</v>
      </c>
      <c r="U84" s="71">
        <v>0</v>
      </c>
      <c r="V84" s="71">
        <v>0</v>
      </c>
      <c r="W84" s="71">
        <v>0.125</v>
      </c>
      <c r="X84" s="71">
        <f>+PlanBase39[[#This Row],[18/08/25]]+12.5%</f>
        <v>0.25</v>
      </c>
      <c r="Y84" s="71">
        <f>+PlanBase39[[#This Row],[25/08/25]]+12.5%</f>
        <v>0.375</v>
      </c>
      <c r="Z84" s="71">
        <f>+PlanBase39[[#This Row],[01/09/25]]+12.5%</f>
        <v>0.5</v>
      </c>
      <c r="AA84" s="71">
        <f>+PlanBase39[[#This Row],[08/09/25]]+12.5%</f>
        <v>0.625</v>
      </c>
      <c r="AB84" s="71">
        <f>+PlanBase39[[#This Row],[15/09/25]]+12.5%</f>
        <v>0.75</v>
      </c>
      <c r="AC84" s="71">
        <f>+PlanBase39[[#This Row],[22/09/25]]+12.5%</f>
        <v>0.875</v>
      </c>
      <c r="AD84" s="71">
        <f>+PlanBase39[[#This Row],[29/09/25]]+12.5%</f>
        <v>1</v>
      </c>
      <c r="AE84" s="71">
        <v>1</v>
      </c>
      <c r="AF84" s="71">
        <v>1</v>
      </c>
      <c r="AG84" s="71">
        <v>1</v>
      </c>
      <c r="AH84" s="71">
        <v>1</v>
      </c>
      <c r="AI84" s="71">
        <v>1</v>
      </c>
      <c r="AJ84" s="71">
        <v>1</v>
      </c>
      <c r="AK84" s="71">
        <v>1</v>
      </c>
      <c r="AL84" s="71">
        <v>1</v>
      </c>
      <c r="AM84" s="71">
        <v>1</v>
      </c>
      <c r="AN84" s="71">
        <v>1</v>
      </c>
      <c r="AO84" s="71">
        <v>1</v>
      </c>
      <c r="AP84" s="71">
        <v>1</v>
      </c>
      <c r="AQ84" s="71">
        <v>1</v>
      </c>
      <c r="AR84" s="71">
        <v>1</v>
      </c>
      <c r="AS84" s="71">
        <v>1</v>
      </c>
      <c r="AT84" s="71">
        <v>1</v>
      </c>
      <c r="AU84" s="71">
        <v>1</v>
      </c>
      <c r="AV84" s="71">
        <v>1</v>
      </c>
      <c r="AW84" s="71">
        <v>1</v>
      </c>
      <c r="AX84" s="71">
        <v>1</v>
      </c>
      <c r="AY84" s="71">
        <v>1</v>
      </c>
      <c r="AZ84" s="71">
        <v>1</v>
      </c>
      <c r="BA84" s="71">
        <v>1</v>
      </c>
      <c r="BB84" s="71">
        <v>1</v>
      </c>
      <c r="BC84" s="71">
        <v>1</v>
      </c>
      <c r="BD84" s="71">
        <v>1</v>
      </c>
      <c r="BE84" s="71">
        <v>1</v>
      </c>
      <c r="BF84" s="71">
        <v>1</v>
      </c>
      <c r="BG84" s="71">
        <v>1</v>
      </c>
      <c r="BH84" s="71">
        <v>1</v>
      </c>
      <c r="BI84" s="71">
        <v>1</v>
      </c>
      <c r="BJ84" s="71">
        <v>1</v>
      </c>
      <c r="BK84" s="71">
        <v>1</v>
      </c>
      <c r="BL84" s="71">
        <v>1</v>
      </c>
      <c r="BM84" s="71">
        <v>1</v>
      </c>
      <c r="BN84" s="71">
        <v>1</v>
      </c>
      <c r="BO84" s="71">
        <v>1</v>
      </c>
      <c r="BP84" s="71">
        <v>1</v>
      </c>
      <c r="BQ84" s="71">
        <v>1</v>
      </c>
      <c r="BR84" s="71">
        <v>1</v>
      </c>
      <c r="BS84" s="71">
        <v>1</v>
      </c>
      <c r="BT84" s="71">
        <v>1</v>
      </c>
      <c r="BU84" s="71">
        <v>1</v>
      </c>
      <c r="BV84" s="71">
        <v>1</v>
      </c>
      <c r="BW84" s="71">
        <v>1</v>
      </c>
      <c r="BX84" s="71">
        <v>1</v>
      </c>
      <c r="BY84" s="71">
        <v>1</v>
      </c>
      <c r="BZ84" s="71">
        <v>1</v>
      </c>
      <c r="CA84" s="71">
        <v>1</v>
      </c>
      <c r="CB84" s="71">
        <v>1</v>
      </c>
      <c r="CC84" s="71">
        <v>1</v>
      </c>
      <c r="CD84" s="71">
        <v>1</v>
      </c>
      <c r="CE84" s="71">
        <v>1</v>
      </c>
      <c r="CF84" s="71">
        <v>1</v>
      </c>
      <c r="CG84" s="71">
        <v>1</v>
      </c>
      <c r="CH84" s="71">
        <v>1</v>
      </c>
      <c r="CI84" s="71">
        <v>1</v>
      </c>
      <c r="CJ84" s="71">
        <v>1</v>
      </c>
      <c r="CK84" s="71">
        <v>1</v>
      </c>
      <c r="CL84" s="71">
        <v>1</v>
      </c>
      <c r="CM84" s="71">
        <v>1</v>
      </c>
      <c r="CN84" s="71">
        <v>1</v>
      </c>
      <c r="CO84" s="71">
        <v>1</v>
      </c>
      <c r="CP84" s="71">
        <v>1</v>
      </c>
    </row>
    <row r="85" spans="2:94" hidden="1" outlineLevel="2" x14ac:dyDescent="0.4">
      <c r="B85" s="69"/>
      <c r="C85" s="70"/>
      <c r="D85" s="70"/>
      <c r="E85" s="70" t="s">
        <v>135</v>
      </c>
      <c r="F85" s="71">
        <f>EDTN[[#This Row],[Nuevos Pesos]]</f>
        <v>0.222</v>
      </c>
      <c r="H85" s="71">
        <v>0</v>
      </c>
      <c r="I85" s="71">
        <v>0</v>
      </c>
      <c r="J85" s="71">
        <v>0</v>
      </c>
      <c r="K85" s="71">
        <v>0</v>
      </c>
      <c r="L85" s="71">
        <v>0</v>
      </c>
      <c r="M85" s="71">
        <v>0</v>
      </c>
      <c r="N85" s="71">
        <v>0</v>
      </c>
      <c r="O85" s="71">
        <v>0</v>
      </c>
      <c r="P85" s="71">
        <v>0</v>
      </c>
      <c r="Q85" s="71">
        <v>0</v>
      </c>
      <c r="R85" s="71">
        <v>0</v>
      </c>
      <c r="S85" s="71">
        <v>0</v>
      </c>
      <c r="T85" s="71">
        <v>0</v>
      </c>
      <c r="U85" s="71">
        <v>0</v>
      </c>
      <c r="V85" s="71">
        <v>0</v>
      </c>
      <c r="W85" s="71">
        <v>0</v>
      </c>
      <c r="X85" s="71">
        <v>0</v>
      </c>
      <c r="Y85" s="71">
        <v>0</v>
      </c>
      <c r="Z85" s="71">
        <v>0</v>
      </c>
      <c r="AA85" s="71">
        <v>0</v>
      </c>
      <c r="AB85" s="71">
        <v>0</v>
      </c>
      <c r="AC85" s="71">
        <v>0</v>
      </c>
      <c r="AD85" s="71">
        <v>0.125</v>
      </c>
      <c r="AE85" s="71">
        <f>+PlanBase39[[#This Row],[06/10/25]]+12.5%</f>
        <v>0.25</v>
      </c>
      <c r="AF85" s="71">
        <f>+PlanBase39[[#This Row],[13/10/25]]+12.5%</f>
        <v>0.375</v>
      </c>
      <c r="AG85" s="71">
        <f>+PlanBase39[[#This Row],[20/10/25]]+12.5%</f>
        <v>0.5</v>
      </c>
      <c r="AH85" s="71">
        <f>+PlanBase39[[#This Row],[27/10/25]]+12.5%</f>
        <v>0.625</v>
      </c>
      <c r="AI85" s="71">
        <f>+PlanBase39[[#This Row],[03/11/25]]+12.5%</f>
        <v>0.75</v>
      </c>
      <c r="AJ85" s="71">
        <f>+PlanBase39[[#This Row],[10/11/25]]+12.5%</f>
        <v>0.875</v>
      </c>
      <c r="AK85" s="71">
        <f>+PlanBase39[[#This Row],[17/11/25]]+12.5%</f>
        <v>1</v>
      </c>
      <c r="AL85" s="71">
        <v>1</v>
      </c>
      <c r="AM85" s="71">
        <v>1</v>
      </c>
      <c r="AN85" s="71">
        <v>1</v>
      </c>
      <c r="AO85" s="71">
        <v>1</v>
      </c>
      <c r="AP85" s="71">
        <v>1</v>
      </c>
      <c r="AQ85" s="71">
        <v>1</v>
      </c>
      <c r="AR85" s="71">
        <v>1</v>
      </c>
      <c r="AS85" s="71">
        <v>1</v>
      </c>
      <c r="AT85" s="71">
        <v>1</v>
      </c>
      <c r="AU85" s="71">
        <v>1</v>
      </c>
      <c r="AV85" s="71">
        <v>1</v>
      </c>
      <c r="AW85" s="71">
        <v>1</v>
      </c>
      <c r="AX85" s="71">
        <v>1</v>
      </c>
      <c r="AY85" s="71">
        <v>1</v>
      </c>
      <c r="AZ85" s="71">
        <v>1</v>
      </c>
      <c r="BA85" s="71">
        <v>1</v>
      </c>
      <c r="BB85" s="71">
        <v>1</v>
      </c>
      <c r="BC85" s="71">
        <v>1</v>
      </c>
      <c r="BD85" s="71">
        <v>1</v>
      </c>
      <c r="BE85" s="71">
        <v>1</v>
      </c>
      <c r="BF85" s="71">
        <v>1</v>
      </c>
      <c r="BG85" s="71">
        <v>1</v>
      </c>
      <c r="BH85" s="71">
        <v>1</v>
      </c>
      <c r="BI85" s="71">
        <v>1</v>
      </c>
      <c r="BJ85" s="71">
        <v>1</v>
      </c>
      <c r="BK85" s="71">
        <v>1</v>
      </c>
      <c r="BL85" s="71">
        <v>1</v>
      </c>
      <c r="BM85" s="71">
        <v>1</v>
      </c>
      <c r="BN85" s="71">
        <v>1</v>
      </c>
      <c r="BO85" s="71">
        <v>1</v>
      </c>
      <c r="BP85" s="71">
        <v>1</v>
      </c>
      <c r="BQ85" s="71">
        <v>1</v>
      </c>
      <c r="BR85" s="71">
        <v>1</v>
      </c>
      <c r="BS85" s="71">
        <v>1</v>
      </c>
      <c r="BT85" s="71">
        <v>1</v>
      </c>
      <c r="BU85" s="71">
        <v>1</v>
      </c>
      <c r="BV85" s="71">
        <v>1</v>
      </c>
      <c r="BW85" s="71">
        <v>1</v>
      </c>
      <c r="BX85" s="71">
        <v>1</v>
      </c>
      <c r="BY85" s="71">
        <v>1</v>
      </c>
      <c r="BZ85" s="71">
        <v>1</v>
      </c>
      <c r="CA85" s="71">
        <v>1</v>
      </c>
      <c r="CB85" s="71">
        <v>1</v>
      </c>
      <c r="CC85" s="71">
        <v>1</v>
      </c>
      <c r="CD85" s="71">
        <v>1</v>
      </c>
      <c r="CE85" s="71">
        <v>1</v>
      </c>
      <c r="CF85" s="71">
        <v>1</v>
      </c>
      <c r="CG85" s="71">
        <v>1</v>
      </c>
      <c r="CH85" s="71">
        <v>1</v>
      </c>
      <c r="CI85" s="71">
        <v>1</v>
      </c>
      <c r="CJ85" s="71">
        <v>1</v>
      </c>
      <c r="CK85" s="71">
        <v>1</v>
      </c>
      <c r="CL85" s="71">
        <v>1</v>
      </c>
      <c r="CM85" s="71">
        <v>1</v>
      </c>
      <c r="CN85" s="71">
        <v>1</v>
      </c>
      <c r="CO85" s="71">
        <v>1</v>
      </c>
      <c r="CP85" s="71">
        <v>1</v>
      </c>
    </row>
    <row r="86" spans="2:94" hidden="1" outlineLevel="2" x14ac:dyDescent="0.4">
      <c r="B86" s="69"/>
      <c r="C86" s="70"/>
      <c r="D86" s="70"/>
      <c r="E86" s="70" t="s">
        <v>136</v>
      </c>
      <c r="F86" s="71">
        <f>EDTN[[#This Row],[Nuevos Pesos]]</f>
        <v>0.55600000000000005</v>
      </c>
      <c r="H86" s="71">
        <v>0</v>
      </c>
      <c r="I86" s="71">
        <v>0</v>
      </c>
      <c r="J86" s="71">
        <v>0</v>
      </c>
      <c r="K86" s="71">
        <v>0</v>
      </c>
      <c r="L86" s="71">
        <v>0</v>
      </c>
      <c r="M86" s="71">
        <v>0</v>
      </c>
      <c r="N86" s="71">
        <v>0</v>
      </c>
      <c r="O86" s="71">
        <v>0</v>
      </c>
      <c r="P86" s="71">
        <v>0</v>
      </c>
      <c r="Q86" s="71">
        <v>0</v>
      </c>
      <c r="R86" s="71">
        <v>0</v>
      </c>
      <c r="S86" s="71">
        <v>0</v>
      </c>
      <c r="T86" s="71">
        <v>0</v>
      </c>
      <c r="U86" s="71">
        <v>0</v>
      </c>
      <c r="V86" s="71">
        <v>0</v>
      </c>
      <c r="W86" s="71">
        <v>0</v>
      </c>
      <c r="X86" s="71">
        <v>0</v>
      </c>
      <c r="Y86" s="71">
        <v>0</v>
      </c>
      <c r="Z86" s="71">
        <v>0</v>
      </c>
      <c r="AA86" s="71">
        <v>0</v>
      </c>
      <c r="AB86" s="71">
        <v>0</v>
      </c>
      <c r="AC86" s="71">
        <v>0</v>
      </c>
      <c r="AD86" s="71">
        <v>0</v>
      </c>
      <c r="AE86" s="71">
        <v>0</v>
      </c>
      <c r="AF86" s="71">
        <v>0</v>
      </c>
      <c r="AG86" s="71">
        <v>0</v>
      </c>
      <c r="AH86" s="71">
        <v>0</v>
      </c>
      <c r="AI86" s="71">
        <v>0</v>
      </c>
      <c r="AJ86" s="71">
        <v>0</v>
      </c>
      <c r="AK86" s="71">
        <v>0.25</v>
      </c>
      <c r="AL86" s="71">
        <v>0.5</v>
      </c>
      <c r="AM86" s="71">
        <v>0.75</v>
      </c>
      <c r="AN86" s="71">
        <v>1</v>
      </c>
      <c r="AO86" s="71">
        <v>1</v>
      </c>
      <c r="AP86" s="71">
        <v>1</v>
      </c>
      <c r="AQ86" s="71">
        <v>1</v>
      </c>
      <c r="AR86" s="71">
        <v>1</v>
      </c>
      <c r="AS86" s="71">
        <v>1</v>
      </c>
      <c r="AT86" s="71">
        <v>1</v>
      </c>
      <c r="AU86" s="71">
        <v>1</v>
      </c>
      <c r="AV86" s="71">
        <v>1</v>
      </c>
      <c r="AW86" s="71">
        <v>1</v>
      </c>
      <c r="AX86" s="71">
        <v>1</v>
      </c>
      <c r="AY86" s="71">
        <v>1</v>
      </c>
      <c r="AZ86" s="71">
        <v>1</v>
      </c>
      <c r="BA86" s="71">
        <v>1</v>
      </c>
      <c r="BB86" s="71">
        <v>1</v>
      </c>
      <c r="BC86" s="71">
        <v>1</v>
      </c>
      <c r="BD86" s="71">
        <v>1</v>
      </c>
      <c r="BE86" s="71">
        <v>1</v>
      </c>
      <c r="BF86" s="71">
        <v>1</v>
      </c>
      <c r="BG86" s="71">
        <v>1</v>
      </c>
      <c r="BH86" s="71">
        <v>1</v>
      </c>
      <c r="BI86" s="71">
        <v>1</v>
      </c>
      <c r="BJ86" s="71">
        <v>1</v>
      </c>
      <c r="BK86" s="71">
        <v>1</v>
      </c>
      <c r="BL86" s="71">
        <v>1</v>
      </c>
      <c r="BM86" s="71">
        <v>1</v>
      </c>
      <c r="BN86" s="71">
        <v>1</v>
      </c>
      <c r="BO86" s="71">
        <v>1</v>
      </c>
      <c r="BP86" s="71">
        <v>1</v>
      </c>
      <c r="BQ86" s="71">
        <v>1</v>
      </c>
      <c r="BR86" s="71">
        <v>1</v>
      </c>
      <c r="BS86" s="71">
        <v>1</v>
      </c>
      <c r="BT86" s="71">
        <v>1</v>
      </c>
      <c r="BU86" s="71">
        <v>1</v>
      </c>
      <c r="BV86" s="71">
        <v>1</v>
      </c>
      <c r="BW86" s="71">
        <v>1</v>
      </c>
      <c r="BX86" s="71">
        <v>1</v>
      </c>
      <c r="BY86" s="71">
        <v>1</v>
      </c>
      <c r="BZ86" s="71">
        <v>1</v>
      </c>
      <c r="CA86" s="71">
        <v>1</v>
      </c>
      <c r="CB86" s="71">
        <v>1</v>
      </c>
      <c r="CC86" s="71">
        <v>1</v>
      </c>
      <c r="CD86" s="71">
        <v>1</v>
      </c>
      <c r="CE86" s="71">
        <v>1</v>
      </c>
      <c r="CF86" s="71">
        <v>1</v>
      </c>
      <c r="CG86" s="71">
        <v>1</v>
      </c>
      <c r="CH86" s="71">
        <v>1</v>
      </c>
      <c r="CI86" s="71">
        <v>1</v>
      </c>
      <c r="CJ86" s="71">
        <v>1</v>
      </c>
      <c r="CK86" s="71">
        <v>1</v>
      </c>
      <c r="CL86" s="71">
        <v>1</v>
      </c>
      <c r="CM86" s="71">
        <v>1</v>
      </c>
      <c r="CN86" s="71">
        <v>1</v>
      </c>
      <c r="CO86" s="71">
        <v>1</v>
      </c>
      <c r="CP86" s="71">
        <v>1</v>
      </c>
    </row>
    <row r="87" spans="2:94" hidden="1" outlineLevel="1" collapsed="1" x14ac:dyDescent="0.4">
      <c r="B87" s="85"/>
      <c r="C87" s="86"/>
      <c r="D87" s="86" t="s">
        <v>137</v>
      </c>
      <c r="E87" s="86"/>
      <c r="F87" s="87">
        <f>EDTN[[#This Row],[Nuevos Pesos]]</f>
        <v>8.1726407806827425E-2</v>
      </c>
      <c r="H87" s="87">
        <f>SUMPRODUCT(H88:H90,$F$88:$F$90)</f>
        <v>0</v>
      </c>
      <c r="I87" s="87">
        <f t="shared" ref="I87:AP87" si="219">SUMPRODUCT(I88:I90,$F$88:$F$90)</f>
        <v>0</v>
      </c>
      <c r="J87" s="87">
        <f t="shared" si="219"/>
        <v>0</v>
      </c>
      <c r="K87" s="87">
        <f t="shared" si="219"/>
        <v>0</v>
      </c>
      <c r="L87" s="87">
        <f t="shared" si="219"/>
        <v>0</v>
      </c>
      <c r="M87" s="87">
        <f t="shared" si="219"/>
        <v>0</v>
      </c>
      <c r="N87" s="87">
        <f t="shared" si="219"/>
        <v>0</v>
      </c>
      <c r="O87" s="87">
        <f t="shared" si="219"/>
        <v>0</v>
      </c>
      <c r="P87" s="87">
        <f t="shared" si="219"/>
        <v>0</v>
      </c>
      <c r="Q87" s="87">
        <f t="shared" si="219"/>
        <v>0</v>
      </c>
      <c r="R87" s="87">
        <f t="shared" si="219"/>
        <v>0</v>
      </c>
      <c r="S87" s="87">
        <f t="shared" si="219"/>
        <v>0</v>
      </c>
      <c r="T87" s="87">
        <f t="shared" si="219"/>
        <v>0</v>
      </c>
      <c r="U87" s="87">
        <f t="shared" si="219"/>
        <v>0</v>
      </c>
      <c r="V87" s="87">
        <f t="shared" si="219"/>
        <v>0</v>
      </c>
      <c r="W87" s="87">
        <f t="shared" si="219"/>
        <v>0</v>
      </c>
      <c r="X87" s="87">
        <f t="shared" si="219"/>
        <v>0</v>
      </c>
      <c r="Y87" s="87">
        <f t="shared" si="219"/>
        <v>0</v>
      </c>
      <c r="Z87" s="87">
        <f t="shared" si="219"/>
        <v>0</v>
      </c>
      <c r="AA87" s="87">
        <f t="shared" si="219"/>
        <v>0</v>
      </c>
      <c r="AB87" s="87">
        <f t="shared" si="219"/>
        <v>2.5000000000000001E-2</v>
      </c>
      <c r="AC87" s="87">
        <f t="shared" si="219"/>
        <v>0.05</v>
      </c>
      <c r="AD87" s="87">
        <f t="shared" si="219"/>
        <v>7.5000000000000011E-2</v>
      </c>
      <c r="AE87" s="87">
        <f t="shared" si="219"/>
        <v>0.18125000000000002</v>
      </c>
      <c r="AF87" s="87">
        <f t="shared" si="219"/>
        <v>0.28749999999999998</v>
      </c>
      <c r="AG87" s="87">
        <f t="shared" si="219"/>
        <v>0.39375000000000004</v>
      </c>
      <c r="AH87" s="87">
        <f t="shared" si="219"/>
        <v>0.5</v>
      </c>
      <c r="AI87" s="87">
        <f t="shared" si="219"/>
        <v>0.63624999999999998</v>
      </c>
      <c r="AJ87" s="87">
        <f t="shared" si="219"/>
        <v>0.74750000000000005</v>
      </c>
      <c r="AK87" s="87">
        <f t="shared" si="219"/>
        <v>0.85875000000000001</v>
      </c>
      <c r="AL87" s="87">
        <f t="shared" si="219"/>
        <v>0.97</v>
      </c>
      <c r="AM87" s="87">
        <f t="shared" si="219"/>
        <v>1</v>
      </c>
      <c r="AN87" s="87">
        <f t="shared" si="219"/>
        <v>1</v>
      </c>
      <c r="AO87" s="87">
        <f t="shared" si="219"/>
        <v>1</v>
      </c>
      <c r="AP87" s="87">
        <f t="shared" si="219"/>
        <v>1</v>
      </c>
      <c r="AQ87" s="87">
        <f t="shared" ref="AQ87:AR87" si="220">SUMPRODUCT(AQ88:AQ90,$F$88:$F$90)</f>
        <v>1</v>
      </c>
      <c r="AR87" s="87">
        <f t="shared" si="220"/>
        <v>1</v>
      </c>
      <c r="AS87" s="87">
        <f t="shared" ref="AS87" si="221">SUMPRODUCT(AS88:AS90,$F$88:$F$90)</f>
        <v>1</v>
      </c>
      <c r="AT87" s="87">
        <f t="shared" ref="AT87:BC87" si="222">SUMPRODUCT(AT88:AT90,$F$88:$F$90)</f>
        <v>1</v>
      </c>
      <c r="AU87" s="87">
        <f t="shared" si="222"/>
        <v>1</v>
      </c>
      <c r="AV87" s="87">
        <f t="shared" si="222"/>
        <v>1</v>
      </c>
      <c r="AW87" s="87">
        <f t="shared" si="222"/>
        <v>1</v>
      </c>
      <c r="AX87" s="87">
        <f t="shared" si="222"/>
        <v>1</v>
      </c>
      <c r="AY87" s="87">
        <f t="shared" si="222"/>
        <v>1</v>
      </c>
      <c r="AZ87" s="87">
        <f t="shared" si="222"/>
        <v>1</v>
      </c>
      <c r="BA87" s="87">
        <f t="shared" si="222"/>
        <v>1</v>
      </c>
      <c r="BB87" s="87">
        <f t="shared" si="222"/>
        <v>1</v>
      </c>
      <c r="BC87" s="87">
        <f t="shared" si="222"/>
        <v>1</v>
      </c>
      <c r="BD87" s="87">
        <f t="shared" ref="BD87:BE87" si="223">SUMPRODUCT(BD88:BD90,$F$88:$F$90)</f>
        <v>1</v>
      </c>
      <c r="BE87" s="87">
        <f t="shared" si="223"/>
        <v>1</v>
      </c>
      <c r="BF87" s="87">
        <f t="shared" ref="BF87:BG87" si="224">SUMPRODUCT(BF88:BF90,$F$88:$F$90)</f>
        <v>1</v>
      </c>
      <c r="BG87" s="87">
        <f t="shared" si="224"/>
        <v>1</v>
      </c>
      <c r="BH87" s="87">
        <f t="shared" ref="BH87:BI87" si="225">SUMPRODUCT(BH88:BH90,$F$88:$F$90)</f>
        <v>1</v>
      </c>
      <c r="BI87" s="87">
        <f t="shared" si="225"/>
        <v>1</v>
      </c>
      <c r="BJ87" s="87">
        <f t="shared" ref="BJ87:BK87" si="226">SUMPRODUCT(BJ88:BJ90,$F$88:$F$90)</f>
        <v>1</v>
      </c>
      <c r="BK87" s="87">
        <f t="shared" si="226"/>
        <v>1</v>
      </c>
      <c r="BL87" s="87">
        <f t="shared" ref="BL87:CP87" si="227">SUMPRODUCT(BL88:BL90,$F$88:$F$90)</f>
        <v>1</v>
      </c>
      <c r="BM87" s="87">
        <f t="shared" si="227"/>
        <v>1</v>
      </c>
      <c r="BN87" s="87">
        <f t="shared" si="227"/>
        <v>1</v>
      </c>
      <c r="BO87" s="87">
        <f t="shared" si="227"/>
        <v>1</v>
      </c>
      <c r="BP87" s="87">
        <f t="shared" si="227"/>
        <v>1</v>
      </c>
      <c r="BQ87" s="87">
        <f t="shared" si="227"/>
        <v>1</v>
      </c>
      <c r="BR87" s="87">
        <f t="shared" si="227"/>
        <v>1</v>
      </c>
      <c r="BS87" s="87">
        <f t="shared" si="227"/>
        <v>1</v>
      </c>
      <c r="BT87" s="87">
        <f t="shared" si="227"/>
        <v>1</v>
      </c>
      <c r="BU87" s="87">
        <f t="shared" si="227"/>
        <v>1</v>
      </c>
      <c r="BV87" s="87">
        <f t="shared" si="227"/>
        <v>1</v>
      </c>
      <c r="BW87" s="87">
        <f t="shared" si="227"/>
        <v>1</v>
      </c>
      <c r="BX87" s="87">
        <f t="shared" si="227"/>
        <v>1</v>
      </c>
      <c r="BY87" s="87">
        <f t="shared" si="227"/>
        <v>1</v>
      </c>
      <c r="BZ87" s="87">
        <f t="shared" si="227"/>
        <v>1</v>
      </c>
      <c r="CA87" s="87">
        <f t="shared" si="227"/>
        <v>1</v>
      </c>
      <c r="CB87" s="87">
        <f t="shared" si="227"/>
        <v>1</v>
      </c>
      <c r="CC87" s="87">
        <f t="shared" si="227"/>
        <v>1</v>
      </c>
      <c r="CD87" s="87">
        <f t="shared" si="227"/>
        <v>1</v>
      </c>
      <c r="CE87" s="87">
        <f t="shared" si="227"/>
        <v>1</v>
      </c>
      <c r="CF87" s="87">
        <f t="shared" si="227"/>
        <v>1</v>
      </c>
      <c r="CG87" s="87">
        <f t="shared" si="227"/>
        <v>1</v>
      </c>
      <c r="CH87" s="87">
        <f t="shared" si="227"/>
        <v>1</v>
      </c>
      <c r="CI87" s="87">
        <f t="shared" si="227"/>
        <v>1</v>
      </c>
      <c r="CJ87" s="87">
        <f t="shared" si="227"/>
        <v>1</v>
      </c>
      <c r="CK87" s="87">
        <f t="shared" si="227"/>
        <v>1</v>
      </c>
      <c r="CL87" s="87">
        <f t="shared" si="227"/>
        <v>1</v>
      </c>
      <c r="CM87" s="87">
        <f t="shared" si="227"/>
        <v>1</v>
      </c>
      <c r="CN87" s="87">
        <f t="shared" si="227"/>
        <v>1</v>
      </c>
      <c r="CO87" s="87">
        <f t="shared" si="227"/>
        <v>1</v>
      </c>
      <c r="CP87" s="87">
        <f t="shared" si="227"/>
        <v>1</v>
      </c>
    </row>
    <row r="88" spans="2:94" hidden="1" outlineLevel="2" x14ac:dyDescent="0.4">
      <c r="B88" s="69"/>
      <c r="C88" s="70"/>
      <c r="D88" s="70"/>
      <c r="E88" s="70" t="s">
        <v>138</v>
      </c>
      <c r="F88" s="71">
        <f>EDTN[[#This Row],[Nuevos Pesos]]</f>
        <v>0.2</v>
      </c>
      <c r="H88" s="71">
        <v>0</v>
      </c>
      <c r="I88" s="71">
        <v>0</v>
      </c>
      <c r="J88" s="71">
        <v>0</v>
      </c>
      <c r="K88" s="71">
        <v>0</v>
      </c>
      <c r="L88" s="259">
        <v>0</v>
      </c>
      <c r="M88" s="259">
        <v>0</v>
      </c>
      <c r="N88" s="259">
        <v>0</v>
      </c>
      <c r="O88" s="259">
        <v>0</v>
      </c>
      <c r="P88" s="259">
        <v>0</v>
      </c>
      <c r="Q88" s="259">
        <v>0</v>
      </c>
      <c r="R88" s="259">
        <v>0</v>
      </c>
      <c r="S88" s="259">
        <v>0</v>
      </c>
      <c r="T88" s="259">
        <v>0</v>
      </c>
      <c r="U88" s="259">
        <v>0</v>
      </c>
      <c r="V88" s="259">
        <v>0</v>
      </c>
      <c r="W88" s="259">
        <v>0</v>
      </c>
      <c r="X88" s="259">
        <v>0</v>
      </c>
      <c r="Y88" s="259">
        <v>0</v>
      </c>
      <c r="Z88" s="259">
        <v>0</v>
      </c>
      <c r="AA88" s="259">
        <v>0</v>
      </c>
      <c r="AB88" s="259">
        <v>0.125</v>
      </c>
      <c r="AC88" s="259">
        <f>+PlanBase39[[#This Row],[22/09/25]]+12.5%</f>
        <v>0.25</v>
      </c>
      <c r="AD88" s="259">
        <f>+PlanBase39[[#This Row],[29/09/25]]+12.5%</f>
        <v>0.375</v>
      </c>
      <c r="AE88" s="259">
        <f>+PlanBase39[[#This Row],[06/10/25]]+12.5%</f>
        <v>0.5</v>
      </c>
      <c r="AF88" s="259">
        <f>+PlanBase39[[#This Row],[13/10/25]]+12.5%</f>
        <v>0.625</v>
      </c>
      <c r="AG88" s="259">
        <f>+PlanBase39[[#This Row],[20/10/25]]+12.5%</f>
        <v>0.75</v>
      </c>
      <c r="AH88" s="259">
        <f>+PlanBase39[[#This Row],[27/10/25]]+12.5%</f>
        <v>0.875</v>
      </c>
      <c r="AI88" s="259">
        <v>1</v>
      </c>
      <c r="AJ88" s="259">
        <v>1</v>
      </c>
      <c r="AK88" s="259">
        <v>1</v>
      </c>
      <c r="AL88" s="259">
        <v>1</v>
      </c>
      <c r="AM88" s="259">
        <v>1</v>
      </c>
      <c r="AN88" s="259">
        <v>1</v>
      </c>
      <c r="AO88" s="259">
        <v>1</v>
      </c>
      <c r="AP88" s="259">
        <v>1</v>
      </c>
      <c r="AQ88" s="259">
        <v>1</v>
      </c>
      <c r="AR88" s="259">
        <v>1</v>
      </c>
      <c r="AS88" s="259">
        <v>1</v>
      </c>
      <c r="AT88" s="259">
        <v>1</v>
      </c>
      <c r="AU88" s="259">
        <v>1</v>
      </c>
      <c r="AV88" s="259">
        <v>1</v>
      </c>
      <c r="AW88" s="259">
        <v>1</v>
      </c>
      <c r="AX88" s="259">
        <v>1</v>
      </c>
      <c r="AY88" s="259">
        <v>1</v>
      </c>
      <c r="AZ88" s="259">
        <v>1</v>
      </c>
      <c r="BA88" s="259">
        <v>1</v>
      </c>
      <c r="BB88" s="259">
        <v>1</v>
      </c>
      <c r="BC88" s="259">
        <v>1</v>
      </c>
      <c r="BD88" s="259">
        <v>1</v>
      </c>
      <c r="BE88" s="259">
        <v>1</v>
      </c>
      <c r="BF88" s="259">
        <v>1</v>
      </c>
      <c r="BG88" s="259">
        <v>1</v>
      </c>
      <c r="BH88" s="259">
        <v>1</v>
      </c>
      <c r="BI88" s="259">
        <v>1</v>
      </c>
      <c r="BJ88" s="259">
        <v>1</v>
      </c>
      <c r="BK88" s="259">
        <v>1</v>
      </c>
      <c r="BL88" s="259">
        <v>1</v>
      </c>
      <c r="BM88" s="259">
        <v>1</v>
      </c>
      <c r="BN88" s="259">
        <v>1</v>
      </c>
      <c r="BO88" s="259">
        <v>1</v>
      </c>
      <c r="BP88" s="259">
        <v>1</v>
      </c>
      <c r="BQ88" s="259">
        <v>1</v>
      </c>
      <c r="BR88" s="259">
        <v>1</v>
      </c>
      <c r="BS88" s="259">
        <v>1</v>
      </c>
      <c r="BT88" s="259">
        <v>1</v>
      </c>
      <c r="BU88" s="259">
        <v>1</v>
      </c>
      <c r="BV88" s="259">
        <v>1</v>
      </c>
      <c r="BW88" s="259">
        <v>1</v>
      </c>
      <c r="BX88" s="259">
        <v>1</v>
      </c>
      <c r="BY88" s="259">
        <v>1</v>
      </c>
      <c r="BZ88" s="259">
        <v>1</v>
      </c>
      <c r="CA88" s="259">
        <v>1</v>
      </c>
      <c r="CB88" s="259">
        <v>1</v>
      </c>
      <c r="CC88" s="259">
        <v>1</v>
      </c>
      <c r="CD88" s="259">
        <v>1</v>
      </c>
      <c r="CE88" s="259">
        <v>1</v>
      </c>
      <c r="CF88" s="259">
        <v>1</v>
      </c>
      <c r="CG88" s="259">
        <v>1</v>
      </c>
      <c r="CH88" s="259">
        <v>1</v>
      </c>
      <c r="CI88" s="259">
        <v>1</v>
      </c>
      <c r="CJ88" s="259">
        <v>1</v>
      </c>
      <c r="CK88" s="259">
        <v>1</v>
      </c>
      <c r="CL88" s="259">
        <v>1</v>
      </c>
      <c r="CM88" s="259">
        <v>1</v>
      </c>
      <c r="CN88" s="259">
        <v>1</v>
      </c>
      <c r="CO88" s="259">
        <v>1</v>
      </c>
      <c r="CP88" s="259">
        <v>1</v>
      </c>
    </row>
    <row r="89" spans="2:94" hidden="1" outlineLevel="2" x14ac:dyDescent="0.4">
      <c r="B89" s="69"/>
      <c r="C89" s="70"/>
      <c r="D89" s="70"/>
      <c r="E89" s="70" t="s">
        <v>139</v>
      </c>
      <c r="F89" s="71">
        <f>EDTN[[#This Row],[Nuevos Pesos]]</f>
        <v>0.15</v>
      </c>
      <c r="H89" s="71">
        <v>0</v>
      </c>
      <c r="I89" s="71">
        <v>0</v>
      </c>
      <c r="J89" s="71">
        <v>0</v>
      </c>
      <c r="K89" s="71">
        <v>0</v>
      </c>
      <c r="L89" s="259">
        <v>0</v>
      </c>
      <c r="M89" s="259">
        <v>0</v>
      </c>
      <c r="N89" s="259">
        <v>0</v>
      </c>
      <c r="O89" s="259">
        <v>0</v>
      </c>
      <c r="P89" s="259">
        <v>0</v>
      </c>
      <c r="Q89" s="259">
        <v>0</v>
      </c>
      <c r="R89" s="259">
        <v>0</v>
      </c>
      <c r="S89" s="259">
        <v>0</v>
      </c>
      <c r="T89" s="259">
        <v>0</v>
      </c>
      <c r="U89" s="259">
        <v>0</v>
      </c>
      <c r="V89" s="259">
        <v>0</v>
      </c>
      <c r="W89" s="259">
        <v>0</v>
      </c>
      <c r="X89" s="259">
        <v>0</v>
      </c>
      <c r="Y89" s="259">
        <v>0</v>
      </c>
      <c r="Z89" s="259">
        <v>0</v>
      </c>
      <c r="AA89" s="259">
        <v>0</v>
      </c>
      <c r="AB89" s="259">
        <v>0</v>
      </c>
      <c r="AC89" s="259">
        <v>0</v>
      </c>
      <c r="AD89" s="259">
        <v>0</v>
      </c>
      <c r="AE89" s="259">
        <v>0</v>
      </c>
      <c r="AF89" s="259">
        <v>0</v>
      </c>
      <c r="AG89" s="259">
        <v>0</v>
      </c>
      <c r="AH89" s="259">
        <v>0</v>
      </c>
      <c r="AI89" s="259">
        <v>0.2</v>
      </c>
      <c r="AJ89" s="259">
        <v>0.4</v>
      </c>
      <c r="AK89" s="259">
        <v>0.6</v>
      </c>
      <c r="AL89" s="259">
        <v>0.8</v>
      </c>
      <c r="AM89" s="259">
        <v>1</v>
      </c>
      <c r="AN89" s="259">
        <v>1</v>
      </c>
      <c r="AO89" s="259">
        <v>1</v>
      </c>
      <c r="AP89" s="259">
        <v>1</v>
      </c>
      <c r="AQ89" s="259">
        <v>1</v>
      </c>
      <c r="AR89" s="259">
        <v>1</v>
      </c>
      <c r="AS89" s="259">
        <v>1</v>
      </c>
      <c r="AT89" s="259">
        <v>1</v>
      </c>
      <c r="AU89" s="259">
        <v>1</v>
      </c>
      <c r="AV89" s="259">
        <v>1</v>
      </c>
      <c r="AW89" s="259">
        <v>1</v>
      </c>
      <c r="AX89" s="259">
        <v>1</v>
      </c>
      <c r="AY89" s="259">
        <v>1</v>
      </c>
      <c r="AZ89" s="259">
        <v>1</v>
      </c>
      <c r="BA89" s="259">
        <v>1</v>
      </c>
      <c r="BB89" s="259">
        <v>1</v>
      </c>
      <c r="BC89" s="259">
        <v>1</v>
      </c>
      <c r="BD89" s="259">
        <v>1</v>
      </c>
      <c r="BE89" s="259">
        <v>1</v>
      </c>
      <c r="BF89" s="259">
        <v>1</v>
      </c>
      <c r="BG89" s="259">
        <v>1</v>
      </c>
      <c r="BH89" s="259">
        <v>1</v>
      </c>
      <c r="BI89" s="259">
        <v>1</v>
      </c>
      <c r="BJ89" s="259">
        <v>1</v>
      </c>
      <c r="BK89" s="259">
        <v>1</v>
      </c>
      <c r="BL89" s="259">
        <v>1</v>
      </c>
      <c r="BM89" s="259">
        <v>1</v>
      </c>
      <c r="BN89" s="259">
        <v>1</v>
      </c>
      <c r="BO89" s="259">
        <v>1</v>
      </c>
      <c r="BP89" s="259">
        <v>1</v>
      </c>
      <c r="BQ89" s="259">
        <v>1</v>
      </c>
      <c r="BR89" s="259">
        <v>1</v>
      </c>
      <c r="BS89" s="259">
        <v>1</v>
      </c>
      <c r="BT89" s="259">
        <v>1</v>
      </c>
      <c r="BU89" s="259">
        <v>1</v>
      </c>
      <c r="BV89" s="259">
        <v>1</v>
      </c>
      <c r="BW89" s="259">
        <v>1</v>
      </c>
      <c r="BX89" s="259">
        <v>1</v>
      </c>
      <c r="BY89" s="259">
        <v>1</v>
      </c>
      <c r="BZ89" s="259">
        <v>1</v>
      </c>
      <c r="CA89" s="259">
        <v>1</v>
      </c>
      <c r="CB89" s="259">
        <v>1</v>
      </c>
      <c r="CC89" s="259">
        <v>1</v>
      </c>
      <c r="CD89" s="259">
        <v>1</v>
      </c>
      <c r="CE89" s="259">
        <v>1</v>
      </c>
      <c r="CF89" s="259">
        <v>1</v>
      </c>
      <c r="CG89" s="259">
        <v>1</v>
      </c>
      <c r="CH89" s="259">
        <v>1</v>
      </c>
      <c r="CI89" s="259">
        <v>1</v>
      </c>
      <c r="CJ89" s="259">
        <v>1</v>
      </c>
      <c r="CK89" s="259">
        <v>1</v>
      </c>
      <c r="CL89" s="259">
        <v>1</v>
      </c>
      <c r="CM89" s="259">
        <v>1</v>
      </c>
      <c r="CN89" s="259">
        <v>1</v>
      </c>
      <c r="CO89" s="259">
        <v>1</v>
      </c>
      <c r="CP89" s="259">
        <v>1</v>
      </c>
    </row>
    <row r="90" spans="2:94" hidden="1" outlineLevel="2" x14ac:dyDescent="0.4">
      <c r="B90" s="69"/>
      <c r="C90" s="70"/>
      <c r="D90" s="70"/>
      <c r="E90" s="70" t="s">
        <v>140</v>
      </c>
      <c r="F90" s="71">
        <f>EDTN[[#This Row],[Nuevos Pesos]]</f>
        <v>0.65</v>
      </c>
      <c r="H90" s="71">
        <v>0</v>
      </c>
      <c r="I90" s="71">
        <v>0</v>
      </c>
      <c r="J90" s="71">
        <v>0</v>
      </c>
      <c r="K90" s="71">
        <v>0</v>
      </c>
      <c r="L90" s="259">
        <v>0</v>
      </c>
      <c r="M90" s="259">
        <v>0</v>
      </c>
      <c r="N90" s="259">
        <v>0</v>
      </c>
      <c r="O90" s="259">
        <v>0</v>
      </c>
      <c r="P90" s="259">
        <v>0</v>
      </c>
      <c r="Q90" s="259">
        <v>0</v>
      </c>
      <c r="R90" s="259">
        <v>0</v>
      </c>
      <c r="S90" s="259">
        <v>0</v>
      </c>
      <c r="T90" s="259">
        <v>0</v>
      </c>
      <c r="U90" s="259">
        <v>0</v>
      </c>
      <c r="V90" s="259">
        <v>0</v>
      </c>
      <c r="W90" s="259">
        <v>0</v>
      </c>
      <c r="X90" s="259">
        <v>0</v>
      </c>
      <c r="Y90" s="259">
        <v>0</v>
      </c>
      <c r="Z90" s="259">
        <v>0</v>
      </c>
      <c r="AA90" s="259">
        <v>0</v>
      </c>
      <c r="AB90" s="259">
        <v>0</v>
      </c>
      <c r="AC90" s="259">
        <v>0</v>
      </c>
      <c r="AD90" s="259">
        <v>0</v>
      </c>
      <c r="AE90" s="259">
        <v>0.125</v>
      </c>
      <c r="AF90" s="259">
        <f>+PlanBase39[[#This Row],[13/10/25]]+12.5%</f>
        <v>0.25</v>
      </c>
      <c r="AG90" s="259">
        <f>+PlanBase39[[#This Row],[20/10/25]]+12.5%</f>
        <v>0.375</v>
      </c>
      <c r="AH90" s="259">
        <f>+PlanBase39[[#This Row],[27/10/25]]+12.5%</f>
        <v>0.5</v>
      </c>
      <c r="AI90" s="259">
        <f>+PlanBase39[[#This Row],[03/11/25]]+12.5%</f>
        <v>0.625</v>
      </c>
      <c r="AJ90" s="259">
        <f>+PlanBase39[[#This Row],[10/11/25]]+12.5%</f>
        <v>0.75</v>
      </c>
      <c r="AK90" s="259">
        <f>+PlanBase39[[#This Row],[17/11/25]]+12.5%</f>
        <v>0.875</v>
      </c>
      <c r="AL90" s="259">
        <f>+PlanBase39[[#This Row],[24/11/25]]+12.5%</f>
        <v>1</v>
      </c>
      <c r="AM90" s="259">
        <v>1</v>
      </c>
      <c r="AN90" s="259">
        <v>1</v>
      </c>
      <c r="AO90" s="259">
        <v>1</v>
      </c>
      <c r="AP90" s="259">
        <v>1</v>
      </c>
      <c r="AQ90" s="259">
        <v>1</v>
      </c>
      <c r="AR90" s="259">
        <v>1</v>
      </c>
      <c r="AS90" s="259">
        <v>1</v>
      </c>
      <c r="AT90" s="259">
        <v>1</v>
      </c>
      <c r="AU90" s="259">
        <v>1</v>
      </c>
      <c r="AV90" s="259">
        <v>1</v>
      </c>
      <c r="AW90" s="259">
        <v>1</v>
      </c>
      <c r="AX90" s="259">
        <v>1</v>
      </c>
      <c r="AY90" s="259">
        <v>1</v>
      </c>
      <c r="AZ90" s="259">
        <v>1</v>
      </c>
      <c r="BA90" s="259">
        <v>1</v>
      </c>
      <c r="BB90" s="259">
        <v>1</v>
      </c>
      <c r="BC90" s="259">
        <v>1</v>
      </c>
      <c r="BD90" s="259">
        <v>1</v>
      </c>
      <c r="BE90" s="259">
        <v>1</v>
      </c>
      <c r="BF90" s="259">
        <v>1</v>
      </c>
      <c r="BG90" s="259">
        <v>1</v>
      </c>
      <c r="BH90" s="259">
        <v>1</v>
      </c>
      <c r="BI90" s="259">
        <v>1</v>
      </c>
      <c r="BJ90" s="259">
        <v>1</v>
      </c>
      <c r="BK90" s="259">
        <v>1</v>
      </c>
      <c r="BL90" s="259">
        <v>1</v>
      </c>
      <c r="BM90" s="259">
        <v>1</v>
      </c>
      <c r="BN90" s="259">
        <v>1</v>
      </c>
      <c r="BO90" s="259">
        <v>1</v>
      </c>
      <c r="BP90" s="259">
        <v>1</v>
      </c>
      <c r="BQ90" s="259">
        <v>1</v>
      </c>
      <c r="BR90" s="259">
        <v>1</v>
      </c>
      <c r="BS90" s="259">
        <v>1</v>
      </c>
      <c r="BT90" s="259">
        <v>1</v>
      </c>
      <c r="BU90" s="259">
        <v>1</v>
      </c>
      <c r="BV90" s="259">
        <v>1</v>
      </c>
      <c r="BW90" s="259">
        <v>1</v>
      </c>
      <c r="BX90" s="259">
        <v>1</v>
      </c>
      <c r="BY90" s="259">
        <v>1</v>
      </c>
      <c r="BZ90" s="259">
        <v>1</v>
      </c>
      <c r="CA90" s="259">
        <v>1</v>
      </c>
      <c r="CB90" s="259">
        <v>1</v>
      </c>
      <c r="CC90" s="259">
        <v>1</v>
      </c>
      <c r="CD90" s="259">
        <v>1</v>
      </c>
      <c r="CE90" s="259">
        <v>1</v>
      </c>
      <c r="CF90" s="259">
        <v>1</v>
      </c>
      <c r="CG90" s="259">
        <v>1</v>
      </c>
      <c r="CH90" s="259">
        <v>1</v>
      </c>
      <c r="CI90" s="259">
        <v>1</v>
      </c>
      <c r="CJ90" s="259">
        <v>1</v>
      </c>
      <c r="CK90" s="259">
        <v>1</v>
      </c>
      <c r="CL90" s="259">
        <v>1</v>
      </c>
      <c r="CM90" s="259">
        <v>1</v>
      </c>
      <c r="CN90" s="259">
        <v>1</v>
      </c>
      <c r="CO90" s="259">
        <v>1</v>
      </c>
      <c r="CP90" s="259">
        <v>1</v>
      </c>
    </row>
    <row r="91" spans="2:94" hidden="1" outlineLevel="1" collapsed="1" x14ac:dyDescent="0.4">
      <c r="B91" s="85"/>
      <c r="C91" s="86"/>
      <c r="D91" s="86" t="s">
        <v>251</v>
      </c>
      <c r="E91" s="86"/>
      <c r="F91" s="87">
        <f>EDTN[[#This Row],[Nuevos Pesos]]</f>
        <v>0</v>
      </c>
      <c r="H91" s="87">
        <f t="shared" ref="H91:BS91" si="228">SUMPRODUCT(H92:H92,$F$92:$F$92)</f>
        <v>0</v>
      </c>
      <c r="I91" s="87">
        <f t="shared" si="228"/>
        <v>0</v>
      </c>
      <c r="J91" s="87">
        <f t="shared" si="228"/>
        <v>0</v>
      </c>
      <c r="K91" s="87">
        <f t="shared" si="228"/>
        <v>0</v>
      </c>
      <c r="L91" s="87">
        <f t="shared" si="228"/>
        <v>0</v>
      </c>
      <c r="M91" s="87">
        <f t="shared" si="228"/>
        <v>0</v>
      </c>
      <c r="N91" s="87">
        <f t="shared" si="228"/>
        <v>0</v>
      </c>
      <c r="O91" s="87">
        <f t="shared" si="228"/>
        <v>0</v>
      </c>
      <c r="P91" s="87">
        <f t="shared" si="228"/>
        <v>0</v>
      </c>
      <c r="Q91" s="87">
        <f t="shared" si="228"/>
        <v>0</v>
      </c>
      <c r="R91" s="87">
        <f t="shared" si="228"/>
        <v>0</v>
      </c>
      <c r="S91" s="87">
        <f t="shared" si="228"/>
        <v>0</v>
      </c>
      <c r="T91" s="87">
        <f t="shared" si="228"/>
        <v>0</v>
      </c>
      <c r="U91" s="87">
        <f t="shared" si="228"/>
        <v>0</v>
      </c>
      <c r="V91" s="87">
        <f t="shared" si="228"/>
        <v>0</v>
      </c>
      <c r="W91" s="87">
        <f t="shared" si="228"/>
        <v>0</v>
      </c>
      <c r="X91" s="87">
        <f t="shared" si="228"/>
        <v>0</v>
      </c>
      <c r="Y91" s="87">
        <f t="shared" si="228"/>
        <v>0</v>
      </c>
      <c r="Z91" s="87">
        <f t="shared" si="228"/>
        <v>0</v>
      </c>
      <c r="AA91" s="87">
        <f t="shared" si="228"/>
        <v>0</v>
      </c>
      <c r="AB91" s="87">
        <f t="shared" si="228"/>
        <v>0</v>
      </c>
      <c r="AC91" s="87">
        <f t="shared" si="228"/>
        <v>0</v>
      </c>
      <c r="AD91" s="87">
        <f t="shared" si="228"/>
        <v>0</v>
      </c>
      <c r="AE91" s="87">
        <f t="shared" si="228"/>
        <v>0</v>
      </c>
      <c r="AF91" s="87">
        <f t="shared" si="228"/>
        <v>0</v>
      </c>
      <c r="AG91" s="87">
        <f t="shared" si="228"/>
        <v>0</v>
      </c>
      <c r="AH91" s="87">
        <f t="shared" si="228"/>
        <v>0</v>
      </c>
      <c r="AI91" s="87">
        <f t="shared" si="228"/>
        <v>0</v>
      </c>
      <c r="AJ91" s="87">
        <f t="shared" si="228"/>
        <v>0</v>
      </c>
      <c r="AK91" s="87">
        <f t="shared" si="228"/>
        <v>0</v>
      </c>
      <c r="AL91" s="87">
        <f t="shared" si="228"/>
        <v>0</v>
      </c>
      <c r="AM91" s="87">
        <f t="shared" si="228"/>
        <v>0</v>
      </c>
      <c r="AN91" s="87">
        <f t="shared" si="228"/>
        <v>0</v>
      </c>
      <c r="AO91" s="87">
        <f t="shared" si="228"/>
        <v>0</v>
      </c>
      <c r="AP91" s="87">
        <f t="shared" si="228"/>
        <v>1E-117</v>
      </c>
      <c r="AQ91" s="87">
        <f t="shared" si="228"/>
        <v>1E-117</v>
      </c>
      <c r="AR91" s="87">
        <f t="shared" si="228"/>
        <v>1E-117</v>
      </c>
      <c r="AS91" s="87">
        <f t="shared" si="228"/>
        <v>1E-117</v>
      </c>
      <c r="AT91" s="87">
        <f t="shared" si="228"/>
        <v>1E-117</v>
      </c>
      <c r="AU91" s="87">
        <f t="shared" si="228"/>
        <v>1E-117</v>
      </c>
      <c r="AV91" s="87">
        <f t="shared" si="228"/>
        <v>1E-117</v>
      </c>
      <c r="AW91" s="87">
        <f t="shared" si="228"/>
        <v>1E-117</v>
      </c>
      <c r="AX91" s="87">
        <f t="shared" si="228"/>
        <v>1E-117</v>
      </c>
      <c r="AY91" s="87">
        <f t="shared" si="228"/>
        <v>1E-117</v>
      </c>
      <c r="AZ91" s="87">
        <f t="shared" si="228"/>
        <v>1E-117</v>
      </c>
      <c r="BA91" s="87">
        <f t="shared" si="228"/>
        <v>1E-117</v>
      </c>
      <c r="BB91" s="87">
        <f t="shared" si="228"/>
        <v>1E-117</v>
      </c>
      <c r="BC91" s="87">
        <f t="shared" si="228"/>
        <v>1E-117</v>
      </c>
      <c r="BD91" s="87">
        <f t="shared" si="228"/>
        <v>1E-117</v>
      </c>
      <c r="BE91" s="87">
        <f t="shared" si="228"/>
        <v>1E-117</v>
      </c>
      <c r="BF91" s="87">
        <f t="shared" si="228"/>
        <v>1E-117</v>
      </c>
      <c r="BG91" s="87">
        <f t="shared" si="228"/>
        <v>1E-117</v>
      </c>
      <c r="BH91" s="87">
        <f t="shared" si="228"/>
        <v>1E-117</v>
      </c>
      <c r="BI91" s="87">
        <f t="shared" si="228"/>
        <v>1E-117</v>
      </c>
      <c r="BJ91" s="87">
        <f t="shared" si="228"/>
        <v>1E-117</v>
      </c>
      <c r="BK91" s="87">
        <f t="shared" si="228"/>
        <v>1E-117</v>
      </c>
      <c r="BL91" s="87">
        <f t="shared" si="228"/>
        <v>1E-117</v>
      </c>
      <c r="BM91" s="87">
        <f t="shared" si="228"/>
        <v>1E-117</v>
      </c>
      <c r="BN91" s="87">
        <f t="shared" si="228"/>
        <v>1E-117</v>
      </c>
      <c r="BO91" s="87">
        <f t="shared" si="228"/>
        <v>1E-117</v>
      </c>
      <c r="BP91" s="87">
        <f t="shared" si="228"/>
        <v>1E-117</v>
      </c>
      <c r="BQ91" s="87">
        <f t="shared" si="228"/>
        <v>1E-117</v>
      </c>
      <c r="BR91" s="87">
        <f t="shared" si="228"/>
        <v>1E-117</v>
      </c>
      <c r="BS91" s="87">
        <f t="shared" si="228"/>
        <v>1E-117</v>
      </c>
      <c r="BT91" s="87">
        <f t="shared" ref="BT91:CP91" si="229">SUMPRODUCT(BT92:BT92,$F$92:$F$92)</f>
        <v>1E-117</v>
      </c>
      <c r="BU91" s="87">
        <f t="shared" si="229"/>
        <v>1E-117</v>
      </c>
      <c r="BV91" s="87">
        <f t="shared" si="229"/>
        <v>1E-117</v>
      </c>
      <c r="BW91" s="87">
        <f t="shared" si="229"/>
        <v>1E-117</v>
      </c>
      <c r="BX91" s="87">
        <f t="shared" si="229"/>
        <v>1E-117</v>
      </c>
      <c r="BY91" s="87">
        <f t="shared" si="229"/>
        <v>1E-117</v>
      </c>
      <c r="BZ91" s="87">
        <f t="shared" si="229"/>
        <v>1E-117</v>
      </c>
      <c r="CA91" s="87">
        <f t="shared" si="229"/>
        <v>1E-117</v>
      </c>
      <c r="CB91" s="87">
        <f t="shared" si="229"/>
        <v>1E-117</v>
      </c>
      <c r="CC91" s="87">
        <f t="shared" si="229"/>
        <v>1E-117</v>
      </c>
      <c r="CD91" s="87">
        <f t="shared" si="229"/>
        <v>1E-117</v>
      </c>
      <c r="CE91" s="87">
        <f t="shared" si="229"/>
        <v>1E-117</v>
      </c>
      <c r="CF91" s="87">
        <f t="shared" si="229"/>
        <v>1E-117</v>
      </c>
      <c r="CG91" s="87">
        <f t="shared" si="229"/>
        <v>1E-117</v>
      </c>
      <c r="CH91" s="87">
        <f t="shared" si="229"/>
        <v>1E-117</v>
      </c>
      <c r="CI91" s="87">
        <f t="shared" si="229"/>
        <v>1E-117</v>
      </c>
      <c r="CJ91" s="87">
        <f t="shared" si="229"/>
        <v>1E-117</v>
      </c>
      <c r="CK91" s="87">
        <f t="shared" si="229"/>
        <v>1E-117</v>
      </c>
      <c r="CL91" s="87">
        <f t="shared" si="229"/>
        <v>1E-117</v>
      </c>
      <c r="CM91" s="87">
        <f t="shared" si="229"/>
        <v>1E-117</v>
      </c>
      <c r="CN91" s="87">
        <f t="shared" si="229"/>
        <v>1E-117</v>
      </c>
      <c r="CO91" s="87">
        <f t="shared" si="229"/>
        <v>1E-117</v>
      </c>
      <c r="CP91" s="87">
        <f t="shared" si="229"/>
        <v>1E-117</v>
      </c>
    </row>
    <row r="92" spans="2:94" hidden="1" outlineLevel="2" x14ac:dyDescent="0.4">
      <c r="B92" s="69"/>
      <c r="C92" s="70"/>
      <c r="D92" s="70"/>
      <c r="E92" s="78" t="s">
        <v>15</v>
      </c>
      <c r="F92" s="71">
        <f>EDTN[[#This Row],[Nuevos Pesos]]</f>
        <v>1E-117</v>
      </c>
      <c r="H92" s="71">
        <v>0</v>
      </c>
      <c r="I92" s="71">
        <v>0</v>
      </c>
      <c r="J92" s="71">
        <v>0</v>
      </c>
      <c r="K92" s="71">
        <v>0</v>
      </c>
      <c r="L92" s="71">
        <v>0</v>
      </c>
      <c r="M92" s="71">
        <v>0</v>
      </c>
      <c r="N92" s="71">
        <v>0</v>
      </c>
      <c r="O92" s="71">
        <v>0</v>
      </c>
      <c r="P92" s="71">
        <v>0</v>
      </c>
      <c r="Q92" s="71">
        <v>0</v>
      </c>
      <c r="R92" s="71">
        <v>0</v>
      </c>
      <c r="S92" s="71">
        <v>0</v>
      </c>
      <c r="T92" s="71">
        <v>0</v>
      </c>
      <c r="U92" s="71">
        <v>0</v>
      </c>
      <c r="V92" s="71">
        <v>0</v>
      </c>
      <c r="W92" s="71">
        <v>0</v>
      </c>
      <c r="X92" s="71">
        <v>0</v>
      </c>
      <c r="Y92" s="71">
        <v>0</v>
      </c>
      <c r="Z92" s="71">
        <v>0</v>
      </c>
      <c r="AA92" s="71">
        <v>0</v>
      </c>
      <c r="AB92" s="71">
        <v>0</v>
      </c>
      <c r="AC92" s="71">
        <v>0</v>
      </c>
      <c r="AD92" s="71">
        <v>0</v>
      </c>
      <c r="AE92" s="71">
        <v>0</v>
      </c>
      <c r="AF92" s="71">
        <v>0</v>
      </c>
      <c r="AG92" s="71">
        <v>0</v>
      </c>
      <c r="AH92" s="71">
        <v>0</v>
      </c>
      <c r="AI92" s="71">
        <v>0</v>
      </c>
      <c r="AJ92" s="71">
        <v>0</v>
      </c>
      <c r="AK92" s="71">
        <v>0</v>
      </c>
      <c r="AL92" s="71">
        <v>0</v>
      </c>
      <c r="AM92" s="71">
        <v>0</v>
      </c>
      <c r="AN92" s="71">
        <v>0</v>
      </c>
      <c r="AO92" s="71">
        <v>0</v>
      </c>
      <c r="AP92" s="71">
        <v>1</v>
      </c>
      <c r="AQ92" s="71">
        <v>1</v>
      </c>
      <c r="AR92" s="71">
        <v>1</v>
      </c>
      <c r="AS92" s="71">
        <v>1</v>
      </c>
      <c r="AT92" s="71">
        <v>1</v>
      </c>
      <c r="AU92" s="71">
        <v>1</v>
      </c>
      <c r="AV92" s="71">
        <v>1</v>
      </c>
      <c r="AW92" s="71">
        <v>1</v>
      </c>
      <c r="AX92" s="71">
        <v>1</v>
      </c>
      <c r="AY92" s="71">
        <v>1</v>
      </c>
      <c r="AZ92" s="71">
        <v>1</v>
      </c>
      <c r="BA92" s="71">
        <v>1</v>
      </c>
      <c r="BB92" s="71">
        <v>1</v>
      </c>
      <c r="BC92" s="71">
        <v>1</v>
      </c>
      <c r="BD92" s="71">
        <v>1</v>
      </c>
      <c r="BE92" s="71">
        <v>1</v>
      </c>
      <c r="BF92" s="71">
        <v>1</v>
      </c>
      <c r="BG92" s="71">
        <v>1</v>
      </c>
      <c r="BH92" s="71">
        <v>1</v>
      </c>
      <c r="BI92" s="71">
        <v>1</v>
      </c>
      <c r="BJ92" s="71">
        <v>1</v>
      </c>
      <c r="BK92" s="71">
        <v>1</v>
      </c>
      <c r="BL92" s="71">
        <v>1</v>
      </c>
      <c r="BM92" s="272">
        <v>1</v>
      </c>
      <c r="BN92" s="272">
        <v>1</v>
      </c>
      <c r="BO92" s="272">
        <v>1</v>
      </c>
      <c r="BP92" s="272">
        <v>1</v>
      </c>
      <c r="BQ92" s="272">
        <v>1</v>
      </c>
      <c r="BR92" s="272">
        <v>1</v>
      </c>
      <c r="BS92" s="272">
        <v>1</v>
      </c>
      <c r="BT92" s="272">
        <v>1</v>
      </c>
      <c r="BU92" s="272">
        <v>1</v>
      </c>
      <c r="BV92" s="272">
        <v>1</v>
      </c>
      <c r="BW92" s="272">
        <v>1</v>
      </c>
      <c r="BX92" s="272">
        <v>1</v>
      </c>
      <c r="BY92" s="272">
        <v>1</v>
      </c>
      <c r="BZ92" s="272">
        <v>1</v>
      </c>
      <c r="CA92" s="272">
        <v>1</v>
      </c>
      <c r="CB92" s="272">
        <v>1</v>
      </c>
      <c r="CC92" s="272">
        <v>1</v>
      </c>
      <c r="CD92" s="272">
        <v>1</v>
      </c>
      <c r="CE92" s="272">
        <v>1</v>
      </c>
      <c r="CF92" s="272">
        <v>1</v>
      </c>
      <c r="CG92" s="272">
        <v>1</v>
      </c>
      <c r="CH92" s="272">
        <v>1</v>
      </c>
      <c r="CI92" s="272">
        <v>1</v>
      </c>
      <c r="CJ92" s="272">
        <v>1</v>
      </c>
      <c r="CK92" s="272">
        <v>1</v>
      </c>
      <c r="CL92" s="272">
        <v>1</v>
      </c>
      <c r="CM92" s="272">
        <v>1</v>
      </c>
      <c r="CN92" s="272">
        <v>1</v>
      </c>
      <c r="CO92" s="272">
        <v>1</v>
      </c>
      <c r="CP92" s="272">
        <v>1</v>
      </c>
    </row>
    <row r="94" spans="2:94" collapsed="1" x14ac:dyDescent="0.4">
      <c r="B94" s="323" t="s">
        <v>447</v>
      </c>
      <c r="C94" s="323"/>
      <c r="D94" s="323"/>
      <c r="E94" s="323"/>
      <c r="F94" s="323"/>
      <c r="G94" s="323"/>
      <c r="H94" s="323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324"/>
      <c r="V94" s="324"/>
      <c r="W94" s="324"/>
      <c r="X94" s="324"/>
      <c r="Y94" s="324"/>
      <c r="Z94" s="324"/>
      <c r="AA94" s="324"/>
      <c r="AB94" s="324"/>
      <c r="AC94" s="324"/>
      <c r="AD94" s="324"/>
      <c r="AE94" s="324"/>
      <c r="AF94" s="324"/>
      <c r="AG94" s="324"/>
      <c r="AH94" s="324"/>
      <c r="AI94" s="324"/>
      <c r="AJ94" s="324"/>
      <c r="AK94" s="324"/>
      <c r="AL94" s="324"/>
      <c r="AM94" s="324"/>
      <c r="AN94" s="324"/>
      <c r="AO94" s="324"/>
      <c r="AP94" s="324"/>
      <c r="AQ94" s="324"/>
      <c r="AR94" s="324"/>
      <c r="AS94" s="324"/>
      <c r="AT94" s="324"/>
      <c r="AU94" s="324"/>
      <c r="AV94" s="324"/>
      <c r="AW94" s="324"/>
      <c r="AX94" s="324"/>
      <c r="AY94" s="324"/>
      <c r="AZ94" s="324"/>
      <c r="BA94" s="324"/>
      <c r="BB94" s="324"/>
      <c r="BC94" s="324"/>
      <c r="BD94" s="324"/>
      <c r="BE94" s="324"/>
      <c r="BF94" s="324"/>
      <c r="BG94" s="324"/>
      <c r="BH94" s="324"/>
      <c r="BI94" s="324"/>
      <c r="BJ94" s="324"/>
      <c r="BK94" s="324"/>
      <c r="BL94" s="324"/>
      <c r="BM94" s="324"/>
      <c r="BN94" s="324"/>
      <c r="BO94" s="324"/>
      <c r="BP94" s="324"/>
      <c r="BQ94" s="324"/>
      <c r="BR94" s="324"/>
      <c r="BS94" s="324"/>
      <c r="BT94" s="324"/>
      <c r="BU94" s="324"/>
      <c r="BV94" s="324"/>
      <c r="BW94" s="324"/>
      <c r="BX94" s="324"/>
      <c r="BY94" s="324"/>
      <c r="BZ94" s="324"/>
      <c r="CA94" s="324"/>
      <c r="CB94" s="324"/>
      <c r="CC94" s="324"/>
      <c r="CD94" s="324"/>
      <c r="CE94" s="324"/>
      <c r="CF94" s="324"/>
      <c r="CG94" s="324"/>
      <c r="CH94" s="324"/>
      <c r="CI94" s="324"/>
      <c r="CJ94" s="324"/>
      <c r="CK94" s="324"/>
      <c r="CL94" s="324"/>
      <c r="CM94" s="324"/>
      <c r="CN94" s="324"/>
      <c r="CO94" s="324"/>
      <c r="CP94" s="324"/>
    </row>
    <row r="95" spans="2:94" hidden="1" outlineLevel="1" x14ac:dyDescent="0.4">
      <c r="B95" s="320"/>
      <c r="C95" s="317" t="s">
        <v>455</v>
      </c>
      <c r="D95" s="320"/>
      <c r="E95" s="320"/>
      <c r="F95" s="234"/>
      <c r="G95" s="234"/>
      <c r="H95" s="321">
        <f t="shared" ref="H95:AM95" si="230">IF(MOD(H4-$H$4,14)=0,H5, "")</f>
        <v>0</v>
      </c>
      <c r="I95" s="321" t="str">
        <f t="shared" si="230"/>
        <v/>
      </c>
      <c r="J95" s="321">
        <f t="shared" si="230"/>
        <v>4.7601839062014775E-2</v>
      </c>
      <c r="K95" s="321" t="str">
        <f t="shared" si="230"/>
        <v/>
      </c>
      <c r="L95" s="321">
        <f t="shared" si="230"/>
        <v>0.11055051270270631</v>
      </c>
      <c r="M95" s="321" t="str">
        <f t="shared" si="230"/>
        <v/>
      </c>
      <c r="N95" s="321">
        <f t="shared" si="230"/>
        <v>0.17781260909075236</v>
      </c>
      <c r="O95" s="321" t="str">
        <f t="shared" si="230"/>
        <v/>
      </c>
      <c r="P95" s="321">
        <f t="shared" si="230"/>
        <v>0.23406787529719483</v>
      </c>
      <c r="Q95" s="321" t="str">
        <f t="shared" si="230"/>
        <v/>
      </c>
      <c r="R95" s="321">
        <f t="shared" si="230"/>
        <v>0.31050096091996099</v>
      </c>
      <c r="S95" s="321" t="str">
        <f t="shared" si="230"/>
        <v/>
      </c>
      <c r="T95" s="321">
        <f t="shared" si="230"/>
        <v>0.37457273040618533</v>
      </c>
      <c r="U95" s="321" t="str">
        <f t="shared" si="230"/>
        <v/>
      </c>
      <c r="V95" s="321">
        <f t="shared" si="230"/>
        <v>0.42530408441107281</v>
      </c>
      <c r="W95" s="321" t="str">
        <f t="shared" si="230"/>
        <v/>
      </c>
      <c r="X95" s="321">
        <f t="shared" si="230"/>
        <v>0.47995701019325843</v>
      </c>
      <c r="Y95" s="321" t="str">
        <f t="shared" si="230"/>
        <v/>
      </c>
      <c r="Z95" s="321">
        <f t="shared" si="230"/>
        <v>0.54687557657962549</v>
      </c>
      <c r="AA95" s="321" t="str">
        <f t="shared" si="230"/>
        <v/>
      </c>
      <c r="AB95" s="321">
        <f t="shared" si="230"/>
        <v>0.62946835941029922</v>
      </c>
      <c r="AC95" s="321" t="str">
        <f t="shared" si="230"/>
        <v/>
      </c>
      <c r="AD95" s="321">
        <f t="shared" si="230"/>
        <v>0.70872639363203449</v>
      </c>
      <c r="AE95" s="321" t="str">
        <f t="shared" si="230"/>
        <v/>
      </c>
      <c r="AF95" s="321">
        <f t="shared" si="230"/>
        <v>0.78720657294560636</v>
      </c>
      <c r="AG95" s="321" t="str">
        <f t="shared" si="230"/>
        <v/>
      </c>
      <c r="AH95" s="321">
        <f t="shared" si="230"/>
        <v>0.86510186238655096</v>
      </c>
      <c r="AI95" s="321" t="str">
        <f t="shared" si="230"/>
        <v/>
      </c>
      <c r="AJ95" s="321">
        <f t="shared" si="230"/>
        <v>0.93407842173686539</v>
      </c>
      <c r="AK95" s="321" t="str">
        <f t="shared" si="230"/>
        <v/>
      </c>
      <c r="AL95" s="321">
        <f t="shared" si="230"/>
        <v>0.97794809175622288</v>
      </c>
      <c r="AM95" s="321" t="str">
        <f t="shared" si="230"/>
        <v/>
      </c>
      <c r="AN95" s="321">
        <f t="shared" ref="AN95:BS95" si="231">IF(MOD(AN4-$H$4,14)=0,AN5, "")</f>
        <v>0.99038538334087012</v>
      </c>
      <c r="AO95" s="321" t="str">
        <f t="shared" si="231"/>
        <v/>
      </c>
      <c r="AP95" s="321">
        <f t="shared" si="231"/>
        <v>1.0000000000000002</v>
      </c>
      <c r="AQ95" s="321" t="str">
        <f t="shared" si="231"/>
        <v/>
      </c>
      <c r="AR95" s="321">
        <f t="shared" si="231"/>
        <v>1.0000000000000002</v>
      </c>
      <c r="AS95" s="321" t="str">
        <f t="shared" si="231"/>
        <v/>
      </c>
      <c r="AT95" s="321">
        <f t="shared" si="231"/>
        <v>1.0000000000000002</v>
      </c>
      <c r="AU95" s="321" t="str">
        <f t="shared" si="231"/>
        <v/>
      </c>
      <c r="AV95" s="321">
        <f t="shared" si="231"/>
        <v>1.0000000000000002</v>
      </c>
      <c r="AW95" s="321" t="str">
        <f t="shared" si="231"/>
        <v/>
      </c>
      <c r="AX95" s="321">
        <f t="shared" si="231"/>
        <v>1.0000000000000002</v>
      </c>
      <c r="AY95" s="321" t="str">
        <f t="shared" si="231"/>
        <v/>
      </c>
      <c r="AZ95" s="321">
        <f t="shared" si="231"/>
        <v>1.0000000000000002</v>
      </c>
      <c r="BA95" s="321" t="str">
        <f t="shared" si="231"/>
        <v/>
      </c>
      <c r="BB95" s="321">
        <f t="shared" si="231"/>
        <v>1.0000000000000002</v>
      </c>
      <c r="BC95" s="321" t="str">
        <f t="shared" si="231"/>
        <v/>
      </c>
      <c r="BD95" s="321">
        <f t="shared" si="231"/>
        <v>1.0000000000000002</v>
      </c>
      <c r="BE95" s="321" t="str">
        <f t="shared" si="231"/>
        <v/>
      </c>
      <c r="BF95" s="321">
        <f t="shared" si="231"/>
        <v>1.0000000000000002</v>
      </c>
      <c r="BG95" s="321" t="str">
        <f t="shared" si="231"/>
        <v/>
      </c>
      <c r="BH95" s="321">
        <f t="shared" si="231"/>
        <v>1.0000000000000002</v>
      </c>
      <c r="BI95" s="321" t="str">
        <f t="shared" si="231"/>
        <v/>
      </c>
      <c r="BJ95" s="321">
        <f t="shared" si="231"/>
        <v>1.0000000000000002</v>
      </c>
      <c r="BK95" s="321" t="str">
        <f t="shared" si="231"/>
        <v/>
      </c>
      <c r="BL95" s="321">
        <f t="shared" si="231"/>
        <v>1.0000000000000002</v>
      </c>
      <c r="BM95" s="321" t="str">
        <f t="shared" si="231"/>
        <v/>
      </c>
      <c r="BN95" s="321">
        <f t="shared" si="231"/>
        <v>1.0000000000000002</v>
      </c>
      <c r="BO95" s="321" t="str">
        <f t="shared" si="231"/>
        <v/>
      </c>
      <c r="BP95" s="321">
        <f t="shared" si="231"/>
        <v>1.0000000000000002</v>
      </c>
      <c r="BQ95" s="321" t="str">
        <f t="shared" si="231"/>
        <v/>
      </c>
      <c r="BR95" s="321">
        <f t="shared" si="231"/>
        <v>1.0000000000000002</v>
      </c>
      <c r="BS95" s="321" t="str">
        <f t="shared" si="231"/>
        <v/>
      </c>
      <c r="BT95" s="321">
        <f t="shared" ref="BT95:CP95" si="232">IF(MOD(BT4-$H$4,14)=0,BT5, "")</f>
        <v>1.0000000000000002</v>
      </c>
      <c r="BU95" s="321" t="str">
        <f t="shared" si="232"/>
        <v/>
      </c>
      <c r="BV95" s="321">
        <f t="shared" si="232"/>
        <v>1.0000000000000002</v>
      </c>
      <c r="BW95" s="321" t="str">
        <f t="shared" si="232"/>
        <v/>
      </c>
      <c r="BX95" s="321">
        <f t="shared" si="232"/>
        <v>1.0000000000000002</v>
      </c>
      <c r="BY95" s="321" t="str">
        <f t="shared" si="232"/>
        <v/>
      </c>
      <c r="BZ95" s="321">
        <f t="shared" si="232"/>
        <v>1.0000000000000002</v>
      </c>
      <c r="CA95" s="321" t="str">
        <f t="shared" si="232"/>
        <v/>
      </c>
      <c r="CB95" s="321">
        <f t="shared" si="232"/>
        <v>1.0000000000000002</v>
      </c>
      <c r="CC95" s="321" t="str">
        <f t="shared" si="232"/>
        <v/>
      </c>
      <c r="CD95" s="321">
        <f t="shared" si="232"/>
        <v>1.0000000000000002</v>
      </c>
      <c r="CE95" s="321" t="str">
        <f t="shared" si="232"/>
        <v/>
      </c>
      <c r="CF95" s="321">
        <f t="shared" si="232"/>
        <v>1.0000000000000002</v>
      </c>
      <c r="CG95" s="321" t="str">
        <f t="shared" si="232"/>
        <v/>
      </c>
      <c r="CH95" s="321">
        <f t="shared" si="232"/>
        <v>1.0000000000000002</v>
      </c>
      <c r="CI95" s="321" t="str">
        <f t="shared" si="232"/>
        <v/>
      </c>
      <c r="CJ95" s="321">
        <f t="shared" si="232"/>
        <v>1.0000000000000002</v>
      </c>
      <c r="CK95" s="321" t="str">
        <f t="shared" si="232"/>
        <v/>
      </c>
      <c r="CL95" s="321">
        <f t="shared" si="232"/>
        <v>1.0000000000000002</v>
      </c>
      <c r="CM95" s="321" t="str">
        <f t="shared" si="232"/>
        <v/>
      </c>
      <c r="CN95" s="321">
        <f t="shared" si="232"/>
        <v>1.0000000000000002</v>
      </c>
      <c r="CO95" s="321" t="str">
        <f t="shared" si="232"/>
        <v/>
      </c>
      <c r="CP95" s="321">
        <f t="shared" si="232"/>
        <v>1.0000000000000002</v>
      </c>
    </row>
    <row r="96" spans="2:94" hidden="1" outlineLevel="1" x14ac:dyDescent="0.4">
      <c r="B96" s="320"/>
      <c r="C96" s="317" t="s">
        <v>456</v>
      </c>
      <c r="D96" s="320"/>
      <c r="E96" s="320"/>
      <c r="F96" s="234"/>
      <c r="G96" s="234"/>
      <c r="H96" s="321">
        <f t="shared" ref="H96:AM96" si="233">IF(MOD(H4-$H$4,28)=0,H5, "")</f>
        <v>0</v>
      </c>
      <c r="I96" s="321" t="str">
        <f t="shared" si="233"/>
        <v/>
      </c>
      <c r="J96" s="321" t="str">
        <f t="shared" si="233"/>
        <v/>
      </c>
      <c r="K96" s="321" t="str">
        <f t="shared" si="233"/>
        <v/>
      </c>
      <c r="L96" s="321">
        <f t="shared" si="233"/>
        <v>0.11055051270270631</v>
      </c>
      <c r="M96" s="321" t="str">
        <f t="shared" si="233"/>
        <v/>
      </c>
      <c r="N96" s="321" t="str">
        <f t="shared" si="233"/>
        <v/>
      </c>
      <c r="O96" s="321" t="str">
        <f t="shared" si="233"/>
        <v/>
      </c>
      <c r="P96" s="321">
        <f t="shared" si="233"/>
        <v>0.23406787529719483</v>
      </c>
      <c r="Q96" s="321" t="str">
        <f t="shared" si="233"/>
        <v/>
      </c>
      <c r="R96" s="321" t="str">
        <f t="shared" si="233"/>
        <v/>
      </c>
      <c r="S96" s="321" t="str">
        <f t="shared" si="233"/>
        <v/>
      </c>
      <c r="T96" s="321">
        <f t="shared" si="233"/>
        <v>0.37457273040618533</v>
      </c>
      <c r="U96" s="321" t="str">
        <f t="shared" si="233"/>
        <v/>
      </c>
      <c r="V96" s="321" t="str">
        <f t="shared" si="233"/>
        <v/>
      </c>
      <c r="W96" s="321" t="str">
        <f t="shared" si="233"/>
        <v/>
      </c>
      <c r="X96" s="321">
        <f t="shared" si="233"/>
        <v>0.47995701019325843</v>
      </c>
      <c r="Y96" s="321" t="str">
        <f t="shared" si="233"/>
        <v/>
      </c>
      <c r="Z96" s="321" t="str">
        <f t="shared" si="233"/>
        <v/>
      </c>
      <c r="AA96" s="321" t="str">
        <f t="shared" si="233"/>
        <v/>
      </c>
      <c r="AB96" s="321">
        <f t="shared" si="233"/>
        <v>0.62946835941029922</v>
      </c>
      <c r="AC96" s="321" t="str">
        <f t="shared" si="233"/>
        <v/>
      </c>
      <c r="AD96" s="321" t="str">
        <f t="shared" si="233"/>
        <v/>
      </c>
      <c r="AE96" s="321" t="str">
        <f t="shared" si="233"/>
        <v/>
      </c>
      <c r="AF96" s="321">
        <f t="shared" si="233"/>
        <v>0.78720657294560636</v>
      </c>
      <c r="AG96" s="321" t="str">
        <f t="shared" si="233"/>
        <v/>
      </c>
      <c r="AH96" s="321" t="str">
        <f t="shared" si="233"/>
        <v/>
      </c>
      <c r="AI96" s="321" t="str">
        <f t="shared" si="233"/>
        <v/>
      </c>
      <c r="AJ96" s="321">
        <f t="shared" si="233"/>
        <v>0.93407842173686539</v>
      </c>
      <c r="AK96" s="321" t="str">
        <f t="shared" si="233"/>
        <v/>
      </c>
      <c r="AL96" s="321" t="str">
        <f t="shared" si="233"/>
        <v/>
      </c>
      <c r="AM96" s="321" t="str">
        <f t="shared" si="233"/>
        <v/>
      </c>
      <c r="AN96" s="321">
        <f t="shared" ref="AN96:BS96" si="234">IF(MOD(AN4-$H$4,28)=0,AN5, "")</f>
        <v>0.99038538334087012</v>
      </c>
      <c r="AO96" s="321" t="str">
        <f t="shared" si="234"/>
        <v/>
      </c>
      <c r="AP96" s="321" t="str">
        <f t="shared" si="234"/>
        <v/>
      </c>
      <c r="AQ96" s="321" t="str">
        <f t="shared" si="234"/>
        <v/>
      </c>
      <c r="AR96" s="321">
        <f t="shared" si="234"/>
        <v>1.0000000000000002</v>
      </c>
      <c r="AS96" s="321" t="str">
        <f t="shared" si="234"/>
        <v/>
      </c>
      <c r="AT96" s="321" t="str">
        <f t="shared" si="234"/>
        <v/>
      </c>
      <c r="AU96" s="321" t="str">
        <f t="shared" si="234"/>
        <v/>
      </c>
      <c r="AV96" s="321">
        <f t="shared" si="234"/>
        <v>1.0000000000000002</v>
      </c>
      <c r="AW96" s="321" t="str">
        <f t="shared" si="234"/>
        <v/>
      </c>
      <c r="AX96" s="321" t="str">
        <f t="shared" si="234"/>
        <v/>
      </c>
      <c r="AY96" s="321" t="str">
        <f t="shared" si="234"/>
        <v/>
      </c>
      <c r="AZ96" s="321">
        <f t="shared" si="234"/>
        <v>1.0000000000000002</v>
      </c>
      <c r="BA96" s="321" t="str">
        <f t="shared" si="234"/>
        <v/>
      </c>
      <c r="BB96" s="321" t="str">
        <f t="shared" si="234"/>
        <v/>
      </c>
      <c r="BC96" s="321" t="str">
        <f t="shared" si="234"/>
        <v/>
      </c>
      <c r="BD96" s="321">
        <f t="shared" si="234"/>
        <v>1.0000000000000002</v>
      </c>
      <c r="BE96" s="321" t="str">
        <f t="shared" si="234"/>
        <v/>
      </c>
      <c r="BF96" s="321" t="str">
        <f t="shared" si="234"/>
        <v/>
      </c>
      <c r="BG96" s="321" t="str">
        <f t="shared" si="234"/>
        <v/>
      </c>
      <c r="BH96" s="321">
        <f t="shared" si="234"/>
        <v>1.0000000000000002</v>
      </c>
      <c r="BI96" s="321" t="str">
        <f t="shared" si="234"/>
        <v/>
      </c>
      <c r="BJ96" s="321" t="str">
        <f t="shared" si="234"/>
        <v/>
      </c>
      <c r="BK96" s="321" t="str">
        <f t="shared" si="234"/>
        <v/>
      </c>
      <c r="BL96" s="321">
        <f t="shared" si="234"/>
        <v>1.0000000000000002</v>
      </c>
      <c r="BM96" s="321" t="str">
        <f t="shared" si="234"/>
        <v/>
      </c>
      <c r="BN96" s="321" t="str">
        <f t="shared" si="234"/>
        <v/>
      </c>
      <c r="BO96" s="321" t="str">
        <f t="shared" si="234"/>
        <v/>
      </c>
      <c r="BP96" s="321">
        <f t="shared" si="234"/>
        <v>1.0000000000000002</v>
      </c>
      <c r="BQ96" s="321" t="str">
        <f t="shared" si="234"/>
        <v/>
      </c>
      <c r="BR96" s="321" t="str">
        <f t="shared" si="234"/>
        <v/>
      </c>
      <c r="BS96" s="321" t="str">
        <f t="shared" si="234"/>
        <v/>
      </c>
      <c r="BT96" s="321">
        <f t="shared" ref="BT96:CP96" si="235">IF(MOD(BT4-$H$4,28)=0,BT5, "")</f>
        <v>1.0000000000000002</v>
      </c>
      <c r="BU96" s="321" t="str">
        <f t="shared" si="235"/>
        <v/>
      </c>
      <c r="BV96" s="321" t="str">
        <f t="shared" si="235"/>
        <v/>
      </c>
      <c r="BW96" s="321" t="str">
        <f t="shared" si="235"/>
        <v/>
      </c>
      <c r="BX96" s="321">
        <f t="shared" si="235"/>
        <v>1.0000000000000002</v>
      </c>
      <c r="BY96" s="321" t="str">
        <f t="shared" si="235"/>
        <v/>
      </c>
      <c r="BZ96" s="321" t="str">
        <f t="shared" si="235"/>
        <v/>
      </c>
      <c r="CA96" s="321" t="str">
        <f t="shared" si="235"/>
        <v/>
      </c>
      <c r="CB96" s="321">
        <f t="shared" si="235"/>
        <v>1.0000000000000002</v>
      </c>
      <c r="CC96" s="321" t="str">
        <f t="shared" si="235"/>
        <v/>
      </c>
      <c r="CD96" s="321" t="str">
        <f t="shared" si="235"/>
        <v/>
      </c>
      <c r="CE96" s="321" t="str">
        <f t="shared" si="235"/>
        <v/>
      </c>
      <c r="CF96" s="321">
        <f t="shared" si="235"/>
        <v>1.0000000000000002</v>
      </c>
      <c r="CG96" s="321" t="str">
        <f t="shared" si="235"/>
        <v/>
      </c>
      <c r="CH96" s="321" t="str">
        <f t="shared" si="235"/>
        <v/>
      </c>
      <c r="CI96" s="321" t="str">
        <f t="shared" si="235"/>
        <v/>
      </c>
      <c r="CJ96" s="321">
        <f t="shared" si="235"/>
        <v>1.0000000000000002</v>
      </c>
      <c r="CK96" s="321" t="str">
        <f t="shared" si="235"/>
        <v/>
      </c>
      <c r="CL96" s="321" t="str">
        <f t="shared" si="235"/>
        <v/>
      </c>
      <c r="CM96" s="321" t="str">
        <f t="shared" si="235"/>
        <v/>
      </c>
      <c r="CN96" s="321">
        <f t="shared" si="235"/>
        <v>1.0000000000000002</v>
      </c>
      <c r="CO96" s="321" t="str">
        <f t="shared" si="235"/>
        <v/>
      </c>
      <c r="CP96" s="321" t="str">
        <f t="shared" si="235"/>
        <v/>
      </c>
    </row>
    <row r="97" spans="2:94" hidden="1" outlineLevel="1" x14ac:dyDescent="0.4">
      <c r="B97" s="320"/>
      <c r="C97" s="317" t="s">
        <v>459</v>
      </c>
      <c r="D97" s="320"/>
      <c r="E97" s="320"/>
      <c r="F97" s="234"/>
      <c r="G97" s="234"/>
      <c r="H97" s="321">
        <f t="shared" ref="H97:AM97" si="236">IF(MOD(H4-$H$4,14)=0,H6, "")</f>
        <v>0</v>
      </c>
      <c r="I97" s="321" t="str">
        <f t="shared" si="236"/>
        <v/>
      </c>
      <c r="J97" s="321">
        <f t="shared" si="236"/>
        <v>5.5583628044109809E-2</v>
      </c>
      <c r="K97" s="321" t="str">
        <f t="shared" si="236"/>
        <v/>
      </c>
      <c r="L97" s="321">
        <f t="shared" si="236"/>
        <v>0.12881163395070261</v>
      </c>
      <c r="M97" s="321" t="str">
        <f t="shared" si="236"/>
        <v/>
      </c>
      <c r="N97" s="321">
        <f t="shared" si="236"/>
        <v>0.20659949452220083</v>
      </c>
      <c r="O97" s="321" t="str">
        <f t="shared" si="236"/>
        <v/>
      </c>
      <c r="P97" s="321">
        <f t="shared" si="236"/>
        <v>0.27014503226050457</v>
      </c>
      <c r="Q97" s="321" t="str">
        <f t="shared" si="236"/>
        <v/>
      </c>
      <c r="R97" s="321">
        <f t="shared" si="236"/>
        <v>0.36093341502978438</v>
      </c>
      <c r="S97" s="321" t="str">
        <f t="shared" si="236"/>
        <v/>
      </c>
      <c r="T97" s="321">
        <f t="shared" si="236"/>
        <v>0.436878828948916</v>
      </c>
      <c r="U97" s="321" t="str">
        <f t="shared" si="236"/>
        <v/>
      </c>
      <c r="V97" s="321">
        <f t="shared" si="236"/>
        <v>0.49513337463185192</v>
      </c>
      <c r="W97" s="321" t="str">
        <f t="shared" si="236"/>
        <v/>
      </c>
      <c r="X97" s="321">
        <f t="shared" si="236"/>
        <v>0.55184231886872603</v>
      </c>
      <c r="Y97" s="321" t="str">
        <f t="shared" si="236"/>
        <v/>
      </c>
      <c r="Z97" s="321">
        <f t="shared" si="236"/>
        <v>0.62400961016677725</v>
      </c>
      <c r="AA97" s="321" t="str">
        <f t="shared" si="236"/>
        <v/>
      </c>
      <c r="AB97" s="321">
        <f t="shared" si="236"/>
        <v>0.70818341532048223</v>
      </c>
      <c r="AC97" s="321" t="str">
        <f t="shared" si="236"/>
        <v/>
      </c>
      <c r="AD97" s="321">
        <f t="shared" si="236"/>
        <v>0.78557941794615382</v>
      </c>
      <c r="AE97" s="321" t="str">
        <f t="shared" si="236"/>
        <v/>
      </c>
      <c r="AF97" s="321">
        <f t="shared" si="236"/>
        <v>0.84790952598041913</v>
      </c>
      <c r="AG97" s="321" t="str">
        <f t="shared" si="236"/>
        <v/>
      </c>
      <c r="AH97" s="321">
        <f t="shared" si="236"/>
        <v>0.90314151991006808</v>
      </c>
      <c r="AI97" s="321" t="str">
        <f t="shared" si="236"/>
        <v/>
      </c>
      <c r="AJ97" s="321">
        <f t="shared" si="236"/>
        <v>0.96029285060493197</v>
      </c>
      <c r="AK97" s="321" t="str">
        <f t="shared" si="236"/>
        <v/>
      </c>
      <c r="AL97" s="321">
        <f t="shared" si="236"/>
        <v>0.99731197226169488</v>
      </c>
      <c r="AM97" s="321" t="str">
        <f t="shared" si="236"/>
        <v/>
      </c>
      <c r="AN97" s="321">
        <f t="shared" ref="AN97:BS97" si="237">IF(MOD(AN4-$H$4,14)=0,AN6, "")</f>
        <v>1.0000000000000002</v>
      </c>
      <c r="AO97" s="321" t="str">
        <f t="shared" si="237"/>
        <v/>
      </c>
      <c r="AP97" s="321">
        <f t="shared" si="237"/>
        <v>1.0000000000000002</v>
      </c>
      <c r="AQ97" s="321" t="str">
        <f t="shared" si="237"/>
        <v/>
      </c>
      <c r="AR97" s="321">
        <f t="shared" si="237"/>
        <v>1.0000000000000002</v>
      </c>
      <c r="AS97" s="321" t="str">
        <f t="shared" si="237"/>
        <v/>
      </c>
      <c r="AT97" s="321">
        <f t="shared" si="237"/>
        <v>1.0000000000000002</v>
      </c>
      <c r="AU97" s="321" t="str">
        <f t="shared" si="237"/>
        <v/>
      </c>
      <c r="AV97" s="321">
        <f t="shared" si="237"/>
        <v>1.0000000000000002</v>
      </c>
      <c r="AW97" s="321" t="str">
        <f t="shared" si="237"/>
        <v/>
      </c>
      <c r="AX97" s="321">
        <f t="shared" si="237"/>
        <v>1.0000000000000002</v>
      </c>
      <c r="AY97" s="321" t="str">
        <f t="shared" si="237"/>
        <v/>
      </c>
      <c r="AZ97" s="321">
        <f t="shared" si="237"/>
        <v>1.0000000000000002</v>
      </c>
      <c r="BA97" s="321" t="str">
        <f t="shared" si="237"/>
        <v/>
      </c>
      <c r="BB97" s="321">
        <f t="shared" si="237"/>
        <v>1.0000000000000002</v>
      </c>
      <c r="BC97" s="321" t="str">
        <f t="shared" si="237"/>
        <v/>
      </c>
      <c r="BD97" s="321">
        <f t="shared" si="237"/>
        <v>1.0000000000000002</v>
      </c>
      <c r="BE97" s="321" t="str">
        <f t="shared" si="237"/>
        <v/>
      </c>
      <c r="BF97" s="321">
        <f t="shared" si="237"/>
        <v>1.0000000000000002</v>
      </c>
      <c r="BG97" s="321" t="str">
        <f t="shared" si="237"/>
        <v/>
      </c>
      <c r="BH97" s="321">
        <f t="shared" si="237"/>
        <v>1.0000000000000002</v>
      </c>
      <c r="BI97" s="321" t="str">
        <f t="shared" si="237"/>
        <v/>
      </c>
      <c r="BJ97" s="321">
        <f t="shared" si="237"/>
        <v>1.0000000000000002</v>
      </c>
      <c r="BK97" s="321" t="str">
        <f t="shared" si="237"/>
        <v/>
      </c>
      <c r="BL97" s="321">
        <f t="shared" si="237"/>
        <v>1.0000000000000002</v>
      </c>
      <c r="BM97" s="321" t="str">
        <f t="shared" si="237"/>
        <v/>
      </c>
      <c r="BN97" s="321">
        <f t="shared" si="237"/>
        <v>1.0000000000000002</v>
      </c>
      <c r="BO97" s="321" t="str">
        <f t="shared" si="237"/>
        <v/>
      </c>
      <c r="BP97" s="321">
        <f t="shared" si="237"/>
        <v>1.0000000000000002</v>
      </c>
      <c r="BQ97" s="321" t="str">
        <f t="shared" si="237"/>
        <v/>
      </c>
      <c r="BR97" s="321">
        <f t="shared" si="237"/>
        <v>1.0000000000000002</v>
      </c>
      <c r="BS97" s="321" t="str">
        <f t="shared" si="237"/>
        <v/>
      </c>
      <c r="BT97" s="321">
        <f t="shared" ref="BT97:CP97" si="238">IF(MOD(BT4-$H$4,14)=0,BT6, "")</f>
        <v>1.0000000000000002</v>
      </c>
      <c r="BU97" s="321" t="str">
        <f t="shared" si="238"/>
        <v/>
      </c>
      <c r="BV97" s="321">
        <f t="shared" si="238"/>
        <v>1.0000000000000002</v>
      </c>
      <c r="BW97" s="321" t="str">
        <f t="shared" si="238"/>
        <v/>
      </c>
      <c r="BX97" s="321">
        <f t="shared" si="238"/>
        <v>1.0000000000000002</v>
      </c>
      <c r="BY97" s="321" t="str">
        <f t="shared" si="238"/>
        <v/>
      </c>
      <c r="BZ97" s="321">
        <f t="shared" si="238"/>
        <v>1.0000000000000002</v>
      </c>
      <c r="CA97" s="321" t="str">
        <f t="shared" si="238"/>
        <v/>
      </c>
      <c r="CB97" s="321">
        <f t="shared" si="238"/>
        <v>1.0000000000000002</v>
      </c>
      <c r="CC97" s="321" t="str">
        <f t="shared" si="238"/>
        <v/>
      </c>
      <c r="CD97" s="321">
        <f t="shared" si="238"/>
        <v>1.0000000000000002</v>
      </c>
      <c r="CE97" s="321" t="str">
        <f t="shared" si="238"/>
        <v/>
      </c>
      <c r="CF97" s="321">
        <f t="shared" si="238"/>
        <v>1.0000000000000002</v>
      </c>
      <c r="CG97" s="321" t="str">
        <f t="shared" si="238"/>
        <v/>
      </c>
      <c r="CH97" s="321">
        <f t="shared" si="238"/>
        <v>1.0000000000000002</v>
      </c>
      <c r="CI97" s="321" t="str">
        <f t="shared" si="238"/>
        <v/>
      </c>
      <c r="CJ97" s="321">
        <f t="shared" si="238"/>
        <v>1.0000000000000002</v>
      </c>
      <c r="CK97" s="321" t="str">
        <f t="shared" si="238"/>
        <v/>
      </c>
      <c r="CL97" s="321">
        <f t="shared" si="238"/>
        <v>1.0000000000000002</v>
      </c>
      <c r="CM97" s="321" t="str">
        <f t="shared" si="238"/>
        <v/>
      </c>
      <c r="CN97" s="321">
        <f t="shared" si="238"/>
        <v>1.0000000000000002</v>
      </c>
      <c r="CO97" s="321" t="str">
        <f t="shared" si="238"/>
        <v/>
      </c>
      <c r="CP97" s="321">
        <f t="shared" si="238"/>
        <v>1.0000000000000002</v>
      </c>
    </row>
    <row r="98" spans="2:94" hidden="1" outlineLevel="1" x14ac:dyDescent="0.4">
      <c r="B98" s="320"/>
      <c r="C98" s="317" t="s">
        <v>470</v>
      </c>
      <c r="D98" s="320"/>
      <c r="E98" s="320"/>
      <c r="F98" s="234"/>
      <c r="G98" s="234"/>
      <c r="H98" s="321">
        <f t="shared" ref="H98:AM98" si="239">IF(MOD(H4-$H$4,28)=0,H6, "")</f>
        <v>0</v>
      </c>
      <c r="I98" s="321" t="str">
        <f t="shared" si="239"/>
        <v/>
      </c>
      <c r="J98" s="321" t="str">
        <f t="shared" si="239"/>
        <v/>
      </c>
      <c r="K98" s="321" t="str">
        <f t="shared" si="239"/>
        <v/>
      </c>
      <c r="L98" s="321">
        <f t="shared" si="239"/>
        <v>0.12881163395070261</v>
      </c>
      <c r="M98" s="321" t="str">
        <f t="shared" si="239"/>
        <v/>
      </c>
      <c r="N98" s="321" t="str">
        <f t="shared" si="239"/>
        <v/>
      </c>
      <c r="O98" s="321" t="str">
        <f t="shared" si="239"/>
        <v/>
      </c>
      <c r="P98" s="321">
        <f t="shared" si="239"/>
        <v>0.27014503226050457</v>
      </c>
      <c r="Q98" s="321" t="str">
        <f t="shared" si="239"/>
        <v/>
      </c>
      <c r="R98" s="321" t="str">
        <f t="shared" si="239"/>
        <v/>
      </c>
      <c r="S98" s="321" t="str">
        <f t="shared" si="239"/>
        <v/>
      </c>
      <c r="T98" s="321">
        <f t="shared" si="239"/>
        <v>0.436878828948916</v>
      </c>
      <c r="U98" s="321" t="str">
        <f t="shared" si="239"/>
        <v/>
      </c>
      <c r="V98" s="321" t="str">
        <f t="shared" si="239"/>
        <v/>
      </c>
      <c r="W98" s="321" t="str">
        <f t="shared" si="239"/>
        <v/>
      </c>
      <c r="X98" s="321">
        <f t="shared" si="239"/>
        <v>0.55184231886872603</v>
      </c>
      <c r="Y98" s="321" t="str">
        <f t="shared" si="239"/>
        <v/>
      </c>
      <c r="Z98" s="321" t="str">
        <f t="shared" si="239"/>
        <v/>
      </c>
      <c r="AA98" s="321" t="str">
        <f t="shared" si="239"/>
        <v/>
      </c>
      <c r="AB98" s="321">
        <f t="shared" si="239"/>
        <v>0.70818341532048223</v>
      </c>
      <c r="AC98" s="321" t="str">
        <f t="shared" si="239"/>
        <v/>
      </c>
      <c r="AD98" s="321" t="str">
        <f t="shared" si="239"/>
        <v/>
      </c>
      <c r="AE98" s="321" t="str">
        <f t="shared" si="239"/>
        <v/>
      </c>
      <c r="AF98" s="321">
        <f t="shared" si="239"/>
        <v>0.84790952598041913</v>
      </c>
      <c r="AG98" s="321" t="str">
        <f t="shared" si="239"/>
        <v/>
      </c>
      <c r="AH98" s="321" t="str">
        <f t="shared" si="239"/>
        <v/>
      </c>
      <c r="AI98" s="321" t="str">
        <f t="shared" si="239"/>
        <v/>
      </c>
      <c r="AJ98" s="321">
        <f t="shared" si="239"/>
        <v>0.96029285060493197</v>
      </c>
      <c r="AK98" s="321" t="str">
        <f t="shared" si="239"/>
        <v/>
      </c>
      <c r="AL98" s="321" t="str">
        <f t="shared" si="239"/>
        <v/>
      </c>
      <c r="AM98" s="321" t="str">
        <f t="shared" si="239"/>
        <v/>
      </c>
      <c r="AN98" s="321">
        <f t="shared" ref="AN98:BS98" si="240">IF(MOD(AN4-$H$4,28)=0,AN6, "")</f>
        <v>1.0000000000000002</v>
      </c>
      <c r="AO98" s="321" t="str">
        <f t="shared" si="240"/>
        <v/>
      </c>
      <c r="AP98" s="321" t="str">
        <f t="shared" si="240"/>
        <v/>
      </c>
      <c r="AQ98" s="321" t="str">
        <f t="shared" si="240"/>
        <v/>
      </c>
      <c r="AR98" s="321">
        <f t="shared" si="240"/>
        <v>1.0000000000000002</v>
      </c>
      <c r="AS98" s="321" t="str">
        <f t="shared" si="240"/>
        <v/>
      </c>
      <c r="AT98" s="321" t="str">
        <f t="shared" si="240"/>
        <v/>
      </c>
      <c r="AU98" s="321" t="str">
        <f t="shared" si="240"/>
        <v/>
      </c>
      <c r="AV98" s="321">
        <f t="shared" si="240"/>
        <v>1.0000000000000002</v>
      </c>
      <c r="AW98" s="321" t="str">
        <f t="shared" si="240"/>
        <v/>
      </c>
      <c r="AX98" s="321" t="str">
        <f t="shared" si="240"/>
        <v/>
      </c>
      <c r="AY98" s="321" t="str">
        <f t="shared" si="240"/>
        <v/>
      </c>
      <c r="AZ98" s="321">
        <f t="shared" si="240"/>
        <v>1.0000000000000002</v>
      </c>
      <c r="BA98" s="321" t="str">
        <f t="shared" si="240"/>
        <v/>
      </c>
      <c r="BB98" s="321" t="str">
        <f t="shared" si="240"/>
        <v/>
      </c>
      <c r="BC98" s="321" t="str">
        <f t="shared" si="240"/>
        <v/>
      </c>
      <c r="BD98" s="321">
        <f t="shared" si="240"/>
        <v>1.0000000000000002</v>
      </c>
      <c r="BE98" s="321" t="str">
        <f t="shared" si="240"/>
        <v/>
      </c>
      <c r="BF98" s="321" t="str">
        <f t="shared" si="240"/>
        <v/>
      </c>
      <c r="BG98" s="321" t="str">
        <f t="shared" si="240"/>
        <v/>
      </c>
      <c r="BH98" s="321">
        <f t="shared" si="240"/>
        <v>1.0000000000000002</v>
      </c>
      <c r="BI98" s="321" t="str">
        <f t="shared" si="240"/>
        <v/>
      </c>
      <c r="BJ98" s="321" t="str">
        <f t="shared" si="240"/>
        <v/>
      </c>
      <c r="BK98" s="321" t="str">
        <f t="shared" si="240"/>
        <v/>
      </c>
      <c r="BL98" s="321">
        <f t="shared" si="240"/>
        <v>1.0000000000000002</v>
      </c>
      <c r="BM98" s="321" t="str">
        <f t="shared" si="240"/>
        <v/>
      </c>
      <c r="BN98" s="321" t="str">
        <f t="shared" si="240"/>
        <v/>
      </c>
      <c r="BO98" s="321" t="str">
        <f t="shared" si="240"/>
        <v/>
      </c>
      <c r="BP98" s="321">
        <f t="shared" si="240"/>
        <v>1.0000000000000002</v>
      </c>
      <c r="BQ98" s="321" t="str">
        <f t="shared" si="240"/>
        <v/>
      </c>
      <c r="BR98" s="321" t="str">
        <f t="shared" si="240"/>
        <v/>
      </c>
      <c r="BS98" s="321" t="str">
        <f t="shared" si="240"/>
        <v/>
      </c>
      <c r="BT98" s="321">
        <f t="shared" ref="BT98:CP98" si="241">IF(MOD(BT4-$H$4,28)=0,BT6, "")</f>
        <v>1.0000000000000002</v>
      </c>
      <c r="BU98" s="321" t="str">
        <f t="shared" si="241"/>
        <v/>
      </c>
      <c r="BV98" s="321" t="str">
        <f t="shared" si="241"/>
        <v/>
      </c>
      <c r="BW98" s="321" t="str">
        <f t="shared" si="241"/>
        <v/>
      </c>
      <c r="BX98" s="321">
        <f t="shared" si="241"/>
        <v>1.0000000000000002</v>
      </c>
      <c r="BY98" s="321" t="str">
        <f t="shared" si="241"/>
        <v/>
      </c>
      <c r="BZ98" s="321" t="str">
        <f t="shared" si="241"/>
        <v/>
      </c>
      <c r="CA98" s="321" t="str">
        <f t="shared" si="241"/>
        <v/>
      </c>
      <c r="CB98" s="321">
        <f t="shared" si="241"/>
        <v>1.0000000000000002</v>
      </c>
      <c r="CC98" s="321" t="str">
        <f t="shared" si="241"/>
        <v/>
      </c>
      <c r="CD98" s="321" t="str">
        <f t="shared" si="241"/>
        <v/>
      </c>
      <c r="CE98" s="321" t="str">
        <f t="shared" si="241"/>
        <v/>
      </c>
      <c r="CF98" s="321">
        <f t="shared" si="241"/>
        <v>1.0000000000000002</v>
      </c>
      <c r="CG98" s="321" t="str">
        <f t="shared" si="241"/>
        <v/>
      </c>
      <c r="CH98" s="321" t="str">
        <f t="shared" si="241"/>
        <v/>
      </c>
      <c r="CI98" s="321" t="str">
        <f t="shared" si="241"/>
        <v/>
      </c>
      <c r="CJ98" s="321">
        <f t="shared" si="241"/>
        <v>1.0000000000000002</v>
      </c>
      <c r="CK98" s="321" t="str">
        <f t="shared" si="241"/>
        <v/>
      </c>
      <c r="CL98" s="321" t="str">
        <f t="shared" si="241"/>
        <v/>
      </c>
      <c r="CM98" s="321" t="str">
        <f t="shared" si="241"/>
        <v/>
      </c>
      <c r="CN98" s="321">
        <f t="shared" si="241"/>
        <v>1.0000000000000002</v>
      </c>
      <c r="CO98" s="321" t="str">
        <f t="shared" si="241"/>
        <v/>
      </c>
      <c r="CP98" s="321" t="str">
        <f t="shared" si="241"/>
        <v/>
      </c>
    </row>
    <row r="99" spans="2:94" hidden="1" outlineLevel="1" x14ac:dyDescent="0.4">
      <c r="B99" s="320"/>
      <c r="C99" s="317" t="s">
        <v>472</v>
      </c>
      <c r="D99" s="320"/>
      <c r="E99" s="320"/>
      <c r="F99" s="234"/>
      <c r="G99" s="234"/>
      <c r="H99" s="321">
        <f t="shared" ref="H99:AM99" si="242">IF(MOD(H4-$H$4,14)=0,H45, "")</f>
        <v>0</v>
      </c>
      <c r="I99" s="321" t="str">
        <f t="shared" si="242"/>
        <v/>
      </c>
      <c r="J99" s="321">
        <f t="shared" si="242"/>
        <v>2.0448572053939334E-2</v>
      </c>
      <c r="K99" s="321" t="str">
        <f t="shared" si="242"/>
        <v/>
      </c>
      <c r="L99" s="321">
        <f t="shared" si="242"/>
        <v>4.8427960700143366E-2</v>
      </c>
      <c r="M99" s="321" t="str">
        <f t="shared" si="242"/>
        <v/>
      </c>
      <c r="N99" s="321">
        <f t="shared" si="242"/>
        <v>7.9882434764616567E-2</v>
      </c>
      <c r="O99" s="321" t="str">
        <f t="shared" si="242"/>
        <v/>
      </c>
      <c r="P99" s="321">
        <f t="shared" si="242"/>
        <v>0.1113369088290898</v>
      </c>
      <c r="Q99" s="321" t="str">
        <f t="shared" si="242"/>
        <v/>
      </c>
      <c r="R99" s="321">
        <f t="shared" si="242"/>
        <v>0.13893467479182178</v>
      </c>
      <c r="S99" s="321" t="str">
        <f t="shared" si="242"/>
        <v/>
      </c>
      <c r="T99" s="321">
        <f t="shared" si="242"/>
        <v>0.16261346491353112</v>
      </c>
      <c r="U99" s="321" t="str">
        <f t="shared" si="242"/>
        <v/>
      </c>
      <c r="V99" s="321">
        <f t="shared" si="242"/>
        <v>0.18775165517464812</v>
      </c>
      <c r="W99" s="321" t="str">
        <f t="shared" si="242"/>
        <v/>
      </c>
      <c r="X99" s="321">
        <f t="shared" si="242"/>
        <v>0.23541020686364214</v>
      </c>
      <c r="Y99" s="321" t="str">
        <f t="shared" si="242"/>
        <v/>
      </c>
      <c r="Z99" s="321">
        <f t="shared" si="242"/>
        <v>0.28447312343283143</v>
      </c>
      <c r="AA99" s="321" t="str">
        <f t="shared" si="242"/>
        <v/>
      </c>
      <c r="AB99" s="321">
        <f t="shared" si="242"/>
        <v>0.36168742264544707</v>
      </c>
      <c r="AC99" s="321" t="str">
        <f t="shared" si="242"/>
        <v/>
      </c>
      <c r="AD99" s="321">
        <f t="shared" si="242"/>
        <v>0.44727990660254979</v>
      </c>
      <c r="AE99" s="321" t="str">
        <f t="shared" si="242"/>
        <v/>
      </c>
      <c r="AF99" s="321">
        <f t="shared" si="242"/>
        <v>0.58070105198653199</v>
      </c>
      <c r="AG99" s="321" t="str">
        <f t="shared" si="242"/>
        <v/>
      </c>
      <c r="AH99" s="321">
        <f t="shared" si="242"/>
        <v>0.7356946605739203</v>
      </c>
      <c r="AI99" s="321" t="str">
        <f t="shared" si="242"/>
        <v/>
      </c>
      <c r="AJ99" s="321">
        <f t="shared" si="242"/>
        <v>0.84489949353974603</v>
      </c>
      <c r="AK99" s="321" t="str">
        <f t="shared" si="242"/>
        <v/>
      </c>
      <c r="AL99" s="321">
        <f t="shared" si="242"/>
        <v>0.91207406040096894</v>
      </c>
      <c r="AM99" s="321" t="str">
        <f t="shared" si="242"/>
        <v/>
      </c>
      <c r="AN99" s="321">
        <f t="shared" ref="AN99:BS99" si="243">IF(MOD(AN4-$H$4,14)=0,AN45, "")</f>
        <v>0.95767739595717871</v>
      </c>
      <c r="AO99" s="321" t="str">
        <f t="shared" si="243"/>
        <v/>
      </c>
      <c r="AP99" s="321">
        <f t="shared" si="243"/>
        <v>1</v>
      </c>
      <c r="AQ99" s="321" t="str">
        <f t="shared" si="243"/>
        <v/>
      </c>
      <c r="AR99" s="321">
        <f t="shared" si="243"/>
        <v>1</v>
      </c>
      <c r="AS99" s="321" t="str">
        <f t="shared" si="243"/>
        <v/>
      </c>
      <c r="AT99" s="321">
        <f t="shared" si="243"/>
        <v>1</v>
      </c>
      <c r="AU99" s="321" t="str">
        <f t="shared" si="243"/>
        <v/>
      </c>
      <c r="AV99" s="321">
        <f t="shared" si="243"/>
        <v>1</v>
      </c>
      <c r="AW99" s="321" t="str">
        <f t="shared" si="243"/>
        <v/>
      </c>
      <c r="AX99" s="321">
        <f t="shared" si="243"/>
        <v>1</v>
      </c>
      <c r="AY99" s="321" t="str">
        <f t="shared" si="243"/>
        <v/>
      </c>
      <c r="AZ99" s="321">
        <f t="shared" si="243"/>
        <v>1</v>
      </c>
      <c r="BA99" s="321" t="str">
        <f t="shared" si="243"/>
        <v/>
      </c>
      <c r="BB99" s="321">
        <f t="shared" si="243"/>
        <v>1</v>
      </c>
      <c r="BC99" s="321" t="str">
        <f t="shared" si="243"/>
        <v/>
      </c>
      <c r="BD99" s="321">
        <f t="shared" si="243"/>
        <v>1</v>
      </c>
      <c r="BE99" s="321" t="str">
        <f t="shared" si="243"/>
        <v/>
      </c>
      <c r="BF99" s="321">
        <f t="shared" si="243"/>
        <v>1</v>
      </c>
      <c r="BG99" s="321" t="str">
        <f t="shared" si="243"/>
        <v/>
      </c>
      <c r="BH99" s="321">
        <f t="shared" si="243"/>
        <v>1</v>
      </c>
      <c r="BI99" s="321" t="str">
        <f t="shared" si="243"/>
        <v/>
      </c>
      <c r="BJ99" s="321">
        <f t="shared" si="243"/>
        <v>1</v>
      </c>
      <c r="BK99" s="321" t="str">
        <f t="shared" si="243"/>
        <v/>
      </c>
      <c r="BL99" s="321">
        <f t="shared" si="243"/>
        <v>1</v>
      </c>
      <c r="BM99" s="321" t="str">
        <f t="shared" si="243"/>
        <v/>
      </c>
      <c r="BN99" s="321">
        <f t="shared" si="243"/>
        <v>1</v>
      </c>
      <c r="BO99" s="321" t="str">
        <f t="shared" si="243"/>
        <v/>
      </c>
      <c r="BP99" s="321">
        <f t="shared" si="243"/>
        <v>1</v>
      </c>
      <c r="BQ99" s="321" t="str">
        <f t="shared" si="243"/>
        <v/>
      </c>
      <c r="BR99" s="321">
        <f t="shared" si="243"/>
        <v>1</v>
      </c>
      <c r="BS99" s="321" t="str">
        <f t="shared" si="243"/>
        <v/>
      </c>
      <c r="BT99" s="321">
        <f t="shared" ref="BT99:CP99" si="244">IF(MOD(BT4-$H$4,14)=0,BT45, "")</f>
        <v>1</v>
      </c>
      <c r="BU99" s="321" t="str">
        <f t="shared" si="244"/>
        <v/>
      </c>
      <c r="BV99" s="321">
        <f t="shared" si="244"/>
        <v>1</v>
      </c>
      <c r="BW99" s="321" t="str">
        <f t="shared" si="244"/>
        <v/>
      </c>
      <c r="BX99" s="321">
        <f t="shared" si="244"/>
        <v>1</v>
      </c>
      <c r="BY99" s="321" t="str">
        <f t="shared" si="244"/>
        <v/>
      </c>
      <c r="BZ99" s="321">
        <f t="shared" si="244"/>
        <v>1</v>
      </c>
      <c r="CA99" s="321" t="str">
        <f t="shared" si="244"/>
        <v/>
      </c>
      <c r="CB99" s="321">
        <f t="shared" si="244"/>
        <v>1</v>
      </c>
      <c r="CC99" s="321" t="str">
        <f t="shared" si="244"/>
        <v/>
      </c>
      <c r="CD99" s="321">
        <f t="shared" si="244"/>
        <v>1</v>
      </c>
      <c r="CE99" s="321" t="str">
        <f t="shared" si="244"/>
        <v/>
      </c>
      <c r="CF99" s="321">
        <f t="shared" si="244"/>
        <v>1</v>
      </c>
      <c r="CG99" s="321" t="str">
        <f t="shared" si="244"/>
        <v/>
      </c>
      <c r="CH99" s="321">
        <f t="shared" si="244"/>
        <v>1</v>
      </c>
      <c r="CI99" s="321" t="str">
        <f t="shared" si="244"/>
        <v/>
      </c>
      <c r="CJ99" s="321">
        <f t="shared" si="244"/>
        <v>1</v>
      </c>
      <c r="CK99" s="321" t="str">
        <f t="shared" si="244"/>
        <v/>
      </c>
      <c r="CL99" s="321">
        <f t="shared" si="244"/>
        <v>1</v>
      </c>
      <c r="CM99" s="321" t="str">
        <f t="shared" si="244"/>
        <v/>
      </c>
      <c r="CN99" s="321">
        <f t="shared" si="244"/>
        <v>1</v>
      </c>
      <c r="CO99" s="321" t="str">
        <f t="shared" si="244"/>
        <v/>
      </c>
      <c r="CP99" s="321">
        <f t="shared" si="244"/>
        <v>1</v>
      </c>
    </row>
    <row r="100" spans="2:94" hidden="1" outlineLevel="1" x14ac:dyDescent="0.4">
      <c r="B100" s="320"/>
      <c r="C100" s="317" t="s">
        <v>471</v>
      </c>
      <c r="D100" s="320"/>
      <c r="E100" s="320"/>
      <c r="F100" s="234"/>
      <c r="G100" s="234"/>
      <c r="H100" s="321">
        <f t="shared" ref="H100:AM100" si="245">IF(MOD(H4-$H$4,28)=0,H45, "")</f>
        <v>0</v>
      </c>
      <c r="I100" s="321" t="str">
        <f t="shared" si="245"/>
        <v/>
      </c>
      <c r="J100" s="321" t="str">
        <f t="shared" si="245"/>
        <v/>
      </c>
      <c r="K100" s="321" t="str">
        <f t="shared" si="245"/>
        <v/>
      </c>
      <c r="L100" s="321">
        <f t="shared" si="245"/>
        <v>4.8427960700143366E-2</v>
      </c>
      <c r="M100" s="321" t="str">
        <f t="shared" si="245"/>
        <v/>
      </c>
      <c r="N100" s="321" t="str">
        <f t="shared" si="245"/>
        <v/>
      </c>
      <c r="O100" s="321" t="str">
        <f t="shared" si="245"/>
        <v/>
      </c>
      <c r="P100" s="321">
        <f t="shared" si="245"/>
        <v>0.1113369088290898</v>
      </c>
      <c r="Q100" s="321" t="str">
        <f t="shared" si="245"/>
        <v/>
      </c>
      <c r="R100" s="321" t="str">
        <f t="shared" si="245"/>
        <v/>
      </c>
      <c r="S100" s="321" t="str">
        <f t="shared" si="245"/>
        <v/>
      </c>
      <c r="T100" s="321">
        <f t="shared" si="245"/>
        <v>0.16261346491353112</v>
      </c>
      <c r="U100" s="321" t="str">
        <f t="shared" si="245"/>
        <v/>
      </c>
      <c r="V100" s="321" t="str">
        <f t="shared" si="245"/>
        <v/>
      </c>
      <c r="W100" s="321" t="str">
        <f t="shared" si="245"/>
        <v/>
      </c>
      <c r="X100" s="321">
        <f t="shared" si="245"/>
        <v>0.23541020686364214</v>
      </c>
      <c r="Y100" s="321" t="str">
        <f t="shared" si="245"/>
        <v/>
      </c>
      <c r="Z100" s="321" t="str">
        <f t="shared" si="245"/>
        <v/>
      </c>
      <c r="AA100" s="321" t="str">
        <f t="shared" si="245"/>
        <v/>
      </c>
      <c r="AB100" s="321">
        <f t="shared" si="245"/>
        <v>0.36168742264544707</v>
      </c>
      <c r="AC100" s="321" t="str">
        <f t="shared" si="245"/>
        <v/>
      </c>
      <c r="AD100" s="321" t="str">
        <f t="shared" si="245"/>
        <v/>
      </c>
      <c r="AE100" s="321" t="str">
        <f t="shared" si="245"/>
        <v/>
      </c>
      <c r="AF100" s="321">
        <f t="shared" si="245"/>
        <v>0.58070105198653199</v>
      </c>
      <c r="AG100" s="321" t="str">
        <f t="shared" si="245"/>
        <v/>
      </c>
      <c r="AH100" s="321" t="str">
        <f t="shared" si="245"/>
        <v/>
      </c>
      <c r="AI100" s="321" t="str">
        <f t="shared" si="245"/>
        <v/>
      </c>
      <c r="AJ100" s="321">
        <f t="shared" si="245"/>
        <v>0.84489949353974603</v>
      </c>
      <c r="AK100" s="321" t="str">
        <f t="shared" si="245"/>
        <v/>
      </c>
      <c r="AL100" s="321" t="str">
        <f t="shared" si="245"/>
        <v/>
      </c>
      <c r="AM100" s="321" t="str">
        <f t="shared" si="245"/>
        <v/>
      </c>
      <c r="AN100" s="321">
        <f t="shared" ref="AN100:BS100" si="246">IF(MOD(AN4-$H$4,28)=0,AN45, "")</f>
        <v>0.95767739595717871</v>
      </c>
      <c r="AO100" s="321" t="str">
        <f t="shared" si="246"/>
        <v/>
      </c>
      <c r="AP100" s="321" t="str">
        <f t="shared" si="246"/>
        <v/>
      </c>
      <c r="AQ100" s="321" t="str">
        <f t="shared" si="246"/>
        <v/>
      </c>
      <c r="AR100" s="321">
        <f t="shared" si="246"/>
        <v>1</v>
      </c>
      <c r="AS100" s="321" t="str">
        <f t="shared" si="246"/>
        <v/>
      </c>
      <c r="AT100" s="321" t="str">
        <f t="shared" si="246"/>
        <v/>
      </c>
      <c r="AU100" s="321" t="str">
        <f t="shared" si="246"/>
        <v/>
      </c>
      <c r="AV100" s="321">
        <f t="shared" si="246"/>
        <v>1</v>
      </c>
      <c r="AW100" s="321" t="str">
        <f t="shared" si="246"/>
        <v/>
      </c>
      <c r="AX100" s="321" t="str">
        <f t="shared" si="246"/>
        <v/>
      </c>
      <c r="AY100" s="321" t="str">
        <f t="shared" si="246"/>
        <v/>
      </c>
      <c r="AZ100" s="321">
        <f t="shared" si="246"/>
        <v>1</v>
      </c>
      <c r="BA100" s="321" t="str">
        <f t="shared" si="246"/>
        <v/>
      </c>
      <c r="BB100" s="321" t="str">
        <f t="shared" si="246"/>
        <v/>
      </c>
      <c r="BC100" s="321" t="str">
        <f t="shared" si="246"/>
        <v/>
      </c>
      <c r="BD100" s="321">
        <f t="shared" si="246"/>
        <v>1</v>
      </c>
      <c r="BE100" s="321" t="str">
        <f t="shared" si="246"/>
        <v/>
      </c>
      <c r="BF100" s="321" t="str">
        <f t="shared" si="246"/>
        <v/>
      </c>
      <c r="BG100" s="321" t="str">
        <f t="shared" si="246"/>
        <v/>
      </c>
      <c r="BH100" s="321">
        <f t="shared" si="246"/>
        <v>1</v>
      </c>
      <c r="BI100" s="321" t="str">
        <f t="shared" si="246"/>
        <v/>
      </c>
      <c r="BJ100" s="321" t="str">
        <f t="shared" si="246"/>
        <v/>
      </c>
      <c r="BK100" s="321" t="str">
        <f t="shared" si="246"/>
        <v/>
      </c>
      <c r="BL100" s="321">
        <f t="shared" si="246"/>
        <v>1</v>
      </c>
      <c r="BM100" s="321" t="str">
        <f t="shared" si="246"/>
        <v/>
      </c>
      <c r="BN100" s="321" t="str">
        <f t="shared" si="246"/>
        <v/>
      </c>
      <c r="BO100" s="321" t="str">
        <f t="shared" si="246"/>
        <v/>
      </c>
      <c r="BP100" s="321">
        <f t="shared" si="246"/>
        <v>1</v>
      </c>
      <c r="BQ100" s="321" t="str">
        <f t="shared" si="246"/>
        <v/>
      </c>
      <c r="BR100" s="321" t="str">
        <f t="shared" si="246"/>
        <v/>
      </c>
      <c r="BS100" s="321" t="str">
        <f t="shared" si="246"/>
        <v/>
      </c>
      <c r="BT100" s="321">
        <f t="shared" ref="BT100:CP100" si="247">IF(MOD(BT4-$H$4,28)=0,BT45, "")</f>
        <v>1</v>
      </c>
      <c r="BU100" s="321" t="str">
        <f t="shared" si="247"/>
        <v/>
      </c>
      <c r="BV100" s="321" t="str">
        <f t="shared" si="247"/>
        <v/>
      </c>
      <c r="BW100" s="321" t="str">
        <f t="shared" si="247"/>
        <v/>
      </c>
      <c r="BX100" s="321">
        <f t="shared" si="247"/>
        <v>1</v>
      </c>
      <c r="BY100" s="321" t="str">
        <f t="shared" si="247"/>
        <v/>
      </c>
      <c r="BZ100" s="321" t="str">
        <f t="shared" si="247"/>
        <v/>
      </c>
      <c r="CA100" s="321" t="str">
        <f t="shared" si="247"/>
        <v/>
      </c>
      <c r="CB100" s="321">
        <f t="shared" si="247"/>
        <v>1</v>
      </c>
      <c r="CC100" s="321" t="str">
        <f t="shared" si="247"/>
        <v/>
      </c>
      <c r="CD100" s="321" t="str">
        <f t="shared" si="247"/>
        <v/>
      </c>
      <c r="CE100" s="321" t="str">
        <f t="shared" si="247"/>
        <v/>
      </c>
      <c r="CF100" s="321">
        <f t="shared" si="247"/>
        <v>1</v>
      </c>
      <c r="CG100" s="321" t="str">
        <f t="shared" si="247"/>
        <v/>
      </c>
      <c r="CH100" s="321" t="str">
        <f t="shared" si="247"/>
        <v/>
      </c>
      <c r="CI100" s="321" t="str">
        <f t="shared" si="247"/>
        <v/>
      </c>
      <c r="CJ100" s="321">
        <f t="shared" si="247"/>
        <v>1</v>
      </c>
      <c r="CK100" s="321" t="str">
        <f t="shared" si="247"/>
        <v/>
      </c>
      <c r="CL100" s="321" t="str">
        <f t="shared" si="247"/>
        <v/>
      </c>
      <c r="CM100" s="321" t="str">
        <f t="shared" si="247"/>
        <v/>
      </c>
      <c r="CN100" s="321">
        <f t="shared" si="247"/>
        <v>1</v>
      </c>
      <c r="CO100" s="321" t="str">
        <f t="shared" si="247"/>
        <v/>
      </c>
      <c r="CP100" s="321" t="str">
        <f t="shared" si="247"/>
        <v/>
      </c>
    </row>
  </sheetData>
  <mergeCells count="1">
    <mergeCell ref="AO2:AP2"/>
  </mergeCells>
  <phoneticPr fontId="19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0695-70E2-4ED5-8820-187A05590DF0}">
  <sheetPr>
    <tabColor theme="9" tint="0.79998168889431442"/>
    <outlinePr summaryBelow="0"/>
    <pageSetUpPr fitToPage="1"/>
  </sheetPr>
  <dimension ref="A2:R189"/>
  <sheetViews>
    <sheetView showGridLines="0" topLeftCell="A3" zoomScale="60" zoomScaleNormal="60" workbookViewId="0">
      <selection activeCell="E103" sqref="E103"/>
    </sheetView>
  </sheetViews>
  <sheetFormatPr baseColWidth="10" defaultColWidth="11.5546875" defaultRowHeight="24.6" outlineLevelRow="2" x14ac:dyDescent="0.4"/>
  <cols>
    <col min="1" max="1" width="2.6640625" style="67" customWidth="1"/>
    <col min="2" max="4" width="5.44140625" style="67" customWidth="1"/>
    <col min="5" max="5" width="109" style="67" customWidth="1"/>
    <col min="6" max="6" width="17.33203125" style="97" customWidth="1"/>
    <col min="7" max="7" width="15.33203125" style="68" hidden="1" customWidth="1"/>
    <col min="8" max="8" width="123.33203125" style="67" hidden="1" customWidth="1"/>
    <col min="9" max="17" width="17.33203125" style="215" customWidth="1"/>
    <col min="18" max="18" width="19" style="215" customWidth="1"/>
    <col min="19" max="16384" width="11.5546875" style="67"/>
  </cols>
  <sheetData>
    <row r="2" spans="1:18" ht="29.4" customHeight="1" x14ac:dyDescent="0.4">
      <c r="A2" s="459" t="s">
        <v>233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</row>
    <row r="4" spans="1:18" ht="21" x14ac:dyDescent="0.4">
      <c r="B4" s="183"/>
      <c r="C4" s="183"/>
      <c r="D4" s="183"/>
      <c r="E4" s="183"/>
      <c r="F4" s="465" t="s">
        <v>223</v>
      </c>
      <c r="G4" s="184"/>
      <c r="H4" s="185"/>
      <c r="I4" s="462" t="s">
        <v>231</v>
      </c>
      <c r="J4" s="463"/>
      <c r="K4" s="464"/>
      <c r="L4" s="462" t="s">
        <v>230</v>
      </c>
      <c r="M4" s="463"/>
      <c r="N4" s="464"/>
      <c r="O4" s="462" t="s">
        <v>229</v>
      </c>
      <c r="P4" s="463"/>
      <c r="Q4" s="464"/>
      <c r="R4" s="460" t="s">
        <v>228</v>
      </c>
    </row>
    <row r="5" spans="1:18" ht="21" x14ac:dyDescent="0.4">
      <c r="B5" s="183"/>
      <c r="C5" s="183"/>
      <c r="D5" s="183"/>
      <c r="E5" s="183"/>
      <c r="F5" s="466"/>
      <c r="G5" s="186" t="s">
        <v>224</v>
      </c>
      <c r="H5" s="187"/>
      <c r="I5" s="219" t="s">
        <v>225</v>
      </c>
      <c r="J5" s="220" t="s">
        <v>226</v>
      </c>
      <c r="K5" s="221" t="s">
        <v>227</v>
      </c>
      <c r="L5" s="219" t="s">
        <v>225</v>
      </c>
      <c r="M5" s="220" t="s">
        <v>226</v>
      </c>
      <c r="N5" s="221" t="s">
        <v>227</v>
      </c>
      <c r="O5" s="219" t="s">
        <v>225</v>
      </c>
      <c r="P5" s="220" t="s">
        <v>226</v>
      </c>
      <c r="Q5" s="221" t="s">
        <v>227</v>
      </c>
      <c r="R5" s="461"/>
    </row>
    <row r="6" spans="1:18" ht="21" hidden="1" x14ac:dyDescent="0.4">
      <c r="B6" s="188" t="s">
        <v>0</v>
      </c>
      <c r="C6" s="189" t="s">
        <v>1</v>
      </c>
      <c r="D6" s="189" t="s">
        <v>2</v>
      </c>
      <c r="E6" s="189" t="s">
        <v>3</v>
      </c>
      <c r="F6" s="190" t="s">
        <v>191</v>
      </c>
      <c r="G6" s="191" t="s">
        <v>192</v>
      </c>
      <c r="H6" s="377" t="s">
        <v>331</v>
      </c>
      <c r="I6" s="378" t="s">
        <v>214</v>
      </c>
      <c r="J6" s="379" t="s">
        <v>213</v>
      </c>
      <c r="K6" s="380" t="s">
        <v>215</v>
      </c>
      <c r="L6" s="379" t="s">
        <v>216</v>
      </c>
      <c r="M6" s="379" t="s">
        <v>217</v>
      </c>
      <c r="N6" s="380" t="s">
        <v>218</v>
      </c>
      <c r="O6" s="379" t="s">
        <v>219</v>
      </c>
      <c r="P6" s="379" t="s">
        <v>220</v>
      </c>
      <c r="Q6" s="380" t="s">
        <v>221</v>
      </c>
      <c r="R6" s="381" t="s">
        <v>222</v>
      </c>
    </row>
    <row r="7" spans="1:18" ht="22.8" x14ac:dyDescent="0.4">
      <c r="B7" s="228" t="s">
        <v>11</v>
      </c>
      <c r="C7" s="229"/>
      <c r="D7" s="229"/>
      <c r="E7" s="230"/>
      <c r="F7" s="231">
        <f>'EDT Nueva'!F5</f>
        <v>1</v>
      </c>
      <c r="G7" s="232">
        <v>1</v>
      </c>
      <c r="H7" s="419" t="s">
        <v>11</v>
      </c>
      <c r="I7" s="414">
        <v>1</v>
      </c>
      <c r="J7" s="415">
        <v>0</v>
      </c>
      <c r="K7" s="416">
        <v>1</v>
      </c>
      <c r="L7" s="417">
        <v>0.78114415449294528</v>
      </c>
      <c r="M7" s="415">
        <v>2.8612478086063042E-3</v>
      </c>
      <c r="N7" s="416">
        <v>0.78400540230155158</v>
      </c>
      <c r="O7" s="417">
        <v>-0.21885584550705472</v>
      </c>
      <c r="P7" s="415">
        <v>2.8612478086063042E-3</v>
      </c>
      <c r="Q7" s="416">
        <v>-0.21599459769844842</v>
      </c>
      <c r="R7" s="418">
        <v>-0.21599459769844837</v>
      </c>
    </row>
    <row r="8" spans="1:18" ht="22.8" collapsed="1" x14ac:dyDescent="0.4">
      <c r="B8" s="222"/>
      <c r="C8" s="223" t="s">
        <v>19</v>
      </c>
      <c r="D8" s="224"/>
      <c r="E8" s="233"/>
      <c r="F8" s="226">
        <f>'EDT Nueva'!F6</f>
        <v>0.77282549416377599</v>
      </c>
      <c r="G8" s="227">
        <f>EDTN10[[#This Row],[Nuevos Pesos]]*$G$7</f>
        <v>0.77282549416377599</v>
      </c>
      <c r="H8" s="413" t="s">
        <v>19</v>
      </c>
      <c r="I8" s="408">
        <v>1</v>
      </c>
      <c r="J8" s="409">
        <v>0</v>
      </c>
      <c r="K8" s="410">
        <v>1</v>
      </c>
      <c r="L8" s="411">
        <v>0.83496032946057364</v>
      </c>
      <c r="M8" s="409">
        <v>2.953704908107313E-3</v>
      </c>
      <c r="N8" s="410">
        <v>0.83791403436868095</v>
      </c>
      <c r="O8" s="411">
        <v>-0.16503967053942636</v>
      </c>
      <c r="P8" s="409">
        <v>2.953704908107313E-3</v>
      </c>
      <c r="Q8" s="410">
        <v>-0.16208596563131905</v>
      </c>
      <c r="R8" s="412">
        <v>-0.12526416648603697</v>
      </c>
    </row>
    <row r="9" spans="1:18" ht="21" hidden="1" outlineLevel="1" x14ac:dyDescent="0.4">
      <c r="B9" s="192"/>
      <c r="C9" s="193"/>
      <c r="D9" s="193" t="s">
        <v>22</v>
      </c>
      <c r="E9" s="194"/>
      <c r="F9" s="195">
        <f>'EDT Nueva'!F7</f>
        <v>0.22602491175176692</v>
      </c>
      <c r="G9" s="196">
        <f>EDTN10[[#This Row],[Nuevos Pesos]]*$G$8</f>
        <v>0.17467781411788313</v>
      </c>
      <c r="H9" s="382" t="s">
        <v>22</v>
      </c>
      <c r="I9" s="383">
        <v>1</v>
      </c>
      <c r="J9" s="384">
        <v>0</v>
      </c>
      <c r="K9" s="385">
        <v>1</v>
      </c>
      <c r="L9" s="386">
        <v>0.90862068965517251</v>
      </c>
      <c r="M9" s="384">
        <v>0</v>
      </c>
      <c r="N9" s="385">
        <v>0.90862068965517251</v>
      </c>
      <c r="O9" s="386">
        <v>-9.1379310344827491E-2</v>
      </c>
      <c r="P9" s="384">
        <v>0</v>
      </c>
      <c r="Q9" s="385">
        <v>-9.1379310344827491E-2</v>
      </c>
      <c r="R9" s="387">
        <v>-1.596193818663413E-2</v>
      </c>
    </row>
    <row r="10" spans="1:18" ht="21" hidden="1" outlineLevel="2" x14ac:dyDescent="0.4">
      <c r="B10" s="197"/>
      <c r="C10" s="198"/>
      <c r="D10" s="198"/>
      <c r="E10" s="199" t="s">
        <v>25</v>
      </c>
      <c r="F10" s="200">
        <f>'EDT Nueva'!F8</f>
        <v>0.22988505747126436</v>
      </c>
      <c r="G10" s="201">
        <f>EDTN10[[#This Row],[Nuevos Pesos]]*$G$9</f>
        <v>4.0155819337444401E-2</v>
      </c>
      <c r="H10" s="388" t="s">
        <v>25</v>
      </c>
      <c r="I10" s="389">
        <v>1</v>
      </c>
      <c r="J10" s="390">
        <v>0</v>
      </c>
      <c r="K10" s="391">
        <v>1</v>
      </c>
      <c r="L10" s="392">
        <v>1</v>
      </c>
      <c r="M10" s="390">
        <v>0</v>
      </c>
      <c r="N10" s="391">
        <v>1</v>
      </c>
      <c r="O10" s="392">
        <v>0</v>
      </c>
      <c r="P10" s="390">
        <v>0</v>
      </c>
      <c r="Q10" s="391">
        <v>0</v>
      </c>
      <c r="R10" s="393">
        <v>0</v>
      </c>
    </row>
    <row r="11" spans="1:18" ht="21" hidden="1" outlineLevel="2" x14ac:dyDescent="0.4">
      <c r="B11" s="197"/>
      <c r="C11" s="198"/>
      <c r="D11" s="198"/>
      <c r="E11" s="199" t="s">
        <v>26</v>
      </c>
      <c r="F11" s="200">
        <f>'EDT Nueva'!F9</f>
        <v>0.45977011494252873</v>
      </c>
      <c r="G11" s="201">
        <f>EDTN10[[#This Row],[Nuevos Pesos]]*$G$9</f>
        <v>8.0311638674888802E-2</v>
      </c>
      <c r="H11" s="394" t="s">
        <v>26</v>
      </c>
      <c r="I11" s="389">
        <v>1</v>
      </c>
      <c r="J11" s="390">
        <v>0</v>
      </c>
      <c r="K11" s="391">
        <v>1</v>
      </c>
      <c r="L11" s="392">
        <v>1</v>
      </c>
      <c r="M11" s="390">
        <v>0</v>
      </c>
      <c r="N11" s="391">
        <v>1</v>
      </c>
      <c r="O11" s="392">
        <v>0</v>
      </c>
      <c r="P11" s="390">
        <v>0</v>
      </c>
      <c r="Q11" s="391">
        <v>0</v>
      </c>
      <c r="R11" s="393">
        <v>0</v>
      </c>
    </row>
    <row r="12" spans="1:18" ht="21" hidden="1" outlineLevel="2" x14ac:dyDescent="0.4">
      <c r="B12" s="197"/>
      <c r="C12" s="198"/>
      <c r="D12" s="198"/>
      <c r="E12" s="199" t="s">
        <v>27</v>
      </c>
      <c r="F12" s="200">
        <f>'EDT Nueva'!F10</f>
        <v>0.13793103448275859</v>
      </c>
      <c r="G12" s="201">
        <f>EDTN10[[#This Row],[Nuevos Pesos]]*$G$9</f>
        <v>2.4093491602466634E-2</v>
      </c>
      <c r="H12" s="394" t="s">
        <v>27</v>
      </c>
      <c r="I12" s="389">
        <v>1</v>
      </c>
      <c r="J12" s="390">
        <v>0</v>
      </c>
      <c r="K12" s="391">
        <v>1</v>
      </c>
      <c r="L12" s="392">
        <v>1</v>
      </c>
      <c r="M12" s="390">
        <v>0</v>
      </c>
      <c r="N12" s="391">
        <v>1</v>
      </c>
      <c r="O12" s="392">
        <v>0</v>
      </c>
      <c r="P12" s="390">
        <v>0</v>
      </c>
      <c r="Q12" s="391">
        <v>0</v>
      </c>
      <c r="R12" s="393">
        <v>0</v>
      </c>
    </row>
    <row r="13" spans="1:18" ht="21" hidden="1" outlineLevel="2" x14ac:dyDescent="0.4">
      <c r="B13" s="197"/>
      <c r="C13" s="198"/>
      <c r="D13" s="198"/>
      <c r="E13" s="199" t="s">
        <v>28</v>
      </c>
      <c r="F13" s="200">
        <f>'EDT Nueva'!F11</f>
        <v>0.17241379310344826</v>
      </c>
      <c r="G13" s="201">
        <f>EDTN10[[#This Row],[Nuevos Pesos]]*$G$9</f>
        <v>3.0116864503083297E-2</v>
      </c>
      <c r="H13" s="395" t="s">
        <v>28</v>
      </c>
      <c r="I13" s="389">
        <v>1</v>
      </c>
      <c r="J13" s="390">
        <v>0</v>
      </c>
      <c r="K13" s="391">
        <v>1</v>
      </c>
      <c r="L13" s="392">
        <v>0.46999999999999992</v>
      </c>
      <c r="M13" s="390">
        <v>0</v>
      </c>
      <c r="N13" s="391">
        <v>0.46999999999999992</v>
      </c>
      <c r="O13" s="392">
        <v>-0.53</v>
      </c>
      <c r="P13" s="390">
        <v>0</v>
      </c>
      <c r="Q13" s="391">
        <v>-0.53</v>
      </c>
      <c r="R13" s="393">
        <v>-1.5961938186634148E-2</v>
      </c>
    </row>
    <row r="14" spans="1:18" ht="21" hidden="1" outlineLevel="1" x14ac:dyDescent="0.4">
      <c r="B14" s="192"/>
      <c r="C14" s="193"/>
      <c r="D14" s="193" t="s">
        <v>29</v>
      </c>
      <c r="E14" s="202"/>
      <c r="F14" s="195">
        <f>'EDT Nueva'!F12</f>
        <v>6.9376251050029564E-2</v>
      </c>
      <c r="G14" s="196">
        <f>EDTN10[[#This Row],[Nuevos Pesos]]*$G$8</f>
        <v>5.3615735500969278E-2</v>
      </c>
      <c r="H14" s="382" t="s">
        <v>29</v>
      </c>
      <c r="I14" s="383">
        <v>1</v>
      </c>
      <c r="J14" s="384">
        <v>0</v>
      </c>
      <c r="K14" s="385">
        <v>1</v>
      </c>
      <c r="L14" s="386">
        <v>1</v>
      </c>
      <c r="M14" s="384">
        <v>0</v>
      </c>
      <c r="N14" s="385">
        <v>1</v>
      </c>
      <c r="O14" s="386">
        <v>0</v>
      </c>
      <c r="P14" s="384">
        <v>0</v>
      </c>
      <c r="Q14" s="385">
        <v>0</v>
      </c>
      <c r="R14" s="387">
        <v>0</v>
      </c>
    </row>
    <row r="15" spans="1:18" ht="21" hidden="1" outlineLevel="2" x14ac:dyDescent="0.4">
      <c r="B15" s="203"/>
      <c r="C15" s="204"/>
      <c r="D15" s="204"/>
      <c r="E15" s="205" t="s">
        <v>30</v>
      </c>
      <c r="F15" s="206">
        <f>'EDT Nueva'!F13</f>
        <v>1</v>
      </c>
      <c r="G15" s="207">
        <f>EDTN10[[#This Row],[Nuevos Pesos]]*G14</f>
        <v>5.3615735500969278E-2</v>
      </c>
      <c r="H15" s="399" t="s">
        <v>211</v>
      </c>
      <c r="I15" s="389">
        <v>1</v>
      </c>
      <c r="J15" s="390">
        <v>0</v>
      </c>
      <c r="K15" s="391">
        <v>1</v>
      </c>
      <c r="L15" s="392">
        <v>1</v>
      </c>
      <c r="M15" s="390">
        <v>0</v>
      </c>
      <c r="N15" s="391">
        <v>1</v>
      </c>
      <c r="O15" s="392">
        <v>0</v>
      </c>
      <c r="P15" s="390">
        <v>0</v>
      </c>
      <c r="Q15" s="391">
        <v>0</v>
      </c>
      <c r="R15" s="393">
        <v>0</v>
      </c>
    </row>
    <row r="16" spans="1:18" ht="21" hidden="1" outlineLevel="1" x14ac:dyDescent="0.4">
      <c r="B16" s="192"/>
      <c r="C16" s="193"/>
      <c r="D16" s="193" t="s">
        <v>31</v>
      </c>
      <c r="E16" s="202"/>
      <c r="F16" s="195">
        <f>'EDT Nueva'!F14</f>
        <v>0.13899787802857952</v>
      </c>
      <c r="G16" s="196">
        <f>EDTN10[[#This Row],[Nuevos Pesos]]*$G$8</f>
        <v>0.10742110377515322</v>
      </c>
      <c r="H16" s="382" t="s">
        <v>208</v>
      </c>
      <c r="I16" s="383">
        <v>1</v>
      </c>
      <c r="J16" s="384">
        <v>0</v>
      </c>
      <c r="K16" s="385">
        <v>1</v>
      </c>
      <c r="L16" s="386">
        <v>0.81874999999999987</v>
      </c>
      <c r="M16" s="384">
        <v>2.1250000000000102E-2</v>
      </c>
      <c r="N16" s="385">
        <v>0.84</v>
      </c>
      <c r="O16" s="386">
        <v>-0.18125000000000013</v>
      </c>
      <c r="P16" s="384">
        <v>2.1250000000000102E-2</v>
      </c>
      <c r="Q16" s="385">
        <v>-0.16000000000000003</v>
      </c>
      <c r="R16" s="387">
        <v>-1.7187376604024515E-2</v>
      </c>
    </row>
    <row r="17" spans="2:18" ht="21" hidden="1" outlineLevel="2" x14ac:dyDescent="0.4">
      <c r="B17" s="197"/>
      <c r="C17" s="198"/>
      <c r="D17" s="198"/>
      <c r="E17" s="199" t="s">
        <v>35</v>
      </c>
      <c r="F17" s="200">
        <f>'EDT Nueva'!F15</f>
        <v>0.74999999999999989</v>
      </c>
      <c r="G17" s="201">
        <f>EDTN10[[#This Row],[Nuevos Pesos]]*$G$16</f>
        <v>8.05658278313649E-2</v>
      </c>
      <c r="H17" s="399" t="s">
        <v>35</v>
      </c>
      <c r="I17" s="389">
        <v>1</v>
      </c>
      <c r="J17" s="390">
        <v>0</v>
      </c>
      <c r="K17" s="391">
        <v>1</v>
      </c>
      <c r="L17" s="392">
        <v>0.82</v>
      </c>
      <c r="M17" s="390">
        <v>2.0000000000000018E-2</v>
      </c>
      <c r="N17" s="391">
        <v>0.84</v>
      </c>
      <c r="O17" s="392">
        <v>-0.18000000000000005</v>
      </c>
      <c r="P17" s="390">
        <v>2.0000000000000018E-2</v>
      </c>
      <c r="Q17" s="391">
        <v>-0.16000000000000003</v>
      </c>
      <c r="R17" s="393">
        <v>-1.2890532453018386E-2</v>
      </c>
    </row>
    <row r="18" spans="2:18" ht="21" hidden="1" outlineLevel="2" x14ac:dyDescent="0.4">
      <c r="B18" s="197"/>
      <c r="C18" s="198"/>
      <c r="D18" s="198"/>
      <c r="E18" s="199" t="s">
        <v>357</v>
      </c>
      <c r="F18" s="200">
        <f>'EDT Nueva'!F16</f>
        <v>0.25</v>
      </c>
      <c r="G18" s="201">
        <f>EDTN10[[#This Row],[Nuevos Pesos]]*$G$16</f>
        <v>2.6855275943788306E-2</v>
      </c>
      <c r="H18" s="400" t="s">
        <v>357</v>
      </c>
      <c r="I18" s="401">
        <v>1</v>
      </c>
      <c r="J18" s="402">
        <v>0</v>
      </c>
      <c r="K18" s="393">
        <v>1</v>
      </c>
      <c r="L18" s="392">
        <v>0.81499999999999995</v>
      </c>
      <c r="M18" s="390">
        <v>2.5000000000000022E-2</v>
      </c>
      <c r="N18" s="391">
        <v>0.84</v>
      </c>
      <c r="O18" s="402">
        <v>-0.18500000000000005</v>
      </c>
      <c r="P18" s="402">
        <v>2.5000000000000022E-2</v>
      </c>
      <c r="Q18" s="393">
        <v>-0.16000000000000003</v>
      </c>
      <c r="R18" s="393">
        <v>-4.2968441510061297E-3</v>
      </c>
    </row>
    <row r="19" spans="2:18" ht="21" hidden="1" outlineLevel="1" x14ac:dyDescent="0.4">
      <c r="B19" s="192"/>
      <c r="C19" s="193"/>
      <c r="D19" s="193" t="s">
        <v>39</v>
      </c>
      <c r="E19" s="202"/>
      <c r="F19" s="195">
        <f>'EDT Nueva'!F17</f>
        <v>7.8078954422348301E-2</v>
      </c>
      <c r="G19" s="196">
        <f>EDTN10[[#This Row],[Nuevos Pesos]]*$G$8</f>
        <v>6.0341406535242267E-2</v>
      </c>
      <c r="H19" s="382" t="s">
        <v>39</v>
      </c>
      <c r="I19" s="383">
        <v>1</v>
      </c>
      <c r="J19" s="384">
        <v>0</v>
      </c>
      <c r="K19" s="385">
        <v>1</v>
      </c>
      <c r="L19" s="386">
        <v>0.90800000000000014</v>
      </c>
      <c r="M19" s="384">
        <v>0</v>
      </c>
      <c r="N19" s="385">
        <v>0.90800000000000014</v>
      </c>
      <c r="O19" s="386">
        <v>-9.199999999999986E-2</v>
      </c>
      <c r="P19" s="384">
        <v>0</v>
      </c>
      <c r="Q19" s="385">
        <v>-9.199999999999986E-2</v>
      </c>
      <c r="R19" s="387">
        <v>-5.5514094012422809E-3</v>
      </c>
    </row>
    <row r="20" spans="2:18" ht="21" hidden="1" outlineLevel="2" x14ac:dyDescent="0.4">
      <c r="B20" s="197"/>
      <c r="C20" s="198"/>
      <c r="D20" s="198"/>
      <c r="E20" s="199" t="s">
        <v>40</v>
      </c>
      <c r="F20" s="200">
        <f>'EDT Nueva'!F18</f>
        <v>0.4</v>
      </c>
      <c r="G20" s="201">
        <f>EDTN10[[#This Row],[Nuevos Pesos]]*$G$19</f>
        <v>2.4136562614096909E-2</v>
      </c>
      <c r="H20" s="388" t="s">
        <v>40</v>
      </c>
      <c r="I20" s="389">
        <v>1</v>
      </c>
      <c r="J20" s="390">
        <v>0</v>
      </c>
      <c r="K20" s="391">
        <v>1</v>
      </c>
      <c r="L20" s="392">
        <v>1</v>
      </c>
      <c r="M20" s="390">
        <v>0</v>
      </c>
      <c r="N20" s="391">
        <v>1</v>
      </c>
      <c r="O20" s="392">
        <v>0</v>
      </c>
      <c r="P20" s="390">
        <v>0</v>
      </c>
      <c r="Q20" s="391">
        <v>0</v>
      </c>
      <c r="R20" s="393">
        <v>0</v>
      </c>
    </row>
    <row r="21" spans="2:18" ht="21" hidden="1" outlineLevel="2" x14ac:dyDescent="0.4">
      <c r="B21" s="197"/>
      <c r="C21" s="198"/>
      <c r="D21" s="198"/>
      <c r="E21" s="199" t="s">
        <v>41</v>
      </c>
      <c r="F21" s="200">
        <f>'EDT Nueva'!F19</f>
        <v>0.4</v>
      </c>
      <c r="G21" s="201">
        <f>EDTN10[[#This Row],[Nuevos Pesos]]*$G$19</f>
        <v>2.4136562614096909E-2</v>
      </c>
      <c r="H21" s="394" t="s">
        <v>41</v>
      </c>
      <c r="I21" s="389">
        <v>1</v>
      </c>
      <c r="J21" s="390">
        <v>0</v>
      </c>
      <c r="K21" s="391">
        <v>1</v>
      </c>
      <c r="L21" s="392">
        <v>0.77</v>
      </c>
      <c r="M21" s="390">
        <v>0</v>
      </c>
      <c r="N21" s="391">
        <v>0.77</v>
      </c>
      <c r="O21" s="392">
        <v>-0.22999999999999998</v>
      </c>
      <c r="P21" s="390">
        <v>0</v>
      </c>
      <c r="Q21" s="391">
        <v>-0.22999999999999998</v>
      </c>
      <c r="R21" s="393">
        <v>-5.5514094012422887E-3</v>
      </c>
    </row>
    <row r="22" spans="2:18" ht="21" hidden="1" outlineLevel="2" x14ac:dyDescent="0.4">
      <c r="B22" s="197"/>
      <c r="C22" s="198"/>
      <c r="D22" s="198"/>
      <c r="E22" s="199" t="s">
        <v>42</v>
      </c>
      <c r="F22" s="200">
        <f>'EDT Nueva'!F20</f>
        <v>0.2</v>
      </c>
      <c r="G22" s="201">
        <f>EDTN10[[#This Row],[Nuevos Pesos]]*$G$19</f>
        <v>1.2068281307048455E-2</v>
      </c>
      <c r="H22" s="395" t="s">
        <v>42</v>
      </c>
      <c r="I22" s="389">
        <v>1</v>
      </c>
      <c r="J22" s="390">
        <v>0</v>
      </c>
      <c r="K22" s="391">
        <v>1</v>
      </c>
      <c r="L22" s="392">
        <v>1</v>
      </c>
      <c r="M22" s="390">
        <v>0</v>
      </c>
      <c r="N22" s="391">
        <v>1</v>
      </c>
      <c r="O22" s="392">
        <v>0</v>
      </c>
      <c r="P22" s="390">
        <v>0</v>
      </c>
      <c r="Q22" s="391">
        <v>0</v>
      </c>
      <c r="R22" s="393">
        <v>0</v>
      </c>
    </row>
    <row r="23" spans="2:18" ht="21" hidden="1" outlineLevel="1" x14ac:dyDescent="0.4">
      <c r="B23" s="192"/>
      <c r="C23" s="193"/>
      <c r="D23" s="193" t="s">
        <v>43</v>
      </c>
      <c r="E23" s="202"/>
      <c r="F23" s="195">
        <f>'EDT Nueva'!F21</f>
        <v>0.2250620980454589</v>
      </c>
      <c r="G23" s="196">
        <f>EDTN10[[#This Row],[Nuevos Pesos]]*$G$8</f>
        <v>0.17393372713951799</v>
      </c>
      <c r="H23" s="382" t="s">
        <v>43</v>
      </c>
      <c r="I23" s="383">
        <v>1</v>
      </c>
      <c r="J23" s="384">
        <v>0</v>
      </c>
      <c r="K23" s="385">
        <v>1</v>
      </c>
      <c r="L23" s="386">
        <v>1</v>
      </c>
      <c r="M23" s="384">
        <v>0</v>
      </c>
      <c r="N23" s="385">
        <v>1</v>
      </c>
      <c r="O23" s="386">
        <v>0</v>
      </c>
      <c r="P23" s="384">
        <v>0</v>
      </c>
      <c r="Q23" s="385">
        <v>0</v>
      </c>
      <c r="R23" s="387">
        <v>0</v>
      </c>
    </row>
    <row r="24" spans="2:18" ht="21" hidden="1" outlineLevel="2" x14ac:dyDescent="0.4">
      <c r="B24" s="197"/>
      <c r="C24" s="198"/>
      <c r="D24" s="198"/>
      <c r="E24" s="199" t="s">
        <v>44</v>
      </c>
      <c r="F24" s="200">
        <f>'EDT Nueva'!F22</f>
        <v>0.66666666666666663</v>
      </c>
      <c r="G24" s="201">
        <f>EDTN10[[#This Row],[Nuevos Pesos]]*$G$23</f>
        <v>0.11595581809301199</v>
      </c>
      <c r="H24" s="388" t="s">
        <v>44</v>
      </c>
      <c r="I24" s="389">
        <v>1</v>
      </c>
      <c r="J24" s="390">
        <v>0</v>
      </c>
      <c r="K24" s="391">
        <v>1</v>
      </c>
      <c r="L24" s="392">
        <v>1</v>
      </c>
      <c r="M24" s="390">
        <v>0</v>
      </c>
      <c r="N24" s="391">
        <v>1</v>
      </c>
      <c r="O24" s="392">
        <v>0</v>
      </c>
      <c r="P24" s="390">
        <v>0</v>
      </c>
      <c r="Q24" s="391">
        <v>0</v>
      </c>
      <c r="R24" s="393">
        <v>0</v>
      </c>
    </row>
    <row r="25" spans="2:18" ht="21" hidden="1" outlineLevel="2" x14ac:dyDescent="0.4">
      <c r="B25" s="197"/>
      <c r="C25" s="198"/>
      <c r="D25" s="198"/>
      <c r="E25" s="199" t="s">
        <v>45</v>
      </c>
      <c r="F25" s="200">
        <f>'EDT Nueva'!F23</f>
        <v>0.33333333333333337</v>
      </c>
      <c r="G25" s="201">
        <f>EDTN10[[#This Row],[Nuevos Pesos]]*$G$23</f>
        <v>5.7977909046506002E-2</v>
      </c>
      <c r="H25" s="395" t="s">
        <v>45</v>
      </c>
      <c r="I25" s="389">
        <v>1</v>
      </c>
      <c r="J25" s="390">
        <v>0</v>
      </c>
      <c r="K25" s="391">
        <v>1</v>
      </c>
      <c r="L25" s="392">
        <v>1</v>
      </c>
      <c r="M25" s="390">
        <v>0</v>
      </c>
      <c r="N25" s="391">
        <v>1</v>
      </c>
      <c r="O25" s="392">
        <v>0</v>
      </c>
      <c r="P25" s="390">
        <v>0</v>
      </c>
      <c r="Q25" s="391">
        <v>0</v>
      </c>
      <c r="R25" s="393">
        <v>0</v>
      </c>
    </row>
    <row r="26" spans="2:18" ht="21" hidden="1" outlineLevel="1" x14ac:dyDescent="0.4">
      <c r="B26" s="192"/>
      <c r="C26" s="193"/>
      <c r="D26" s="193" t="s">
        <v>249</v>
      </c>
      <c r="E26" s="202"/>
      <c r="F26" s="195">
        <f>'EDT Nueva'!F24</f>
        <v>5.6784912836931871E-2</v>
      </c>
      <c r="G26" s="196">
        <f>EDTN10[[#This Row],[Nuevos Pesos]]*$G$8</f>
        <v>4.3884828324248823E-2</v>
      </c>
      <c r="H26" s="403" t="s">
        <v>249</v>
      </c>
      <c r="I26" s="383">
        <v>1</v>
      </c>
      <c r="J26" s="384">
        <v>0</v>
      </c>
      <c r="K26" s="385">
        <v>1</v>
      </c>
      <c r="L26" s="384">
        <v>0</v>
      </c>
      <c r="M26" s="384">
        <v>0</v>
      </c>
      <c r="N26" s="385">
        <v>0</v>
      </c>
      <c r="O26" s="384">
        <v>-1</v>
      </c>
      <c r="P26" s="384">
        <v>0</v>
      </c>
      <c r="Q26" s="385">
        <v>-1</v>
      </c>
      <c r="R26" s="385">
        <v>-4.3884828324248823E-2</v>
      </c>
    </row>
    <row r="27" spans="2:18" ht="21" hidden="1" outlineLevel="2" x14ac:dyDescent="0.4">
      <c r="B27" s="197"/>
      <c r="C27" s="198"/>
      <c r="D27" s="198"/>
      <c r="E27" s="199" t="s">
        <v>47</v>
      </c>
      <c r="F27" s="200">
        <f>'EDT Nueva'!F25</f>
        <v>1</v>
      </c>
      <c r="G27" s="201">
        <f>EDTN10[[#This Row],[Nuevos Pesos]]*G26</f>
        <v>4.3884828324248823E-2</v>
      </c>
      <c r="H27" s="400" t="s">
        <v>47</v>
      </c>
      <c r="I27" s="389">
        <v>1</v>
      </c>
      <c r="J27" s="390">
        <v>0</v>
      </c>
      <c r="K27" s="391">
        <v>1</v>
      </c>
      <c r="L27" s="390">
        <v>0</v>
      </c>
      <c r="M27" s="390">
        <v>0</v>
      </c>
      <c r="N27" s="391">
        <v>0</v>
      </c>
      <c r="O27" s="390">
        <v>-1</v>
      </c>
      <c r="P27" s="390">
        <v>0</v>
      </c>
      <c r="Q27" s="391">
        <v>-1</v>
      </c>
      <c r="R27" s="391">
        <v>-4.3884828324248823E-2</v>
      </c>
    </row>
    <row r="28" spans="2:18" ht="21" hidden="1" outlineLevel="1" x14ac:dyDescent="0.4">
      <c r="B28" s="192"/>
      <c r="C28" s="193"/>
      <c r="D28" s="193" t="s">
        <v>48</v>
      </c>
      <c r="E28" s="202"/>
      <c r="F28" s="195">
        <f>'EDT Nueva'!F26</f>
        <v>5.6784912836931871E-2</v>
      </c>
      <c r="G28" s="196">
        <f>EDTN10[[#This Row],[Nuevos Pesos]]*$G$8</f>
        <v>4.3884828324248823E-2</v>
      </c>
      <c r="H28" s="382" t="s">
        <v>48</v>
      </c>
      <c r="I28" s="383">
        <v>1</v>
      </c>
      <c r="J28" s="384">
        <v>0</v>
      </c>
      <c r="K28" s="385">
        <v>1</v>
      </c>
      <c r="L28" s="386">
        <v>4.9861111111111106E-2</v>
      </c>
      <c r="M28" s="384">
        <v>0</v>
      </c>
      <c r="N28" s="385">
        <v>4.9861111111111106E-2</v>
      </c>
      <c r="O28" s="386">
        <v>-0.95013888888888887</v>
      </c>
      <c r="P28" s="384">
        <v>0</v>
      </c>
      <c r="Q28" s="385">
        <v>-0.95013888888888887</v>
      </c>
      <c r="R28" s="387">
        <v>-4.1696682023081418E-2</v>
      </c>
    </row>
    <row r="29" spans="2:18" ht="21" hidden="1" outlineLevel="2" x14ac:dyDescent="0.4">
      <c r="B29" s="197"/>
      <c r="C29" s="198"/>
      <c r="D29" s="198"/>
      <c r="E29" s="199" t="s">
        <v>50</v>
      </c>
      <c r="F29" s="200">
        <f>'EDT Nueva'!F27</f>
        <v>0.33333333333333331</v>
      </c>
      <c r="G29" s="201">
        <f>EDTN10[[#This Row],[Nuevos Pesos]]*$G$28</f>
        <v>1.4628276108082941E-2</v>
      </c>
      <c r="H29" s="388" t="s">
        <v>50</v>
      </c>
      <c r="I29" s="389">
        <v>1</v>
      </c>
      <c r="J29" s="390">
        <v>0</v>
      </c>
      <c r="K29" s="391">
        <v>1</v>
      </c>
      <c r="L29" s="392">
        <v>0</v>
      </c>
      <c r="M29" s="390">
        <v>0</v>
      </c>
      <c r="N29" s="391">
        <v>0</v>
      </c>
      <c r="O29" s="392">
        <v>-1</v>
      </c>
      <c r="P29" s="390">
        <v>0</v>
      </c>
      <c r="Q29" s="391">
        <v>-1</v>
      </c>
      <c r="R29" s="393">
        <v>-1.4628276108082941E-2</v>
      </c>
    </row>
    <row r="30" spans="2:18" ht="40.799999999999997" hidden="1" outlineLevel="2" x14ac:dyDescent="0.4">
      <c r="B30" s="197"/>
      <c r="C30" s="198"/>
      <c r="D30" s="198"/>
      <c r="E30" s="199" t="s">
        <v>51</v>
      </c>
      <c r="F30" s="200">
        <f>'EDT Nueva'!F28</f>
        <v>0.26666666666666666</v>
      </c>
      <c r="G30" s="201">
        <f>EDTN10[[#This Row],[Nuevos Pesos]]*$G$28</f>
        <v>1.1702620886466352E-2</v>
      </c>
      <c r="H30" s="394" t="s">
        <v>51</v>
      </c>
      <c r="I30" s="389">
        <v>1</v>
      </c>
      <c r="J30" s="390">
        <v>0</v>
      </c>
      <c r="K30" s="391">
        <v>1</v>
      </c>
      <c r="L30" s="392">
        <v>0</v>
      </c>
      <c r="M30" s="390">
        <v>0</v>
      </c>
      <c r="N30" s="391">
        <v>0</v>
      </c>
      <c r="O30" s="392">
        <v>-1</v>
      </c>
      <c r="P30" s="390">
        <v>0</v>
      </c>
      <c r="Q30" s="391">
        <v>-1</v>
      </c>
      <c r="R30" s="393">
        <v>-1.1702620886466352E-2</v>
      </c>
    </row>
    <row r="31" spans="2:18" ht="21" hidden="1" outlineLevel="2" x14ac:dyDescent="0.4">
      <c r="B31" s="197"/>
      <c r="C31" s="198"/>
      <c r="D31" s="198"/>
      <c r="E31" s="199" t="s">
        <v>52</v>
      </c>
      <c r="F31" s="200">
        <f>'EDT Nueva'!F29</f>
        <v>0.39999999999999997</v>
      </c>
      <c r="G31" s="201">
        <f>EDTN10[[#This Row],[Nuevos Pesos]]*$G$28</f>
        <v>1.7553931329699526E-2</v>
      </c>
      <c r="H31" s="395" t="s">
        <v>52</v>
      </c>
      <c r="I31" s="389">
        <v>1</v>
      </c>
      <c r="J31" s="390">
        <v>0</v>
      </c>
      <c r="K31" s="391">
        <v>1</v>
      </c>
      <c r="L31" s="392">
        <v>0.12465277777777778</v>
      </c>
      <c r="M31" s="390">
        <v>0</v>
      </c>
      <c r="N31" s="391">
        <v>0.12465277777777778</v>
      </c>
      <c r="O31" s="392">
        <v>-0.87534722222222228</v>
      </c>
      <c r="P31" s="390">
        <v>0</v>
      </c>
      <c r="Q31" s="391">
        <v>-0.87534722222222228</v>
      </c>
      <c r="R31" s="393">
        <v>-1.5365785028532121E-2</v>
      </c>
    </row>
    <row r="32" spans="2:18" ht="21" hidden="1" outlineLevel="1" x14ac:dyDescent="0.4">
      <c r="B32" s="192"/>
      <c r="C32" s="193"/>
      <c r="D32" s="193" t="s">
        <v>63</v>
      </c>
      <c r="E32" s="202"/>
      <c r="F32" s="195">
        <f>'EDT Nueva'!F30</f>
        <v>0.10418706453930457</v>
      </c>
      <c r="G32" s="196">
        <f>EDTN10[[#This Row],[Nuevos Pesos]]*$G$8</f>
        <v>8.0518419638061278E-2</v>
      </c>
      <c r="H32" s="382" t="s">
        <v>63</v>
      </c>
      <c r="I32" s="383">
        <v>1</v>
      </c>
      <c r="J32" s="384">
        <v>0</v>
      </c>
      <c r="K32" s="385">
        <v>1</v>
      </c>
      <c r="L32" s="386">
        <v>0.98780487804878048</v>
      </c>
      <c r="M32" s="384">
        <v>0</v>
      </c>
      <c r="N32" s="385">
        <v>0.98780487804878048</v>
      </c>
      <c r="O32" s="386">
        <v>-1.2195121951219523E-2</v>
      </c>
      <c r="P32" s="384">
        <v>0</v>
      </c>
      <c r="Q32" s="385">
        <v>-1.2195121951219523E-2</v>
      </c>
      <c r="R32" s="387">
        <v>-9.8193194680562621E-4</v>
      </c>
    </row>
    <row r="33" spans="2:18" ht="21" hidden="1" outlineLevel="2" x14ac:dyDescent="0.4">
      <c r="B33" s="197"/>
      <c r="C33" s="198"/>
      <c r="D33" s="208"/>
      <c r="E33" s="199" t="s">
        <v>64</v>
      </c>
      <c r="F33" s="200">
        <f>'EDT Nueva'!F31</f>
        <v>7.3170731707317069E-2</v>
      </c>
      <c r="G33" s="209">
        <f>EDTN10[[#This Row],[Nuevos Pesos]]*$G$32</f>
        <v>5.8915916808337521E-3</v>
      </c>
      <c r="H33" s="388" t="s">
        <v>64</v>
      </c>
      <c r="I33" s="389">
        <v>1</v>
      </c>
      <c r="J33" s="390">
        <v>0</v>
      </c>
      <c r="K33" s="391">
        <v>1</v>
      </c>
      <c r="L33" s="392">
        <v>1</v>
      </c>
      <c r="M33" s="390">
        <v>0</v>
      </c>
      <c r="N33" s="391">
        <v>1</v>
      </c>
      <c r="O33" s="392">
        <v>0</v>
      </c>
      <c r="P33" s="390">
        <v>0</v>
      </c>
      <c r="Q33" s="391">
        <v>0</v>
      </c>
      <c r="R33" s="393">
        <v>0</v>
      </c>
    </row>
    <row r="34" spans="2:18" ht="21" hidden="1" outlineLevel="2" x14ac:dyDescent="0.4">
      <c r="B34" s="197"/>
      <c r="C34" s="198"/>
      <c r="D34" s="208"/>
      <c r="E34" s="199" t="s">
        <v>65</v>
      </c>
      <c r="F34" s="200">
        <f>'EDT Nueva'!F32</f>
        <v>2.4390243902439022E-2</v>
      </c>
      <c r="G34" s="209">
        <f>EDTN10[[#This Row],[Nuevos Pesos]]*$G$32</f>
        <v>1.9638638936112507E-3</v>
      </c>
      <c r="H34" s="394" t="s">
        <v>65</v>
      </c>
      <c r="I34" s="389">
        <v>1</v>
      </c>
      <c r="J34" s="390">
        <v>0</v>
      </c>
      <c r="K34" s="391">
        <v>1</v>
      </c>
      <c r="L34" s="392">
        <v>0.9</v>
      </c>
      <c r="M34" s="390">
        <v>0</v>
      </c>
      <c r="N34" s="391">
        <v>0.9</v>
      </c>
      <c r="O34" s="392">
        <v>-9.9999999999999978E-2</v>
      </c>
      <c r="P34" s="390">
        <v>0</v>
      </c>
      <c r="Q34" s="391">
        <v>-9.9999999999999978E-2</v>
      </c>
      <c r="R34" s="393">
        <v>-1.9638638936112502E-4</v>
      </c>
    </row>
    <row r="35" spans="2:18" ht="21" hidden="1" outlineLevel="2" x14ac:dyDescent="0.4">
      <c r="B35" s="197"/>
      <c r="C35" s="198"/>
      <c r="D35" s="208"/>
      <c r="E35" s="199" t="s">
        <v>66</v>
      </c>
      <c r="F35" s="200">
        <f>'EDT Nueva'!F33</f>
        <v>9.7560975609756087E-2</v>
      </c>
      <c r="G35" s="209">
        <f>EDTN10[[#This Row],[Nuevos Pesos]]*$G$32</f>
        <v>7.8554555744450028E-3</v>
      </c>
      <c r="H35" s="394" t="s">
        <v>66</v>
      </c>
      <c r="I35" s="389">
        <v>1</v>
      </c>
      <c r="J35" s="390">
        <v>0</v>
      </c>
      <c r="K35" s="391">
        <v>1</v>
      </c>
      <c r="L35" s="392">
        <v>0.9</v>
      </c>
      <c r="M35" s="390">
        <v>0</v>
      </c>
      <c r="N35" s="391">
        <v>0.9</v>
      </c>
      <c r="O35" s="392">
        <v>-9.9999999999999978E-2</v>
      </c>
      <c r="P35" s="390">
        <v>0</v>
      </c>
      <c r="Q35" s="391">
        <v>-9.9999999999999978E-2</v>
      </c>
      <c r="R35" s="393">
        <v>-7.8554555744450008E-4</v>
      </c>
    </row>
    <row r="36" spans="2:18" ht="21" hidden="1" outlineLevel="2" x14ac:dyDescent="0.4">
      <c r="B36" s="197"/>
      <c r="C36" s="198"/>
      <c r="D36" s="208"/>
      <c r="E36" s="199" t="s">
        <v>67</v>
      </c>
      <c r="F36" s="200">
        <f>'EDT Nueva'!F34</f>
        <v>7.3170731707317069E-2</v>
      </c>
      <c r="G36" s="209">
        <f>EDTN10[[#This Row],[Nuevos Pesos]]*$G$32</f>
        <v>5.8915916808337521E-3</v>
      </c>
      <c r="H36" s="394" t="s">
        <v>67</v>
      </c>
      <c r="I36" s="389">
        <v>1</v>
      </c>
      <c r="J36" s="390">
        <v>0</v>
      </c>
      <c r="K36" s="391">
        <v>1</v>
      </c>
      <c r="L36" s="392">
        <v>1</v>
      </c>
      <c r="M36" s="390">
        <v>0</v>
      </c>
      <c r="N36" s="391">
        <v>1</v>
      </c>
      <c r="O36" s="392">
        <v>0</v>
      </c>
      <c r="P36" s="390">
        <v>0</v>
      </c>
      <c r="Q36" s="391">
        <v>0</v>
      </c>
      <c r="R36" s="393">
        <v>0</v>
      </c>
    </row>
    <row r="37" spans="2:18" ht="21" hidden="1" outlineLevel="2" x14ac:dyDescent="0.4">
      <c r="B37" s="197"/>
      <c r="C37" s="198"/>
      <c r="D37" s="208"/>
      <c r="E37" s="199" t="s">
        <v>68</v>
      </c>
      <c r="F37" s="200">
        <f>'EDT Nueva'!F35</f>
        <v>7.3170731707317069E-2</v>
      </c>
      <c r="G37" s="209">
        <f>EDTN10[[#This Row],[Nuevos Pesos]]*$G$32</f>
        <v>5.8915916808337521E-3</v>
      </c>
      <c r="H37" s="394" t="s">
        <v>68</v>
      </c>
      <c r="I37" s="389">
        <v>1</v>
      </c>
      <c r="J37" s="390">
        <v>0</v>
      </c>
      <c r="K37" s="391">
        <v>1</v>
      </c>
      <c r="L37" s="392">
        <v>1</v>
      </c>
      <c r="M37" s="390">
        <v>0</v>
      </c>
      <c r="N37" s="391">
        <v>1</v>
      </c>
      <c r="O37" s="392">
        <v>0</v>
      </c>
      <c r="P37" s="390">
        <v>0</v>
      </c>
      <c r="Q37" s="391">
        <v>0</v>
      </c>
      <c r="R37" s="393">
        <v>0</v>
      </c>
    </row>
    <row r="38" spans="2:18" ht="21" hidden="1" outlineLevel="2" x14ac:dyDescent="0.4">
      <c r="B38" s="197"/>
      <c r="C38" s="198"/>
      <c r="D38" s="208"/>
      <c r="E38" s="199" t="s">
        <v>71</v>
      </c>
      <c r="F38" s="200">
        <f>'EDT Nueva'!F36</f>
        <v>0.14634146341463414</v>
      </c>
      <c r="G38" s="209">
        <f>EDTN10[[#This Row],[Nuevos Pesos]]*$G$32</f>
        <v>1.1783183361667504E-2</v>
      </c>
      <c r="H38" s="394" t="s">
        <v>71</v>
      </c>
      <c r="I38" s="389">
        <v>1</v>
      </c>
      <c r="J38" s="390">
        <v>0</v>
      </c>
      <c r="K38" s="391">
        <v>1</v>
      </c>
      <c r="L38" s="392">
        <v>1</v>
      </c>
      <c r="M38" s="390">
        <v>0</v>
      </c>
      <c r="N38" s="391">
        <v>1</v>
      </c>
      <c r="O38" s="392">
        <v>0</v>
      </c>
      <c r="P38" s="390">
        <v>0</v>
      </c>
      <c r="Q38" s="391">
        <v>0</v>
      </c>
      <c r="R38" s="393">
        <v>0</v>
      </c>
    </row>
    <row r="39" spans="2:18" ht="21" hidden="1" outlineLevel="2" x14ac:dyDescent="0.4">
      <c r="B39" s="197"/>
      <c r="C39" s="198"/>
      <c r="D39" s="208"/>
      <c r="E39" s="199" t="s">
        <v>72</v>
      </c>
      <c r="F39" s="200">
        <f>'EDT Nueva'!F37</f>
        <v>0.14634146341463414</v>
      </c>
      <c r="G39" s="209">
        <f>EDTN10[[#This Row],[Nuevos Pesos]]*$G$32</f>
        <v>1.1783183361667504E-2</v>
      </c>
      <c r="H39" s="394" t="s">
        <v>72</v>
      </c>
      <c r="I39" s="389">
        <v>1</v>
      </c>
      <c r="J39" s="390">
        <v>0</v>
      </c>
      <c r="K39" s="391">
        <v>1</v>
      </c>
      <c r="L39" s="392">
        <v>1</v>
      </c>
      <c r="M39" s="390">
        <v>0</v>
      </c>
      <c r="N39" s="391">
        <v>1</v>
      </c>
      <c r="O39" s="392">
        <v>0</v>
      </c>
      <c r="P39" s="390">
        <v>0</v>
      </c>
      <c r="Q39" s="391">
        <v>0</v>
      </c>
      <c r="R39" s="393">
        <v>0</v>
      </c>
    </row>
    <row r="40" spans="2:18" ht="21" hidden="1" outlineLevel="2" x14ac:dyDescent="0.4">
      <c r="B40" s="197"/>
      <c r="C40" s="198"/>
      <c r="D40" s="208"/>
      <c r="E40" s="199" t="s">
        <v>73</v>
      </c>
      <c r="F40" s="200">
        <f>'EDT Nueva'!F38</f>
        <v>7.3170731707317069E-2</v>
      </c>
      <c r="G40" s="209">
        <f>EDTN10[[#This Row],[Nuevos Pesos]]*$G$32</f>
        <v>5.8915916808337521E-3</v>
      </c>
      <c r="H40" s="394" t="s">
        <v>73</v>
      </c>
      <c r="I40" s="389">
        <v>1</v>
      </c>
      <c r="J40" s="390">
        <v>0</v>
      </c>
      <c r="K40" s="391">
        <v>1</v>
      </c>
      <c r="L40" s="392">
        <v>1</v>
      </c>
      <c r="M40" s="390">
        <v>0</v>
      </c>
      <c r="N40" s="391">
        <v>1</v>
      </c>
      <c r="O40" s="392">
        <v>0</v>
      </c>
      <c r="P40" s="390">
        <v>0</v>
      </c>
      <c r="Q40" s="391">
        <v>0</v>
      </c>
      <c r="R40" s="393">
        <v>0</v>
      </c>
    </row>
    <row r="41" spans="2:18" ht="21" hidden="1" outlineLevel="2" x14ac:dyDescent="0.4">
      <c r="B41" s="197"/>
      <c r="C41" s="198"/>
      <c r="D41" s="208"/>
      <c r="E41" s="199" t="s">
        <v>74</v>
      </c>
      <c r="F41" s="200">
        <f>'EDT Nueva'!F39</f>
        <v>0.14634146341463414</v>
      </c>
      <c r="G41" s="209">
        <f>EDTN10[[#This Row],[Nuevos Pesos]]*$G$32</f>
        <v>1.1783183361667504E-2</v>
      </c>
      <c r="H41" s="394" t="s">
        <v>74</v>
      </c>
      <c r="I41" s="389">
        <v>1</v>
      </c>
      <c r="J41" s="390">
        <v>0</v>
      </c>
      <c r="K41" s="391">
        <v>1</v>
      </c>
      <c r="L41" s="392">
        <v>1</v>
      </c>
      <c r="M41" s="390">
        <v>0</v>
      </c>
      <c r="N41" s="391">
        <v>1</v>
      </c>
      <c r="O41" s="392">
        <v>0</v>
      </c>
      <c r="P41" s="390">
        <v>0</v>
      </c>
      <c r="Q41" s="391">
        <v>0</v>
      </c>
      <c r="R41" s="393">
        <v>0</v>
      </c>
    </row>
    <row r="42" spans="2:18" ht="21" hidden="1" outlineLevel="2" x14ac:dyDescent="0.4">
      <c r="B42" s="197"/>
      <c r="C42" s="198"/>
      <c r="D42" s="208"/>
      <c r="E42" s="199" t="s">
        <v>75</v>
      </c>
      <c r="F42" s="200">
        <f>'EDT Nueva'!F40</f>
        <v>0.14634146341463414</v>
      </c>
      <c r="G42" s="209">
        <f>EDTN10[[#This Row],[Nuevos Pesos]]*$G$32</f>
        <v>1.1783183361667504E-2</v>
      </c>
      <c r="H42" s="395" t="s">
        <v>75</v>
      </c>
      <c r="I42" s="389">
        <v>1</v>
      </c>
      <c r="J42" s="390">
        <v>0</v>
      </c>
      <c r="K42" s="391">
        <v>1</v>
      </c>
      <c r="L42" s="392">
        <v>1</v>
      </c>
      <c r="M42" s="390">
        <v>0</v>
      </c>
      <c r="N42" s="391">
        <v>1</v>
      </c>
      <c r="O42" s="392">
        <v>0</v>
      </c>
      <c r="P42" s="390">
        <v>0</v>
      </c>
      <c r="Q42" s="391">
        <v>0</v>
      </c>
      <c r="R42" s="393">
        <v>0</v>
      </c>
    </row>
    <row r="43" spans="2:18" ht="21" hidden="1" outlineLevel="1" x14ac:dyDescent="0.4">
      <c r="B43" s="192"/>
      <c r="C43" s="193"/>
      <c r="D43" s="193" t="s">
        <v>77</v>
      </c>
      <c r="E43" s="202"/>
      <c r="F43" s="195">
        <f>'EDT Nueva'!F41</f>
        <v>4.4703016488648502E-2</v>
      </c>
      <c r="G43" s="196">
        <f>EDTN10[[#This Row],[Nuevos Pesos]]*$G$8</f>
        <v>3.4547630808451205E-2</v>
      </c>
      <c r="H43" s="382" t="s">
        <v>77</v>
      </c>
      <c r="I43" s="383">
        <v>1</v>
      </c>
      <c r="J43" s="384">
        <v>0</v>
      </c>
      <c r="K43" s="385">
        <v>1</v>
      </c>
      <c r="L43" s="386">
        <v>1</v>
      </c>
      <c r="M43" s="384">
        <v>0</v>
      </c>
      <c r="N43" s="385">
        <v>1</v>
      </c>
      <c r="O43" s="386">
        <v>0</v>
      </c>
      <c r="P43" s="384">
        <v>0</v>
      </c>
      <c r="Q43" s="385">
        <v>0</v>
      </c>
      <c r="R43" s="387">
        <v>0</v>
      </c>
    </row>
    <row r="44" spans="2:18" ht="21" hidden="1" outlineLevel="2" x14ac:dyDescent="0.4">
      <c r="B44" s="197"/>
      <c r="C44" s="198"/>
      <c r="D44" s="198"/>
      <c r="E44" s="199" t="s">
        <v>78</v>
      </c>
      <c r="F44" s="200">
        <f>'EDT Nueva'!F42</f>
        <v>1</v>
      </c>
      <c r="G44" s="201">
        <f>EDTN10[[#This Row],[Nuevos Pesos]]*G43</f>
        <v>3.4547630808451205E-2</v>
      </c>
      <c r="H44" s="399" t="s">
        <v>78</v>
      </c>
      <c r="I44" s="389">
        <v>1</v>
      </c>
      <c r="J44" s="390">
        <v>0</v>
      </c>
      <c r="K44" s="391">
        <v>1</v>
      </c>
      <c r="L44" s="392">
        <v>1</v>
      </c>
      <c r="M44" s="390">
        <v>0</v>
      </c>
      <c r="N44" s="391">
        <v>1</v>
      </c>
      <c r="O44" s="392">
        <v>0</v>
      </c>
      <c r="P44" s="390">
        <v>0</v>
      </c>
      <c r="Q44" s="391">
        <v>0</v>
      </c>
      <c r="R44" s="393">
        <v>0</v>
      </c>
    </row>
    <row r="45" spans="2:18" ht="21" hidden="1" outlineLevel="1" x14ac:dyDescent="0.4">
      <c r="B45" s="192"/>
      <c r="C45" s="193"/>
      <c r="D45" s="193" t="s">
        <v>79</v>
      </c>
      <c r="E45" s="202"/>
      <c r="F45" s="195">
        <f>'EDT Nueva'!F43</f>
        <v>0</v>
      </c>
      <c r="G45" s="196">
        <f>EDTN10[[#This Row],[Nuevos Pesos]]*$G$8</f>
        <v>0</v>
      </c>
      <c r="H45" s="403" t="s">
        <v>251</v>
      </c>
      <c r="I45" s="383">
        <v>0</v>
      </c>
      <c r="J45" s="384">
        <v>0</v>
      </c>
      <c r="K45" s="385">
        <v>0</v>
      </c>
      <c r="L45" s="384">
        <v>0</v>
      </c>
      <c r="M45" s="384">
        <v>0</v>
      </c>
      <c r="N45" s="385">
        <v>0</v>
      </c>
      <c r="O45" s="384">
        <v>0</v>
      </c>
      <c r="P45" s="384">
        <v>0</v>
      </c>
      <c r="Q45" s="385">
        <v>0</v>
      </c>
      <c r="R45" s="387">
        <v>0</v>
      </c>
    </row>
    <row r="46" spans="2:18" ht="21" hidden="1" outlineLevel="2" x14ac:dyDescent="0.4">
      <c r="B46" s="197"/>
      <c r="C46" s="198"/>
      <c r="D46" s="198"/>
      <c r="E46" s="199" t="s">
        <v>15</v>
      </c>
      <c r="F46" s="200">
        <f>'EDT Nueva'!F44</f>
        <v>1</v>
      </c>
      <c r="G46" s="201">
        <f>EDTN10[[#This Row],[Nuevos Pesos]]*$G$45</f>
        <v>0</v>
      </c>
      <c r="H46" s="400" t="s">
        <v>15</v>
      </c>
      <c r="I46" s="401">
        <v>0</v>
      </c>
      <c r="J46" s="402">
        <v>0</v>
      </c>
      <c r="K46" s="393">
        <v>0</v>
      </c>
      <c r="L46" s="402">
        <v>0</v>
      </c>
      <c r="M46" s="402">
        <v>0</v>
      </c>
      <c r="N46" s="393">
        <v>0</v>
      </c>
      <c r="O46" s="402">
        <v>0</v>
      </c>
      <c r="P46" s="402">
        <v>0</v>
      </c>
      <c r="Q46" s="393">
        <v>0</v>
      </c>
      <c r="R46" s="393">
        <v>0</v>
      </c>
    </row>
    <row r="47" spans="2:18" ht="22.8" collapsed="1" x14ac:dyDescent="0.4">
      <c r="B47" s="222"/>
      <c r="C47" s="223" t="s">
        <v>83</v>
      </c>
      <c r="D47" s="224"/>
      <c r="E47" s="225"/>
      <c r="F47" s="226">
        <f>'EDT Nueva'!F45</f>
        <v>0.22717450583622398</v>
      </c>
      <c r="G47" s="227">
        <f>EDTN10[[#This Row],[Nuevos Pesos]]*$G$7</f>
        <v>0.22717450583622398</v>
      </c>
      <c r="H47" s="413" t="s">
        <v>83</v>
      </c>
      <c r="I47" s="408">
        <v>1</v>
      </c>
      <c r="J47" s="409">
        <v>0</v>
      </c>
      <c r="K47" s="410">
        <v>1</v>
      </c>
      <c r="L47" s="411">
        <v>0.59806678029434068</v>
      </c>
      <c r="M47" s="409">
        <v>2.546717780917529E-3</v>
      </c>
      <c r="N47" s="410">
        <v>0.60061349807525821</v>
      </c>
      <c r="O47" s="411">
        <v>-0.40193321970565932</v>
      </c>
      <c r="P47" s="409">
        <v>2.546717780917529E-3</v>
      </c>
      <c r="Q47" s="410">
        <v>-0.39938650192474179</v>
      </c>
      <c r="R47" s="412">
        <v>-9.0730431212411325E-2</v>
      </c>
    </row>
    <row r="48" spans="2:18" ht="21" hidden="1" outlineLevel="1" x14ac:dyDescent="0.4">
      <c r="B48" s="192"/>
      <c r="C48" s="193"/>
      <c r="D48" s="193" t="s">
        <v>13</v>
      </c>
      <c r="E48" s="202"/>
      <c r="F48" s="195">
        <f>'EDT Nueva'!F46</f>
        <v>2.3468375928862552E-2</v>
      </c>
      <c r="G48" s="196">
        <f>EDTN10[[#This Row],[Nuevos Pesos]]*$G$47</f>
        <v>5.331416704418084E-3</v>
      </c>
      <c r="H48" s="382" t="s">
        <v>13</v>
      </c>
      <c r="I48" s="383">
        <v>1</v>
      </c>
      <c r="J48" s="384">
        <v>0</v>
      </c>
      <c r="K48" s="385">
        <v>1</v>
      </c>
      <c r="L48" s="386">
        <v>1</v>
      </c>
      <c r="M48" s="384">
        <v>0</v>
      </c>
      <c r="N48" s="385">
        <v>1</v>
      </c>
      <c r="O48" s="386">
        <v>0</v>
      </c>
      <c r="P48" s="384">
        <v>0</v>
      </c>
      <c r="Q48" s="385">
        <v>0</v>
      </c>
      <c r="R48" s="387">
        <v>0</v>
      </c>
    </row>
    <row r="49" spans="2:18" ht="21" hidden="1" outlineLevel="2" x14ac:dyDescent="0.4">
      <c r="B49" s="197"/>
      <c r="C49" s="198"/>
      <c r="D49" s="198"/>
      <c r="E49" s="199" t="s">
        <v>86</v>
      </c>
      <c r="F49" s="200">
        <f>'EDT Nueva'!F47</f>
        <v>1</v>
      </c>
      <c r="G49" s="201">
        <f>EDTN10[[#This Row],[Nuevos Pesos]]*$G$48</f>
        <v>5.331416704418084E-3</v>
      </c>
      <c r="H49" s="399" t="s">
        <v>86</v>
      </c>
      <c r="I49" s="389">
        <v>1</v>
      </c>
      <c r="J49" s="390">
        <v>0</v>
      </c>
      <c r="K49" s="391">
        <v>1</v>
      </c>
      <c r="L49" s="392">
        <v>1</v>
      </c>
      <c r="M49" s="390">
        <v>0</v>
      </c>
      <c r="N49" s="391">
        <v>1</v>
      </c>
      <c r="O49" s="392">
        <v>0</v>
      </c>
      <c r="P49" s="390">
        <v>0</v>
      </c>
      <c r="Q49" s="391">
        <v>0</v>
      </c>
      <c r="R49" s="393">
        <v>0</v>
      </c>
    </row>
    <row r="50" spans="2:18" ht="21" hidden="1" outlineLevel="1" x14ac:dyDescent="0.4">
      <c r="B50" s="192"/>
      <c r="C50" s="193"/>
      <c r="D50" s="193" t="s">
        <v>92</v>
      </c>
      <c r="E50" s="202"/>
      <c r="F50" s="195">
        <f>'EDT Nueva'!F48</f>
        <v>0.18279351044074912</v>
      </c>
      <c r="G50" s="196">
        <f>EDTN10[[#This Row],[Nuevos Pesos]]*$G$47</f>
        <v>4.1526025404445832E-2</v>
      </c>
      <c r="H50" s="382" t="s">
        <v>92</v>
      </c>
      <c r="I50" s="383">
        <v>1</v>
      </c>
      <c r="J50" s="384">
        <v>0</v>
      </c>
      <c r="K50" s="385">
        <v>1</v>
      </c>
      <c r="L50" s="386">
        <v>0.91230769230769237</v>
      </c>
      <c r="M50" s="384">
        <v>2.3076923076922329E-3</v>
      </c>
      <c r="N50" s="385">
        <v>0.91461538461538461</v>
      </c>
      <c r="O50" s="386">
        <v>-8.7692307692307625E-2</v>
      </c>
      <c r="P50" s="384">
        <v>2.3076923076922329E-3</v>
      </c>
      <c r="Q50" s="385">
        <v>-8.5384615384615392E-2</v>
      </c>
      <c r="R50" s="387">
        <v>-3.5456837076103757E-3</v>
      </c>
    </row>
    <row r="51" spans="2:18" ht="21" hidden="1" outlineLevel="2" x14ac:dyDescent="0.4">
      <c r="B51" s="197"/>
      <c r="C51" s="198"/>
      <c r="D51" s="198"/>
      <c r="E51" s="199" t="s">
        <v>93</v>
      </c>
      <c r="F51" s="200">
        <f>'EDT Nueva'!F49</f>
        <v>0.23076923076923078</v>
      </c>
      <c r="G51" s="201">
        <f>EDTN10[[#This Row],[Nuevos Pesos]]*$G$50</f>
        <v>9.5829289394875009E-3</v>
      </c>
      <c r="H51" s="388" t="s">
        <v>93</v>
      </c>
      <c r="I51" s="389">
        <v>1</v>
      </c>
      <c r="J51" s="390">
        <v>0</v>
      </c>
      <c r="K51" s="391">
        <v>1</v>
      </c>
      <c r="L51" s="392">
        <v>0.62</v>
      </c>
      <c r="M51" s="390">
        <v>1.0000000000000009E-2</v>
      </c>
      <c r="N51" s="391">
        <v>0.63</v>
      </c>
      <c r="O51" s="392">
        <v>-0.38</v>
      </c>
      <c r="P51" s="390">
        <v>1.0000000000000009E-2</v>
      </c>
      <c r="Q51" s="391">
        <v>-0.37</v>
      </c>
      <c r="R51" s="393">
        <v>-3.5456837076103752E-3</v>
      </c>
    </row>
    <row r="52" spans="2:18" ht="21" hidden="1" outlineLevel="2" x14ac:dyDescent="0.4">
      <c r="B52" s="197"/>
      <c r="C52" s="198"/>
      <c r="D52" s="198"/>
      <c r="E52" s="199" t="s">
        <v>96</v>
      </c>
      <c r="F52" s="200">
        <f>'EDT Nueva'!F50</f>
        <v>0.38461538461538464</v>
      </c>
      <c r="G52" s="201">
        <f>EDTN10[[#This Row],[Nuevos Pesos]]*$G$50</f>
        <v>1.5971548232479166E-2</v>
      </c>
      <c r="H52" s="394" t="s">
        <v>96</v>
      </c>
      <c r="I52" s="389">
        <v>1</v>
      </c>
      <c r="J52" s="390">
        <v>0</v>
      </c>
      <c r="K52" s="391">
        <v>1</v>
      </c>
      <c r="L52" s="392">
        <v>1</v>
      </c>
      <c r="M52" s="390">
        <v>0</v>
      </c>
      <c r="N52" s="391">
        <v>1</v>
      </c>
      <c r="O52" s="392">
        <v>0</v>
      </c>
      <c r="P52" s="390">
        <v>0</v>
      </c>
      <c r="Q52" s="391">
        <v>0</v>
      </c>
      <c r="R52" s="393">
        <v>0</v>
      </c>
    </row>
    <row r="53" spans="2:18" ht="21" hidden="1" outlineLevel="2" x14ac:dyDescent="0.4">
      <c r="B53" s="197"/>
      <c r="C53" s="198"/>
      <c r="D53" s="198"/>
      <c r="E53" s="199" t="s">
        <v>97</v>
      </c>
      <c r="F53" s="200">
        <f>'EDT Nueva'!F51</f>
        <v>7.6923076923076927E-2</v>
      </c>
      <c r="G53" s="201">
        <f>EDTN10[[#This Row],[Nuevos Pesos]]*$G$50</f>
        <v>3.1943096464958332E-3</v>
      </c>
      <c r="H53" s="394" t="s">
        <v>97</v>
      </c>
      <c r="I53" s="389">
        <v>1</v>
      </c>
      <c r="J53" s="390">
        <v>0</v>
      </c>
      <c r="K53" s="391">
        <v>1</v>
      </c>
      <c r="L53" s="392">
        <v>1</v>
      </c>
      <c r="M53" s="390">
        <v>0</v>
      </c>
      <c r="N53" s="391">
        <v>1</v>
      </c>
      <c r="O53" s="392">
        <v>0</v>
      </c>
      <c r="P53" s="390">
        <v>0</v>
      </c>
      <c r="Q53" s="391">
        <v>0</v>
      </c>
      <c r="R53" s="393">
        <v>0</v>
      </c>
    </row>
    <row r="54" spans="2:18" ht="21" hidden="1" outlineLevel="2" x14ac:dyDescent="0.4">
      <c r="B54" s="197"/>
      <c r="C54" s="198"/>
      <c r="D54" s="198"/>
      <c r="E54" s="199" t="s">
        <v>99</v>
      </c>
      <c r="F54" s="200">
        <f>'EDT Nueva'!F52</f>
        <v>0.23076923076923078</v>
      </c>
      <c r="G54" s="201">
        <f>EDTN10[[#This Row],[Nuevos Pesos]]*$G$50</f>
        <v>9.5829289394875009E-3</v>
      </c>
      <c r="H54" s="394" t="s">
        <v>99</v>
      </c>
      <c r="I54" s="389">
        <v>1</v>
      </c>
      <c r="J54" s="390">
        <v>0</v>
      </c>
      <c r="K54" s="391">
        <v>1</v>
      </c>
      <c r="L54" s="392">
        <v>1</v>
      </c>
      <c r="M54" s="390">
        <v>0</v>
      </c>
      <c r="N54" s="391">
        <v>1</v>
      </c>
      <c r="O54" s="392">
        <v>0</v>
      </c>
      <c r="P54" s="390">
        <v>0</v>
      </c>
      <c r="Q54" s="391">
        <v>0</v>
      </c>
      <c r="R54" s="393">
        <v>0</v>
      </c>
    </row>
    <row r="55" spans="2:18" ht="21" hidden="1" outlineLevel="2" x14ac:dyDescent="0.4">
      <c r="B55" s="197"/>
      <c r="C55" s="198"/>
      <c r="D55" s="198"/>
      <c r="E55" s="199" t="s">
        <v>100</v>
      </c>
      <c r="F55" s="200">
        <f>'EDT Nueva'!F53</f>
        <v>7.6923076923076927E-2</v>
      </c>
      <c r="G55" s="201">
        <f>EDTN10[[#This Row],[Nuevos Pesos]]*$G$50</f>
        <v>3.1943096464958332E-3</v>
      </c>
      <c r="H55" s="395" t="s">
        <v>100</v>
      </c>
      <c r="I55" s="389">
        <v>1</v>
      </c>
      <c r="J55" s="390">
        <v>0</v>
      </c>
      <c r="K55" s="391">
        <v>1</v>
      </c>
      <c r="L55" s="392">
        <v>1</v>
      </c>
      <c r="M55" s="390">
        <v>0</v>
      </c>
      <c r="N55" s="391">
        <v>1</v>
      </c>
      <c r="O55" s="392">
        <v>0</v>
      </c>
      <c r="P55" s="390">
        <v>0</v>
      </c>
      <c r="Q55" s="391">
        <v>0</v>
      </c>
      <c r="R55" s="393">
        <v>0</v>
      </c>
    </row>
    <row r="56" spans="2:18" ht="21" hidden="1" outlineLevel="1" x14ac:dyDescent="0.4">
      <c r="B56" s="192"/>
      <c r="C56" s="193"/>
      <c r="D56" s="193" t="s">
        <v>102</v>
      </c>
      <c r="E56" s="202"/>
      <c r="F56" s="195">
        <f>'EDT Nueva'!F54</f>
        <v>3.5025603345783182E-2</v>
      </c>
      <c r="G56" s="196">
        <f>EDTN10[[#This Row],[Nuevos Pesos]]*$G$47</f>
        <v>7.9569241316938873E-3</v>
      </c>
      <c r="H56" s="382" t="s">
        <v>102</v>
      </c>
      <c r="I56" s="383">
        <v>1</v>
      </c>
      <c r="J56" s="384">
        <v>0</v>
      </c>
      <c r="K56" s="385">
        <v>1</v>
      </c>
      <c r="L56" s="386">
        <v>1</v>
      </c>
      <c r="M56" s="384">
        <v>0</v>
      </c>
      <c r="N56" s="385">
        <v>1</v>
      </c>
      <c r="O56" s="386">
        <v>0</v>
      </c>
      <c r="P56" s="384">
        <v>0</v>
      </c>
      <c r="Q56" s="385">
        <v>0</v>
      </c>
      <c r="R56" s="387">
        <v>0</v>
      </c>
    </row>
    <row r="57" spans="2:18" ht="40.799999999999997" hidden="1" outlineLevel="2" x14ac:dyDescent="0.4">
      <c r="B57" s="197"/>
      <c r="C57" s="198"/>
      <c r="D57" s="198"/>
      <c r="E57" s="199" t="s">
        <v>105</v>
      </c>
      <c r="F57" s="200">
        <f>'EDT Nueva'!F55</f>
        <v>0.25</v>
      </c>
      <c r="G57" s="201">
        <f>EDTN10[[#This Row],[Nuevos Pesos]]*$G$56</f>
        <v>1.9892310329234718E-3</v>
      </c>
      <c r="H57" s="388" t="s">
        <v>105</v>
      </c>
      <c r="I57" s="389">
        <v>1</v>
      </c>
      <c r="J57" s="390">
        <v>0</v>
      </c>
      <c r="K57" s="391">
        <v>1</v>
      </c>
      <c r="L57" s="392">
        <v>1</v>
      </c>
      <c r="M57" s="390">
        <v>0</v>
      </c>
      <c r="N57" s="391">
        <v>1</v>
      </c>
      <c r="O57" s="392">
        <v>0</v>
      </c>
      <c r="P57" s="390">
        <v>0</v>
      </c>
      <c r="Q57" s="391">
        <v>0</v>
      </c>
      <c r="R57" s="393">
        <v>0</v>
      </c>
    </row>
    <row r="58" spans="2:18" ht="40.799999999999997" hidden="1" outlineLevel="2" x14ac:dyDescent="0.4">
      <c r="B58" s="197"/>
      <c r="C58" s="198"/>
      <c r="D58" s="198"/>
      <c r="E58" s="199" t="s">
        <v>106</v>
      </c>
      <c r="F58" s="200">
        <f>'EDT Nueva'!F56</f>
        <v>0.75</v>
      </c>
      <c r="G58" s="201">
        <f>EDTN10[[#This Row],[Nuevos Pesos]]*$G$56</f>
        <v>5.9676930987704151E-3</v>
      </c>
      <c r="H58" s="395" t="s">
        <v>106</v>
      </c>
      <c r="I58" s="389">
        <v>1</v>
      </c>
      <c r="J58" s="390">
        <v>0</v>
      </c>
      <c r="K58" s="391">
        <v>1</v>
      </c>
      <c r="L58" s="392">
        <v>1</v>
      </c>
      <c r="M58" s="390">
        <v>0</v>
      </c>
      <c r="N58" s="391">
        <v>1</v>
      </c>
      <c r="O58" s="392">
        <v>0</v>
      </c>
      <c r="P58" s="390">
        <v>0</v>
      </c>
      <c r="Q58" s="391">
        <v>0</v>
      </c>
      <c r="R58" s="393">
        <v>0</v>
      </c>
    </row>
    <row r="59" spans="2:18" ht="21" hidden="1" outlineLevel="1" x14ac:dyDescent="0.4">
      <c r="B59" s="192"/>
      <c r="C59" s="193"/>
      <c r="D59" s="193" t="s">
        <v>107</v>
      </c>
      <c r="E59" s="202"/>
      <c r="F59" s="195">
        <f>'EDT Nueva'!F57</f>
        <v>5.0592538166131268E-2</v>
      </c>
      <c r="G59" s="196">
        <f>EDTN10[[#This Row],[Nuevos Pesos]]*$G$47</f>
        <v>1.1493334856891172E-2</v>
      </c>
      <c r="H59" s="382" t="s">
        <v>107</v>
      </c>
      <c r="I59" s="383">
        <v>1</v>
      </c>
      <c r="J59" s="384">
        <v>0</v>
      </c>
      <c r="K59" s="385">
        <v>1</v>
      </c>
      <c r="L59" s="386">
        <v>0</v>
      </c>
      <c r="M59" s="384">
        <v>0</v>
      </c>
      <c r="N59" s="385">
        <v>0</v>
      </c>
      <c r="O59" s="386">
        <v>-1</v>
      </c>
      <c r="P59" s="384">
        <v>0</v>
      </c>
      <c r="Q59" s="385">
        <v>-1</v>
      </c>
      <c r="R59" s="387">
        <v>-1.1493334856891172E-2</v>
      </c>
    </row>
    <row r="60" spans="2:18" ht="21" hidden="1" outlineLevel="2" x14ac:dyDescent="0.4">
      <c r="B60" s="197"/>
      <c r="C60" s="198"/>
      <c r="D60" s="198"/>
      <c r="E60" s="199" t="s">
        <v>108</v>
      </c>
      <c r="F60" s="200">
        <f>'EDT Nueva'!F58</f>
        <v>1</v>
      </c>
      <c r="G60" s="201">
        <f>EDTN10[[#This Row],[Nuevos Pesos]]*$G$59</f>
        <v>1.1493334856891172E-2</v>
      </c>
      <c r="H60" s="399" t="s">
        <v>108</v>
      </c>
      <c r="I60" s="389">
        <v>1</v>
      </c>
      <c r="J60" s="390">
        <v>0</v>
      </c>
      <c r="K60" s="391">
        <v>1</v>
      </c>
      <c r="L60" s="392">
        <v>0</v>
      </c>
      <c r="M60" s="390">
        <v>0</v>
      </c>
      <c r="N60" s="391">
        <v>0</v>
      </c>
      <c r="O60" s="392">
        <v>-1</v>
      </c>
      <c r="P60" s="390">
        <v>0</v>
      </c>
      <c r="Q60" s="391">
        <v>-1</v>
      </c>
      <c r="R60" s="393">
        <v>-1.1493334856891172E-2</v>
      </c>
    </row>
    <row r="61" spans="2:18" ht="21" hidden="1" outlineLevel="1" x14ac:dyDescent="0.4">
      <c r="B61" s="192"/>
      <c r="C61" s="193"/>
      <c r="D61" s="193" t="s">
        <v>109</v>
      </c>
      <c r="E61" s="202"/>
      <c r="F61" s="195">
        <f>'EDT Nueva'!F59</f>
        <v>4.2809070755957225E-2</v>
      </c>
      <c r="G61" s="196">
        <f>EDTN10[[#This Row],[Nuevos Pesos]]*$G$47</f>
        <v>9.7251294942925295E-3</v>
      </c>
      <c r="H61" s="382" t="s">
        <v>109</v>
      </c>
      <c r="I61" s="383">
        <v>1</v>
      </c>
      <c r="J61" s="384">
        <v>0</v>
      </c>
      <c r="K61" s="385">
        <v>1</v>
      </c>
      <c r="L61" s="386">
        <v>0.47500000000000003</v>
      </c>
      <c r="M61" s="384">
        <v>0</v>
      </c>
      <c r="N61" s="385">
        <v>0.47500000000000003</v>
      </c>
      <c r="O61" s="386">
        <v>-0.52499999999999991</v>
      </c>
      <c r="P61" s="384">
        <v>0</v>
      </c>
      <c r="Q61" s="385">
        <v>-0.52499999999999991</v>
      </c>
      <c r="R61" s="387">
        <v>-5.105692984503577E-3</v>
      </c>
    </row>
    <row r="62" spans="2:18" ht="21" hidden="1" outlineLevel="2" x14ac:dyDescent="0.4">
      <c r="B62" s="197"/>
      <c r="C62" s="198"/>
      <c r="D62" s="198"/>
      <c r="E62" s="199" t="s">
        <v>110</v>
      </c>
      <c r="F62" s="200">
        <f>'EDT Nueva'!F60</f>
        <v>0.25</v>
      </c>
      <c r="G62" s="201">
        <f>EDTN10[[#This Row],[Nuevos Pesos]]*$G$61</f>
        <v>2.4312823735731324E-3</v>
      </c>
      <c r="H62" s="388" t="s">
        <v>110</v>
      </c>
      <c r="I62" s="389">
        <v>1</v>
      </c>
      <c r="J62" s="390">
        <v>0</v>
      </c>
      <c r="K62" s="391">
        <v>1</v>
      </c>
      <c r="L62" s="392">
        <v>1</v>
      </c>
      <c r="M62" s="390">
        <v>0</v>
      </c>
      <c r="N62" s="391">
        <v>1</v>
      </c>
      <c r="O62" s="392">
        <v>0</v>
      </c>
      <c r="P62" s="390">
        <v>0</v>
      </c>
      <c r="Q62" s="391">
        <v>0</v>
      </c>
      <c r="R62" s="393">
        <v>0</v>
      </c>
    </row>
    <row r="63" spans="2:18" ht="21" hidden="1" outlineLevel="2" x14ac:dyDescent="0.4">
      <c r="B63" s="197"/>
      <c r="C63" s="198"/>
      <c r="D63" s="198"/>
      <c r="E63" s="199" t="s">
        <v>111</v>
      </c>
      <c r="F63" s="200">
        <f>'EDT Nueva'!F61</f>
        <v>0.75</v>
      </c>
      <c r="G63" s="201">
        <f>EDTN10[[#This Row],[Nuevos Pesos]]*$G$61</f>
        <v>7.2938471207193972E-3</v>
      </c>
      <c r="H63" s="395" t="s">
        <v>111</v>
      </c>
      <c r="I63" s="389">
        <v>1</v>
      </c>
      <c r="J63" s="390">
        <v>0</v>
      </c>
      <c r="K63" s="391">
        <v>1</v>
      </c>
      <c r="L63" s="392">
        <v>0.3</v>
      </c>
      <c r="M63" s="390">
        <v>0</v>
      </c>
      <c r="N63" s="391">
        <v>0.3</v>
      </c>
      <c r="O63" s="392">
        <v>-0.7</v>
      </c>
      <c r="P63" s="390">
        <v>0</v>
      </c>
      <c r="Q63" s="391">
        <v>-0.7</v>
      </c>
      <c r="R63" s="393">
        <v>-5.1056929845035778E-3</v>
      </c>
    </row>
    <row r="64" spans="2:18" ht="21" hidden="1" outlineLevel="1" x14ac:dyDescent="0.4">
      <c r="B64" s="192"/>
      <c r="C64" s="193"/>
      <c r="D64" s="193" t="s">
        <v>112</v>
      </c>
      <c r="E64" s="202"/>
      <c r="F64" s="195">
        <f>'EDT Nueva'!F62</f>
        <v>8.1726407806827425E-2</v>
      </c>
      <c r="G64" s="196">
        <f>EDTN10[[#This Row],[Nuevos Pesos]]*$G$47</f>
        <v>1.8566156307285739E-2</v>
      </c>
      <c r="H64" s="382" t="s">
        <v>112</v>
      </c>
      <c r="I64" s="383">
        <v>1</v>
      </c>
      <c r="J64" s="384">
        <v>0</v>
      </c>
      <c r="K64" s="385">
        <v>1</v>
      </c>
      <c r="L64" s="386">
        <v>0.22199999999999998</v>
      </c>
      <c r="M64" s="384">
        <v>0</v>
      </c>
      <c r="N64" s="385">
        <v>0.22199999999999998</v>
      </c>
      <c r="O64" s="386">
        <v>-0.77800000000000002</v>
      </c>
      <c r="P64" s="384">
        <v>0</v>
      </c>
      <c r="Q64" s="385">
        <v>-0.77800000000000002</v>
      </c>
      <c r="R64" s="387">
        <v>-1.4444469607068305E-2</v>
      </c>
    </row>
    <row r="65" spans="2:18" ht="21" hidden="1" outlineLevel="2" x14ac:dyDescent="0.4">
      <c r="B65" s="197"/>
      <c r="C65" s="198"/>
      <c r="D65" s="198"/>
      <c r="E65" s="199" t="s">
        <v>113</v>
      </c>
      <c r="F65" s="200">
        <f>'EDT Nueva'!F63</f>
        <v>0.222</v>
      </c>
      <c r="G65" s="201">
        <f>EDTN10[[#This Row],[Nuevos Pesos]]*$G$64</f>
        <v>4.1216867002174338E-3</v>
      </c>
      <c r="H65" s="388" t="s">
        <v>113</v>
      </c>
      <c r="I65" s="389">
        <v>1</v>
      </c>
      <c r="J65" s="390">
        <v>0</v>
      </c>
      <c r="K65" s="391">
        <v>1</v>
      </c>
      <c r="L65" s="392">
        <v>1</v>
      </c>
      <c r="M65" s="390">
        <v>0</v>
      </c>
      <c r="N65" s="391">
        <v>1</v>
      </c>
      <c r="O65" s="392">
        <v>0</v>
      </c>
      <c r="P65" s="390">
        <v>0</v>
      </c>
      <c r="Q65" s="391">
        <v>0</v>
      </c>
      <c r="R65" s="393">
        <v>0</v>
      </c>
    </row>
    <row r="66" spans="2:18" ht="21" hidden="1" outlineLevel="2" x14ac:dyDescent="0.4">
      <c r="B66" s="197"/>
      <c r="C66" s="198"/>
      <c r="D66" s="198"/>
      <c r="E66" s="199" t="s">
        <v>114</v>
      </c>
      <c r="F66" s="200">
        <f>'EDT Nueva'!F64</f>
        <v>0.77800000000000002</v>
      </c>
      <c r="G66" s="201">
        <f>EDTN10[[#This Row],[Nuevos Pesos]]*$G$64</f>
        <v>1.4444469607068305E-2</v>
      </c>
      <c r="H66" s="395" t="s">
        <v>114</v>
      </c>
      <c r="I66" s="389">
        <v>1</v>
      </c>
      <c r="J66" s="390">
        <v>0</v>
      </c>
      <c r="K66" s="391">
        <v>1</v>
      </c>
      <c r="L66" s="392">
        <v>0</v>
      </c>
      <c r="M66" s="390">
        <v>0</v>
      </c>
      <c r="N66" s="391">
        <v>0</v>
      </c>
      <c r="O66" s="392">
        <v>-1</v>
      </c>
      <c r="P66" s="390">
        <v>0</v>
      </c>
      <c r="Q66" s="391">
        <v>-1</v>
      </c>
      <c r="R66" s="393">
        <v>-1.4444469607068305E-2</v>
      </c>
    </row>
    <row r="67" spans="2:18" ht="21" hidden="1" outlineLevel="1" x14ac:dyDescent="0.4">
      <c r="B67" s="192"/>
      <c r="C67" s="193"/>
      <c r="D67" s="193" t="s">
        <v>115</v>
      </c>
      <c r="E67" s="202"/>
      <c r="F67" s="195">
        <f>'EDT Nueva'!F65</f>
        <v>0.24500366121311851</v>
      </c>
      <c r="G67" s="196">
        <f>EDTN10[[#This Row],[Nuevos Pesos]]*$G$47</f>
        <v>5.5658585664155831E-2</v>
      </c>
      <c r="H67" s="382" t="s">
        <v>115</v>
      </c>
      <c r="I67" s="383">
        <v>1</v>
      </c>
      <c r="J67" s="384">
        <v>0</v>
      </c>
      <c r="K67" s="385">
        <v>1</v>
      </c>
      <c r="L67" s="386">
        <v>0.96681149235422892</v>
      </c>
      <c r="M67" s="384">
        <v>0</v>
      </c>
      <c r="N67" s="385">
        <v>0.96681149235422892</v>
      </c>
      <c r="O67" s="386">
        <v>-3.3188507645771081E-2</v>
      </c>
      <c r="P67" s="384">
        <v>0</v>
      </c>
      <c r="Q67" s="385">
        <v>-3.3188507645771081E-2</v>
      </c>
      <c r="R67" s="387">
        <v>-1.8472253958676408E-3</v>
      </c>
    </row>
    <row r="68" spans="2:18" ht="21" hidden="1" outlineLevel="2" x14ac:dyDescent="0.4">
      <c r="B68" s="197"/>
      <c r="C68" s="198"/>
      <c r="D68" s="198"/>
      <c r="E68" s="199" t="s">
        <v>116</v>
      </c>
      <c r="F68" s="200">
        <f>'EDT Nueva'!F66</f>
        <v>0.66377015291541941</v>
      </c>
      <c r="G68" s="201">
        <f>EDTN10[[#This Row],[Nuevos Pesos]]*$G$67</f>
        <v>3.6944507917352688E-2</v>
      </c>
      <c r="H68" s="388" t="s">
        <v>116</v>
      </c>
      <c r="I68" s="389">
        <v>1</v>
      </c>
      <c r="J68" s="390">
        <v>0</v>
      </c>
      <c r="K68" s="391">
        <v>1</v>
      </c>
      <c r="L68" s="392">
        <v>0.94999999999999984</v>
      </c>
      <c r="M68" s="390">
        <v>0</v>
      </c>
      <c r="N68" s="391">
        <v>0.94999999999999984</v>
      </c>
      <c r="O68" s="392">
        <v>-5.0000000000000155E-2</v>
      </c>
      <c r="P68" s="390">
        <v>0</v>
      </c>
      <c r="Q68" s="391">
        <v>-5.0000000000000155E-2</v>
      </c>
      <c r="R68" s="393">
        <v>-1.8472253958676402E-3</v>
      </c>
    </row>
    <row r="69" spans="2:18" ht="21" hidden="1" outlineLevel="2" x14ac:dyDescent="0.4">
      <c r="B69" s="197"/>
      <c r="C69" s="198"/>
      <c r="D69" s="198"/>
      <c r="E69" s="199" t="s">
        <v>117</v>
      </c>
      <c r="F69" s="200">
        <f>'EDT Nueva'!F67</f>
        <v>0.33622984708458059</v>
      </c>
      <c r="G69" s="201">
        <f>EDTN10[[#This Row],[Nuevos Pesos]]*$G$67</f>
        <v>1.8714077746803146E-2</v>
      </c>
      <c r="H69" s="395" t="s">
        <v>117</v>
      </c>
      <c r="I69" s="389">
        <v>1</v>
      </c>
      <c r="J69" s="390">
        <v>0</v>
      </c>
      <c r="K69" s="391">
        <v>1</v>
      </c>
      <c r="L69" s="392">
        <v>1</v>
      </c>
      <c r="M69" s="390">
        <v>0</v>
      </c>
      <c r="N69" s="391">
        <v>1</v>
      </c>
      <c r="O69" s="392">
        <v>0</v>
      </c>
      <c r="P69" s="390">
        <v>0</v>
      </c>
      <c r="Q69" s="391">
        <v>0</v>
      </c>
      <c r="R69" s="393">
        <v>0</v>
      </c>
    </row>
    <row r="70" spans="2:18" ht="21" hidden="1" outlineLevel="1" x14ac:dyDescent="0.4">
      <c r="B70" s="192"/>
      <c r="C70" s="193"/>
      <c r="D70" s="193" t="s">
        <v>118</v>
      </c>
      <c r="E70" s="202"/>
      <c r="F70" s="195">
        <f>'EDT Nueva'!F68</f>
        <v>5.8376005576305304E-2</v>
      </c>
      <c r="G70" s="196">
        <f>EDTN10[[#This Row],[Nuevos Pesos]]*$G$47</f>
        <v>1.3261540219489812E-2</v>
      </c>
      <c r="H70" s="382" t="s">
        <v>118</v>
      </c>
      <c r="I70" s="383">
        <v>1</v>
      </c>
      <c r="J70" s="384">
        <v>0</v>
      </c>
      <c r="K70" s="385">
        <v>1</v>
      </c>
      <c r="L70" s="386">
        <v>0</v>
      </c>
      <c r="M70" s="384">
        <v>0</v>
      </c>
      <c r="N70" s="385">
        <v>0</v>
      </c>
      <c r="O70" s="386">
        <v>-1</v>
      </c>
      <c r="P70" s="384">
        <v>0</v>
      </c>
      <c r="Q70" s="385">
        <v>-1</v>
      </c>
      <c r="R70" s="387">
        <v>-1.326154021948981E-2</v>
      </c>
    </row>
    <row r="71" spans="2:18" ht="21" hidden="1" outlineLevel="2" x14ac:dyDescent="0.4">
      <c r="B71" s="197"/>
      <c r="C71" s="198"/>
      <c r="D71" s="198"/>
      <c r="E71" s="199" t="s">
        <v>119</v>
      </c>
      <c r="F71" s="200">
        <f>'EDT Nueva'!F69</f>
        <v>0.33333333333333331</v>
      </c>
      <c r="G71" s="201">
        <f>EDTN10[[#This Row],[Nuevos Pesos]]*$G$70</f>
        <v>4.4205134064966038E-3</v>
      </c>
      <c r="H71" s="388" t="s">
        <v>119</v>
      </c>
      <c r="I71" s="389">
        <v>1</v>
      </c>
      <c r="J71" s="390">
        <v>0</v>
      </c>
      <c r="K71" s="391">
        <v>1</v>
      </c>
      <c r="L71" s="392">
        <v>0</v>
      </c>
      <c r="M71" s="390">
        <v>0</v>
      </c>
      <c r="N71" s="391">
        <v>0</v>
      </c>
      <c r="O71" s="392">
        <v>-1</v>
      </c>
      <c r="P71" s="390">
        <v>0</v>
      </c>
      <c r="Q71" s="391">
        <v>-1</v>
      </c>
      <c r="R71" s="393">
        <v>-4.4205134064966038E-3</v>
      </c>
    </row>
    <row r="72" spans="2:18" ht="21" hidden="1" outlineLevel="2" x14ac:dyDescent="0.4">
      <c r="B72" s="197"/>
      <c r="C72" s="198"/>
      <c r="D72" s="198"/>
      <c r="E72" s="210" t="s">
        <v>120</v>
      </c>
      <c r="F72" s="200">
        <f>'EDT Nueva'!F70</f>
        <v>0.33333333333333331</v>
      </c>
      <c r="G72" s="201">
        <f>EDTN10[[#This Row],[Nuevos Pesos]]*$G$70</f>
        <v>4.4205134064966038E-3</v>
      </c>
      <c r="H72" s="394" t="s">
        <v>120</v>
      </c>
      <c r="I72" s="389">
        <v>1</v>
      </c>
      <c r="J72" s="390">
        <v>0</v>
      </c>
      <c r="K72" s="391">
        <v>1</v>
      </c>
      <c r="L72" s="392">
        <v>0</v>
      </c>
      <c r="M72" s="420">
        <v>0</v>
      </c>
      <c r="N72" s="391">
        <v>0</v>
      </c>
      <c r="O72" s="392">
        <v>-1</v>
      </c>
      <c r="P72" s="390">
        <v>0</v>
      </c>
      <c r="Q72" s="391">
        <v>-1</v>
      </c>
      <c r="R72" s="393">
        <v>-4.4205134064966038E-3</v>
      </c>
    </row>
    <row r="73" spans="2:18" ht="21" hidden="1" outlineLevel="2" x14ac:dyDescent="0.4">
      <c r="B73" s="197"/>
      <c r="C73" s="198"/>
      <c r="D73" s="198"/>
      <c r="E73" s="210" t="s">
        <v>121</v>
      </c>
      <c r="F73" s="200">
        <f>'EDT Nueva'!F71</f>
        <v>0.33333333333333331</v>
      </c>
      <c r="G73" s="201">
        <f>EDTN10[[#This Row],[Nuevos Pesos]]*$G$70</f>
        <v>4.4205134064966038E-3</v>
      </c>
      <c r="H73" s="395" t="s">
        <v>121</v>
      </c>
      <c r="I73" s="389">
        <v>1</v>
      </c>
      <c r="J73" s="390">
        <v>0</v>
      </c>
      <c r="K73" s="391">
        <v>1</v>
      </c>
      <c r="L73" s="392">
        <v>0</v>
      </c>
      <c r="M73" s="390">
        <v>0</v>
      </c>
      <c r="N73" s="391">
        <v>0</v>
      </c>
      <c r="O73" s="392">
        <v>-1</v>
      </c>
      <c r="P73" s="390">
        <v>0</v>
      </c>
      <c r="Q73" s="391">
        <v>-1</v>
      </c>
      <c r="R73" s="393">
        <v>-4.4205134064966038E-3</v>
      </c>
    </row>
    <row r="74" spans="2:18" ht="21" hidden="1" outlineLevel="1" x14ac:dyDescent="0.4">
      <c r="B74" s="192"/>
      <c r="C74" s="193"/>
      <c r="D74" s="193" t="s">
        <v>122</v>
      </c>
      <c r="E74" s="202"/>
      <c r="F74" s="195">
        <f>'EDT Nueva'!F72</f>
        <v>3.5025603345783182E-2</v>
      </c>
      <c r="G74" s="196">
        <f>EDTN10[[#This Row],[Nuevos Pesos]]*$G$47</f>
        <v>7.9569241316938873E-3</v>
      </c>
      <c r="H74" s="382" t="s">
        <v>122</v>
      </c>
      <c r="I74" s="383">
        <v>1</v>
      </c>
      <c r="J74" s="384">
        <v>0</v>
      </c>
      <c r="K74" s="385">
        <v>1</v>
      </c>
      <c r="L74" s="386">
        <v>1</v>
      </c>
      <c r="M74" s="384">
        <v>0</v>
      </c>
      <c r="N74" s="385">
        <v>1</v>
      </c>
      <c r="O74" s="386">
        <v>0</v>
      </c>
      <c r="P74" s="384">
        <v>0</v>
      </c>
      <c r="Q74" s="385">
        <v>0</v>
      </c>
      <c r="R74" s="387">
        <v>0</v>
      </c>
    </row>
    <row r="75" spans="2:18" ht="21" hidden="1" outlineLevel="2" x14ac:dyDescent="0.4">
      <c r="B75" s="197"/>
      <c r="C75" s="198"/>
      <c r="D75" s="198"/>
      <c r="E75" s="199" t="s">
        <v>123</v>
      </c>
      <c r="F75" s="200">
        <f>'EDT Nueva'!F73</f>
        <v>0.33333333333333331</v>
      </c>
      <c r="G75" s="201">
        <f>EDTN10[[#This Row],[Nuevos Pesos]]*$G$74</f>
        <v>2.6523080438979624E-3</v>
      </c>
      <c r="H75" s="388" t="s">
        <v>123</v>
      </c>
      <c r="I75" s="389">
        <v>1</v>
      </c>
      <c r="J75" s="390">
        <v>0</v>
      </c>
      <c r="K75" s="391">
        <v>1</v>
      </c>
      <c r="L75" s="392">
        <v>0.99999999999999989</v>
      </c>
      <c r="M75" s="390">
        <v>0</v>
      </c>
      <c r="N75" s="391">
        <v>0.99999999999999989</v>
      </c>
      <c r="O75" s="392">
        <v>-1.1102230246251565E-16</v>
      </c>
      <c r="P75" s="390">
        <v>0</v>
      </c>
      <c r="Q75" s="391">
        <v>-1.1102230246251565E-16</v>
      </c>
      <c r="R75" s="393">
        <v>-2.9446534587340283E-19</v>
      </c>
    </row>
    <row r="76" spans="2:18" ht="21" hidden="1" outlineLevel="2" x14ac:dyDescent="0.4">
      <c r="B76" s="197"/>
      <c r="C76" s="198"/>
      <c r="D76" s="198"/>
      <c r="E76" s="199" t="s">
        <v>124</v>
      </c>
      <c r="F76" s="200">
        <f>'EDT Nueva'!F74</f>
        <v>0.33333333333333331</v>
      </c>
      <c r="G76" s="201">
        <f>EDTN10[[#This Row],[Nuevos Pesos]]*$G$74</f>
        <v>2.6523080438979624E-3</v>
      </c>
      <c r="H76" s="394" t="s">
        <v>124</v>
      </c>
      <c r="I76" s="389">
        <v>1</v>
      </c>
      <c r="J76" s="390">
        <v>0</v>
      </c>
      <c r="K76" s="391">
        <v>1</v>
      </c>
      <c r="L76" s="392">
        <v>1</v>
      </c>
      <c r="M76" s="390">
        <v>0</v>
      </c>
      <c r="N76" s="391">
        <v>1</v>
      </c>
      <c r="O76" s="392">
        <v>0</v>
      </c>
      <c r="P76" s="390">
        <v>0</v>
      </c>
      <c r="Q76" s="391">
        <v>0</v>
      </c>
      <c r="R76" s="393">
        <v>0</v>
      </c>
    </row>
    <row r="77" spans="2:18" ht="21" hidden="1" outlineLevel="2" x14ac:dyDescent="0.4">
      <c r="B77" s="197"/>
      <c r="C77" s="198"/>
      <c r="D77" s="198"/>
      <c r="E77" s="199" t="s">
        <v>125</v>
      </c>
      <c r="F77" s="200">
        <f>'EDT Nueva'!F75</f>
        <v>0.33333333333333331</v>
      </c>
      <c r="G77" s="201">
        <f>EDTN10[[#This Row],[Nuevos Pesos]]*$G$74</f>
        <v>2.6523080438979624E-3</v>
      </c>
      <c r="H77" s="395" t="s">
        <v>125</v>
      </c>
      <c r="I77" s="389">
        <v>1</v>
      </c>
      <c r="J77" s="390">
        <v>0</v>
      </c>
      <c r="K77" s="391">
        <v>1</v>
      </c>
      <c r="L77" s="392">
        <v>1</v>
      </c>
      <c r="M77" s="390">
        <v>0</v>
      </c>
      <c r="N77" s="391">
        <v>1</v>
      </c>
      <c r="O77" s="392">
        <v>0</v>
      </c>
      <c r="P77" s="390">
        <v>0</v>
      </c>
      <c r="Q77" s="391">
        <v>0</v>
      </c>
      <c r="R77" s="393">
        <v>0</v>
      </c>
    </row>
    <row r="78" spans="2:18" ht="21" hidden="1" outlineLevel="1" x14ac:dyDescent="0.4">
      <c r="B78" s="192"/>
      <c r="C78" s="193"/>
      <c r="D78" s="193" t="s">
        <v>126</v>
      </c>
      <c r="E78" s="202"/>
      <c r="F78" s="195">
        <f>'EDT Nueva'!F76</f>
        <v>8.1726407806827425E-2</v>
      </c>
      <c r="G78" s="196">
        <f>EDTN10[[#This Row],[Nuevos Pesos]]*$G$47</f>
        <v>1.8566156307285739E-2</v>
      </c>
      <c r="H78" s="382" t="s">
        <v>209</v>
      </c>
      <c r="I78" s="383">
        <v>1</v>
      </c>
      <c r="J78" s="384">
        <v>0</v>
      </c>
      <c r="K78" s="385">
        <v>1</v>
      </c>
      <c r="L78" s="386">
        <v>0.11111111111111112</v>
      </c>
      <c r="M78" s="384">
        <v>0</v>
      </c>
      <c r="N78" s="385">
        <v>0.11111111111111112</v>
      </c>
      <c r="O78" s="386">
        <v>-0.88888888888888884</v>
      </c>
      <c r="P78" s="384">
        <v>0</v>
      </c>
      <c r="Q78" s="385">
        <v>-0.88888888888888884</v>
      </c>
      <c r="R78" s="387">
        <v>-1.6503250050920657E-2</v>
      </c>
    </row>
    <row r="79" spans="2:18" ht="21" hidden="1" outlineLevel="2" x14ac:dyDescent="0.4">
      <c r="B79" s="197"/>
      <c r="C79" s="198"/>
      <c r="D79" s="198"/>
      <c r="E79" s="199" t="s">
        <v>127</v>
      </c>
      <c r="F79" s="200">
        <f>'EDT Nueva'!F77</f>
        <v>0.22222222222222221</v>
      </c>
      <c r="G79" s="201">
        <f>EDTN10[[#This Row],[Nuevos Pesos]]*$G$78</f>
        <v>4.1258125127301643E-3</v>
      </c>
      <c r="H79" s="388" t="s">
        <v>127</v>
      </c>
      <c r="I79" s="389">
        <v>1</v>
      </c>
      <c r="J79" s="390">
        <v>0</v>
      </c>
      <c r="K79" s="391">
        <v>1</v>
      </c>
      <c r="L79" s="392">
        <v>0</v>
      </c>
      <c r="M79" s="390">
        <v>0</v>
      </c>
      <c r="N79" s="391">
        <v>0</v>
      </c>
      <c r="O79" s="392">
        <v>-1</v>
      </c>
      <c r="P79" s="390">
        <v>0</v>
      </c>
      <c r="Q79" s="391">
        <v>-1</v>
      </c>
      <c r="R79" s="393">
        <v>-4.1258125127301643E-3</v>
      </c>
    </row>
    <row r="80" spans="2:18" ht="21" hidden="1" outlineLevel="2" x14ac:dyDescent="0.4">
      <c r="B80" s="197"/>
      <c r="C80" s="198"/>
      <c r="D80" s="198"/>
      <c r="E80" s="199" t="s">
        <v>128</v>
      </c>
      <c r="F80" s="200">
        <f>'EDT Nueva'!F78</f>
        <v>0.1111111111111111</v>
      </c>
      <c r="G80" s="201">
        <f>EDTN10[[#This Row],[Nuevos Pesos]]*$G$78</f>
        <v>2.0629062563650821E-3</v>
      </c>
      <c r="H80" s="394" t="s">
        <v>128</v>
      </c>
      <c r="I80" s="389">
        <v>1</v>
      </c>
      <c r="J80" s="390">
        <v>0</v>
      </c>
      <c r="K80" s="391">
        <v>1</v>
      </c>
      <c r="L80" s="392">
        <v>0</v>
      </c>
      <c r="M80" s="390">
        <v>0</v>
      </c>
      <c r="N80" s="391">
        <v>0</v>
      </c>
      <c r="O80" s="392">
        <v>-1</v>
      </c>
      <c r="P80" s="390">
        <v>0</v>
      </c>
      <c r="Q80" s="391">
        <v>-1</v>
      </c>
      <c r="R80" s="393">
        <v>-2.0629062563650821E-3</v>
      </c>
    </row>
    <row r="81" spans="1:18" ht="21" hidden="1" outlineLevel="2" x14ac:dyDescent="0.4">
      <c r="B81" s="197"/>
      <c r="C81" s="198"/>
      <c r="D81" s="198"/>
      <c r="E81" s="199" t="s">
        <v>129</v>
      </c>
      <c r="F81" s="200">
        <f>'EDT Nueva'!F79</f>
        <v>0.1111111111111111</v>
      </c>
      <c r="G81" s="201">
        <f>EDTN10[[#This Row],[Nuevos Pesos]]*$G$78</f>
        <v>2.0629062563650821E-3</v>
      </c>
      <c r="H81" s="394" t="s">
        <v>129</v>
      </c>
      <c r="I81" s="389">
        <v>1</v>
      </c>
      <c r="J81" s="390">
        <v>0</v>
      </c>
      <c r="K81" s="391">
        <v>1</v>
      </c>
      <c r="L81" s="392">
        <v>0</v>
      </c>
      <c r="M81" s="390">
        <v>0</v>
      </c>
      <c r="N81" s="391">
        <v>0</v>
      </c>
      <c r="O81" s="392">
        <v>-1</v>
      </c>
      <c r="P81" s="390">
        <v>0</v>
      </c>
      <c r="Q81" s="391">
        <v>-1</v>
      </c>
      <c r="R81" s="393">
        <v>-2.0629062563650821E-3</v>
      </c>
    </row>
    <row r="82" spans="1:18" ht="40.799999999999997" hidden="1" outlineLevel="2" x14ac:dyDescent="0.4">
      <c r="B82" s="197"/>
      <c r="C82" s="198"/>
      <c r="D82" s="198"/>
      <c r="E82" s="199" t="s">
        <v>130</v>
      </c>
      <c r="F82" s="200">
        <f>'EDT Nueva'!F80</f>
        <v>0.22222222222222221</v>
      </c>
      <c r="G82" s="201">
        <f>EDTN10[[#This Row],[Nuevos Pesos]]*$G$78</f>
        <v>4.1258125127301643E-3</v>
      </c>
      <c r="H82" s="394" t="s">
        <v>130</v>
      </c>
      <c r="I82" s="389">
        <v>1</v>
      </c>
      <c r="J82" s="390">
        <v>0</v>
      </c>
      <c r="K82" s="391">
        <v>1</v>
      </c>
      <c r="L82" s="392">
        <v>0</v>
      </c>
      <c r="M82" s="390">
        <v>0</v>
      </c>
      <c r="N82" s="391">
        <v>0</v>
      </c>
      <c r="O82" s="392">
        <v>-1</v>
      </c>
      <c r="P82" s="390">
        <v>0</v>
      </c>
      <c r="Q82" s="391">
        <v>-1</v>
      </c>
      <c r="R82" s="393">
        <v>-4.1258125127301643E-3</v>
      </c>
    </row>
    <row r="83" spans="1:18" ht="21" hidden="1" outlineLevel="2" x14ac:dyDescent="0.4">
      <c r="B83" s="197"/>
      <c r="C83" s="198"/>
      <c r="D83" s="198"/>
      <c r="E83" s="199" t="s">
        <v>131</v>
      </c>
      <c r="F83" s="200">
        <f>'EDT Nueva'!F81</f>
        <v>0.1111111111111111</v>
      </c>
      <c r="G83" s="201">
        <f>EDTN10[[#This Row],[Nuevos Pesos]]*$G$78</f>
        <v>2.0629062563650821E-3</v>
      </c>
      <c r="H83" s="394" t="s">
        <v>131</v>
      </c>
      <c r="I83" s="389">
        <v>1</v>
      </c>
      <c r="J83" s="390">
        <v>0</v>
      </c>
      <c r="K83" s="391">
        <v>1</v>
      </c>
      <c r="L83" s="392">
        <v>1</v>
      </c>
      <c r="M83" s="390">
        <v>0</v>
      </c>
      <c r="N83" s="391">
        <v>1</v>
      </c>
      <c r="O83" s="392">
        <v>0</v>
      </c>
      <c r="P83" s="390">
        <v>0</v>
      </c>
      <c r="Q83" s="391">
        <v>0</v>
      </c>
      <c r="R83" s="393">
        <v>0</v>
      </c>
    </row>
    <row r="84" spans="1:18" ht="21" hidden="1" outlineLevel="2" x14ac:dyDescent="0.4">
      <c r="B84" s="197"/>
      <c r="C84" s="198"/>
      <c r="D84" s="198"/>
      <c r="E84" s="199" t="s">
        <v>132</v>
      </c>
      <c r="F84" s="200">
        <f>'EDT Nueva'!F82</f>
        <v>0.22222222222222221</v>
      </c>
      <c r="G84" s="201">
        <f>EDTN10[[#This Row],[Nuevos Pesos]]*$G$78</f>
        <v>4.1258125127301643E-3</v>
      </c>
      <c r="H84" s="395" t="s">
        <v>132</v>
      </c>
      <c r="I84" s="389">
        <v>1</v>
      </c>
      <c r="J84" s="390">
        <v>0</v>
      </c>
      <c r="K84" s="391">
        <v>1</v>
      </c>
      <c r="L84" s="392">
        <v>0</v>
      </c>
      <c r="M84" s="390">
        <v>0</v>
      </c>
      <c r="N84" s="391">
        <v>0</v>
      </c>
      <c r="O84" s="392">
        <v>-1</v>
      </c>
      <c r="P84" s="390">
        <v>0</v>
      </c>
      <c r="Q84" s="391">
        <v>-1</v>
      </c>
      <c r="R84" s="393">
        <v>-4.1258125127301643E-3</v>
      </c>
    </row>
    <row r="85" spans="1:18" ht="21" hidden="1" outlineLevel="1" x14ac:dyDescent="0.4">
      <c r="B85" s="192"/>
      <c r="C85" s="193"/>
      <c r="D85" s="193" t="s">
        <v>133</v>
      </c>
      <c r="E85" s="202"/>
      <c r="F85" s="195">
        <f>'EDT Nueva'!F83</f>
        <v>8.1726407806827439E-2</v>
      </c>
      <c r="G85" s="196">
        <f>EDTN10[[#This Row],[Nuevos Pesos]]*$G$47</f>
        <v>1.8566156307285742E-2</v>
      </c>
      <c r="H85" s="382" t="s">
        <v>133</v>
      </c>
      <c r="I85" s="383">
        <v>1</v>
      </c>
      <c r="J85" s="384">
        <v>0</v>
      </c>
      <c r="K85" s="385">
        <v>1</v>
      </c>
      <c r="L85" s="386">
        <v>0.17981999999999998</v>
      </c>
      <c r="M85" s="384">
        <v>0</v>
      </c>
      <c r="N85" s="385">
        <v>0.17981999999999998</v>
      </c>
      <c r="O85" s="386">
        <v>-0.82018000000000002</v>
      </c>
      <c r="P85" s="384">
        <v>0</v>
      </c>
      <c r="Q85" s="385">
        <v>-0.82018000000000002</v>
      </c>
      <c r="R85" s="387">
        <v>-1.5227590080109621E-2</v>
      </c>
    </row>
    <row r="86" spans="1:18" ht="21" hidden="1" outlineLevel="2" x14ac:dyDescent="0.4">
      <c r="B86" s="197"/>
      <c r="C86" s="198"/>
      <c r="D86" s="198"/>
      <c r="E86" s="199" t="s">
        <v>134</v>
      </c>
      <c r="F86" s="200">
        <f>'EDT Nueva'!F84</f>
        <v>0.222</v>
      </c>
      <c r="G86" s="201">
        <f>EDTN10[[#This Row],[Nuevos Pesos]]*$G$85</f>
        <v>4.1216867002174347E-3</v>
      </c>
      <c r="H86" s="388" t="s">
        <v>134</v>
      </c>
      <c r="I86" s="389">
        <v>1</v>
      </c>
      <c r="J86" s="390">
        <v>0</v>
      </c>
      <c r="K86" s="391">
        <v>1</v>
      </c>
      <c r="L86" s="392">
        <v>0.4</v>
      </c>
      <c r="M86" s="390">
        <v>0</v>
      </c>
      <c r="N86" s="391">
        <v>0.4</v>
      </c>
      <c r="O86" s="392">
        <v>-0.6</v>
      </c>
      <c r="P86" s="390">
        <v>0</v>
      </c>
      <c r="Q86" s="391">
        <v>-0.6</v>
      </c>
      <c r="R86" s="393">
        <v>-2.4730120201304608E-3</v>
      </c>
    </row>
    <row r="87" spans="1:18" ht="21" hidden="1" outlineLevel="2" x14ac:dyDescent="0.4">
      <c r="B87" s="197"/>
      <c r="C87" s="198"/>
      <c r="D87" s="198"/>
      <c r="E87" s="199" t="s">
        <v>135</v>
      </c>
      <c r="F87" s="200">
        <f>'EDT Nueva'!F85</f>
        <v>0.222</v>
      </c>
      <c r="G87" s="201">
        <f>EDTN10[[#This Row],[Nuevos Pesos]]*$G$85</f>
        <v>4.1216867002174347E-3</v>
      </c>
      <c r="H87" s="394" t="s">
        <v>212</v>
      </c>
      <c r="I87" s="389">
        <v>1</v>
      </c>
      <c r="J87" s="390">
        <v>0</v>
      </c>
      <c r="K87" s="391">
        <v>1</v>
      </c>
      <c r="L87" s="392">
        <v>0.41</v>
      </c>
      <c r="M87" s="390">
        <v>0</v>
      </c>
      <c r="N87" s="391">
        <v>0.41</v>
      </c>
      <c r="O87" s="392">
        <v>-0.59000000000000008</v>
      </c>
      <c r="P87" s="390">
        <v>0</v>
      </c>
      <c r="Q87" s="391">
        <v>-0.59000000000000008</v>
      </c>
      <c r="R87" s="393">
        <v>-2.4317951531282866E-3</v>
      </c>
    </row>
    <row r="88" spans="1:18" ht="21" hidden="1" outlineLevel="2" x14ac:dyDescent="0.4">
      <c r="B88" s="197"/>
      <c r="C88" s="198"/>
      <c r="D88" s="198"/>
      <c r="E88" s="199" t="s">
        <v>136</v>
      </c>
      <c r="F88" s="200">
        <f>'EDT Nueva'!F86</f>
        <v>0.55600000000000005</v>
      </c>
      <c r="G88" s="201">
        <f>EDTN10[[#This Row],[Nuevos Pesos]]*$G$85</f>
        <v>1.0322782906850873E-2</v>
      </c>
      <c r="H88" s="395" t="s">
        <v>136</v>
      </c>
      <c r="I88" s="389">
        <v>1</v>
      </c>
      <c r="J88" s="390">
        <v>0</v>
      </c>
      <c r="K88" s="391">
        <v>1</v>
      </c>
      <c r="L88" s="392">
        <v>0</v>
      </c>
      <c r="M88" s="390">
        <v>0</v>
      </c>
      <c r="N88" s="391">
        <v>0</v>
      </c>
      <c r="O88" s="392">
        <v>-1</v>
      </c>
      <c r="P88" s="390">
        <v>0</v>
      </c>
      <c r="Q88" s="391">
        <v>-1</v>
      </c>
      <c r="R88" s="393">
        <v>-1.0322782906850873E-2</v>
      </c>
    </row>
    <row r="89" spans="1:18" ht="21" hidden="1" outlineLevel="1" x14ac:dyDescent="0.4">
      <c r="B89" s="192"/>
      <c r="C89" s="193"/>
      <c r="D89" s="193" t="s">
        <v>137</v>
      </c>
      <c r="E89" s="202"/>
      <c r="F89" s="195">
        <f>'EDT Nueva'!F87</f>
        <v>8.1726407806827425E-2</v>
      </c>
      <c r="G89" s="196">
        <f>EDTN10[[#This Row],[Nuevos Pesos]]*$G$47</f>
        <v>1.8566156307285739E-2</v>
      </c>
      <c r="H89" s="382" t="s">
        <v>210</v>
      </c>
      <c r="I89" s="383">
        <v>1</v>
      </c>
      <c r="J89" s="384">
        <v>0</v>
      </c>
      <c r="K89" s="385">
        <v>1</v>
      </c>
      <c r="L89" s="386">
        <v>0.47299999999999998</v>
      </c>
      <c r="M89" s="384">
        <v>2.6000000000000023E-2</v>
      </c>
      <c r="N89" s="385">
        <v>0.499</v>
      </c>
      <c r="O89" s="386">
        <v>-0.52700000000000002</v>
      </c>
      <c r="P89" s="384">
        <v>2.6000000000000023E-2</v>
      </c>
      <c r="Q89" s="385">
        <v>-0.501</v>
      </c>
      <c r="R89" s="387">
        <v>-9.3016443099501554E-3</v>
      </c>
    </row>
    <row r="90" spans="1:18" ht="21" hidden="1" outlineLevel="2" x14ac:dyDescent="0.4">
      <c r="B90" s="197"/>
      <c r="C90" s="198"/>
      <c r="D90" s="198"/>
      <c r="E90" s="199" t="s">
        <v>138</v>
      </c>
      <c r="F90" s="200">
        <f>'EDT Nueva'!F88</f>
        <v>0.2</v>
      </c>
      <c r="G90" s="201">
        <f>EDTN10[[#This Row],[Nuevos Pesos]]*$G$89</f>
        <v>3.713231261457148E-3</v>
      </c>
      <c r="H90" s="388" t="s">
        <v>138</v>
      </c>
      <c r="I90" s="389">
        <v>1</v>
      </c>
      <c r="J90" s="390">
        <v>0</v>
      </c>
      <c r="K90" s="391">
        <v>1</v>
      </c>
      <c r="L90" s="392">
        <v>1</v>
      </c>
      <c r="M90" s="390">
        <v>0</v>
      </c>
      <c r="N90" s="391">
        <v>1</v>
      </c>
      <c r="O90" s="392">
        <v>0</v>
      </c>
      <c r="P90" s="390">
        <v>0</v>
      </c>
      <c r="Q90" s="391">
        <v>0</v>
      </c>
      <c r="R90" s="393">
        <v>0</v>
      </c>
    </row>
    <row r="91" spans="1:18" ht="21" hidden="1" outlineLevel="2" x14ac:dyDescent="0.4">
      <c r="B91" s="197"/>
      <c r="C91" s="198"/>
      <c r="D91" s="198"/>
      <c r="E91" s="199" t="s">
        <v>139</v>
      </c>
      <c r="F91" s="200">
        <f>'EDT Nueva'!F89</f>
        <v>0.15</v>
      </c>
      <c r="G91" s="201">
        <f>EDTN10[[#This Row],[Nuevos Pesos]]*$G$89</f>
        <v>2.7849234460928609E-3</v>
      </c>
      <c r="H91" s="394" t="s">
        <v>139</v>
      </c>
      <c r="I91" s="389">
        <v>1</v>
      </c>
      <c r="J91" s="390">
        <v>0</v>
      </c>
      <c r="K91" s="391">
        <v>1</v>
      </c>
      <c r="L91" s="392">
        <v>0</v>
      </c>
      <c r="M91" s="390">
        <v>0</v>
      </c>
      <c r="N91" s="391">
        <v>0</v>
      </c>
      <c r="O91" s="392">
        <v>-1</v>
      </c>
      <c r="P91" s="390">
        <v>0</v>
      </c>
      <c r="Q91" s="391">
        <v>-1</v>
      </c>
      <c r="R91" s="393">
        <v>-2.7849234460928609E-3</v>
      </c>
    </row>
    <row r="92" spans="1:18" ht="21" hidden="1" outlineLevel="2" x14ac:dyDescent="0.4">
      <c r="B92" s="197"/>
      <c r="C92" s="198"/>
      <c r="D92" s="198"/>
      <c r="E92" s="199" t="s">
        <v>140</v>
      </c>
      <c r="F92" s="200">
        <f>'EDT Nueva'!F90</f>
        <v>0.65</v>
      </c>
      <c r="G92" s="201">
        <f>EDTN10[[#This Row],[Nuevos Pesos]]*$G$89</f>
        <v>1.206800159973573E-2</v>
      </c>
      <c r="H92" s="395" t="s">
        <v>140</v>
      </c>
      <c r="I92" s="389">
        <v>1</v>
      </c>
      <c r="J92" s="390">
        <v>0</v>
      </c>
      <c r="K92" s="391">
        <v>1</v>
      </c>
      <c r="L92" s="392">
        <v>0.41999999999999993</v>
      </c>
      <c r="M92" s="390">
        <v>4.0000000000000091E-2</v>
      </c>
      <c r="N92" s="391">
        <v>0.46</v>
      </c>
      <c r="O92" s="392">
        <v>-0.58000000000000007</v>
      </c>
      <c r="P92" s="390">
        <v>4.0000000000000036E-2</v>
      </c>
      <c r="Q92" s="391">
        <v>-0.54</v>
      </c>
      <c r="R92" s="393">
        <v>-6.5167208638572949E-3</v>
      </c>
    </row>
    <row r="93" spans="1:18" ht="21" hidden="1" outlineLevel="1" x14ac:dyDescent="0.4">
      <c r="B93" s="192"/>
      <c r="C93" s="193"/>
      <c r="D93" s="193" t="s">
        <v>79</v>
      </c>
      <c r="E93" s="202"/>
      <c r="F93" s="195">
        <f>'EDT Nueva'!F91</f>
        <v>0</v>
      </c>
      <c r="G93" s="196">
        <f>EDTN10[[#This Row],[Nuevos Pesos]]*$G$47</f>
        <v>0</v>
      </c>
      <c r="H93" s="403" t="s">
        <v>251</v>
      </c>
      <c r="I93" s="383">
        <v>0</v>
      </c>
      <c r="J93" s="384">
        <v>0</v>
      </c>
      <c r="K93" s="385">
        <v>0</v>
      </c>
      <c r="L93" s="384">
        <v>0</v>
      </c>
      <c r="M93" s="384">
        <v>0</v>
      </c>
      <c r="N93" s="385">
        <v>0</v>
      </c>
      <c r="O93" s="384">
        <v>0</v>
      </c>
      <c r="P93" s="384">
        <v>0</v>
      </c>
      <c r="Q93" s="385">
        <v>0</v>
      </c>
      <c r="R93" s="385">
        <v>0</v>
      </c>
    </row>
    <row r="94" spans="1:18" ht="21" hidden="1" outlineLevel="2" x14ac:dyDescent="0.4">
      <c r="B94" s="211"/>
      <c r="C94" s="212"/>
      <c r="D94" s="212"/>
      <c r="E94" s="213" t="s">
        <v>15</v>
      </c>
      <c r="F94" s="214">
        <f>'EDT Nueva'!F91</f>
        <v>0</v>
      </c>
      <c r="G94" s="201">
        <f>EDTN10[[#This Row],[Nuevos Pesos]]*$G$93</f>
        <v>0</v>
      </c>
      <c r="H94" s="404" t="s">
        <v>15</v>
      </c>
      <c r="I94" s="405">
        <v>0</v>
      </c>
      <c r="J94" s="406">
        <v>0</v>
      </c>
      <c r="K94" s="407">
        <v>0</v>
      </c>
      <c r="L94" s="406">
        <v>0</v>
      </c>
      <c r="M94" s="406">
        <v>0</v>
      </c>
      <c r="N94" s="407">
        <v>0</v>
      </c>
      <c r="O94" s="406">
        <v>0</v>
      </c>
      <c r="P94" s="406">
        <v>0</v>
      </c>
      <c r="Q94" s="407">
        <v>0</v>
      </c>
      <c r="R94" s="407">
        <v>0</v>
      </c>
    </row>
    <row r="95" spans="1:18" ht="30" customHeight="1" x14ac:dyDescent="0.4">
      <c r="H95"/>
      <c r="I95" s="216"/>
      <c r="J95" s="216"/>
      <c r="K95" s="216"/>
      <c r="L95" s="216"/>
      <c r="M95" s="216"/>
      <c r="N95" s="216"/>
      <c r="O95" s="216"/>
      <c r="P95" s="216"/>
      <c r="Q95" s="216"/>
      <c r="R95" s="216"/>
    </row>
    <row r="96" spans="1:18" ht="30" customHeight="1" x14ac:dyDescent="0.4">
      <c r="A96" s="459" t="s">
        <v>232</v>
      </c>
      <c r="B96" s="459"/>
      <c r="C96" s="459"/>
      <c r="D96" s="459"/>
      <c r="E96" s="459"/>
      <c r="F96" s="459"/>
      <c r="G96" s="459"/>
      <c r="H96" s="459"/>
      <c r="I96" s="459"/>
      <c r="J96" s="459"/>
      <c r="K96" s="459"/>
      <c r="L96" s="459"/>
      <c r="M96" s="459"/>
      <c r="N96" s="459"/>
      <c r="O96" s="459"/>
      <c r="P96" s="459"/>
      <c r="Q96" s="459"/>
      <c r="R96" s="459"/>
    </row>
    <row r="98" spans="2:18" s="140" customFormat="1" ht="21" x14ac:dyDescent="0.3">
      <c r="B98" s="217"/>
      <c r="C98" s="217"/>
      <c r="D98" s="217"/>
      <c r="E98" s="217"/>
      <c r="F98" s="465" t="s">
        <v>223</v>
      </c>
      <c r="G98" s="467" t="s">
        <v>224</v>
      </c>
      <c r="H98" s="469"/>
      <c r="I98" s="462" t="s">
        <v>231</v>
      </c>
      <c r="J98" s="463"/>
      <c r="K98" s="464"/>
      <c r="L98" s="462" t="s">
        <v>230</v>
      </c>
      <c r="M98" s="463"/>
      <c r="N98" s="464"/>
      <c r="O98" s="462" t="s">
        <v>229</v>
      </c>
      <c r="P98" s="463"/>
      <c r="Q98" s="464"/>
      <c r="R98" s="460" t="s">
        <v>228</v>
      </c>
    </row>
    <row r="99" spans="2:18" s="140" customFormat="1" ht="21" x14ac:dyDescent="0.3">
      <c r="B99" s="217"/>
      <c r="C99" s="217"/>
      <c r="D99" s="217"/>
      <c r="E99" s="217"/>
      <c r="F99" s="466"/>
      <c r="G99" s="468"/>
      <c r="H99" s="470"/>
      <c r="I99" s="219" t="s">
        <v>225</v>
      </c>
      <c r="J99" s="220" t="s">
        <v>226</v>
      </c>
      <c r="K99" s="221" t="s">
        <v>227</v>
      </c>
      <c r="L99" s="219" t="s">
        <v>225</v>
      </c>
      <c r="M99" s="220" t="s">
        <v>226</v>
      </c>
      <c r="N99" s="221" t="s">
        <v>227</v>
      </c>
      <c r="O99" s="219" t="s">
        <v>225</v>
      </c>
      <c r="P99" s="220" t="s">
        <v>226</v>
      </c>
      <c r="Q99" s="221" t="s">
        <v>227</v>
      </c>
      <c r="R99" s="461"/>
    </row>
    <row r="100" spans="2:18" ht="21" hidden="1" x14ac:dyDescent="0.4">
      <c r="B100" s="188" t="s">
        <v>0</v>
      </c>
      <c r="C100" s="189" t="s">
        <v>1</v>
      </c>
      <c r="D100" s="189" t="s">
        <v>2</v>
      </c>
      <c r="E100" s="189" t="s">
        <v>3</v>
      </c>
      <c r="F100" s="190" t="s">
        <v>191</v>
      </c>
      <c r="G100" s="191" t="s">
        <v>192</v>
      </c>
      <c r="H100" s="377" t="s">
        <v>331</v>
      </c>
      <c r="I100" s="423" t="s">
        <v>234</v>
      </c>
      <c r="J100" s="424" t="s">
        <v>235</v>
      </c>
      <c r="K100" s="424" t="s">
        <v>215</v>
      </c>
      <c r="L100" s="424" t="s">
        <v>236</v>
      </c>
      <c r="M100" s="424" t="s">
        <v>237</v>
      </c>
      <c r="N100" s="424" t="s">
        <v>218</v>
      </c>
      <c r="O100" s="424" t="s">
        <v>238</v>
      </c>
      <c r="P100" s="424" t="s">
        <v>239</v>
      </c>
      <c r="Q100" s="424" t="s">
        <v>221</v>
      </c>
      <c r="R100" s="425" t="s">
        <v>222</v>
      </c>
    </row>
    <row r="101" spans="2:18" ht="22.8" x14ac:dyDescent="0.4">
      <c r="B101" s="228" t="s">
        <v>11</v>
      </c>
      <c r="C101" s="229"/>
      <c r="D101" s="229"/>
      <c r="E101" s="230"/>
      <c r="F101" s="231">
        <f>'EDT Nueva'!F5</f>
        <v>1</v>
      </c>
      <c r="G101" s="232">
        <v>1</v>
      </c>
      <c r="H101" s="419" t="s">
        <v>11</v>
      </c>
      <c r="I101" s="414">
        <v>1</v>
      </c>
      <c r="J101" s="415">
        <v>0</v>
      </c>
      <c r="K101" s="416">
        <v>1</v>
      </c>
      <c r="L101" s="417">
        <v>0.78114415449294528</v>
      </c>
      <c r="M101" s="415">
        <v>2.8612478086063042E-3</v>
      </c>
      <c r="N101" s="416">
        <v>0.78400540230155158</v>
      </c>
      <c r="O101" s="417">
        <v>-0.21885584550705472</v>
      </c>
      <c r="P101" s="415">
        <v>2.8612478086063042E-3</v>
      </c>
      <c r="Q101" s="416">
        <v>-0.21599459769844842</v>
      </c>
      <c r="R101" s="418">
        <v>-0.21599459769844837</v>
      </c>
    </row>
    <row r="102" spans="2:18" ht="22.8" x14ac:dyDescent="0.4">
      <c r="B102" s="222"/>
      <c r="C102" s="223" t="s">
        <v>19</v>
      </c>
      <c r="D102" s="224"/>
      <c r="E102" s="233"/>
      <c r="F102" s="226">
        <f>'EDT Nueva'!F6</f>
        <v>0.77282549416377599</v>
      </c>
      <c r="G102" s="227">
        <f>EDTN1011[[#This Row],[Nuevos Pesos]]*$G$7</f>
        <v>0.77282549416377599</v>
      </c>
      <c r="H102" s="413" t="s">
        <v>19</v>
      </c>
      <c r="I102" s="408">
        <v>1</v>
      </c>
      <c r="J102" s="409">
        <v>0</v>
      </c>
      <c r="K102" s="410">
        <v>1</v>
      </c>
      <c r="L102" s="411">
        <v>0.83496032946057364</v>
      </c>
      <c r="M102" s="409">
        <v>2.953704908107313E-3</v>
      </c>
      <c r="N102" s="410">
        <v>0.83791403436868095</v>
      </c>
      <c r="O102" s="411">
        <v>-0.16503967053942636</v>
      </c>
      <c r="P102" s="409">
        <v>2.953704908107313E-3</v>
      </c>
      <c r="Q102" s="410">
        <v>-0.16208596563131905</v>
      </c>
      <c r="R102" s="412">
        <v>-0.12526416648603697</v>
      </c>
    </row>
    <row r="103" spans="2:18" ht="21" outlineLevel="1" x14ac:dyDescent="0.4">
      <c r="B103" s="192"/>
      <c r="C103" s="193"/>
      <c r="D103" s="193" t="s">
        <v>22</v>
      </c>
      <c r="E103" s="194"/>
      <c r="F103" s="195">
        <f>'EDT Nueva'!F7</f>
        <v>0.22602491175176692</v>
      </c>
      <c r="G103" s="196">
        <f>EDTN1011[[#This Row],[Nuevos Pesos]]*$G$8</f>
        <v>0.17467781411788313</v>
      </c>
      <c r="H103" s="382" t="s">
        <v>22</v>
      </c>
      <c r="I103" s="383">
        <v>1</v>
      </c>
      <c r="J103" s="384">
        <v>0</v>
      </c>
      <c r="K103" s="385">
        <v>1</v>
      </c>
      <c r="L103" s="386">
        <v>0.90862068965517251</v>
      </c>
      <c r="M103" s="384">
        <v>0</v>
      </c>
      <c r="N103" s="385">
        <v>0.90862068965517251</v>
      </c>
      <c r="O103" s="386">
        <v>-9.1379310344827491E-2</v>
      </c>
      <c r="P103" s="384">
        <v>0</v>
      </c>
      <c r="Q103" s="385">
        <v>-9.1379310344827491E-2</v>
      </c>
      <c r="R103" s="387">
        <v>-1.596193818663413E-2</v>
      </c>
    </row>
    <row r="104" spans="2:18" ht="21" outlineLevel="2" x14ac:dyDescent="0.4">
      <c r="B104" s="197"/>
      <c r="C104" s="198"/>
      <c r="D104" s="198"/>
      <c r="E104" s="199" t="s">
        <v>25</v>
      </c>
      <c r="F104" s="200">
        <f>'EDT Nueva'!F8</f>
        <v>0.22988505747126436</v>
      </c>
      <c r="G104" s="201">
        <f>EDTN1011[[#This Row],[Nuevos Pesos]]*$G$9</f>
        <v>4.0155819337444401E-2</v>
      </c>
      <c r="H104" s="388" t="s">
        <v>25</v>
      </c>
      <c r="I104" s="389">
        <v>1</v>
      </c>
      <c r="J104" s="390">
        <v>0</v>
      </c>
      <c r="K104" s="391">
        <v>1</v>
      </c>
      <c r="L104" s="392">
        <v>1</v>
      </c>
      <c r="M104" s="390">
        <v>0</v>
      </c>
      <c r="N104" s="391">
        <v>1</v>
      </c>
      <c r="O104" s="392">
        <v>0</v>
      </c>
      <c r="P104" s="390">
        <v>0</v>
      </c>
      <c r="Q104" s="391">
        <v>0</v>
      </c>
      <c r="R104" s="393">
        <v>0</v>
      </c>
    </row>
    <row r="105" spans="2:18" ht="21" outlineLevel="2" x14ac:dyDescent="0.4">
      <c r="B105" s="197"/>
      <c r="C105" s="198"/>
      <c r="D105" s="198"/>
      <c r="E105" s="199" t="s">
        <v>26</v>
      </c>
      <c r="F105" s="200">
        <f>'EDT Nueva'!F9</f>
        <v>0.45977011494252873</v>
      </c>
      <c r="G105" s="201">
        <f>EDTN1011[[#This Row],[Nuevos Pesos]]*$G$9</f>
        <v>8.0311638674888802E-2</v>
      </c>
      <c r="H105" s="394" t="s">
        <v>26</v>
      </c>
      <c r="I105" s="389">
        <v>1</v>
      </c>
      <c r="J105" s="390">
        <v>0</v>
      </c>
      <c r="K105" s="391">
        <v>1</v>
      </c>
      <c r="L105" s="392">
        <v>1</v>
      </c>
      <c r="M105" s="390">
        <v>0</v>
      </c>
      <c r="N105" s="391">
        <v>1</v>
      </c>
      <c r="O105" s="392">
        <v>0</v>
      </c>
      <c r="P105" s="390">
        <v>0</v>
      </c>
      <c r="Q105" s="391">
        <v>0</v>
      </c>
      <c r="R105" s="393">
        <v>0</v>
      </c>
    </row>
    <row r="106" spans="2:18" ht="21" outlineLevel="2" x14ac:dyDescent="0.4">
      <c r="B106" s="197"/>
      <c r="C106" s="198"/>
      <c r="D106" s="198"/>
      <c r="E106" s="199" t="s">
        <v>27</v>
      </c>
      <c r="F106" s="200">
        <f>'EDT Nueva'!F10</f>
        <v>0.13793103448275859</v>
      </c>
      <c r="G106" s="201">
        <f>EDTN1011[[#This Row],[Nuevos Pesos]]*$G$9</f>
        <v>2.4093491602466634E-2</v>
      </c>
      <c r="H106" s="394" t="s">
        <v>27</v>
      </c>
      <c r="I106" s="389">
        <v>1</v>
      </c>
      <c r="J106" s="390">
        <v>0</v>
      </c>
      <c r="K106" s="391">
        <v>1</v>
      </c>
      <c r="L106" s="392">
        <v>1</v>
      </c>
      <c r="M106" s="390">
        <v>0</v>
      </c>
      <c r="N106" s="391">
        <v>1</v>
      </c>
      <c r="O106" s="392">
        <v>0</v>
      </c>
      <c r="P106" s="390">
        <v>0</v>
      </c>
      <c r="Q106" s="391">
        <v>0</v>
      </c>
      <c r="R106" s="393">
        <v>0</v>
      </c>
    </row>
    <row r="107" spans="2:18" ht="21" outlineLevel="2" x14ac:dyDescent="0.4">
      <c r="B107" s="197"/>
      <c r="C107" s="198"/>
      <c r="D107" s="198"/>
      <c r="E107" s="199" t="s">
        <v>28</v>
      </c>
      <c r="F107" s="200">
        <f>'EDT Nueva'!F11</f>
        <v>0.17241379310344826</v>
      </c>
      <c r="G107" s="201">
        <f>EDTN1011[[#This Row],[Nuevos Pesos]]*$G$9</f>
        <v>3.0116864503083297E-2</v>
      </c>
      <c r="H107" s="395" t="s">
        <v>28</v>
      </c>
      <c r="I107" s="389">
        <v>1</v>
      </c>
      <c r="J107" s="390">
        <v>0</v>
      </c>
      <c r="K107" s="391">
        <v>1</v>
      </c>
      <c r="L107" s="392">
        <v>0.46999999999999992</v>
      </c>
      <c r="M107" s="390">
        <v>0</v>
      </c>
      <c r="N107" s="391">
        <v>0.46999999999999992</v>
      </c>
      <c r="O107" s="392">
        <v>-0.53</v>
      </c>
      <c r="P107" s="390">
        <v>0</v>
      </c>
      <c r="Q107" s="391">
        <v>-0.53</v>
      </c>
      <c r="R107" s="393">
        <v>-1.5961938186634148E-2</v>
      </c>
    </row>
    <row r="108" spans="2:18" ht="21" outlineLevel="1" collapsed="1" x14ac:dyDescent="0.4">
      <c r="B108" s="192"/>
      <c r="C108" s="193"/>
      <c r="D108" s="193" t="s">
        <v>29</v>
      </c>
      <c r="E108" s="202"/>
      <c r="F108" s="195">
        <f>'EDT Nueva'!F12</f>
        <v>6.9376251050029564E-2</v>
      </c>
      <c r="G108" s="196">
        <f>EDTN1011[[#This Row],[Nuevos Pesos]]*$G$8</f>
        <v>5.3615735500969278E-2</v>
      </c>
      <c r="H108" s="382" t="s">
        <v>29</v>
      </c>
      <c r="I108" s="383">
        <v>1</v>
      </c>
      <c r="J108" s="384">
        <v>0</v>
      </c>
      <c r="K108" s="385">
        <v>1</v>
      </c>
      <c r="L108" s="386">
        <v>1</v>
      </c>
      <c r="M108" s="384">
        <v>0</v>
      </c>
      <c r="N108" s="385">
        <v>1</v>
      </c>
      <c r="O108" s="386">
        <v>0</v>
      </c>
      <c r="P108" s="384">
        <v>0</v>
      </c>
      <c r="Q108" s="385">
        <v>0</v>
      </c>
      <c r="R108" s="387">
        <v>0</v>
      </c>
    </row>
    <row r="109" spans="2:18" ht="21" hidden="1" outlineLevel="2" x14ac:dyDescent="0.4">
      <c r="B109" s="203"/>
      <c r="C109" s="204"/>
      <c r="D109" s="204"/>
      <c r="E109" s="205" t="s">
        <v>30</v>
      </c>
      <c r="F109" s="206">
        <f>'EDT Nueva'!F13</f>
        <v>1</v>
      </c>
      <c r="G109" s="207">
        <f>EDTN1011[[#This Row],[Nuevos Pesos]]*G108</f>
        <v>5.3615735500969278E-2</v>
      </c>
      <c r="H109" s="399" t="s">
        <v>211</v>
      </c>
      <c r="I109" s="389">
        <v>1</v>
      </c>
      <c r="J109" s="390">
        <v>0</v>
      </c>
      <c r="K109" s="391">
        <v>1</v>
      </c>
      <c r="L109" s="392">
        <v>1</v>
      </c>
      <c r="M109" s="390">
        <v>0</v>
      </c>
      <c r="N109" s="391">
        <v>1</v>
      </c>
      <c r="O109" s="392">
        <v>0</v>
      </c>
      <c r="P109" s="390">
        <v>0</v>
      </c>
      <c r="Q109" s="391">
        <v>0</v>
      </c>
      <c r="R109" s="393">
        <v>0</v>
      </c>
    </row>
    <row r="110" spans="2:18" ht="21" outlineLevel="1" x14ac:dyDescent="0.4">
      <c r="B110" s="192"/>
      <c r="C110" s="193"/>
      <c r="D110" s="193" t="s">
        <v>31</v>
      </c>
      <c r="E110" s="202"/>
      <c r="F110" s="195">
        <f>'EDT Nueva'!F14</f>
        <v>0.13899787802857952</v>
      </c>
      <c r="G110" s="196">
        <f>EDTN1011[[#This Row],[Nuevos Pesos]]*$G$8</f>
        <v>0.10742110377515322</v>
      </c>
      <c r="H110" s="382" t="s">
        <v>208</v>
      </c>
      <c r="I110" s="383">
        <v>1</v>
      </c>
      <c r="J110" s="384">
        <v>0</v>
      </c>
      <c r="K110" s="385">
        <v>1</v>
      </c>
      <c r="L110" s="386">
        <v>0.81874999999999987</v>
      </c>
      <c r="M110" s="384">
        <v>2.1250000000000102E-2</v>
      </c>
      <c r="N110" s="385">
        <v>0.84</v>
      </c>
      <c r="O110" s="386">
        <v>-0.18125000000000013</v>
      </c>
      <c r="P110" s="384">
        <v>2.1250000000000102E-2</v>
      </c>
      <c r="Q110" s="385">
        <v>-0.16000000000000003</v>
      </c>
      <c r="R110" s="387">
        <v>-1.7187376604024515E-2</v>
      </c>
    </row>
    <row r="111" spans="2:18" ht="21" outlineLevel="2" x14ac:dyDescent="0.4">
      <c r="B111" s="197"/>
      <c r="C111" s="198"/>
      <c r="D111" s="198"/>
      <c r="E111" s="199" t="s">
        <v>35</v>
      </c>
      <c r="F111" s="200">
        <f>'EDT Nueva'!F15</f>
        <v>0.74999999999999989</v>
      </c>
      <c r="G111" s="201">
        <f>EDTN1011[[#This Row],[Nuevos Pesos]]*$G$16</f>
        <v>8.05658278313649E-2</v>
      </c>
      <c r="H111" s="399" t="s">
        <v>35</v>
      </c>
      <c r="I111" s="389">
        <v>1</v>
      </c>
      <c r="J111" s="390">
        <v>0</v>
      </c>
      <c r="K111" s="391">
        <v>1</v>
      </c>
      <c r="L111" s="392">
        <v>0.82</v>
      </c>
      <c r="M111" s="390">
        <v>2.0000000000000018E-2</v>
      </c>
      <c r="N111" s="391">
        <v>0.84</v>
      </c>
      <c r="O111" s="392">
        <v>-0.18000000000000005</v>
      </c>
      <c r="P111" s="390">
        <v>2.0000000000000018E-2</v>
      </c>
      <c r="Q111" s="391">
        <v>-0.16000000000000003</v>
      </c>
      <c r="R111" s="393">
        <v>-1.2890532453018386E-2</v>
      </c>
    </row>
    <row r="112" spans="2:18" ht="21" outlineLevel="2" x14ac:dyDescent="0.4">
      <c r="B112" s="197"/>
      <c r="C112" s="198"/>
      <c r="D112" s="198"/>
      <c r="E112" s="199" t="s">
        <v>357</v>
      </c>
      <c r="F112" s="200">
        <f>'EDT Nueva'!F16</f>
        <v>0.25</v>
      </c>
      <c r="G112" s="201">
        <f>EDTN1011[[#This Row],[Nuevos Pesos]]*$G$16</f>
        <v>2.6855275943788306E-2</v>
      </c>
      <c r="H112" s="400" t="s">
        <v>357</v>
      </c>
      <c r="I112" s="389">
        <v>1</v>
      </c>
      <c r="J112" s="390">
        <v>0</v>
      </c>
      <c r="K112" s="391">
        <v>1</v>
      </c>
      <c r="L112" s="392">
        <v>0.81499999999999995</v>
      </c>
      <c r="M112" s="390">
        <v>2.5000000000000022E-2</v>
      </c>
      <c r="N112" s="391">
        <v>0.84</v>
      </c>
      <c r="O112" s="392">
        <v>-0.18500000000000005</v>
      </c>
      <c r="P112" s="390">
        <v>2.5000000000000022E-2</v>
      </c>
      <c r="Q112" s="391">
        <v>-0.16000000000000003</v>
      </c>
      <c r="R112" s="393">
        <v>-4.2968441510061297E-3</v>
      </c>
    </row>
    <row r="113" spans="2:18" ht="21" outlineLevel="1" x14ac:dyDescent="0.4">
      <c r="B113" s="192"/>
      <c r="C113" s="193"/>
      <c r="D113" s="193" t="s">
        <v>39</v>
      </c>
      <c r="E113" s="202"/>
      <c r="F113" s="195">
        <f>'EDT Nueva'!F17</f>
        <v>7.8078954422348301E-2</v>
      </c>
      <c r="G113" s="196">
        <f>EDTN1011[[#This Row],[Nuevos Pesos]]*$G$8</f>
        <v>6.0341406535242267E-2</v>
      </c>
      <c r="H113" s="382" t="s">
        <v>39</v>
      </c>
      <c r="I113" s="383">
        <v>1</v>
      </c>
      <c r="J113" s="384">
        <v>0</v>
      </c>
      <c r="K113" s="385">
        <v>1</v>
      </c>
      <c r="L113" s="386">
        <v>0.90800000000000014</v>
      </c>
      <c r="M113" s="384">
        <v>0</v>
      </c>
      <c r="N113" s="385">
        <v>0.90800000000000014</v>
      </c>
      <c r="O113" s="386">
        <v>-9.199999999999986E-2</v>
      </c>
      <c r="P113" s="384">
        <v>0</v>
      </c>
      <c r="Q113" s="385">
        <v>-9.199999999999986E-2</v>
      </c>
      <c r="R113" s="387">
        <v>-5.5514094012422809E-3</v>
      </c>
    </row>
    <row r="114" spans="2:18" ht="21" outlineLevel="2" x14ac:dyDescent="0.4">
      <c r="B114" s="197"/>
      <c r="C114" s="198"/>
      <c r="D114" s="198"/>
      <c r="E114" s="199" t="s">
        <v>40</v>
      </c>
      <c r="F114" s="200">
        <f>'EDT Nueva'!F18</f>
        <v>0.4</v>
      </c>
      <c r="G114" s="201">
        <f>EDTN1011[[#This Row],[Nuevos Pesos]]*$G$19</f>
        <v>2.4136562614096909E-2</v>
      </c>
      <c r="H114" s="388" t="s">
        <v>40</v>
      </c>
      <c r="I114" s="389">
        <v>1</v>
      </c>
      <c r="J114" s="390">
        <v>0</v>
      </c>
      <c r="K114" s="391">
        <v>1</v>
      </c>
      <c r="L114" s="392">
        <v>1</v>
      </c>
      <c r="M114" s="390">
        <v>0</v>
      </c>
      <c r="N114" s="391">
        <v>1</v>
      </c>
      <c r="O114" s="392">
        <v>0</v>
      </c>
      <c r="P114" s="390">
        <v>0</v>
      </c>
      <c r="Q114" s="391">
        <v>0</v>
      </c>
      <c r="R114" s="393">
        <v>0</v>
      </c>
    </row>
    <row r="115" spans="2:18" ht="21" outlineLevel="2" x14ac:dyDescent="0.4">
      <c r="B115" s="197"/>
      <c r="C115" s="198"/>
      <c r="D115" s="198"/>
      <c r="E115" s="199" t="s">
        <v>41</v>
      </c>
      <c r="F115" s="200">
        <f>'EDT Nueva'!F19</f>
        <v>0.4</v>
      </c>
      <c r="G115" s="201">
        <f>EDTN1011[[#This Row],[Nuevos Pesos]]*$G$19</f>
        <v>2.4136562614096909E-2</v>
      </c>
      <c r="H115" s="394" t="s">
        <v>41</v>
      </c>
      <c r="I115" s="389">
        <v>1</v>
      </c>
      <c r="J115" s="390">
        <v>0</v>
      </c>
      <c r="K115" s="391">
        <v>1</v>
      </c>
      <c r="L115" s="392">
        <v>0.77</v>
      </c>
      <c r="M115" s="390">
        <v>0</v>
      </c>
      <c r="N115" s="391">
        <v>0.77</v>
      </c>
      <c r="O115" s="392">
        <v>-0.22999999999999998</v>
      </c>
      <c r="P115" s="390">
        <v>0</v>
      </c>
      <c r="Q115" s="391">
        <v>-0.22999999999999998</v>
      </c>
      <c r="R115" s="393">
        <v>-5.5514094012422887E-3</v>
      </c>
    </row>
    <row r="116" spans="2:18" ht="21" outlineLevel="2" x14ac:dyDescent="0.4">
      <c r="B116" s="197"/>
      <c r="C116" s="198"/>
      <c r="D116" s="198"/>
      <c r="E116" s="199" t="s">
        <v>42</v>
      </c>
      <c r="F116" s="200">
        <f>'EDT Nueva'!F20</f>
        <v>0.2</v>
      </c>
      <c r="G116" s="201">
        <f>EDTN1011[[#This Row],[Nuevos Pesos]]*$G$19</f>
        <v>1.2068281307048455E-2</v>
      </c>
      <c r="H116" s="395" t="s">
        <v>42</v>
      </c>
      <c r="I116" s="389">
        <v>1</v>
      </c>
      <c r="J116" s="390">
        <v>0</v>
      </c>
      <c r="K116" s="391">
        <v>1</v>
      </c>
      <c r="L116" s="392">
        <v>1</v>
      </c>
      <c r="M116" s="390">
        <v>0</v>
      </c>
      <c r="N116" s="391">
        <v>1</v>
      </c>
      <c r="O116" s="392">
        <v>0</v>
      </c>
      <c r="P116" s="390">
        <v>0</v>
      </c>
      <c r="Q116" s="391">
        <v>0</v>
      </c>
      <c r="R116" s="393">
        <v>0</v>
      </c>
    </row>
    <row r="117" spans="2:18" ht="21" outlineLevel="1" collapsed="1" x14ac:dyDescent="0.4">
      <c r="B117" s="192"/>
      <c r="C117" s="193"/>
      <c r="D117" s="193" t="s">
        <v>43</v>
      </c>
      <c r="E117" s="202"/>
      <c r="F117" s="195">
        <f>'EDT Nueva'!F21</f>
        <v>0.2250620980454589</v>
      </c>
      <c r="G117" s="196">
        <f>EDTN1011[[#This Row],[Nuevos Pesos]]*$G$8</f>
        <v>0.17393372713951799</v>
      </c>
      <c r="H117" s="382" t="s">
        <v>43</v>
      </c>
      <c r="I117" s="383">
        <v>1</v>
      </c>
      <c r="J117" s="384">
        <v>0</v>
      </c>
      <c r="K117" s="385">
        <v>1</v>
      </c>
      <c r="L117" s="386">
        <v>1</v>
      </c>
      <c r="M117" s="384">
        <v>0</v>
      </c>
      <c r="N117" s="385">
        <v>1</v>
      </c>
      <c r="O117" s="386">
        <v>0</v>
      </c>
      <c r="P117" s="384">
        <v>0</v>
      </c>
      <c r="Q117" s="385">
        <v>0</v>
      </c>
      <c r="R117" s="387">
        <v>0</v>
      </c>
    </row>
    <row r="118" spans="2:18" ht="21" hidden="1" outlineLevel="2" x14ac:dyDescent="0.4">
      <c r="B118" s="197"/>
      <c r="C118" s="198"/>
      <c r="D118" s="198"/>
      <c r="E118" s="199" t="s">
        <v>44</v>
      </c>
      <c r="F118" s="200">
        <f>'EDT Nueva'!F22</f>
        <v>0.66666666666666663</v>
      </c>
      <c r="G118" s="201">
        <f>EDTN1011[[#This Row],[Nuevos Pesos]]*$G$23</f>
        <v>0.11595581809301199</v>
      </c>
      <c r="H118" s="388" t="s">
        <v>44</v>
      </c>
      <c r="I118" s="389">
        <v>1</v>
      </c>
      <c r="J118" s="390">
        <v>0</v>
      </c>
      <c r="K118" s="391">
        <v>1</v>
      </c>
      <c r="L118" s="392">
        <v>1</v>
      </c>
      <c r="M118" s="390">
        <v>0</v>
      </c>
      <c r="N118" s="391">
        <v>1</v>
      </c>
      <c r="O118" s="392">
        <v>0</v>
      </c>
      <c r="P118" s="390">
        <v>0</v>
      </c>
      <c r="Q118" s="391">
        <v>0</v>
      </c>
      <c r="R118" s="393">
        <v>0</v>
      </c>
    </row>
    <row r="119" spans="2:18" ht="21" hidden="1" outlineLevel="2" x14ac:dyDescent="0.4">
      <c r="B119" s="197"/>
      <c r="C119" s="198"/>
      <c r="D119" s="198"/>
      <c r="E119" s="199" t="s">
        <v>45</v>
      </c>
      <c r="F119" s="200">
        <f>'EDT Nueva'!F23</f>
        <v>0.33333333333333337</v>
      </c>
      <c r="G119" s="201">
        <f>EDTN1011[[#This Row],[Nuevos Pesos]]*$G$23</f>
        <v>5.7977909046506002E-2</v>
      </c>
      <c r="H119" s="395" t="s">
        <v>45</v>
      </c>
      <c r="I119" s="389">
        <v>1</v>
      </c>
      <c r="J119" s="390">
        <v>0</v>
      </c>
      <c r="K119" s="391">
        <v>1</v>
      </c>
      <c r="L119" s="392">
        <v>1</v>
      </c>
      <c r="M119" s="390">
        <v>0</v>
      </c>
      <c r="N119" s="391">
        <v>1</v>
      </c>
      <c r="O119" s="392">
        <v>0</v>
      </c>
      <c r="P119" s="390">
        <v>0</v>
      </c>
      <c r="Q119" s="391">
        <v>0</v>
      </c>
      <c r="R119" s="393">
        <v>0</v>
      </c>
    </row>
    <row r="120" spans="2:18" ht="21" outlineLevel="1" x14ac:dyDescent="0.4">
      <c r="B120" s="192"/>
      <c r="C120" s="193"/>
      <c r="D120" s="193" t="s">
        <v>46</v>
      </c>
      <c r="E120" s="202"/>
      <c r="F120" s="195">
        <f>'EDT Nueva'!F24</f>
        <v>5.6784912836931871E-2</v>
      </c>
      <c r="G120" s="196">
        <f>EDTN1011[[#This Row],[Nuevos Pesos]]*$G$8</f>
        <v>4.3884828324248823E-2</v>
      </c>
      <c r="H120" s="403" t="s">
        <v>249</v>
      </c>
      <c r="I120" s="383">
        <v>1</v>
      </c>
      <c r="J120" s="384">
        <v>0</v>
      </c>
      <c r="K120" s="385">
        <v>1</v>
      </c>
      <c r="L120" s="386">
        <v>0</v>
      </c>
      <c r="M120" s="384">
        <v>0</v>
      </c>
      <c r="N120" s="385">
        <v>0</v>
      </c>
      <c r="O120" s="386">
        <v>-1</v>
      </c>
      <c r="P120" s="384">
        <v>0</v>
      </c>
      <c r="Q120" s="385">
        <v>-1</v>
      </c>
      <c r="R120" s="387">
        <v>-4.3884828324248823E-2</v>
      </c>
    </row>
    <row r="121" spans="2:18" ht="21" outlineLevel="2" x14ac:dyDescent="0.4">
      <c r="B121" s="197"/>
      <c r="C121" s="198"/>
      <c r="D121" s="198"/>
      <c r="E121" s="199" t="s">
        <v>47</v>
      </c>
      <c r="F121" s="200">
        <f>'EDT Nueva'!F25</f>
        <v>1</v>
      </c>
      <c r="G121" s="201">
        <f>EDTN1011[[#This Row],[Nuevos Pesos]]*G120</f>
        <v>4.3884828324248823E-2</v>
      </c>
      <c r="H121" s="400" t="s">
        <v>47</v>
      </c>
      <c r="I121" s="389">
        <v>1</v>
      </c>
      <c r="J121" s="390">
        <v>0</v>
      </c>
      <c r="K121" s="391">
        <v>1</v>
      </c>
      <c r="L121" s="392">
        <v>0</v>
      </c>
      <c r="M121" s="390">
        <v>0</v>
      </c>
      <c r="N121" s="391">
        <v>0</v>
      </c>
      <c r="O121" s="392">
        <v>-1</v>
      </c>
      <c r="P121" s="390">
        <v>0</v>
      </c>
      <c r="Q121" s="391">
        <v>-1</v>
      </c>
      <c r="R121" s="393">
        <v>-4.3884828324248823E-2</v>
      </c>
    </row>
    <row r="122" spans="2:18" ht="21" outlineLevel="1" x14ac:dyDescent="0.4">
      <c r="B122" s="192"/>
      <c r="C122" s="193"/>
      <c r="D122" s="193" t="s">
        <v>48</v>
      </c>
      <c r="E122" s="202"/>
      <c r="F122" s="195">
        <f>'EDT Nueva'!F26</f>
        <v>5.6784912836931871E-2</v>
      </c>
      <c r="G122" s="196">
        <f>EDTN1011[[#This Row],[Nuevos Pesos]]*$G$8</f>
        <v>4.3884828324248823E-2</v>
      </c>
      <c r="H122" s="382" t="s">
        <v>48</v>
      </c>
      <c r="I122" s="383">
        <v>1</v>
      </c>
      <c r="J122" s="384">
        <v>0</v>
      </c>
      <c r="K122" s="385">
        <v>1</v>
      </c>
      <c r="L122" s="386">
        <v>4.9861111111111106E-2</v>
      </c>
      <c r="M122" s="384">
        <v>0</v>
      </c>
      <c r="N122" s="385">
        <v>4.9861111111111106E-2</v>
      </c>
      <c r="O122" s="386">
        <v>-0.95013888888888887</v>
      </c>
      <c r="P122" s="384">
        <v>0</v>
      </c>
      <c r="Q122" s="385">
        <v>-0.95013888888888887</v>
      </c>
      <c r="R122" s="387">
        <v>-4.1696682023081418E-2</v>
      </c>
    </row>
    <row r="123" spans="2:18" ht="21" outlineLevel="2" x14ac:dyDescent="0.4">
      <c r="B123" s="197"/>
      <c r="C123" s="198"/>
      <c r="D123" s="198"/>
      <c r="E123" s="199" t="s">
        <v>50</v>
      </c>
      <c r="F123" s="200">
        <f>'EDT Nueva'!F27</f>
        <v>0.33333333333333331</v>
      </c>
      <c r="G123" s="201">
        <f>EDTN1011[[#This Row],[Nuevos Pesos]]*$G$28</f>
        <v>1.4628276108082941E-2</v>
      </c>
      <c r="H123" s="388" t="s">
        <v>50</v>
      </c>
      <c r="I123" s="389">
        <v>1</v>
      </c>
      <c r="J123" s="390">
        <v>0</v>
      </c>
      <c r="K123" s="391">
        <v>1</v>
      </c>
      <c r="L123" s="392">
        <v>0</v>
      </c>
      <c r="M123" s="390">
        <v>0</v>
      </c>
      <c r="N123" s="391">
        <v>0</v>
      </c>
      <c r="O123" s="392">
        <v>-1</v>
      </c>
      <c r="P123" s="390">
        <v>0</v>
      </c>
      <c r="Q123" s="391">
        <v>-1</v>
      </c>
      <c r="R123" s="393">
        <v>-1.4628276108082941E-2</v>
      </c>
    </row>
    <row r="124" spans="2:18" ht="40.799999999999997" outlineLevel="2" x14ac:dyDescent="0.4">
      <c r="B124" s="197"/>
      <c r="C124" s="198"/>
      <c r="D124" s="198"/>
      <c r="E124" s="199" t="s">
        <v>51</v>
      </c>
      <c r="F124" s="200">
        <f>'EDT Nueva'!F28</f>
        <v>0.26666666666666666</v>
      </c>
      <c r="G124" s="201">
        <f>EDTN1011[[#This Row],[Nuevos Pesos]]*$G$28</f>
        <v>1.1702620886466352E-2</v>
      </c>
      <c r="H124" s="394" t="s">
        <v>51</v>
      </c>
      <c r="I124" s="389">
        <v>1</v>
      </c>
      <c r="J124" s="390">
        <v>0</v>
      </c>
      <c r="K124" s="391">
        <v>1</v>
      </c>
      <c r="L124" s="392">
        <v>0</v>
      </c>
      <c r="M124" s="390">
        <v>0</v>
      </c>
      <c r="N124" s="391">
        <v>0</v>
      </c>
      <c r="O124" s="392">
        <v>-1</v>
      </c>
      <c r="P124" s="390">
        <v>0</v>
      </c>
      <c r="Q124" s="391">
        <v>-1</v>
      </c>
      <c r="R124" s="393">
        <v>-1.1702620886466352E-2</v>
      </c>
    </row>
    <row r="125" spans="2:18" ht="21" outlineLevel="2" x14ac:dyDescent="0.4">
      <c r="B125" s="197"/>
      <c r="C125" s="198"/>
      <c r="D125" s="198"/>
      <c r="E125" s="199" t="s">
        <v>52</v>
      </c>
      <c r="F125" s="200">
        <f>'EDT Nueva'!F29</f>
        <v>0.39999999999999997</v>
      </c>
      <c r="G125" s="201">
        <f>EDTN1011[[#This Row],[Nuevos Pesos]]*$G$28</f>
        <v>1.7553931329699526E-2</v>
      </c>
      <c r="H125" s="395" t="s">
        <v>52</v>
      </c>
      <c r="I125" s="389">
        <v>1</v>
      </c>
      <c r="J125" s="390">
        <v>0</v>
      </c>
      <c r="K125" s="391">
        <v>1</v>
      </c>
      <c r="L125" s="392">
        <v>0.12465277777777778</v>
      </c>
      <c r="M125" s="390">
        <v>0</v>
      </c>
      <c r="N125" s="391">
        <v>0.12465277777777778</v>
      </c>
      <c r="O125" s="392">
        <v>-0.87534722222222228</v>
      </c>
      <c r="P125" s="390">
        <v>0</v>
      </c>
      <c r="Q125" s="391">
        <v>-0.87534722222222228</v>
      </c>
      <c r="R125" s="393">
        <v>-1.5365785028532121E-2</v>
      </c>
    </row>
    <row r="126" spans="2:18" ht="21" outlineLevel="1" x14ac:dyDescent="0.4">
      <c r="B126" s="192"/>
      <c r="C126" s="193"/>
      <c r="D126" s="193" t="s">
        <v>63</v>
      </c>
      <c r="E126" s="202"/>
      <c r="F126" s="195">
        <f>'EDT Nueva'!F30</f>
        <v>0.10418706453930457</v>
      </c>
      <c r="G126" s="196">
        <f>EDTN1011[[#This Row],[Nuevos Pesos]]*$G$8</f>
        <v>8.0518419638061278E-2</v>
      </c>
      <c r="H126" s="382" t="s">
        <v>63</v>
      </c>
      <c r="I126" s="383">
        <v>1</v>
      </c>
      <c r="J126" s="384">
        <v>0</v>
      </c>
      <c r="K126" s="385">
        <v>1</v>
      </c>
      <c r="L126" s="386">
        <v>0.98780487804878048</v>
      </c>
      <c r="M126" s="384">
        <v>0</v>
      </c>
      <c r="N126" s="385">
        <v>0.98780487804878048</v>
      </c>
      <c r="O126" s="386">
        <v>-1.2195121951219523E-2</v>
      </c>
      <c r="P126" s="384">
        <v>0</v>
      </c>
      <c r="Q126" s="385">
        <v>-1.2195121951219523E-2</v>
      </c>
      <c r="R126" s="387">
        <v>-9.8193194680562621E-4</v>
      </c>
    </row>
    <row r="127" spans="2:18" ht="21" outlineLevel="2" x14ac:dyDescent="0.4">
      <c r="B127" s="197"/>
      <c r="C127" s="198"/>
      <c r="D127" s="208"/>
      <c r="E127" s="199" t="s">
        <v>64</v>
      </c>
      <c r="F127" s="200">
        <f>'EDT Nueva'!F31</f>
        <v>7.3170731707317069E-2</v>
      </c>
      <c r="G127" s="209">
        <f>EDTN1011[[#This Row],[Nuevos Pesos]]*$G$32</f>
        <v>5.8915916808337521E-3</v>
      </c>
      <c r="H127" s="388" t="s">
        <v>64</v>
      </c>
      <c r="I127" s="389">
        <v>1</v>
      </c>
      <c r="J127" s="390">
        <v>0</v>
      </c>
      <c r="K127" s="391">
        <v>1</v>
      </c>
      <c r="L127" s="392">
        <v>1</v>
      </c>
      <c r="M127" s="390">
        <v>0</v>
      </c>
      <c r="N127" s="391">
        <v>1</v>
      </c>
      <c r="O127" s="392">
        <v>0</v>
      </c>
      <c r="P127" s="390">
        <v>0</v>
      </c>
      <c r="Q127" s="391">
        <v>0</v>
      </c>
      <c r="R127" s="393">
        <v>0</v>
      </c>
    </row>
    <row r="128" spans="2:18" ht="21" outlineLevel="2" x14ac:dyDescent="0.4">
      <c r="B128" s="197"/>
      <c r="C128" s="198"/>
      <c r="D128" s="208"/>
      <c r="E128" s="199" t="s">
        <v>65</v>
      </c>
      <c r="F128" s="200">
        <f>'EDT Nueva'!F32</f>
        <v>2.4390243902439022E-2</v>
      </c>
      <c r="G128" s="209">
        <f>EDTN1011[[#This Row],[Nuevos Pesos]]*$G$32</f>
        <v>1.9638638936112507E-3</v>
      </c>
      <c r="H128" s="394" t="s">
        <v>65</v>
      </c>
      <c r="I128" s="389">
        <v>1</v>
      </c>
      <c r="J128" s="390">
        <v>0</v>
      </c>
      <c r="K128" s="391">
        <v>1</v>
      </c>
      <c r="L128" s="392">
        <v>0.9</v>
      </c>
      <c r="M128" s="390">
        <v>0</v>
      </c>
      <c r="N128" s="391">
        <v>0.9</v>
      </c>
      <c r="O128" s="392">
        <v>-9.9999999999999978E-2</v>
      </c>
      <c r="P128" s="390">
        <v>0</v>
      </c>
      <c r="Q128" s="391">
        <v>-9.9999999999999978E-2</v>
      </c>
      <c r="R128" s="393">
        <v>-1.9638638936112502E-4</v>
      </c>
    </row>
    <row r="129" spans="2:18" ht="21" outlineLevel="2" x14ac:dyDescent="0.4">
      <c r="B129" s="197"/>
      <c r="C129" s="198"/>
      <c r="D129" s="208"/>
      <c r="E129" s="199" t="s">
        <v>66</v>
      </c>
      <c r="F129" s="200">
        <f>'EDT Nueva'!F33</f>
        <v>9.7560975609756087E-2</v>
      </c>
      <c r="G129" s="209">
        <f>EDTN1011[[#This Row],[Nuevos Pesos]]*$G$32</f>
        <v>7.8554555744450028E-3</v>
      </c>
      <c r="H129" s="394" t="s">
        <v>66</v>
      </c>
      <c r="I129" s="389">
        <v>1</v>
      </c>
      <c r="J129" s="390">
        <v>0</v>
      </c>
      <c r="K129" s="391">
        <v>1</v>
      </c>
      <c r="L129" s="392">
        <v>0.9</v>
      </c>
      <c r="M129" s="390">
        <v>0</v>
      </c>
      <c r="N129" s="391">
        <v>0.9</v>
      </c>
      <c r="O129" s="392">
        <v>-9.9999999999999978E-2</v>
      </c>
      <c r="P129" s="390">
        <v>0</v>
      </c>
      <c r="Q129" s="391">
        <v>-9.9999999999999978E-2</v>
      </c>
      <c r="R129" s="393">
        <v>-7.8554555744450008E-4</v>
      </c>
    </row>
    <row r="130" spans="2:18" ht="21" outlineLevel="2" x14ac:dyDescent="0.4">
      <c r="B130" s="197"/>
      <c r="C130" s="198"/>
      <c r="D130" s="208"/>
      <c r="E130" s="199" t="s">
        <v>67</v>
      </c>
      <c r="F130" s="200">
        <f>'EDT Nueva'!F34</f>
        <v>7.3170731707317069E-2</v>
      </c>
      <c r="G130" s="209">
        <f>EDTN1011[[#This Row],[Nuevos Pesos]]*$G$32</f>
        <v>5.8915916808337521E-3</v>
      </c>
      <c r="H130" s="394" t="s">
        <v>67</v>
      </c>
      <c r="I130" s="389">
        <v>1</v>
      </c>
      <c r="J130" s="390">
        <v>0</v>
      </c>
      <c r="K130" s="391">
        <v>1</v>
      </c>
      <c r="L130" s="392">
        <v>1</v>
      </c>
      <c r="M130" s="390">
        <v>0</v>
      </c>
      <c r="N130" s="391">
        <v>1</v>
      </c>
      <c r="O130" s="392">
        <v>0</v>
      </c>
      <c r="P130" s="390">
        <v>0</v>
      </c>
      <c r="Q130" s="391">
        <v>0</v>
      </c>
      <c r="R130" s="393">
        <v>0</v>
      </c>
    </row>
    <row r="131" spans="2:18" ht="21" outlineLevel="2" x14ac:dyDescent="0.4">
      <c r="B131" s="197"/>
      <c r="C131" s="198"/>
      <c r="D131" s="208"/>
      <c r="E131" s="199" t="s">
        <v>68</v>
      </c>
      <c r="F131" s="200">
        <f>'EDT Nueva'!F35</f>
        <v>7.3170731707317069E-2</v>
      </c>
      <c r="G131" s="209">
        <f>EDTN1011[[#This Row],[Nuevos Pesos]]*$G$32</f>
        <v>5.8915916808337521E-3</v>
      </c>
      <c r="H131" s="394" t="s">
        <v>68</v>
      </c>
      <c r="I131" s="389">
        <v>1</v>
      </c>
      <c r="J131" s="390">
        <v>0</v>
      </c>
      <c r="K131" s="391">
        <v>1</v>
      </c>
      <c r="L131" s="392">
        <v>1</v>
      </c>
      <c r="M131" s="390">
        <v>0</v>
      </c>
      <c r="N131" s="391">
        <v>1</v>
      </c>
      <c r="O131" s="392">
        <v>0</v>
      </c>
      <c r="P131" s="390">
        <v>0</v>
      </c>
      <c r="Q131" s="391">
        <v>0</v>
      </c>
      <c r="R131" s="393">
        <v>0</v>
      </c>
    </row>
    <row r="132" spans="2:18" ht="21" outlineLevel="2" x14ac:dyDescent="0.4">
      <c r="B132" s="197"/>
      <c r="C132" s="198"/>
      <c r="D132" s="208"/>
      <c r="E132" s="199" t="s">
        <v>71</v>
      </c>
      <c r="F132" s="200">
        <f>'EDT Nueva'!F36</f>
        <v>0.14634146341463414</v>
      </c>
      <c r="G132" s="209">
        <f>EDTN1011[[#This Row],[Nuevos Pesos]]*$G$32</f>
        <v>1.1783183361667504E-2</v>
      </c>
      <c r="H132" s="394" t="s">
        <v>71</v>
      </c>
      <c r="I132" s="389">
        <v>1</v>
      </c>
      <c r="J132" s="390">
        <v>0</v>
      </c>
      <c r="K132" s="391">
        <v>1</v>
      </c>
      <c r="L132" s="392">
        <v>1</v>
      </c>
      <c r="M132" s="390">
        <v>0</v>
      </c>
      <c r="N132" s="391">
        <v>1</v>
      </c>
      <c r="O132" s="392">
        <v>0</v>
      </c>
      <c r="P132" s="390">
        <v>0</v>
      </c>
      <c r="Q132" s="391">
        <v>0</v>
      </c>
      <c r="R132" s="393">
        <v>0</v>
      </c>
    </row>
    <row r="133" spans="2:18" ht="21" outlineLevel="2" x14ac:dyDescent="0.4">
      <c r="B133" s="197"/>
      <c r="C133" s="198"/>
      <c r="D133" s="208"/>
      <c r="E133" s="199" t="s">
        <v>72</v>
      </c>
      <c r="F133" s="200">
        <f>'EDT Nueva'!F37</f>
        <v>0.14634146341463414</v>
      </c>
      <c r="G133" s="209">
        <f>EDTN1011[[#This Row],[Nuevos Pesos]]*$G$32</f>
        <v>1.1783183361667504E-2</v>
      </c>
      <c r="H133" s="394" t="s">
        <v>72</v>
      </c>
      <c r="I133" s="389">
        <v>1</v>
      </c>
      <c r="J133" s="390">
        <v>0</v>
      </c>
      <c r="K133" s="391">
        <v>1</v>
      </c>
      <c r="L133" s="392">
        <v>1</v>
      </c>
      <c r="M133" s="390">
        <v>0</v>
      </c>
      <c r="N133" s="391">
        <v>1</v>
      </c>
      <c r="O133" s="392">
        <v>0</v>
      </c>
      <c r="P133" s="390">
        <v>0</v>
      </c>
      <c r="Q133" s="391">
        <v>0</v>
      </c>
      <c r="R133" s="393">
        <v>0</v>
      </c>
    </row>
    <row r="134" spans="2:18" ht="21" outlineLevel="2" x14ac:dyDescent="0.4">
      <c r="B134" s="197"/>
      <c r="C134" s="198"/>
      <c r="D134" s="208"/>
      <c r="E134" s="199" t="s">
        <v>73</v>
      </c>
      <c r="F134" s="200">
        <f>'EDT Nueva'!F38</f>
        <v>7.3170731707317069E-2</v>
      </c>
      <c r="G134" s="209">
        <f>EDTN1011[[#This Row],[Nuevos Pesos]]*$G$32</f>
        <v>5.8915916808337521E-3</v>
      </c>
      <c r="H134" s="394" t="s">
        <v>73</v>
      </c>
      <c r="I134" s="389">
        <v>1</v>
      </c>
      <c r="J134" s="390">
        <v>0</v>
      </c>
      <c r="K134" s="391">
        <v>1</v>
      </c>
      <c r="L134" s="392">
        <v>1</v>
      </c>
      <c r="M134" s="390">
        <v>0</v>
      </c>
      <c r="N134" s="391">
        <v>1</v>
      </c>
      <c r="O134" s="392">
        <v>0</v>
      </c>
      <c r="P134" s="390">
        <v>0</v>
      </c>
      <c r="Q134" s="391">
        <v>0</v>
      </c>
      <c r="R134" s="393">
        <v>0</v>
      </c>
    </row>
    <row r="135" spans="2:18" ht="21" outlineLevel="2" x14ac:dyDescent="0.4">
      <c r="B135" s="197"/>
      <c r="C135" s="198"/>
      <c r="D135" s="208"/>
      <c r="E135" s="199" t="s">
        <v>74</v>
      </c>
      <c r="F135" s="200">
        <f>'EDT Nueva'!F39</f>
        <v>0.14634146341463414</v>
      </c>
      <c r="G135" s="209">
        <f>EDTN1011[[#This Row],[Nuevos Pesos]]*$G$32</f>
        <v>1.1783183361667504E-2</v>
      </c>
      <c r="H135" s="394" t="s">
        <v>74</v>
      </c>
      <c r="I135" s="389">
        <v>1</v>
      </c>
      <c r="J135" s="390">
        <v>0</v>
      </c>
      <c r="K135" s="391">
        <v>1</v>
      </c>
      <c r="L135" s="392">
        <v>1</v>
      </c>
      <c r="M135" s="390">
        <v>0</v>
      </c>
      <c r="N135" s="391">
        <v>1</v>
      </c>
      <c r="O135" s="392">
        <v>0</v>
      </c>
      <c r="P135" s="390">
        <v>0</v>
      </c>
      <c r="Q135" s="391">
        <v>0</v>
      </c>
      <c r="R135" s="393">
        <v>0</v>
      </c>
    </row>
    <row r="136" spans="2:18" ht="21" outlineLevel="2" x14ac:dyDescent="0.4">
      <c r="B136" s="197"/>
      <c r="C136" s="198"/>
      <c r="D136" s="208"/>
      <c r="E136" s="199" t="s">
        <v>75</v>
      </c>
      <c r="F136" s="200">
        <f>'EDT Nueva'!F40</f>
        <v>0.14634146341463414</v>
      </c>
      <c r="G136" s="209">
        <f>EDTN1011[[#This Row],[Nuevos Pesos]]*$G$32</f>
        <v>1.1783183361667504E-2</v>
      </c>
      <c r="H136" s="395" t="s">
        <v>75</v>
      </c>
      <c r="I136" s="389">
        <v>1</v>
      </c>
      <c r="J136" s="390">
        <v>0</v>
      </c>
      <c r="K136" s="391">
        <v>1</v>
      </c>
      <c r="L136" s="392">
        <v>1</v>
      </c>
      <c r="M136" s="390">
        <v>0</v>
      </c>
      <c r="N136" s="391">
        <v>1</v>
      </c>
      <c r="O136" s="392">
        <v>0</v>
      </c>
      <c r="P136" s="390">
        <v>0</v>
      </c>
      <c r="Q136" s="391">
        <v>0</v>
      </c>
      <c r="R136" s="393">
        <v>0</v>
      </c>
    </row>
    <row r="137" spans="2:18" ht="21" outlineLevel="1" collapsed="1" x14ac:dyDescent="0.4">
      <c r="B137" s="192"/>
      <c r="C137" s="193"/>
      <c r="D137" s="193" t="s">
        <v>77</v>
      </c>
      <c r="E137" s="202"/>
      <c r="F137" s="195">
        <f>'EDT Nueva'!F41</f>
        <v>4.4703016488648502E-2</v>
      </c>
      <c r="G137" s="196">
        <f>EDTN1011[[#This Row],[Nuevos Pesos]]*$G$8</f>
        <v>3.4547630808451205E-2</v>
      </c>
      <c r="H137" s="382" t="s">
        <v>77</v>
      </c>
      <c r="I137" s="383">
        <v>1</v>
      </c>
      <c r="J137" s="384">
        <v>0</v>
      </c>
      <c r="K137" s="385">
        <v>1</v>
      </c>
      <c r="L137" s="386">
        <v>1</v>
      </c>
      <c r="M137" s="384">
        <v>0</v>
      </c>
      <c r="N137" s="385">
        <v>1</v>
      </c>
      <c r="O137" s="386">
        <v>0</v>
      </c>
      <c r="P137" s="384">
        <v>0</v>
      </c>
      <c r="Q137" s="385">
        <v>0</v>
      </c>
      <c r="R137" s="387">
        <v>0</v>
      </c>
    </row>
    <row r="138" spans="2:18" ht="21" hidden="1" outlineLevel="2" x14ac:dyDescent="0.4">
      <c r="B138" s="197"/>
      <c r="C138" s="198"/>
      <c r="D138" s="198"/>
      <c r="E138" s="199" t="s">
        <v>78</v>
      </c>
      <c r="F138" s="200">
        <f>'EDT Nueva'!F42</f>
        <v>1</v>
      </c>
      <c r="G138" s="201">
        <f>EDTN1011[[#This Row],[Nuevos Pesos]]*G137</f>
        <v>3.4547630808451205E-2</v>
      </c>
      <c r="H138" s="399" t="s">
        <v>78</v>
      </c>
      <c r="I138" s="389">
        <v>1</v>
      </c>
      <c r="J138" s="390">
        <v>0</v>
      </c>
      <c r="K138" s="391">
        <v>1</v>
      </c>
      <c r="L138" s="392">
        <v>1</v>
      </c>
      <c r="M138" s="390">
        <v>0</v>
      </c>
      <c r="N138" s="391">
        <v>1</v>
      </c>
      <c r="O138" s="392">
        <v>0</v>
      </c>
      <c r="P138" s="390">
        <v>0</v>
      </c>
      <c r="Q138" s="391">
        <v>0</v>
      </c>
      <c r="R138" s="393">
        <v>0</v>
      </c>
    </row>
    <row r="139" spans="2:18" ht="21" outlineLevel="1" x14ac:dyDescent="0.4">
      <c r="B139" s="192"/>
      <c r="C139" s="193"/>
      <c r="D139" s="193" t="s">
        <v>79</v>
      </c>
      <c r="E139" s="202"/>
      <c r="F139" s="195">
        <f>'EDT Nueva'!F43</f>
        <v>0</v>
      </c>
      <c r="G139" s="196">
        <f>EDTN1011[[#This Row],[Nuevos Pesos]]*$G$8</f>
        <v>0</v>
      </c>
      <c r="H139" s="403" t="s">
        <v>251</v>
      </c>
      <c r="I139" s="383">
        <v>0</v>
      </c>
      <c r="J139" s="384">
        <v>0</v>
      </c>
      <c r="K139" s="385">
        <v>0</v>
      </c>
      <c r="L139" s="386">
        <v>0</v>
      </c>
      <c r="M139" s="384">
        <v>0</v>
      </c>
      <c r="N139" s="385">
        <v>0</v>
      </c>
      <c r="O139" s="386">
        <v>0</v>
      </c>
      <c r="P139" s="384">
        <v>0</v>
      </c>
      <c r="Q139" s="385">
        <v>0</v>
      </c>
      <c r="R139" s="387">
        <v>0</v>
      </c>
    </row>
    <row r="140" spans="2:18" ht="21" outlineLevel="2" x14ac:dyDescent="0.4">
      <c r="B140" s="197"/>
      <c r="C140" s="198"/>
      <c r="D140" s="198"/>
      <c r="E140" s="199" t="s">
        <v>15</v>
      </c>
      <c r="F140" s="200">
        <f>'EDT Nueva'!F44</f>
        <v>1</v>
      </c>
      <c r="G140" s="201">
        <f>EDTN1011[[#This Row],[Nuevos Pesos]]*$G$45</f>
        <v>0</v>
      </c>
      <c r="H140" s="400" t="s">
        <v>15</v>
      </c>
      <c r="I140" s="389">
        <v>0</v>
      </c>
      <c r="J140" s="390">
        <v>0</v>
      </c>
      <c r="K140" s="391">
        <v>0</v>
      </c>
      <c r="L140" s="392">
        <v>0</v>
      </c>
      <c r="M140" s="390">
        <v>0</v>
      </c>
      <c r="N140" s="391">
        <v>0</v>
      </c>
      <c r="O140" s="392">
        <v>0</v>
      </c>
      <c r="P140" s="390">
        <v>0</v>
      </c>
      <c r="Q140" s="391">
        <v>0</v>
      </c>
      <c r="R140" s="393">
        <v>0</v>
      </c>
    </row>
    <row r="141" spans="2:18" ht="22.8" collapsed="1" x14ac:dyDescent="0.4">
      <c r="B141" s="222"/>
      <c r="C141" s="223" t="s">
        <v>83</v>
      </c>
      <c r="D141" s="224"/>
      <c r="E141" s="233"/>
      <c r="F141" s="226">
        <f>'EDT Nueva'!F45</f>
        <v>0.22717450583622398</v>
      </c>
      <c r="G141" s="227">
        <f>EDTN1011[[#This Row],[Nuevos Pesos]]*$G$7</f>
        <v>0.22717450583622398</v>
      </c>
      <c r="H141" s="413" t="s">
        <v>83</v>
      </c>
      <c r="I141" s="408">
        <v>1</v>
      </c>
      <c r="J141" s="409">
        <v>0</v>
      </c>
      <c r="K141" s="410">
        <v>1</v>
      </c>
      <c r="L141" s="411">
        <v>0.59806678029434068</v>
      </c>
      <c r="M141" s="409">
        <v>2.546717780917529E-3</v>
      </c>
      <c r="N141" s="410">
        <v>0.60061349807525821</v>
      </c>
      <c r="O141" s="411">
        <v>-0.40193321970565932</v>
      </c>
      <c r="P141" s="409">
        <v>2.546717780917529E-3</v>
      </c>
      <c r="Q141" s="410">
        <v>-0.39938650192474179</v>
      </c>
      <c r="R141" s="412">
        <v>-9.0730431212411325E-2</v>
      </c>
    </row>
    <row r="142" spans="2:18" ht="21" hidden="1" outlineLevel="1" collapsed="1" x14ac:dyDescent="0.4">
      <c r="B142" s="192"/>
      <c r="C142" s="193"/>
      <c r="D142" s="193" t="s">
        <v>13</v>
      </c>
      <c r="E142" s="202"/>
      <c r="F142" s="195">
        <f>'EDT Nueva'!F46</f>
        <v>2.3468375928862552E-2</v>
      </c>
      <c r="G142" s="196">
        <f>EDTN1011[[#This Row],[Nuevos Pesos]]*$G$47</f>
        <v>5.331416704418084E-3</v>
      </c>
      <c r="H142" s="382" t="s">
        <v>13</v>
      </c>
      <c r="I142" s="383">
        <v>1</v>
      </c>
      <c r="J142" s="384">
        <v>0</v>
      </c>
      <c r="K142" s="385">
        <v>1</v>
      </c>
      <c r="L142" s="386">
        <v>1</v>
      </c>
      <c r="M142" s="384">
        <v>0</v>
      </c>
      <c r="N142" s="385">
        <v>1</v>
      </c>
      <c r="O142" s="386">
        <v>0</v>
      </c>
      <c r="P142" s="384">
        <v>0</v>
      </c>
      <c r="Q142" s="385">
        <v>0</v>
      </c>
      <c r="R142" s="387">
        <v>0</v>
      </c>
    </row>
    <row r="143" spans="2:18" ht="21" hidden="1" outlineLevel="2" x14ac:dyDescent="0.4">
      <c r="B143" s="197"/>
      <c r="C143" s="198"/>
      <c r="D143" s="198"/>
      <c r="E143" s="199" t="s">
        <v>86</v>
      </c>
      <c r="F143" s="200">
        <f>'EDT Nueva'!F47</f>
        <v>1</v>
      </c>
      <c r="G143" s="201">
        <f>EDTN1011[[#This Row],[Nuevos Pesos]]*$G$48</f>
        <v>5.331416704418084E-3</v>
      </c>
      <c r="H143" s="399" t="s">
        <v>86</v>
      </c>
      <c r="I143" s="389">
        <v>1</v>
      </c>
      <c r="J143" s="390">
        <v>0</v>
      </c>
      <c r="K143" s="391">
        <v>1</v>
      </c>
      <c r="L143" s="392">
        <v>1</v>
      </c>
      <c r="M143" s="390">
        <v>0</v>
      </c>
      <c r="N143" s="391">
        <v>1</v>
      </c>
      <c r="O143" s="392">
        <v>0</v>
      </c>
      <c r="P143" s="390">
        <v>0</v>
      </c>
      <c r="Q143" s="391">
        <v>0</v>
      </c>
      <c r="R143" s="393">
        <v>0</v>
      </c>
    </row>
    <row r="144" spans="2:18" ht="21" hidden="1" outlineLevel="1" x14ac:dyDescent="0.4">
      <c r="B144" s="192"/>
      <c r="C144" s="193"/>
      <c r="D144" s="193" t="s">
        <v>92</v>
      </c>
      <c r="E144" s="202"/>
      <c r="F144" s="195">
        <f>'EDT Nueva'!F48</f>
        <v>0.18279351044074912</v>
      </c>
      <c r="G144" s="196">
        <f>EDTN1011[[#This Row],[Nuevos Pesos]]*$G$47</f>
        <v>4.1526025404445832E-2</v>
      </c>
      <c r="H144" s="382" t="s">
        <v>92</v>
      </c>
      <c r="I144" s="383">
        <v>1</v>
      </c>
      <c r="J144" s="384">
        <v>0</v>
      </c>
      <c r="K144" s="385">
        <v>1</v>
      </c>
      <c r="L144" s="386">
        <v>0.91230769230769237</v>
      </c>
      <c r="M144" s="384">
        <v>2.3076923076922329E-3</v>
      </c>
      <c r="N144" s="385">
        <v>0.91461538461538461</v>
      </c>
      <c r="O144" s="386">
        <v>-8.7692307692307625E-2</v>
      </c>
      <c r="P144" s="384">
        <v>2.3076923076922329E-3</v>
      </c>
      <c r="Q144" s="385">
        <v>-8.5384615384615392E-2</v>
      </c>
      <c r="R144" s="387">
        <v>-3.5456837076103757E-3</v>
      </c>
    </row>
    <row r="145" spans="2:18" ht="21" hidden="1" outlineLevel="2" x14ac:dyDescent="0.4">
      <c r="B145" s="197"/>
      <c r="C145" s="198"/>
      <c r="D145" s="198"/>
      <c r="E145" s="199" t="s">
        <v>93</v>
      </c>
      <c r="F145" s="200">
        <f>'EDT Nueva'!F49</f>
        <v>0.23076923076923078</v>
      </c>
      <c r="G145" s="201">
        <f>EDTN1011[[#This Row],[Nuevos Pesos]]*$G$50</f>
        <v>9.5829289394875009E-3</v>
      </c>
      <c r="H145" s="388" t="s">
        <v>93</v>
      </c>
      <c r="I145" s="389">
        <v>1</v>
      </c>
      <c r="J145" s="390">
        <v>0</v>
      </c>
      <c r="K145" s="391">
        <v>1</v>
      </c>
      <c r="L145" s="392">
        <v>0.62</v>
      </c>
      <c r="M145" s="390">
        <v>1.0000000000000009E-2</v>
      </c>
      <c r="N145" s="391">
        <v>0.63</v>
      </c>
      <c r="O145" s="392">
        <v>-0.38</v>
      </c>
      <c r="P145" s="390">
        <v>1.0000000000000009E-2</v>
      </c>
      <c r="Q145" s="391">
        <v>-0.37</v>
      </c>
      <c r="R145" s="393">
        <v>-3.5456837076103752E-3</v>
      </c>
    </row>
    <row r="146" spans="2:18" ht="21" hidden="1" outlineLevel="2" x14ac:dyDescent="0.4">
      <c r="B146" s="197"/>
      <c r="C146" s="198"/>
      <c r="D146" s="198"/>
      <c r="E146" s="199" t="s">
        <v>96</v>
      </c>
      <c r="F146" s="200">
        <f>'EDT Nueva'!F50</f>
        <v>0.38461538461538464</v>
      </c>
      <c r="G146" s="201">
        <f>EDTN1011[[#This Row],[Nuevos Pesos]]*$G$50</f>
        <v>1.5971548232479166E-2</v>
      </c>
      <c r="H146" s="394" t="s">
        <v>96</v>
      </c>
      <c r="I146" s="389">
        <v>1</v>
      </c>
      <c r="J146" s="390">
        <v>0</v>
      </c>
      <c r="K146" s="391">
        <v>1</v>
      </c>
      <c r="L146" s="392">
        <v>1</v>
      </c>
      <c r="M146" s="390">
        <v>0</v>
      </c>
      <c r="N146" s="391">
        <v>1</v>
      </c>
      <c r="O146" s="392">
        <v>0</v>
      </c>
      <c r="P146" s="390">
        <v>0</v>
      </c>
      <c r="Q146" s="391">
        <v>0</v>
      </c>
      <c r="R146" s="393">
        <v>0</v>
      </c>
    </row>
    <row r="147" spans="2:18" ht="21" hidden="1" outlineLevel="2" x14ac:dyDescent="0.4">
      <c r="B147" s="197"/>
      <c r="C147" s="198"/>
      <c r="D147" s="198"/>
      <c r="E147" s="199" t="s">
        <v>97</v>
      </c>
      <c r="F147" s="200">
        <f>'EDT Nueva'!F51</f>
        <v>7.6923076923076927E-2</v>
      </c>
      <c r="G147" s="201">
        <f>EDTN1011[[#This Row],[Nuevos Pesos]]*$G$50</f>
        <v>3.1943096464958332E-3</v>
      </c>
      <c r="H147" s="394" t="s">
        <v>97</v>
      </c>
      <c r="I147" s="389">
        <v>1</v>
      </c>
      <c r="J147" s="390">
        <v>0</v>
      </c>
      <c r="K147" s="391">
        <v>1</v>
      </c>
      <c r="L147" s="392">
        <v>1</v>
      </c>
      <c r="M147" s="390">
        <v>0</v>
      </c>
      <c r="N147" s="391">
        <v>1</v>
      </c>
      <c r="O147" s="392">
        <v>0</v>
      </c>
      <c r="P147" s="390">
        <v>0</v>
      </c>
      <c r="Q147" s="391">
        <v>0</v>
      </c>
      <c r="R147" s="393">
        <v>0</v>
      </c>
    </row>
    <row r="148" spans="2:18" ht="21" hidden="1" outlineLevel="2" x14ac:dyDescent="0.4">
      <c r="B148" s="197"/>
      <c r="C148" s="198"/>
      <c r="D148" s="198"/>
      <c r="E148" s="199" t="s">
        <v>99</v>
      </c>
      <c r="F148" s="200">
        <f>'EDT Nueva'!F52</f>
        <v>0.23076923076923078</v>
      </c>
      <c r="G148" s="201">
        <f>EDTN1011[[#This Row],[Nuevos Pesos]]*$G$50</f>
        <v>9.5829289394875009E-3</v>
      </c>
      <c r="H148" s="394" t="s">
        <v>99</v>
      </c>
      <c r="I148" s="389">
        <v>1</v>
      </c>
      <c r="J148" s="390">
        <v>0</v>
      </c>
      <c r="K148" s="391">
        <v>1</v>
      </c>
      <c r="L148" s="392">
        <v>1</v>
      </c>
      <c r="M148" s="390">
        <v>0</v>
      </c>
      <c r="N148" s="391">
        <v>1</v>
      </c>
      <c r="O148" s="392">
        <v>0</v>
      </c>
      <c r="P148" s="390">
        <v>0</v>
      </c>
      <c r="Q148" s="391">
        <v>0</v>
      </c>
      <c r="R148" s="393">
        <v>0</v>
      </c>
    </row>
    <row r="149" spans="2:18" ht="21" hidden="1" outlineLevel="2" x14ac:dyDescent="0.4">
      <c r="B149" s="197"/>
      <c r="C149" s="198"/>
      <c r="D149" s="198"/>
      <c r="E149" s="199" t="s">
        <v>100</v>
      </c>
      <c r="F149" s="200">
        <f>'EDT Nueva'!F53</f>
        <v>7.6923076923076927E-2</v>
      </c>
      <c r="G149" s="201">
        <f>EDTN1011[[#This Row],[Nuevos Pesos]]*$G$50</f>
        <v>3.1943096464958332E-3</v>
      </c>
      <c r="H149" s="395" t="s">
        <v>100</v>
      </c>
      <c r="I149" s="389">
        <v>1</v>
      </c>
      <c r="J149" s="390">
        <v>0</v>
      </c>
      <c r="K149" s="391">
        <v>1</v>
      </c>
      <c r="L149" s="392">
        <v>1</v>
      </c>
      <c r="M149" s="390">
        <v>0</v>
      </c>
      <c r="N149" s="391">
        <v>1</v>
      </c>
      <c r="O149" s="392">
        <v>0</v>
      </c>
      <c r="P149" s="390">
        <v>0</v>
      </c>
      <c r="Q149" s="391">
        <v>0</v>
      </c>
      <c r="R149" s="393">
        <v>0</v>
      </c>
    </row>
    <row r="150" spans="2:18" ht="21" hidden="1" outlineLevel="1" collapsed="1" x14ac:dyDescent="0.4">
      <c r="B150" s="192"/>
      <c r="C150" s="193"/>
      <c r="D150" s="193" t="s">
        <v>102</v>
      </c>
      <c r="E150" s="202"/>
      <c r="F150" s="195">
        <f>'EDT Nueva'!F54</f>
        <v>3.5025603345783182E-2</v>
      </c>
      <c r="G150" s="196">
        <f>EDTN1011[[#This Row],[Nuevos Pesos]]*$G$47</f>
        <v>7.9569241316938873E-3</v>
      </c>
      <c r="H150" s="382" t="s">
        <v>102</v>
      </c>
      <c r="I150" s="383">
        <v>1</v>
      </c>
      <c r="J150" s="384">
        <v>0</v>
      </c>
      <c r="K150" s="385">
        <v>1</v>
      </c>
      <c r="L150" s="386">
        <v>1</v>
      </c>
      <c r="M150" s="384">
        <v>0</v>
      </c>
      <c r="N150" s="385">
        <v>1</v>
      </c>
      <c r="O150" s="386">
        <v>0</v>
      </c>
      <c r="P150" s="384">
        <v>0</v>
      </c>
      <c r="Q150" s="385">
        <v>0</v>
      </c>
      <c r="R150" s="387">
        <v>0</v>
      </c>
    </row>
    <row r="151" spans="2:18" ht="40.799999999999997" hidden="1" outlineLevel="2" x14ac:dyDescent="0.4">
      <c r="B151" s="197"/>
      <c r="C151" s="198"/>
      <c r="D151" s="198"/>
      <c r="E151" s="199" t="s">
        <v>105</v>
      </c>
      <c r="F151" s="200">
        <f>'EDT Nueva'!F55</f>
        <v>0.25</v>
      </c>
      <c r="G151" s="201">
        <f>EDTN1011[[#This Row],[Nuevos Pesos]]*$G$56</f>
        <v>1.9892310329234718E-3</v>
      </c>
      <c r="H151" s="388" t="s">
        <v>105</v>
      </c>
      <c r="I151" s="389">
        <v>1</v>
      </c>
      <c r="J151" s="390">
        <v>0</v>
      </c>
      <c r="K151" s="391">
        <v>1</v>
      </c>
      <c r="L151" s="392">
        <v>1</v>
      </c>
      <c r="M151" s="390">
        <v>0</v>
      </c>
      <c r="N151" s="391">
        <v>1</v>
      </c>
      <c r="O151" s="392">
        <v>0</v>
      </c>
      <c r="P151" s="390">
        <v>0</v>
      </c>
      <c r="Q151" s="391">
        <v>0</v>
      </c>
      <c r="R151" s="393">
        <v>0</v>
      </c>
    </row>
    <row r="152" spans="2:18" ht="40.799999999999997" hidden="1" outlineLevel="2" x14ac:dyDescent="0.4">
      <c r="B152" s="197"/>
      <c r="C152" s="198"/>
      <c r="D152" s="198"/>
      <c r="E152" s="199" t="s">
        <v>106</v>
      </c>
      <c r="F152" s="200">
        <f>'EDT Nueva'!F56</f>
        <v>0.75</v>
      </c>
      <c r="G152" s="201">
        <f>EDTN1011[[#This Row],[Nuevos Pesos]]*$G$56</f>
        <v>5.9676930987704151E-3</v>
      </c>
      <c r="H152" s="395" t="s">
        <v>106</v>
      </c>
      <c r="I152" s="389">
        <v>1</v>
      </c>
      <c r="J152" s="390">
        <v>0</v>
      </c>
      <c r="K152" s="391">
        <v>1</v>
      </c>
      <c r="L152" s="392">
        <v>1</v>
      </c>
      <c r="M152" s="390">
        <v>0</v>
      </c>
      <c r="N152" s="391">
        <v>1</v>
      </c>
      <c r="O152" s="392">
        <v>0</v>
      </c>
      <c r="P152" s="390">
        <v>0</v>
      </c>
      <c r="Q152" s="391">
        <v>0</v>
      </c>
      <c r="R152" s="393">
        <v>0</v>
      </c>
    </row>
    <row r="153" spans="2:18" ht="21" hidden="1" outlineLevel="1" x14ac:dyDescent="0.4">
      <c r="B153" s="192"/>
      <c r="C153" s="193"/>
      <c r="D153" s="193" t="s">
        <v>107</v>
      </c>
      <c r="E153" s="202"/>
      <c r="F153" s="195">
        <f>'EDT Nueva'!F57</f>
        <v>5.0592538166131268E-2</v>
      </c>
      <c r="G153" s="196">
        <f>EDTN1011[[#This Row],[Nuevos Pesos]]*$G$47</f>
        <v>1.1493334856891172E-2</v>
      </c>
      <c r="H153" s="382" t="s">
        <v>107</v>
      </c>
      <c r="I153" s="383">
        <v>1</v>
      </c>
      <c r="J153" s="384">
        <v>0</v>
      </c>
      <c r="K153" s="385">
        <v>1</v>
      </c>
      <c r="L153" s="386">
        <v>0</v>
      </c>
      <c r="M153" s="384">
        <v>0</v>
      </c>
      <c r="N153" s="385">
        <v>0</v>
      </c>
      <c r="O153" s="386">
        <v>-1</v>
      </c>
      <c r="P153" s="384">
        <v>0</v>
      </c>
      <c r="Q153" s="385">
        <v>-1</v>
      </c>
      <c r="R153" s="387">
        <v>-1.1493334856891172E-2</v>
      </c>
    </row>
    <row r="154" spans="2:18" ht="21" hidden="1" outlineLevel="2" x14ac:dyDescent="0.4">
      <c r="B154" s="197"/>
      <c r="C154" s="198"/>
      <c r="D154" s="198"/>
      <c r="E154" s="199" t="s">
        <v>108</v>
      </c>
      <c r="F154" s="200">
        <f>'EDT Nueva'!F58</f>
        <v>1</v>
      </c>
      <c r="G154" s="201">
        <f>EDTN1011[[#This Row],[Nuevos Pesos]]*$G$59</f>
        <v>1.1493334856891172E-2</v>
      </c>
      <c r="H154" s="399" t="s">
        <v>108</v>
      </c>
      <c r="I154" s="389">
        <v>1</v>
      </c>
      <c r="J154" s="390">
        <v>0</v>
      </c>
      <c r="K154" s="391">
        <v>1</v>
      </c>
      <c r="L154" s="392">
        <v>0</v>
      </c>
      <c r="M154" s="390">
        <v>0</v>
      </c>
      <c r="N154" s="391">
        <v>0</v>
      </c>
      <c r="O154" s="392">
        <v>-1</v>
      </c>
      <c r="P154" s="390">
        <v>0</v>
      </c>
      <c r="Q154" s="391">
        <v>-1</v>
      </c>
      <c r="R154" s="393">
        <v>-1.1493334856891172E-2</v>
      </c>
    </row>
    <row r="155" spans="2:18" ht="21" hidden="1" outlineLevel="1" x14ac:dyDescent="0.4">
      <c r="B155" s="192"/>
      <c r="C155" s="193"/>
      <c r="D155" s="193" t="s">
        <v>109</v>
      </c>
      <c r="E155" s="202"/>
      <c r="F155" s="195">
        <f>'EDT Nueva'!F59</f>
        <v>4.2809070755957225E-2</v>
      </c>
      <c r="G155" s="196">
        <f>EDTN1011[[#This Row],[Nuevos Pesos]]*$G$47</f>
        <v>9.7251294942925295E-3</v>
      </c>
      <c r="H155" s="382" t="s">
        <v>109</v>
      </c>
      <c r="I155" s="383">
        <v>1</v>
      </c>
      <c r="J155" s="384">
        <v>0</v>
      </c>
      <c r="K155" s="385">
        <v>1</v>
      </c>
      <c r="L155" s="386">
        <v>0.47500000000000003</v>
      </c>
      <c r="M155" s="384">
        <v>0</v>
      </c>
      <c r="N155" s="385">
        <v>0.47500000000000003</v>
      </c>
      <c r="O155" s="386">
        <v>-0.52499999999999991</v>
      </c>
      <c r="P155" s="384">
        <v>0</v>
      </c>
      <c r="Q155" s="385">
        <v>-0.52499999999999991</v>
      </c>
      <c r="R155" s="387">
        <v>-5.105692984503577E-3</v>
      </c>
    </row>
    <row r="156" spans="2:18" ht="21" hidden="1" outlineLevel="2" x14ac:dyDescent="0.4">
      <c r="B156" s="197"/>
      <c r="C156" s="198"/>
      <c r="D156" s="198"/>
      <c r="E156" s="199" t="s">
        <v>110</v>
      </c>
      <c r="F156" s="200">
        <f>'EDT Nueva'!F60</f>
        <v>0.25</v>
      </c>
      <c r="G156" s="201">
        <f>EDTN1011[[#This Row],[Nuevos Pesos]]*$G$61</f>
        <v>2.4312823735731324E-3</v>
      </c>
      <c r="H156" s="388" t="s">
        <v>110</v>
      </c>
      <c r="I156" s="389">
        <v>1</v>
      </c>
      <c r="J156" s="390">
        <v>0</v>
      </c>
      <c r="K156" s="391">
        <v>1</v>
      </c>
      <c r="L156" s="392">
        <v>1</v>
      </c>
      <c r="M156" s="390">
        <v>0</v>
      </c>
      <c r="N156" s="391">
        <v>1</v>
      </c>
      <c r="O156" s="392">
        <v>0</v>
      </c>
      <c r="P156" s="390">
        <v>0</v>
      </c>
      <c r="Q156" s="391">
        <v>0</v>
      </c>
      <c r="R156" s="393">
        <v>0</v>
      </c>
    </row>
    <row r="157" spans="2:18" ht="21" hidden="1" outlineLevel="2" x14ac:dyDescent="0.4">
      <c r="B157" s="197"/>
      <c r="C157" s="198"/>
      <c r="D157" s="198"/>
      <c r="E157" s="199" t="s">
        <v>111</v>
      </c>
      <c r="F157" s="200">
        <f>'EDT Nueva'!F61</f>
        <v>0.75</v>
      </c>
      <c r="G157" s="201">
        <f>EDTN1011[[#This Row],[Nuevos Pesos]]*$G$61</f>
        <v>7.2938471207193972E-3</v>
      </c>
      <c r="H157" s="395" t="s">
        <v>111</v>
      </c>
      <c r="I157" s="389">
        <v>1</v>
      </c>
      <c r="J157" s="390">
        <v>0</v>
      </c>
      <c r="K157" s="391">
        <v>1</v>
      </c>
      <c r="L157" s="392">
        <v>0.3</v>
      </c>
      <c r="M157" s="390">
        <v>0</v>
      </c>
      <c r="N157" s="391">
        <v>0.3</v>
      </c>
      <c r="O157" s="392">
        <v>-0.7</v>
      </c>
      <c r="P157" s="390">
        <v>0</v>
      </c>
      <c r="Q157" s="391">
        <v>-0.7</v>
      </c>
      <c r="R157" s="393">
        <v>-5.1056929845035778E-3</v>
      </c>
    </row>
    <row r="158" spans="2:18" ht="21" hidden="1" outlineLevel="1" x14ac:dyDescent="0.4">
      <c r="B158" s="192"/>
      <c r="C158" s="193"/>
      <c r="D158" s="193" t="s">
        <v>112</v>
      </c>
      <c r="E158" s="202"/>
      <c r="F158" s="195">
        <f>'EDT Nueva'!F62</f>
        <v>8.1726407806827425E-2</v>
      </c>
      <c r="G158" s="196">
        <f>EDTN1011[[#This Row],[Nuevos Pesos]]*$G$47</f>
        <v>1.8566156307285739E-2</v>
      </c>
      <c r="H158" s="382" t="s">
        <v>112</v>
      </c>
      <c r="I158" s="383">
        <v>1</v>
      </c>
      <c r="J158" s="384">
        <v>0</v>
      </c>
      <c r="K158" s="385">
        <v>1</v>
      </c>
      <c r="L158" s="386">
        <v>0.22199999999999998</v>
      </c>
      <c r="M158" s="384">
        <v>0</v>
      </c>
      <c r="N158" s="385">
        <v>0.22199999999999998</v>
      </c>
      <c r="O158" s="386">
        <v>-0.77800000000000002</v>
      </c>
      <c r="P158" s="384">
        <v>0</v>
      </c>
      <c r="Q158" s="385">
        <v>-0.77800000000000002</v>
      </c>
      <c r="R158" s="387">
        <v>-1.4444469607068305E-2</v>
      </c>
    </row>
    <row r="159" spans="2:18" ht="21" hidden="1" outlineLevel="2" x14ac:dyDescent="0.4">
      <c r="B159" s="197"/>
      <c r="C159" s="198"/>
      <c r="D159" s="198"/>
      <c r="E159" s="199" t="s">
        <v>113</v>
      </c>
      <c r="F159" s="200">
        <f>'EDT Nueva'!F63</f>
        <v>0.222</v>
      </c>
      <c r="G159" s="201">
        <f>EDTN1011[[#This Row],[Nuevos Pesos]]*$G$64</f>
        <v>4.1216867002174338E-3</v>
      </c>
      <c r="H159" s="388" t="s">
        <v>113</v>
      </c>
      <c r="I159" s="389">
        <v>1</v>
      </c>
      <c r="J159" s="390">
        <v>0</v>
      </c>
      <c r="K159" s="391">
        <v>1</v>
      </c>
      <c r="L159" s="392">
        <v>1</v>
      </c>
      <c r="M159" s="390">
        <v>0</v>
      </c>
      <c r="N159" s="391">
        <v>1</v>
      </c>
      <c r="O159" s="392">
        <v>0</v>
      </c>
      <c r="P159" s="390">
        <v>0</v>
      </c>
      <c r="Q159" s="391">
        <v>0</v>
      </c>
      <c r="R159" s="393">
        <v>0</v>
      </c>
    </row>
    <row r="160" spans="2:18" ht="21" hidden="1" outlineLevel="2" x14ac:dyDescent="0.4">
      <c r="B160" s="197"/>
      <c r="C160" s="198"/>
      <c r="D160" s="198"/>
      <c r="E160" s="199" t="s">
        <v>114</v>
      </c>
      <c r="F160" s="200">
        <f>'EDT Nueva'!F64</f>
        <v>0.77800000000000002</v>
      </c>
      <c r="G160" s="201">
        <f>EDTN1011[[#This Row],[Nuevos Pesos]]*$G$64</f>
        <v>1.4444469607068305E-2</v>
      </c>
      <c r="H160" s="395" t="s">
        <v>114</v>
      </c>
      <c r="I160" s="389">
        <v>1</v>
      </c>
      <c r="J160" s="390">
        <v>0</v>
      </c>
      <c r="K160" s="391">
        <v>1</v>
      </c>
      <c r="L160" s="392">
        <v>0</v>
      </c>
      <c r="M160" s="390">
        <v>0</v>
      </c>
      <c r="N160" s="391">
        <v>0</v>
      </c>
      <c r="O160" s="392">
        <v>-1</v>
      </c>
      <c r="P160" s="390">
        <v>0</v>
      </c>
      <c r="Q160" s="391">
        <v>-1</v>
      </c>
      <c r="R160" s="393">
        <v>-1.4444469607068305E-2</v>
      </c>
    </row>
    <row r="161" spans="2:18" ht="21" hidden="1" outlineLevel="1" x14ac:dyDescent="0.4">
      <c r="B161" s="192"/>
      <c r="C161" s="193"/>
      <c r="D161" s="193" t="s">
        <v>115</v>
      </c>
      <c r="E161" s="202"/>
      <c r="F161" s="195">
        <f>'EDT Nueva'!F65</f>
        <v>0.24500366121311851</v>
      </c>
      <c r="G161" s="196">
        <f>EDTN1011[[#This Row],[Nuevos Pesos]]*$G$47</f>
        <v>5.5658585664155831E-2</v>
      </c>
      <c r="H161" s="382" t="s">
        <v>115</v>
      </c>
      <c r="I161" s="383">
        <v>1</v>
      </c>
      <c r="J161" s="384">
        <v>0</v>
      </c>
      <c r="K161" s="385">
        <v>1</v>
      </c>
      <c r="L161" s="386">
        <v>0.96681149235422892</v>
      </c>
      <c r="M161" s="384">
        <v>0</v>
      </c>
      <c r="N161" s="385">
        <v>0.96681149235422892</v>
      </c>
      <c r="O161" s="386">
        <v>-3.3188507645771081E-2</v>
      </c>
      <c r="P161" s="384">
        <v>0</v>
      </c>
      <c r="Q161" s="385">
        <v>-3.3188507645771081E-2</v>
      </c>
      <c r="R161" s="387">
        <v>-1.8472253958676408E-3</v>
      </c>
    </row>
    <row r="162" spans="2:18" ht="21" hidden="1" outlineLevel="2" x14ac:dyDescent="0.4">
      <c r="B162" s="197"/>
      <c r="C162" s="198"/>
      <c r="D162" s="198"/>
      <c r="E162" s="199" t="s">
        <v>116</v>
      </c>
      <c r="F162" s="200">
        <f>'EDT Nueva'!F66</f>
        <v>0.66377015291541941</v>
      </c>
      <c r="G162" s="201">
        <f>EDTN1011[[#This Row],[Nuevos Pesos]]*$G$67</f>
        <v>3.6944507917352688E-2</v>
      </c>
      <c r="H162" s="388" t="s">
        <v>116</v>
      </c>
      <c r="I162" s="389">
        <v>1</v>
      </c>
      <c r="J162" s="390">
        <v>0</v>
      </c>
      <c r="K162" s="391">
        <v>1</v>
      </c>
      <c r="L162" s="392">
        <v>0.94999999999999984</v>
      </c>
      <c r="M162" s="390">
        <v>0</v>
      </c>
      <c r="N162" s="391">
        <v>0.94999999999999984</v>
      </c>
      <c r="O162" s="392">
        <v>-5.0000000000000155E-2</v>
      </c>
      <c r="P162" s="390">
        <v>0</v>
      </c>
      <c r="Q162" s="391">
        <v>-5.0000000000000155E-2</v>
      </c>
      <c r="R162" s="393">
        <v>-1.8472253958676402E-3</v>
      </c>
    </row>
    <row r="163" spans="2:18" ht="21" hidden="1" outlineLevel="2" x14ac:dyDescent="0.4">
      <c r="B163" s="197"/>
      <c r="C163" s="198"/>
      <c r="D163" s="198"/>
      <c r="E163" s="199" t="s">
        <v>117</v>
      </c>
      <c r="F163" s="200">
        <f>'EDT Nueva'!F67</f>
        <v>0.33622984708458059</v>
      </c>
      <c r="G163" s="201">
        <f>EDTN1011[[#This Row],[Nuevos Pesos]]*$G$67</f>
        <v>1.8714077746803146E-2</v>
      </c>
      <c r="H163" s="395" t="s">
        <v>117</v>
      </c>
      <c r="I163" s="389">
        <v>1</v>
      </c>
      <c r="J163" s="390">
        <v>0</v>
      </c>
      <c r="K163" s="391">
        <v>1</v>
      </c>
      <c r="L163" s="392">
        <v>1</v>
      </c>
      <c r="M163" s="390">
        <v>0</v>
      </c>
      <c r="N163" s="391">
        <v>1</v>
      </c>
      <c r="O163" s="392">
        <v>0</v>
      </c>
      <c r="P163" s="390">
        <v>0</v>
      </c>
      <c r="Q163" s="391">
        <v>0</v>
      </c>
      <c r="R163" s="393">
        <v>0</v>
      </c>
    </row>
    <row r="164" spans="2:18" ht="21" hidden="1" outlineLevel="1" x14ac:dyDescent="0.4">
      <c r="B164" s="192"/>
      <c r="C164" s="193"/>
      <c r="D164" s="193" t="s">
        <v>118</v>
      </c>
      <c r="E164" s="202"/>
      <c r="F164" s="195">
        <f>'EDT Nueva'!F68</f>
        <v>5.8376005576305304E-2</v>
      </c>
      <c r="G164" s="196">
        <f>EDTN1011[[#This Row],[Nuevos Pesos]]*$G$47</f>
        <v>1.3261540219489812E-2</v>
      </c>
      <c r="H164" s="382" t="s">
        <v>118</v>
      </c>
      <c r="I164" s="383">
        <v>1</v>
      </c>
      <c r="J164" s="384">
        <v>0</v>
      </c>
      <c r="K164" s="385">
        <v>1</v>
      </c>
      <c r="L164" s="386">
        <v>0</v>
      </c>
      <c r="M164" s="384">
        <v>0</v>
      </c>
      <c r="N164" s="385">
        <v>0</v>
      </c>
      <c r="O164" s="386">
        <v>-1</v>
      </c>
      <c r="P164" s="384">
        <v>0</v>
      </c>
      <c r="Q164" s="385">
        <v>-1</v>
      </c>
      <c r="R164" s="387">
        <v>-1.326154021948981E-2</v>
      </c>
    </row>
    <row r="165" spans="2:18" ht="21" hidden="1" outlineLevel="2" x14ac:dyDescent="0.4">
      <c r="B165" s="197"/>
      <c r="C165" s="198"/>
      <c r="D165" s="198"/>
      <c r="E165" s="199" t="s">
        <v>119</v>
      </c>
      <c r="F165" s="200">
        <f>'EDT Nueva'!F69</f>
        <v>0.33333333333333331</v>
      </c>
      <c r="G165" s="201">
        <f>EDTN1011[[#This Row],[Nuevos Pesos]]*$G$70</f>
        <v>4.4205134064966038E-3</v>
      </c>
      <c r="H165" s="388" t="s">
        <v>119</v>
      </c>
      <c r="I165" s="389">
        <v>1</v>
      </c>
      <c r="J165" s="390">
        <v>0</v>
      </c>
      <c r="K165" s="391">
        <v>1</v>
      </c>
      <c r="L165" s="392">
        <v>0</v>
      </c>
      <c r="M165" s="390">
        <v>0</v>
      </c>
      <c r="N165" s="391">
        <v>0</v>
      </c>
      <c r="O165" s="392">
        <v>-1</v>
      </c>
      <c r="P165" s="390">
        <v>0</v>
      </c>
      <c r="Q165" s="391">
        <v>-1</v>
      </c>
      <c r="R165" s="393">
        <v>-4.4205134064966038E-3</v>
      </c>
    </row>
    <row r="166" spans="2:18" ht="21" hidden="1" outlineLevel="2" x14ac:dyDescent="0.4">
      <c r="B166" s="197"/>
      <c r="C166" s="198"/>
      <c r="D166" s="198"/>
      <c r="E166" s="210" t="s">
        <v>120</v>
      </c>
      <c r="F166" s="200">
        <f>'EDT Nueva'!F70</f>
        <v>0.33333333333333331</v>
      </c>
      <c r="G166" s="201">
        <f>EDTN1011[[#This Row],[Nuevos Pesos]]*$G$70</f>
        <v>4.4205134064966038E-3</v>
      </c>
      <c r="H166" s="394" t="s">
        <v>120</v>
      </c>
      <c r="I166" s="389">
        <v>1</v>
      </c>
      <c r="J166" s="390">
        <v>0</v>
      </c>
      <c r="K166" s="391">
        <v>1</v>
      </c>
      <c r="L166" s="392">
        <v>0</v>
      </c>
      <c r="M166" s="390">
        <v>0</v>
      </c>
      <c r="N166" s="391">
        <v>0</v>
      </c>
      <c r="O166" s="392">
        <v>-1</v>
      </c>
      <c r="P166" s="390">
        <v>0</v>
      </c>
      <c r="Q166" s="391">
        <v>-1</v>
      </c>
      <c r="R166" s="393">
        <v>-4.4205134064966038E-3</v>
      </c>
    </row>
    <row r="167" spans="2:18" ht="21" hidden="1" outlineLevel="2" x14ac:dyDescent="0.4">
      <c r="B167" s="197"/>
      <c r="C167" s="198"/>
      <c r="D167" s="198"/>
      <c r="E167" s="210" t="s">
        <v>121</v>
      </c>
      <c r="F167" s="200">
        <f>'EDT Nueva'!F71</f>
        <v>0.33333333333333331</v>
      </c>
      <c r="G167" s="201">
        <f>EDTN1011[[#This Row],[Nuevos Pesos]]*$G$70</f>
        <v>4.4205134064966038E-3</v>
      </c>
      <c r="H167" s="395" t="s">
        <v>121</v>
      </c>
      <c r="I167" s="389">
        <v>1</v>
      </c>
      <c r="J167" s="390">
        <v>0</v>
      </c>
      <c r="K167" s="391">
        <v>1</v>
      </c>
      <c r="L167" s="392">
        <v>0</v>
      </c>
      <c r="M167" s="390">
        <v>0</v>
      </c>
      <c r="N167" s="391">
        <v>0</v>
      </c>
      <c r="O167" s="392">
        <v>-1</v>
      </c>
      <c r="P167" s="390">
        <v>0</v>
      </c>
      <c r="Q167" s="391">
        <v>-1</v>
      </c>
      <c r="R167" s="393">
        <v>-4.4205134064966038E-3</v>
      </c>
    </row>
    <row r="168" spans="2:18" ht="21" hidden="1" outlineLevel="1" collapsed="1" x14ac:dyDescent="0.4">
      <c r="B168" s="192"/>
      <c r="C168" s="193"/>
      <c r="D168" s="193" t="s">
        <v>122</v>
      </c>
      <c r="E168" s="202"/>
      <c r="F168" s="195">
        <f>'EDT Nueva'!F72</f>
        <v>3.5025603345783182E-2</v>
      </c>
      <c r="G168" s="196">
        <f>EDTN1011[[#This Row],[Nuevos Pesos]]*$G$47</f>
        <v>7.9569241316938873E-3</v>
      </c>
      <c r="H168" s="382" t="s">
        <v>122</v>
      </c>
      <c r="I168" s="383">
        <v>1</v>
      </c>
      <c r="J168" s="384">
        <v>0</v>
      </c>
      <c r="K168" s="385">
        <v>1</v>
      </c>
      <c r="L168" s="386">
        <v>1</v>
      </c>
      <c r="M168" s="384">
        <v>0</v>
      </c>
      <c r="N168" s="385">
        <v>1</v>
      </c>
      <c r="O168" s="386">
        <v>0</v>
      </c>
      <c r="P168" s="384">
        <v>0</v>
      </c>
      <c r="Q168" s="385">
        <v>0</v>
      </c>
      <c r="R168" s="387">
        <v>0</v>
      </c>
    </row>
    <row r="169" spans="2:18" ht="21" hidden="1" outlineLevel="2" x14ac:dyDescent="0.4">
      <c r="B169" s="197"/>
      <c r="C169" s="198"/>
      <c r="D169" s="198"/>
      <c r="E169" s="199" t="s">
        <v>123</v>
      </c>
      <c r="F169" s="200">
        <f>'EDT Nueva'!F73</f>
        <v>0.33333333333333331</v>
      </c>
      <c r="G169" s="201">
        <f>EDTN1011[[#This Row],[Nuevos Pesos]]*$G$74</f>
        <v>2.6523080438979624E-3</v>
      </c>
      <c r="H169" s="388" t="s">
        <v>123</v>
      </c>
      <c r="I169" s="389">
        <v>1</v>
      </c>
      <c r="J169" s="390">
        <v>0</v>
      </c>
      <c r="K169" s="391">
        <v>1</v>
      </c>
      <c r="L169" s="392">
        <v>0.99999999999999989</v>
      </c>
      <c r="M169" s="390">
        <v>0</v>
      </c>
      <c r="N169" s="391">
        <v>0.99999999999999989</v>
      </c>
      <c r="O169" s="392">
        <v>-1.1102230246251565E-16</v>
      </c>
      <c r="P169" s="390">
        <v>0</v>
      </c>
      <c r="Q169" s="391">
        <v>-1.1102230246251565E-16</v>
      </c>
      <c r="R169" s="393">
        <v>-2.9446534587340283E-19</v>
      </c>
    </row>
    <row r="170" spans="2:18" ht="21" hidden="1" outlineLevel="2" x14ac:dyDescent="0.4">
      <c r="B170" s="197"/>
      <c r="C170" s="198"/>
      <c r="D170" s="198"/>
      <c r="E170" s="199" t="s">
        <v>124</v>
      </c>
      <c r="F170" s="200">
        <f>'EDT Nueva'!F74</f>
        <v>0.33333333333333331</v>
      </c>
      <c r="G170" s="201">
        <f>EDTN1011[[#This Row],[Nuevos Pesos]]*$G$74</f>
        <v>2.6523080438979624E-3</v>
      </c>
      <c r="H170" s="394" t="s">
        <v>124</v>
      </c>
      <c r="I170" s="389">
        <v>1</v>
      </c>
      <c r="J170" s="390">
        <v>0</v>
      </c>
      <c r="K170" s="391">
        <v>1</v>
      </c>
      <c r="L170" s="392">
        <v>1</v>
      </c>
      <c r="M170" s="390">
        <v>0</v>
      </c>
      <c r="N170" s="391">
        <v>1</v>
      </c>
      <c r="O170" s="392">
        <v>0</v>
      </c>
      <c r="P170" s="390">
        <v>0</v>
      </c>
      <c r="Q170" s="391">
        <v>0</v>
      </c>
      <c r="R170" s="393">
        <v>0</v>
      </c>
    </row>
    <row r="171" spans="2:18" ht="21" hidden="1" outlineLevel="2" x14ac:dyDescent="0.4">
      <c r="B171" s="197"/>
      <c r="C171" s="198"/>
      <c r="D171" s="198"/>
      <c r="E171" s="199" t="s">
        <v>125</v>
      </c>
      <c r="F171" s="200">
        <f>'EDT Nueva'!F75</f>
        <v>0.33333333333333331</v>
      </c>
      <c r="G171" s="201">
        <f>EDTN1011[[#This Row],[Nuevos Pesos]]*$G$74</f>
        <v>2.6523080438979624E-3</v>
      </c>
      <c r="H171" s="395" t="s">
        <v>125</v>
      </c>
      <c r="I171" s="389">
        <v>1</v>
      </c>
      <c r="J171" s="390">
        <v>0</v>
      </c>
      <c r="K171" s="391">
        <v>1</v>
      </c>
      <c r="L171" s="392">
        <v>1</v>
      </c>
      <c r="M171" s="390">
        <v>0</v>
      </c>
      <c r="N171" s="391">
        <v>1</v>
      </c>
      <c r="O171" s="392">
        <v>0</v>
      </c>
      <c r="P171" s="390">
        <v>0</v>
      </c>
      <c r="Q171" s="391">
        <v>0</v>
      </c>
      <c r="R171" s="393">
        <v>0</v>
      </c>
    </row>
    <row r="172" spans="2:18" ht="21" hidden="1" outlineLevel="1" x14ac:dyDescent="0.4">
      <c r="B172" s="192"/>
      <c r="C172" s="193"/>
      <c r="D172" s="193" t="s">
        <v>126</v>
      </c>
      <c r="E172" s="202"/>
      <c r="F172" s="195">
        <f>'EDT Nueva'!F76</f>
        <v>8.1726407806827425E-2</v>
      </c>
      <c r="G172" s="196">
        <f>EDTN1011[[#This Row],[Nuevos Pesos]]*$G$47</f>
        <v>1.8566156307285739E-2</v>
      </c>
      <c r="H172" s="382" t="s">
        <v>209</v>
      </c>
      <c r="I172" s="383">
        <v>1</v>
      </c>
      <c r="J172" s="384">
        <v>0</v>
      </c>
      <c r="K172" s="385">
        <v>1</v>
      </c>
      <c r="L172" s="386">
        <v>0.11111111111111112</v>
      </c>
      <c r="M172" s="384">
        <v>0</v>
      </c>
      <c r="N172" s="385">
        <v>0.11111111111111112</v>
      </c>
      <c r="O172" s="386">
        <v>-0.88888888888888884</v>
      </c>
      <c r="P172" s="384">
        <v>0</v>
      </c>
      <c r="Q172" s="385">
        <v>-0.88888888888888884</v>
      </c>
      <c r="R172" s="387">
        <v>-1.6503250050920657E-2</v>
      </c>
    </row>
    <row r="173" spans="2:18" ht="21" hidden="1" outlineLevel="2" x14ac:dyDescent="0.4">
      <c r="B173" s="197"/>
      <c r="C173" s="198"/>
      <c r="D173" s="198"/>
      <c r="E173" s="199" t="s">
        <v>127</v>
      </c>
      <c r="F173" s="200">
        <f>'EDT Nueva'!F77</f>
        <v>0.22222222222222221</v>
      </c>
      <c r="G173" s="201">
        <f>EDTN1011[[#This Row],[Nuevos Pesos]]*$G$78</f>
        <v>4.1258125127301643E-3</v>
      </c>
      <c r="H173" s="388" t="s">
        <v>127</v>
      </c>
      <c r="I173" s="389">
        <v>1</v>
      </c>
      <c r="J173" s="390">
        <v>0</v>
      </c>
      <c r="K173" s="391">
        <v>1</v>
      </c>
      <c r="L173" s="392">
        <v>0</v>
      </c>
      <c r="M173" s="390">
        <v>0</v>
      </c>
      <c r="N173" s="391">
        <v>0</v>
      </c>
      <c r="O173" s="392">
        <v>-1</v>
      </c>
      <c r="P173" s="390">
        <v>0</v>
      </c>
      <c r="Q173" s="391">
        <v>-1</v>
      </c>
      <c r="R173" s="393">
        <v>-4.1258125127301643E-3</v>
      </c>
    </row>
    <row r="174" spans="2:18" ht="21" hidden="1" outlineLevel="2" x14ac:dyDescent="0.4">
      <c r="B174" s="197"/>
      <c r="C174" s="198"/>
      <c r="D174" s="198"/>
      <c r="E174" s="199" t="s">
        <v>128</v>
      </c>
      <c r="F174" s="200">
        <f>'EDT Nueva'!F78</f>
        <v>0.1111111111111111</v>
      </c>
      <c r="G174" s="201">
        <f>EDTN1011[[#This Row],[Nuevos Pesos]]*$G$78</f>
        <v>2.0629062563650821E-3</v>
      </c>
      <c r="H174" s="394" t="s">
        <v>128</v>
      </c>
      <c r="I174" s="389">
        <v>1</v>
      </c>
      <c r="J174" s="390">
        <v>0</v>
      </c>
      <c r="K174" s="391">
        <v>1</v>
      </c>
      <c r="L174" s="392">
        <v>0</v>
      </c>
      <c r="M174" s="390">
        <v>0</v>
      </c>
      <c r="N174" s="391">
        <v>0</v>
      </c>
      <c r="O174" s="392">
        <v>-1</v>
      </c>
      <c r="P174" s="390">
        <v>0</v>
      </c>
      <c r="Q174" s="391">
        <v>-1</v>
      </c>
      <c r="R174" s="393">
        <v>-2.0629062563650821E-3</v>
      </c>
    </row>
    <row r="175" spans="2:18" ht="21" hidden="1" outlineLevel="2" x14ac:dyDescent="0.4">
      <c r="B175" s="197"/>
      <c r="C175" s="198"/>
      <c r="D175" s="198"/>
      <c r="E175" s="199" t="s">
        <v>129</v>
      </c>
      <c r="F175" s="200">
        <f>'EDT Nueva'!F79</f>
        <v>0.1111111111111111</v>
      </c>
      <c r="G175" s="201">
        <f>EDTN1011[[#This Row],[Nuevos Pesos]]*$G$78</f>
        <v>2.0629062563650821E-3</v>
      </c>
      <c r="H175" s="394" t="s">
        <v>129</v>
      </c>
      <c r="I175" s="389">
        <v>1</v>
      </c>
      <c r="J175" s="390">
        <v>0</v>
      </c>
      <c r="K175" s="391">
        <v>1</v>
      </c>
      <c r="L175" s="392">
        <v>0</v>
      </c>
      <c r="M175" s="390">
        <v>0</v>
      </c>
      <c r="N175" s="391">
        <v>0</v>
      </c>
      <c r="O175" s="392">
        <v>-1</v>
      </c>
      <c r="P175" s="390">
        <v>0</v>
      </c>
      <c r="Q175" s="391">
        <v>-1</v>
      </c>
      <c r="R175" s="393">
        <v>-2.0629062563650821E-3</v>
      </c>
    </row>
    <row r="176" spans="2:18" ht="40.799999999999997" hidden="1" outlineLevel="2" x14ac:dyDescent="0.4">
      <c r="B176" s="197"/>
      <c r="C176" s="198"/>
      <c r="D176" s="198"/>
      <c r="E176" s="199" t="s">
        <v>130</v>
      </c>
      <c r="F176" s="200">
        <f>'EDT Nueva'!F80</f>
        <v>0.22222222222222221</v>
      </c>
      <c r="G176" s="201">
        <f>EDTN1011[[#This Row],[Nuevos Pesos]]*$G$78</f>
        <v>4.1258125127301643E-3</v>
      </c>
      <c r="H176" s="394" t="s">
        <v>130</v>
      </c>
      <c r="I176" s="389">
        <v>1</v>
      </c>
      <c r="J176" s="390">
        <v>0</v>
      </c>
      <c r="K176" s="391">
        <v>1</v>
      </c>
      <c r="L176" s="392">
        <v>0</v>
      </c>
      <c r="M176" s="390">
        <v>0</v>
      </c>
      <c r="N176" s="391">
        <v>0</v>
      </c>
      <c r="O176" s="392">
        <v>-1</v>
      </c>
      <c r="P176" s="390">
        <v>0</v>
      </c>
      <c r="Q176" s="391">
        <v>-1</v>
      </c>
      <c r="R176" s="393">
        <v>-4.1258125127301643E-3</v>
      </c>
    </row>
    <row r="177" spans="2:18" ht="21" hidden="1" outlineLevel="2" x14ac:dyDescent="0.4">
      <c r="B177" s="197"/>
      <c r="C177" s="198"/>
      <c r="D177" s="198"/>
      <c r="E177" s="199" t="s">
        <v>131</v>
      </c>
      <c r="F177" s="200">
        <f>'EDT Nueva'!F81</f>
        <v>0.1111111111111111</v>
      </c>
      <c r="G177" s="201">
        <f>EDTN1011[[#This Row],[Nuevos Pesos]]*$G$78</f>
        <v>2.0629062563650821E-3</v>
      </c>
      <c r="H177" s="394" t="s">
        <v>131</v>
      </c>
      <c r="I177" s="389">
        <v>1</v>
      </c>
      <c r="J177" s="390">
        <v>0</v>
      </c>
      <c r="K177" s="391">
        <v>1</v>
      </c>
      <c r="L177" s="392">
        <v>1</v>
      </c>
      <c r="M177" s="390">
        <v>0</v>
      </c>
      <c r="N177" s="391">
        <v>1</v>
      </c>
      <c r="O177" s="392">
        <v>0</v>
      </c>
      <c r="P177" s="390">
        <v>0</v>
      </c>
      <c r="Q177" s="391">
        <v>0</v>
      </c>
      <c r="R177" s="393">
        <v>0</v>
      </c>
    </row>
    <row r="178" spans="2:18" ht="21" hidden="1" outlineLevel="2" x14ac:dyDescent="0.4">
      <c r="B178" s="197"/>
      <c r="C178" s="198"/>
      <c r="D178" s="198"/>
      <c r="E178" s="199" t="s">
        <v>132</v>
      </c>
      <c r="F178" s="200">
        <f>'EDT Nueva'!F82</f>
        <v>0.22222222222222221</v>
      </c>
      <c r="G178" s="201">
        <f>EDTN1011[[#This Row],[Nuevos Pesos]]*$G$78</f>
        <v>4.1258125127301643E-3</v>
      </c>
      <c r="H178" s="395" t="s">
        <v>132</v>
      </c>
      <c r="I178" s="389">
        <v>1</v>
      </c>
      <c r="J178" s="390">
        <v>0</v>
      </c>
      <c r="K178" s="391">
        <v>1</v>
      </c>
      <c r="L178" s="392">
        <v>0</v>
      </c>
      <c r="M178" s="390">
        <v>0</v>
      </c>
      <c r="N178" s="391">
        <v>0</v>
      </c>
      <c r="O178" s="392">
        <v>-1</v>
      </c>
      <c r="P178" s="390">
        <v>0</v>
      </c>
      <c r="Q178" s="391">
        <v>-1</v>
      </c>
      <c r="R178" s="393">
        <v>-4.1258125127301643E-3</v>
      </c>
    </row>
    <row r="179" spans="2:18" ht="21" hidden="1" outlineLevel="1" x14ac:dyDescent="0.4">
      <c r="B179" s="192"/>
      <c r="C179" s="193"/>
      <c r="D179" s="193" t="s">
        <v>133</v>
      </c>
      <c r="E179" s="202"/>
      <c r="F179" s="195">
        <f>'EDT Nueva'!F83</f>
        <v>8.1726407806827439E-2</v>
      </c>
      <c r="G179" s="196">
        <f>EDTN1011[[#This Row],[Nuevos Pesos]]*$G$47</f>
        <v>1.8566156307285742E-2</v>
      </c>
      <c r="H179" s="382" t="s">
        <v>133</v>
      </c>
      <c r="I179" s="383">
        <v>1</v>
      </c>
      <c r="J179" s="384">
        <v>0</v>
      </c>
      <c r="K179" s="385">
        <v>1</v>
      </c>
      <c r="L179" s="386">
        <v>0.17981999999999998</v>
      </c>
      <c r="M179" s="384">
        <v>0</v>
      </c>
      <c r="N179" s="385">
        <v>0.17981999999999998</v>
      </c>
      <c r="O179" s="386">
        <v>-0.82018000000000002</v>
      </c>
      <c r="P179" s="384">
        <v>0</v>
      </c>
      <c r="Q179" s="385">
        <v>-0.82018000000000002</v>
      </c>
      <c r="R179" s="387">
        <v>-1.5227590080109621E-2</v>
      </c>
    </row>
    <row r="180" spans="2:18" ht="21" hidden="1" outlineLevel="2" x14ac:dyDescent="0.4">
      <c r="B180" s="197"/>
      <c r="C180" s="198"/>
      <c r="D180" s="198"/>
      <c r="E180" s="199" t="s">
        <v>134</v>
      </c>
      <c r="F180" s="200">
        <f>'EDT Nueva'!F84</f>
        <v>0.222</v>
      </c>
      <c r="G180" s="201">
        <f>EDTN1011[[#This Row],[Nuevos Pesos]]*$G$85</f>
        <v>4.1216867002174347E-3</v>
      </c>
      <c r="H180" s="388" t="s">
        <v>134</v>
      </c>
      <c r="I180" s="389">
        <v>1</v>
      </c>
      <c r="J180" s="390">
        <v>0</v>
      </c>
      <c r="K180" s="391">
        <v>1</v>
      </c>
      <c r="L180" s="392">
        <v>0.4</v>
      </c>
      <c r="M180" s="390">
        <v>0</v>
      </c>
      <c r="N180" s="391">
        <v>0.4</v>
      </c>
      <c r="O180" s="392">
        <v>-0.6</v>
      </c>
      <c r="P180" s="390">
        <v>0</v>
      </c>
      <c r="Q180" s="391">
        <v>-0.6</v>
      </c>
      <c r="R180" s="393">
        <v>-2.4730120201304608E-3</v>
      </c>
    </row>
    <row r="181" spans="2:18" ht="21" hidden="1" outlineLevel="2" x14ac:dyDescent="0.4">
      <c r="B181" s="197"/>
      <c r="C181" s="198"/>
      <c r="D181" s="198"/>
      <c r="E181" s="199" t="s">
        <v>135</v>
      </c>
      <c r="F181" s="200">
        <f>'EDT Nueva'!F85</f>
        <v>0.222</v>
      </c>
      <c r="G181" s="201">
        <f>EDTN1011[[#This Row],[Nuevos Pesos]]*$G$85</f>
        <v>4.1216867002174347E-3</v>
      </c>
      <c r="H181" s="394" t="s">
        <v>212</v>
      </c>
      <c r="I181" s="389">
        <v>1</v>
      </c>
      <c r="J181" s="390">
        <v>0</v>
      </c>
      <c r="K181" s="391">
        <v>1</v>
      </c>
      <c r="L181" s="392">
        <v>0.41</v>
      </c>
      <c r="M181" s="390">
        <v>0</v>
      </c>
      <c r="N181" s="391">
        <v>0.41</v>
      </c>
      <c r="O181" s="392">
        <v>-0.59000000000000008</v>
      </c>
      <c r="P181" s="390">
        <v>0</v>
      </c>
      <c r="Q181" s="391">
        <v>-0.59000000000000008</v>
      </c>
      <c r="R181" s="393">
        <v>-2.4317951531282866E-3</v>
      </c>
    </row>
    <row r="182" spans="2:18" ht="21" hidden="1" outlineLevel="2" x14ac:dyDescent="0.4">
      <c r="B182" s="197"/>
      <c r="C182" s="198"/>
      <c r="D182" s="198"/>
      <c r="E182" s="199" t="s">
        <v>136</v>
      </c>
      <c r="F182" s="200">
        <f>'EDT Nueva'!F86</f>
        <v>0.55600000000000005</v>
      </c>
      <c r="G182" s="201">
        <f>EDTN1011[[#This Row],[Nuevos Pesos]]*$G$85</f>
        <v>1.0322782906850873E-2</v>
      </c>
      <c r="H182" s="395" t="s">
        <v>136</v>
      </c>
      <c r="I182" s="389">
        <v>1</v>
      </c>
      <c r="J182" s="390">
        <v>0</v>
      </c>
      <c r="K182" s="391">
        <v>1</v>
      </c>
      <c r="L182" s="392">
        <v>0</v>
      </c>
      <c r="M182" s="390">
        <v>0</v>
      </c>
      <c r="N182" s="391">
        <v>0</v>
      </c>
      <c r="O182" s="392">
        <v>-1</v>
      </c>
      <c r="P182" s="390">
        <v>0</v>
      </c>
      <c r="Q182" s="391">
        <v>-1</v>
      </c>
      <c r="R182" s="393">
        <v>-1.0322782906850873E-2</v>
      </c>
    </row>
    <row r="183" spans="2:18" ht="21" hidden="1" outlineLevel="1" x14ac:dyDescent="0.4">
      <c r="B183" s="192"/>
      <c r="C183" s="193"/>
      <c r="D183" s="193" t="s">
        <v>137</v>
      </c>
      <c r="E183" s="202"/>
      <c r="F183" s="195">
        <f>'EDT Nueva'!F87</f>
        <v>8.1726407806827425E-2</v>
      </c>
      <c r="G183" s="196">
        <f>EDTN1011[[#This Row],[Nuevos Pesos]]*$G$47</f>
        <v>1.8566156307285739E-2</v>
      </c>
      <c r="H183" s="382" t="s">
        <v>210</v>
      </c>
      <c r="I183" s="383">
        <v>1</v>
      </c>
      <c r="J183" s="384">
        <v>0</v>
      </c>
      <c r="K183" s="385">
        <v>1</v>
      </c>
      <c r="L183" s="386">
        <v>0.47299999999999998</v>
      </c>
      <c r="M183" s="384">
        <v>2.6000000000000023E-2</v>
      </c>
      <c r="N183" s="385">
        <v>0.499</v>
      </c>
      <c r="O183" s="386">
        <v>-0.52700000000000002</v>
      </c>
      <c r="P183" s="384">
        <v>2.6000000000000023E-2</v>
      </c>
      <c r="Q183" s="385">
        <v>-0.501</v>
      </c>
      <c r="R183" s="387">
        <v>-9.3016443099501554E-3</v>
      </c>
    </row>
    <row r="184" spans="2:18" ht="21" hidden="1" outlineLevel="2" x14ac:dyDescent="0.4">
      <c r="B184" s="197"/>
      <c r="C184" s="198"/>
      <c r="D184" s="198"/>
      <c r="E184" s="199" t="s">
        <v>138</v>
      </c>
      <c r="F184" s="200">
        <f>'EDT Nueva'!F88</f>
        <v>0.2</v>
      </c>
      <c r="G184" s="201">
        <f>EDTN1011[[#This Row],[Nuevos Pesos]]*$G$89</f>
        <v>3.713231261457148E-3</v>
      </c>
      <c r="H184" s="388" t="s">
        <v>138</v>
      </c>
      <c r="I184" s="389">
        <v>1</v>
      </c>
      <c r="J184" s="390">
        <v>0</v>
      </c>
      <c r="K184" s="391">
        <v>1</v>
      </c>
      <c r="L184" s="392">
        <v>1</v>
      </c>
      <c r="M184" s="390">
        <v>0</v>
      </c>
      <c r="N184" s="391">
        <v>1</v>
      </c>
      <c r="O184" s="392">
        <v>0</v>
      </c>
      <c r="P184" s="390">
        <v>0</v>
      </c>
      <c r="Q184" s="391">
        <v>0</v>
      </c>
      <c r="R184" s="393">
        <v>0</v>
      </c>
    </row>
    <row r="185" spans="2:18" ht="21" hidden="1" outlineLevel="2" x14ac:dyDescent="0.4">
      <c r="B185" s="197"/>
      <c r="C185" s="198"/>
      <c r="D185" s="198"/>
      <c r="E185" s="199" t="s">
        <v>139</v>
      </c>
      <c r="F185" s="200">
        <f>'EDT Nueva'!F89</f>
        <v>0.15</v>
      </c>
      <c r="G185" s="201">
        <f>EDTN1011[[#This Row],[Nuevos Pesos]]*$G$89</f>
        <v>2.7849234460928609E-3</v>
      </c>
      <c r="H185" s="394" t="s">
        <v>139</v>
      </c>
      <c r="I185" s="389">
        <v>1</v>
      </c>
      <c r="J185" s="390">
        <v>0</v>
      </c>
      <c r="K185" s="391">
        <v>1</v>
      </c>
      <c r="L185" s="392">
        <v>0</v>
      </c>
      <c r="M185" s="390">
        <v>0</v>
      </c>
      <c r="N185" s="391">
        <v>0</v>
      </c>
      <c r="O185" s="392">
        <v>-1</v>
      </c>
      <c r="P185" s="390">
        <v>0</v>
      </c>
      <c r="Q185" s="391">
        <v>-1</v>
      </c>
      <c r="R185" s="393">
        <v>-2.7849234460928609E-3</v>
      </c>
    </row>
    <row r="186" spans="2:18" ht="21" hidden="1" outlineLevel="2" x14ac:dyDescent="0.4">
      <c r="B186" s="197"/>
      <c r="C186" s="198"/>
      <c r="D186" s="198"/>
      <c r="E186" s="199" t="s">
        <v>140</v>
      </c>
      <c r="F186" s="200">
        <f>'EDT Nueva'!F90</f>
        <v>0.65</v>
      </c>
      <c r="G186" s="201">
        <f>EDTN1011[[#This Row],[Nuevos Pesos]]*$G$89</f>
        <v>1.206800159973573E-2</v>
      </c>
      <c r="H186" s="395" t="s">
        <v>140</v>
      </c>
      <c r="I186" s="389">
        <v>1</v>
      </c>
      <c r="J186" s="390">
        <v>0</v>
      </c>
      <c r="K186" s="391">
        <v>1</v>
      </c>
      <c r="L186" s="392">
        <v>0.41999999999999993</v>
      </c>
      <c r="M186" s="390">
        <v>4.0000000000000091E-2</v>
      </c>
      <c r="N186" s="391">
        <v>0.46</v>
      </c>
      <c r="O186" s="392">
        <v>-0.58000000000000007</v>
      </c>
      <c r="P186" s="390">
        <v>4.0000000000000036E-2</v>
      </c>
      <c r="Q186" s="391">
        <v>-0.54</v>
      </c>
      <c r="R186" s="393">
        <v>-6.5167208638572949E-3</v>
      </c>
    </row>
    <row r="187" spans="2:18" ht="21" hidden="1" outlineLevel="1" x14ac:dyDescent="0.4">
      <c r="B187" s="192"/>
      <c r="C187" s="193"/>
      <c r="D187" s="193" t="s">
        <v>79</v>
      </c>
      <c r="E187" s="202"/>
      <c r="F187" s="195">
        <f>'EDT Nueva'!F91</f>
        <v>0</v>
      </c>
      <c r="G187" s="196">
        <f>EDTN1011[[#This Row],[Nuevos Pesos]]*$G$47</f>
        <v>0</v>
      </c>
      <c r="H187" s="403" t="s">
        <v>251</v>
      </c>
      <c r="I187" s="383">
        <v>0</v>
      </c>
      <c r="J187" s="384">
        <v>0</v>
      </c>
      <c r="K187" s="385">
        <v>0</v>
      </c>
      <c r="L187" s="386">
        <v>0</v>
      </c>
      <c r="M187" s="384">
        <v>0</v>
      </c>
      <c r="N187" s="385">
        <v>0</v>
      </c>
      <c r="O187" s="386">
        <v>0</v>
      </c>
      <c r="P187" s="384">
        <v>0</v>
      </c>
      <c r="Q187" s="385">
        <v>0</v>
      </c>
      <c r="R187" s="387">
        <v>0</v>
      </c>
    </row>
    <row r="188" spans="2:18" ht="21" hidden="1" outlineLevel="2" x14ac:dyDescent="0.4">
      <c r="B188" s="211"/>
      <c r="C188" s="212"/>
      <c r="D188" s="212"/>
      <c r="E188" s="213" t="s">
        <v>15</v>
      </c>
      <c r="F188" s="214">
        <f>'EDT Nueva'!F92</f>
        <v>1E-117</v>
      </c>
      <c r="G188" s="201">
        <f>EDTN1011[[#This Row],[Nuevos Pesos]]*$G$93</f>
        <v>0</v>
      </c>
      <c r="H188" s="404" t="s">
        <v>15</v>
      </c>
      <c r="I188" s="426">
        <v>0</v>
      </c>
      <c r="J188" s="397">
        <v>0</v>
      </c>
      <c r="K188" s="398">
        <v>0</v>
      </c>
      <c r="L188" s="396">
        <v>0</v>
      </c>
      <c r="M188" s="397">
        <v>0</v>
      </c>
      <c r="N188" s="398">
        <v>0</v>
      </c>
      <c r="O188" s="396">
        <v>0</v>
      </c>
      <c r="P188" s="397">
        <v>0</v>
      </c>
      <c r="Q188" s="398">
        <v>0</v>
      </c>
      <c r="R188" s="407">
        <v>0</v>
      </c>
    </row>
    <row r="189" spans="2:18" ht="30" customHeight="1" x14ac:dyDescent="0.4"/>
  </sheetData>
  <mergeCells count="14">
    <mergeCell ref="F98:F99"/>
    <mergeCell ref="I98:K98"/>
    <mergeCell ref="L98:N98"/>
    <mergeCell ref="O98:Q98"/>
    <mergeCell ref="R98:R99"/>
    <mergeCell ref="G98:G99"/>
    <mergeCell ref="H98:H99"/>
    <mergeCell ref="A2:R2"/>
    <mergeCell ref="A96:R96"/>
    <mergeCell ref="R4:R5"/>
    <mergeCell ref="O4:Q4"/>
    <mergeCell ref="L4:N4"/>
    <mergeCell ref="I4:K4"/>
    <mergeCell ref="F4:F5"/>
  </mergeCells>
  <pageMargins left="0.7" right="0.7" top="0.75" bottom="0.75" header="0.3" footer="0.3"/>
  <pageSetup paperSize="9" scale="31" fitToHeight="0" orientation="landscape" r:id="rId3"/>
  <drawing r:id="rId4"/>
  <tableParts count="2"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5" id="{64ED163F-EEE7-4996-A3A7-D1E68786ECE7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Q7:Q94</xm:sqref>
        </x14:conditionalFormatting>
        <x14:conditionalFormatting xmlns:xm="http://schemas.microsoft.com/office/excel/2006/main" pivot="1">
          <x14:cfRule type="iconSet" priority="4" id="{E9E5E89B-C10B-4166-8FC1-3B193491FD28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Q103 Q104:Q107 Q108 Q109 Q110 Q111 Q113 Q114:Q116 Q117 Q118:Q119 Q120 Q121 Q122 Q123:Q125 Q126 Q127:Q136 Q137 Q138 Q139 Q140 Q142 Q143 Q144 Q145:Q149 Q150 Q151:Q152 Q153 Q154 Q155 Q156:Q157 Q158 Q159:Q160 Q161 Q162:Q163 Q164 Q165:Q167 Q168 Q169:Q171 Q172 Q173:Q178 Q179 Q180:Q182 Q183 Q184:Q186 Q187 Q188</xm:sqref>
        </x14:conditionalFormatting>
        <x14:conditionalFormatting xmlns:xm="http://schemas.microsoft.com/office/excel/2006/main" pivot="1">
          <x14:cfRule type="iconSet" priority="3" id="{9B621C7C-8002-42ED-A08A-845D0D49F03E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Q101</xm:sqref>
        </x14:conditionalFormatting>
        <x14:conditionalFormatting xmlns:xm="http://schemas.microsoft.com/office/excel/2006/main" pivot="1">
          <x14:cfRule type="iconSet" priority="2" id="{53A0CBE3-37F0-46CD-B0DB-8C1B46D7A151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Q102</xm:sqref>
        </x14:conditionalFormatting>
        <x14:conditionalFormatting xmlns:xm="http://schemas.microsoft.com/office/excel/2006/main" pivot="1">
          <x14:cfRule type="iconSet" priority="1" id="{F2EC751D-34DA-4181-A1FB-0D7B5FB20DEF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Q141</xm:sqref>
        </x14:conditionalFormatting>
      </x14:conditionalFormattings>
    </ex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C608-56C8-449D-AF9A-20DF9D5E1207}">
  <sheetPr>
    <tabColor theme="9" tint="0.79998168889431442"/>
  </sheetPr>
  <dimension ref="A1:S72"/>
  <sheetViews>
    <sheetView showGridLines="0" topLeftCell="B1" zoomScale="160" zoomScaleNormal="160" workbookViewId="0">
      <selection activeCell="N25" sqref="N25"/>
    </sheetView>
  </sheetViews>
  <sheetFormatPr baseColWidth="10" defaultColWidth="11.5546875" defaultRowHeight="14.4" x14ac:dyDescent="0.3"/>
  <cols>
    <col min="2" max="2" width="2.6640625" customWidth="1"/>
    <col min="3" max="6" width="12.6640625" customWidth="1"/>
    <col min="7" max="8" width="2.6640625" customWidth="1"/>
    <col min="9" max="12" width="12.6640625" customWidth="1"/>
    <col min="13" max="13" width="7.33203125" bestFit="1" customWidth="1"/>
    <col min="14" max="14" width="14.88671875" bestFit="1" customWidth="1"/>
    <col min="18" max="18" width="14.88671875" bestFit="1" customWidth="1"/>
    <col min="19" max="19" width="11.5546875" customWidth="1"/>
  </cols>
  <sheetData>
    <row r="1" spans="1:19" ht="15" customHeight="1" x14ac:dyDescent="0.3">
      <c r="A1" s="471" t="s">
        <v>233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</row>
    <row r="2" spans="1:19" ht="12" customHeight="1" x14ac:dyDescent="0.3"/>
    <row r="3" spans="1:19" ht="12" customHeight="1" x14ac:dyDescent="0.3">
      <c r="B3" s="91"/>
      <c r="C3" s="89"/>
      <c r="D3" s="89"/>
      <c r="E3" s="89"/>
      <c r="F3" s="89"/>
      <c r="G3" s="89"/>
      <c r="H3" s="89"/>
      <c r="I3" s="89"/>
      <c r="J3" s="89"/>
      <c r="K3" s="89"/>
      <c r="L3" s="92"/>
      <c r="M3" s="309" t="s">
        <v>240</v>
      </c>
      <c r="N3" s="309" t="s">
        <v>250</v>
      </c>
      <c r="O3" s="309" t="s">
        <v>230</v>
      </c>
      <c r="P3" s="309" t="s">
        <v>229</v>
      </c>
    </row>
    <row r="4" spans="1:19" ht="12" customHeight="1" x14ac:dyDescent="0.3">
      <c r="B4" s="92"/>
      <c r="L4" s="92"/>
      <c r="M4" s="115">
        <v>0</v>
      </c>
      <c r="N4" s="115" vm="29">
        <f>CUBEVALUE("ThisWorkbookDataModel","[Measures].[Avance Plan base 100 Acumulado Semanal]",SegmentaciónDeDatos_Calendario)</f>
        <v>1</v>
      </c>
      <c r="O4" s="115" vm="28">
        <f>CUBEVALUE("ThisWorkbookDataModel","[Measures].[Avance real base 100 Acumulado Semanal]",SegmentaciónDeDatos_Calendario)</f>
        <v>0.86745653011322843</v>
      </c>
      <c r="P4" s="308">
        <f>O4-N4</f>
        <v>-0.13254346988677157</v>
      </c>
    </row>
    <row r="5" spans="1:19" ht="12" customHeight="1" x14ac:dyDescent="0.3">
      <c r="B5" s="92"/>
      <c r="L5" s="92"/>
      <c r="M5" s="115" vm="29">
        <f>N4</f>
        <v>1</v>
      </c>
      <c r="N5" s="115">
        <f>N6-N4</f>
        <v>0</v>
      </c>
      <c r="O5" s="115">
        <f>O6-O4</f>
        <v>0.13254346988677157</v>
      </c>
    </row>
    <row r="6" spans="1:19" ht="12" customHeight="1" x14ac:dyDescent="0.3">
      <c r="B6" s="92"/>
      <c r="L6" s="92"/>
      <c r="M6" s="115">
        <v>1</v>
      </c>
      <c r="N6" s="115">
        <v>1</v>
      </c>
      <c r="O6" s="115">
        <v>1</v>
      </c>
    </row>
    <row r="7" spans="1:19" ht="12" customHeight="1" x14ac:dyDescent="0.3">
      <c r="B7" s="92"/>
      <c r="L7" s="92"/>
    </row>
    <row r="8" spans="1:19" ht="12" customHeight="1" x14ac:dyDescent="0.3">
      <c r="B8" s="92"/>
      <c r="L8" s="92"/>
      <c r="M8" s="119"/>
      <c r="N8" s="310" t="s">
        <v>241</v>
      </c>
      <c r="O8" s="310" t="s">
        <v>242</v>
      </c>
    </row>
    <row r="9" spans="1:19" ht="12" customHeight="1" x14ac:dyDescent="0.3">
      <c r="B9" s="92"/>
      <c r="L9" s="92"/>
      <c r="M9" s="311">
        <v>1</v>
      </c>
      <c r="N9" s="374">
        <v>0</v>
      </c>
      <c r="O9" s="374">
        <v>0</v>
      </c>
    </row>
    <row r="10" spans="1:19" ht="12" customHeight="1" x14ac:dyDescent="0.3">
      <c r="B10" s="92"/>
      <c r="L10" s="92"/>
      <c r="M10" s="311">
        <v>2</v>
      </c>
      <c r="N10" s="374">
        <f>-COS(O4*PI())</f>
        <v>0.91455193221762043</v>
      </c>
      <c r="O10" s="374">
        <f>SIN(PI()*O4)</f>
        <v>0.40446849478917013</v>
      </c>
    </row>
    <row r="11" spans="1:19" ht="12" customHeight="1" x14ac:dyDescent="0.3">
      <c r="B11" s="92"/>
      <c r="L11" s="92"/>
    </row>
    <row r="12" spans="1:19" ht="12" customHeight="1" x14ac:dyDescent="0.3">
      <c r="B12" s="92"/>
      <c r="L12" s="92"/>
    </row>
    <row r="13" spans="1:19" ht="12" customHeight="1" x14ac:dyDescent="0.3">
      <c r="B13" s="92"/>
      <c r="L13" s="92"/>
      <c r="N13" t="s">
        <v>507</v>
      </c>
      <c r="O13" s="366">
        <f>'Avance 100'!DI6</f>
        <v>0.86351524994197115</v>
      </c>
    </row>
    <row r="14" spans="1:19" ht="12" customHeight="1" x14ac:dyDescent="0.3">
      <c r="B14" s="92"/>
      <c r="L14" s="92"/>
      <c r="N14" s="362"/>
      <c r="O14" s="365"/>
    </row>
    <row r="15" spans="1:19" ht="12" customHeight="1" x14ac:dyDescent="0.3">
      <c r="B15" s="92"/>
      <c r="L15" s="92"/>
      <c r="N15" t="s">
        <v>229</v>
      </c>
      <c r="O15" s="366">
        <f>(1-O13)*-1</f>
        <v>-0.13648475005802885</v>
      </c>
    </row>
    <row r="16" spans="1:19" ht="12" customHeight="1" x14ac:dyDescent="0.3">
      <c r="B16" s="92"/>
      <c r="L16" s="92"/>
      <c r="N16" t="s">
        <v>9</v>
      </c>
      <c r="O16" s="367">
        <f>O15</f>
        <v>-0.13648475005802885</v>
      </c>
    </row>
    <row r="17" spans="2:15" ht="12" customHeight="1" x14ac:dyDescent="0.3">
      <c r="B17" s="92"/>
      <c r="L17" s="92"/>
      <c r="N17" t="s">
        <v>506</v>
      </c>
      <c r="O17" s="368">
        <f>'Avance 100'!DI6-'Avance 100'!DG6</f>
        <v>1.2922802827806112E-3</v>
      </c>
    </row>
    <row r="18" spans="2:15" ht="12" customHeight="1" x14ac:dyDescent="0.3">
      <c r="B18" s="95"/>
      <c r="C18" s="93"/>
      <c r="D18" s="93"/>
      <c r="E18" s="93"/>
      <c r="F18" s="93"/>
      <c r="G18" s="93"/>
      <c r="H18" s="93"/>
      <c r="I18" s="93"/>
      <c r="J18" s="93"/>
      <c r="K18" s="93"/>
      <c r="L18" s="92"/>
      <c r="O18" s="361"/>
    </row>
    <row r="19" spans="2:15" ht="12" customHeight="1" x14ac:dyDescent="0.3">
      <c r="B19" s="91"/>
      <c r="C19" s="89"/>
      <c r="D19" s="89"/>
      <c r="E19" s="89"/>
      <c r="F19" s="89"/>
      <c r="G19" s="90"/>
      <c r="H19" s="478" t="str" vm="24">
        <f>CUBEMEMBER("ThisWorkbookDataModel","[EDTV_PQ].[N2].&amp;[Mantenimiento del Generador de Vapor (Caldera) y Equipos Auxiliares]")</f>
        <v>Mantenimiento del Generador de Vapor (Caldera) y Equipos Auxiliares</v>
      </c>
      <c r="I19" s="479"/>
      <c r="J19" s="479"/>
      <c r="K19" s="480"/>
    </row>
    <row r="20" spans="2:15" ht="12" customHeight="1" x14ac:dyDescent="0.3">
      <c r="B20" s="92"/>
      <c r="G20" s="88"/>
      <c r="H20" s="481"/>
      <c r="I20" s="482"/>
      <c r="J20" s="482"/>
      <c r="K20" s="483"/>
    </row>
    <row r="21" spans="2:15" ht="12" customHeight="1" x14ac:dyDescent="0.3">
      <c r="B21" s="92"/>
      <c r="G21" s="88"/>
      <c r="H21" s="92"/>
      <c r="K21" s="88"/>
    </row>
    <row r="22" spans="2:15" ht="12" customHeight="1" x14ac:dyDescent="0.3">
      <c r="B22" s="92"/>
      <c r="G22" s="88"/>
      <c r="H22" s="92"/>
      <c r="I22" s="116" t="s">
        <v>243</v>
      </c>
      <c r="J22" s="265" vm="32">
        <f>CUBEVALUE("ThisWorkbookDataModel","[Measures].[Avance Plan base 100 Acumulado Semanal]",SegmentaciónDeDatos_Calendario,H19)</f>
        <v>1</v>
      </c>
      <c r="K22" s="266"/>
    </row>
    <row r="23" spans="2:15" ht="12" customHeight="1" x14ac:dyDescent="0.3">
      <c r="B23" s="92"/>
      <c r="G23" s="88"/>
      <c r="H23" s="92"/>
      <c r="I23" s="116" t="s">
        <v>244</v>
      </c>
      <c r="J23" s="265" vm="34">
        <f>CUBEVALUE("ThisWorkbookDataModel","[Measures].[Avance Real base 100 Acumulado Semanal]",SegmentaciónDeDatos_Calendario,H19)</f>
        <v>0.91080139166096197</v>
      </c>
      <c r="K23" s="266"/>
    </row>
    <row r="24" spans="2:15" ht="12" customHeight="1" x14ac:dyDescent="0.3">
      <c r="B24" s="92"/>
      <c r="G24" s="88"/>
      <c r="H24" s="92"/>
      <c r="I24" s="116" t="s">
        <v>245</v>
      </c>
      <c r="J24" s="264">
        <f>J23-J22</f>
        <v>-8.9198608339038032E-2</v>
      </c>
      <c r="K24" s="267"/>
    </row>
    <row r="25" spans="2:15" ht="12" customHeight="1" x14ac:dyDescent="0.3">
      <c r="B25" s="92"/>
      <c r="G25" s="88"/>
      <c r="H25" s="95"/>
      <c r="I25" s="93"/>
      <c r="J25" s="93"/>
      <c r="K25" s="94"/>
    </row>
    <row r="26" spans="2:15" ht="12" customHeight="1" x14ac:dyDescent="0.3">
      <c r="B26" s="92"/>
      <c r="G26" s="88"/>
      <c r="H26" s="472" t="str" vm="25">
        <f>CUBEMEMBER("ThisWorkbookDataModel","[EDTV_PQ].[N2].&amp;[Mantenimiento del Turbo Generador y Equipos Auxiliares]")</f>
        <v>Mantenimiento del Turbo Generador y Equipos Auxiliares</v>
      </c>
      <c r="I26" s="473"/>
      <c r="J26" s="473"/>
      <c r="K26" s="474"/>
    </row>
    <row r="27" spans="2:15" ht="12" customHeight="1" x14ac:dyDescent="0.3">
      <c r="B27" s="92"/>
      <c r="G27" s="88"/>
      <c r="H27" s="475"/>
      <c r="I27" s="476"/>
      <c r="J27" s="476"/>
      <c r="K27" s="477"/>
    </row>
    <row r="28" spans="2:15" ht="12" customHeight="1" x14ac:dyDescent="0.3">
      <c r="B28" s="92"/>
      <c r="G28" s="88"/>
      <c r="H28" s="92"/>
      <c r="K28" s="88"/>
    </row>
    <row r="29" spans="2:15" ht="12" customHeight="1" x14ac:dyDescent="0.3">
      <c r="B29" s="92"/>
      <c r="D29" s="143" t="s">
        <v>245</v>
      </c>
      <c r="E29" s="144">
        <f>P4</f>
        <v>-0.13254346988677157</v>
      </c>
      <c r="G29" s="88"/>
      <c r="H29" s="92"/>
      <c r="I29" s="116" t="s">
        <v>243</v>
      </c>
      <c r="J29" s="265" vm="33">
        <f>CUBEVALUE("ThisWorkbookDataModel","[Measures].[Avance Plan base 100 Acumulado Semanal]",SegmentaciónDeDatos_Calendario,H26)</f>
        <v>1</v>
      </c>
      <c r="K29" s="266"/>
    </row>
    <row r="30" spans="2:15" ht="12" customHeight="1" x14ac:dyDescent="0.3">
      <c r="B30" s="92"/>
      <c r="D30" s="143" t="s">
        <v>247</v>
      </c>
      <c r="E30" s="263" vm="26">
        <f>CUBEVALUE("ThisWorkbookDataModel","[Measures].[Aporte a la Desviación]",SegmentaciónDeDatos_Calendario)</f>
        <v>-0.13254346988677143</v>
      </c>
      <c r="G30" s="88"/>
      <c r="H30" s="92"/>
      <c r="I30" s="116" t="s">
        <v>244</v>
      </c>
      <c r="J30" s="265" vm="35">
        <f>CUBEVALUE("ThisWorkbookDataModel","[Measures].[Avance Real base 100 Acumulado Semanal]",SegmentaciónDeDatos_Calendario,H26)</f>
        <v>0.7169922565849931</v>
      </c>
      <c r="K30" s="266"/>
    </row>
    <row r="31" spans="2:15" ht="12" customHeight="1" x14ac:dyDescent="0.3">
      <c r="B31" s="92"/>
      <c r="D31" s="145" t="s">
        <v>248</v>
      </c>
      <c r="E31" s="264" vm="27">
        <f>CUBEVALUE("ThisWorkbookDataModel","[Measures].[Avance Real Periodo (2 sem)]",SegmentaciónDeDatos_Calendario)</f>
        <v>1.2981785441655846E-3</v>
      </c>
      <c r="G31" s="88"/>
      <c r="H31" s="92"/>
      <c r="I31" s="116" t="s">
        <v>245</v>
      </c>
      <c r="J31" s="264">
        <f>J30-J29</f>
        <v>-0.2830077434150069</v>
      </c>
      <c r="K31" s="267"/>
    </row>
    <row r="32" spans="2:15" ht="12" customHeight="1" x14ac:dyDescent="0.3">
      <c r="B32" s="95"/>
      <c r="C32" s="93"/>
      <c r="D32" s="93"/>
      <c r="E32" s="93"/>
      <c r="F32" s="93"/>
      <c r="G32" s="94"/>
      <c r="H32" s="95"/>
      <c r="I32" s="93"/>
      <c r="J32" s="93"/>
      <c r="K32" s="94"/>
    </row>
    <row r="34" spans="1:19" ht="15" customHeight="1" x14ac:dyDescent="0.3">
      <c r="A34" s="471" t="s">
        <v>232</v>
      </c>
      <c r="B34" s="471"/>
      <c r="C34" s="471"/>
      <c r="D34" s="471"/>
      <c r="E34" s="471"/>
      <c r="F34" s="471"/>
      <c r="G34" s="471"/>
      <c r="H34" s="471"/>
      <c r="I34" s="471"/>
      <c r="J34" s="471"/>
      <c r="K34" s="471"/>
      <c r="L34" s="471"/>
      <c r="M34" s="471"/>
      <c r="N34" s="471"/>
      <c r="O34" s="471"/>
      <c r="P34" s="471"/>
      <c r="Q34" s="471"/>
      <c r="R34" s="471"/>
      <c r="S34" s="471"/>
    </row>
    <row r="36" spans="1:19" x14ac:dyDescent="0.3">
      <c r="B36" s="91"/>
      <c r="C36" s="89"/>
      <c r="D36" s="89"/>
      <c r="E36" s="89"/>
      <c r="F36" s="89"/>
      <c r="G36" s="89"/>
      <c r="H36" s="89"/>
      <c r="I36" s="89"/>
      <c r="J36" s="89"/>
      <c r="K36" s="89"/>
      <c r="L36" s="92"/>
    </row>
    <row r="37" spans="1:19" x14ac:dyDescent="0.3">
      <c r="B37" s="92"/>
      <c r="L37" s="92"/>
    </row>
    <row r="38" spans="1:19" x14ac:dyDescent="0.3">
      <c r="B38" s="92"/>
      <c r="L38" s="92"/>
    </row>
    <row r="39" spans="1:19" x14ac:dyDescent="0.3">
      <c r="B39" s="92"/>
      <c r="L39" s="92"/>
    </row>
    <row r="40" spans="1:19" x14ac:dyDescent="0.3">
      <c r="B40" s="92"/>
      <c r="L40" s="92"/>
    </row>
    <row r="41" spans="1:19" x14ac:dyDescent="0.3">
      <c r="B41" s="92"/>
      <c r="L41" s="92"/>
    </row>
    <row r="42" spans="1:19" x14ac:dyDescent="0.3">
      <c r="B42" s="92"/>
      <c r="L42" s="92"/>
    </row>
    <row r="43" spans="1:19" x14ac:dyDescent="0.3">
      <c r="B43" s="92"/>
      <c r="L43" s="92"/>
    </row>
    <row r="44" spans="1:19" x14ac:dyDescent="0.3">
      <c r="B44" s="92"/>
      <c r="L44" s="92"/>
    </row>
    <row r="45" spans="1:19" x14ac:dyDescent="0.3">
      <c r="B45" s="92"/>
      <c r="L45" s="92"/>
    </row>
    <row r="46" spans="1:19" x14ac:dyDescent="0.3">
      <c r="B46" s="92"/>
      <c r="L46" s="92"/>
    </row>
    <row r="47" spans="1:19" x14ac:dyDescent="0.3">
      <c r="B47" s="92"/>
      <c r="L47" s="92"/>
    </row>
    <row r="48" spans="1:19" x14ac:dyDescent="0.3">
      <c r="B48" s="92"/>
      <c r="L48" s="92"/>
    </row>
    <row r="49" spans="2:12" x14ac:dyDescent="0.3">
      <c r="B49" s="92"/>
      <c r="L49" s="92"/>
    </row>
    <row r="50" spans="2:12" x14ac:dyDescent="0.3">
      <c r="B50" s="92"/>
      <c r="L50" s="92"/>
    </row>
    <row r="51" spans="2:12" x14ac:dyDescent="0.3">
      <c r="B51" s="95"/>
      <c r="C51" s="93"/>
      <c r="D51" s="93"/>
      <c r="E51" s="93"/>
      <c r="F51" s="93"/>
      <c r="G51" s="93"/>
      <c r="H51" s="93"/>
      <c r="I51" s="93"/>
      <c r="J51" s="93"/>
      <c r="K51" s="93"/>
      <c r="L51" s="92"/>
    </row>
    <row r="52" spans="2:12" ht="14.4" customHeight="1" x14ac:dyDescent="0.3">
      <c r="B52" s="91"/>
      <c r="C52" s="89"/>
      <c r="D52" s="89"/>
      <c r="E52" s="89"/>
      <c r="F52" s="89"/>
      <c r="G52" s="90"/>
      <c r="H52" s="472" t="str" vm="24">
        <f>CUBEMEMBER("ThisWorkbookDataModel","[EDTV_PQ].[N2].&amp;[Mantenimiento del Generador de Vapor (Caldera) y Equipos Auxiliares]")</f>
        <v>Mantenimiento del Generador de Vapor (Caldera) y Equipos Auxiliares</v>
      </c>
      <c r="I52" s="473"/>
      <c r="J52" s="473"/>
      <c r="K52" s="474"/>
    </row>
    <row r="53" spans="2:12" ht="14.4" customHeight="1" x14ac:dyDescent="0.3">
      <c r="B53" s="92"/>
      <c r="G53" s="88"/>
      <c r="H53" s="475"/>
      <c r="I53" s="476"/>
      <c r="J53" s="476"/>
      <c r="K53" s="477"/>
    </row>
    <row r="54" spans="2:12" x14ac:dyDescent="0.3">
      <c r="B54" s="92"/>
      <c r="G54" s="88"/>
      <c r="H54" s="92"/>
      <c r="K54" s="88"/>
    </row>
    <row r="55" spans="2:12" x14ac:dyDescent="0.3">
      <c r="B55" s="92"/>
      <c r="G55" s="88"/>
      <c r="H55" s="92"/>
      <c r="I55" s="116" t="s">
        <v>243</v>
      </c>
      <c r="J55" s="265" vm="32">
        <f>CUBEVALUE("ThisWorkbookDataModel","[Measures].[Avance Plan base 100 Acumulado Semanal]",SegmentaciónDeDatos_Calendario,H52)</f>
        <v>1</v>
      </c>
      <c r="K55" s="266"/>
    </row>
    <row r="56" spans="2:12" x14ac:dyDescent="0.3">
      <c r="B56" s="92"/>
      <c r="G56" s="88"/>
      <c r="H56" s="92"/>
      <c r="I56" s="116" t="s">
        <v>244</v>
      </c>
      <c r="J56" s="264" vm="34">
        <f>CUBEVALUE("ThisWorkbookDataModel","[Measures].[Avance Real base 100 Acumulado Semanal]",SegmentaciónDeDatos_Calendario,H52)</f>
        <v>0.91080139166096197</v>
      </c>
      <c r="K56" s="266"/>
      <c r="L56" s="361">
        <f>+'Avance 100'!DI14</f>
        <v>0.9108013916609623</v>
      </c>
    </row>
    <row r="57" spans="2:12" x14ac:dyDescent="0.3">
      <c r="B57" s="92"/>
      <c r="G57" s="88"/>
      <c r="H57" s="92"/>
      <c r="I57" s="116" t="s">
        <v>245</v>
      </c>
      <c r="J57" s="264">
        <f>J56-J55</f>
        <v>-8.9198608339038032E-2</v>
      </c>
      <c r="K57" s="267"/>
    </row>
    <row r="58" spans="2:12" x14ac:dyDescent="0.3">
      <c r="B58" s="92"/>
      <c r="G58" s="88"/>
      <c r="H58" s="95"/>
      <c r="I58" s="93"/>
      <c r="J58" s="93"/>
      <c r="K58" s="94"/>
    </row>
    <row r="59" spans="2:12" ht="14.4" customHeight="1" x14ac:dyDescent="0.3">
      <c r="B59" s="92"/>
      <c r="G59" s="88"/>
      <c r="H59" s="472" t="str" vm="25">
        <f>CUBEMEMBER("ThisWorkbookDataModel","[EDTV_PQ].[N2].&amp;[Mantenimiento del Turbo Generador y Equipos Auxiliares]")</f>
        <v>Mantenimiento del Turbo Generador y Equipos Auxiliares</v>
      </c>
      <c r="I59" s="473"/>
      <c r="J59" s="473"/>
      <c r="K59" s="474"/>
    </row>
    <row r="60" spans="2:12" ht="14.4" customHeight="1" x14ac:dyDescent="0.3">
      <c r="B60" s="92"/>
      <c r="G60" s="88"/>
      <c r="H60" s="475"/>
      <c r="I60" s="476"/>
      <c r="J60" s="476"/>
      <c r="K60" s="477"/>
    </row>
    <row r="61" spans="2:12" x14ac:dyDescent="0.3">
      <c r="B61" s="92"/>
      <c r="G61" s="88"/>
      <c r="H61" s="92"/>
      <c r="K61" s="88"/>
    </row>
    <row r="62" spans="2:12" x14ac:dyDescent="0.3">
      <c r="B62" s="92"/>
      <c r="D62" s="143" t="s">
        <v>245</v>
      </c>
      <c r="E62" s="144">
        <f>O15</f>
        <v>-0.13648475005802885</v>
      </c>
      <c r="G62" s="88"/>
      <c r="H62" s="92"/>
      <c r="I62" s="116" t="s">
        <v>243</v>
      </c>
      <c r="J62" s="265" vm="33">
        <f>CUBEVALUE("ThisWorkbookDataModel","[Measures].[Avance Plan base 100 Acumulado Semanal]",SegmentaciónDeDatos_Calendario,H59)</f>
        <v>1</v>
      </c>
      <c r="K62" s="266"/>
    </row>
    <row r="63" spans="2:12" x14ac:dyDescent="0.3">
      <c r="B63" s="92"/>
      <c r="D63" s="143" t="s">
        <v>247</v>
      </c>
      <c r="E63" s="263">
        <f>O16</f>
        <v>-0.13648475005802885</v>
      </c>
      <c r="G63" s="88"/>
      <c r="H63" s="92"/>
      <c r="I63" s="116" t="s">
        <v>244</v>
      </c>
      <c r="J63" s="265" vm="35">
        <f>CUBEVALUE("ThisWorkbookDataModel","[Measures].[Avance Real base 100 Acumulado Semanal]",SegmentaciónDeDatos_Calendario,H59)</f>
        <v>0.7169922565849931</v>
      </c>
      <c r="K63" s="266"/>
      <c r="L63" s="361">
        <f>+'Avance 100'!DI79</f>
        <v>0.70265241145329305</v>
      </c>
    </row>
    <row r="64" spans="2:12" ht="28.8" x14ac:dyDescent="0.3">
      <c r="B64" s="92"/>
      <c r="D64" s="373" t="s">
        <v>248</v>
      </c>
      <c r="E64" s="264">
        <f>O17</f>
        <v>1.2922802827806112E-3</v>
      </c>
      <c r="G64" s="88"/>
      <c r="H64" s="92"/>
      <c r="I64" s="116" t="s">
        <v>245</v>
      </c>
      <c r="J64" s="264">
        <f>J63-J62</f>
        <v>-0.2830077434150069</v>
      </c>
      <c r="K64" s="267"/>
    </row>
    <row r="65" spans="2:11" x14ac:dyDescent="0.3">
      <c r="B65" s="95"/>
      <c r="C65" s="93"/>
      <c r="D65" s="93"/>
      <c r="E65" s="93"/>
      <c r="F65" s="93"/>
      <c r="G65" s="94"/>
      <c r="H65" s="95"/>
      <c r="I65" s="93"/>
      <c r="J65" s="93"/>
      <c r="K65" s="94"/>
    </row>
    <row r="71" spans="2:11" ht="14.4" customHeight="1" x14ac:dyDescent="0.3"/>
    <row r="72" spans="2:11" ht="14.4" customHeight="1" x14ac:dyDescent="0.3"/>
  </sheetData>
  <mergeCells count="6">
    <mergeCell ref="A1:S1"/>
    <mergeCell ref="A34:S34"/>
    <mergeCell ref="H59:K60"/>
    <mergeCell ref="H19:K20"/>
    <mergeCell ref="H26:K27"/>
    <mergeCell ref="H52:K53"/>
  </mergeCells>
  <conditionalFormatting sqref="J22:K22">
    <cfRule type="dataBar" priority="7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{3A962536-CFC2-4989-9B0F-EA306BC732C2}</x14:id>
        </ext>
      </extLst>
    </cfRule>
  </conditionalFormatting>
  <conditionalFormatting sqref="J23:K23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{9D0DCCF5-D2C4-4174-8673-48AE2CB52155}</x14:id>
        </ext>
      </extLst>
    </cfRule>
  </conditionalFormatting>
  <conditionalFormatting sqref="J29:K29">
    <cfRule type="dataBar" priority="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{CBAB6860-E4D8-4531-93BD-82F54F4EA3C6}</x14:id>
        </ext>
      </extLst>
    </cfRule>
  </conditionalFormatting>
  <conditionalFormatting sqref="J30:K30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{347476EE-B455-4532-8557-2789ECB886F6}</x14:id>
        </ext>
      </extLst>
    </cfRule>
  </conditionalFormatting>
  <conditionalFormatting sqref="J55:K55">
    <cfRule type="dataBar" priority="17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{F5446E76-193E-4567-A50F-F110281A722A}</x14:id>
        </ext>
      </extLst>
    </cfRule>
  </conditionalFormatting>
  <conditionalFormatting sqref="J56:K56">
    <cfRule type="dataBar" priority="1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{0B864E9B-E724-47D8-983F-A474973FF2E2}</x14:id>
        </ext>
      </extLst>
    </cfRule>
  </conditionalFormatting>
  <conditionalFormatting sqref="J62:K62">
    <cfRule type="dataBar" priority="1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{C7C998BE-B691-448F-A92D-F5F06193DE3B}</x14:id>
        </ext>
      </extLst>
    </cfRule>
  </conditionalFormatting>
  <conditionalFormatting sqref="J63:K63">
    <cfRule type="dataBar" priority="1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{151A2780-B942-4CA3-93F7-AB02EE00D41B}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962536-CFC2-4989-9B0F-EA306BC732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J22:K22</xm:sqref>
        </x14:conditionalFormatting>
        <x14:conditionalFormatting xmlns:xm="http://schemas.microsoft.com/office/excel/2006/main">
          <x14:cfRule type="dataBar" id="{9D0DCCF5-D2C4-4174-8673-48AE2CB521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J23:K23</xm:sqref>
        </x14:conditionalFormatting>
        <x14:conditionalFormatting xmlns:xm="http://schemas.microsoft.com/office/excel/2006/main">
          <x14:cfRule type="dataBar" id="{CBAB6860-E4D8-4531-93BD-82F54F4EA3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J29:K29</xm:sqref>
        </x14:conditionalFormatting>
        <x14:conditionalFormatting xmlns:xm="http://schemas.microsoft.com/office/excel/2006/main">
          <x14:cfRule type="dataBar" id="{347476EE-B455-4532-8557-2789ECB886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J30:K30</xm:sqref>
        </x14:conditionalFormatting>
        <x14:conditionalFormatting xmlns:xm="http://schemas.microsoft.com/office/excel/2006/main">
          <x14:cfRule type="dataBar" id="{F5446E76-193E-4567-A50F-F110281A72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J55:K55</xm:sqref>
        </x14:conditionalFormatting>
        <x14:conditionalFormatting xmlns:xm="http://schemas.microsoft.com/office/excel/2006/main">
          <x14:cfRule type="dataBar" id="{0B864E9B-E724-47D8-983F-A474973FF2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J56:K56</xm:sqref>
        </x14:conditionalFormatting>
        <x14:conditionalFormatting xmlns:xm="http://schemas.microsoft.com/office/excel/2006/main">
          <x14:cfRule type="dataBar" id="{C7C998BE-B691-448F-A92D-F5F06193DE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J62:K62</xm:sqref>
        </x14:conditionalFormatting>
        <x14:conditionalFormatting xmlns:xm="http://schemas.microsoft.com/office/excel/2006/main">
          <x14:cfRule type="dataBar" id="{151A2780-B942-4CA3-93F7-AB02EE00D4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J63:K63</xm:sqref>
        </x14:conditionalFormatting>
        <x14:conditionalFormatting xmlns:xm="http://schemas.microsoft.com/office/excel/2006/main">
          <x14:cfRule type="iconSet" priority="3" id="{DB6A93B8-357B-4BF2-B6AB-AA09F7722175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E29</xm:sqref>
        </x14:conditionalFormatting>
        <x14:conditionalFormatting xmlns:xm="http://schemas.microsoft.com/office/excel/2006/main">
          <x14:cfRule type="iconSet" priority="11" id="{A5790ED1-1385-4C27-9D40-12E08B467CCF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E62</xm:sqref>
        </x14:conditionalFormatting>
        <x14:conditionalFormatting xmlns:xm="http://schemas.microsoft.com/office/excel/2006/main">
          <x14:cfRule type="iconSet" priority="98" id="{DDFBC467-5918-4954-B828-AC3591AF9DEE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J24:K24</xm:sqref>
        </x14:conditionalFormatting>
        <x14:conditionalFormatting xmlns:xm="http://schemas.microsoft.com/office/excel/2006/main">
          <x14:cfRule type="iconSet" priority="99" id="{37E01D56-DBC7-4E26-8A6B-245C20151EE4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J31:K31</xm:sqref>
        </x14:conditionalFormatting>
        <x14:conditionalFormatting xmlns:xm="http://schemas.microsoft.com/office/excel/2006/main">
          <x14:cfRule type="iconSet" priority="96" id="{CB6A5050-231E-4682-A3C8-035B94C8BAC7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J57:K57</xm:sqref>
        </x14:conditionalFormatting>
        <x14:conditionalFormatting xmlns:xm="http://schemas.microsoft.com/office/excel/2006/main">
          <x14:cfRule type="iconSet" priority="97" id="{47040F14-0438-4F62-9373-D148A2E525D6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J64:K64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068B-B1D8-4C8A-AD2E-21A045131649}">
  <dimension ref="A1:EB24"/>
  <sheetViews>
    <sheetView tabSelected="1" topLeftCell="A16" zoomScaleNormal="100" workbookViewId="0">
      <pane xSplit="1" topLeftCell="B1" activePane="topRight" state="frozen"/>
      <selection pane="topRight" activeCell="D25" sqref="D25"/>
    </sheetView>
  </sheetViews>
  <sheetFormatPr baseColWidth="10" defaultRowHeight="14.4" x14ac:dyDescent="0.3"/>
  <cols>
    <col min="1" max="1" width="17.109375" bestFit="1" customWidth="1"/>
    <col min="2" max="2" width="12.6640625" bestFit="1" customWidth="1"/>
    <col min="3" max="3" width="13" bestFit="1" customWidth="1"/>
    <col min="4" max="4" width="12.6640625" bestFit="1" customWidth="1"/>
    <col min="5" max="7" width="13" bestFit="1" customWidth="1"/>
    <col min="8" max="9" width="12.6640625" bestFit="1" customWidth="1"/>
    <col min="10" max="12" width="13" bestFit="1" customWidth="1"/>
    <col min="13" max="13" width="12.6640625" bestFit="1" customWidth="1"/>
    <col min="14" max="15" width="13" bestFit="1" customWidth="1"/>
    <col min="16" max="16" width="12.6640625" bestFit="1" customWidth="1"/>
    <col min="17" max="18" width="12.33203125" bestFit="1" customWidth="1"/>
    <col min="19" max="19" width="12.6640625" bestFit="1" customWidth="1"/>
    <col min="20" max="20" width="12.33203125" bestFit="1" customWidth="1"/>
    <col min="21" max="21" width="11.5546875" bestFit="1" customWidth="1"/>
    <col min="22" max="22" width="12" bestFit="1" customWidth="1"/>
    <col min="23" max="23" width="12.33203125" bestFit="1" customWidth="1"/>
    <col min="24" max="25" width="12.6640625" bestFit="1" customWidth="1"/>
    <col min="26" max="26" width="12.33203125" bestFit="1" customWidth="1"/>
    <col min="27" max="29" width="12.6640625" bestFit="1" customWidth="1"/>
    <col min="30" max="30" width="12.33203125" bestFit="1" customWidth="1"/>
    <col min="31" max="32" width="12.6640625" bestFit="1" customWidth="1"/>
    <col min="33" max="33" width="13" bestFit="1" customWidth="1"/>
    <col min="34" max="35" width="12.6640625" bestFit="1" customWidth="1"/>
    <col min="36" max="37" width="13" bestFit="1" customWidth="1"/>
    <col min="38" max="39" width="12.6640625" bestFit="1" customWidth="1"/>
    <col min="40" max="40" width="13" bestFit="1" customWidth="1"/>
    <col min="41" max="41" width="12.6640625" bestFit="1" customWidth="1"/>
    <col min="42" max="42" width="13" bestFit="1" customWidth="1"/>
    <col min="43" max="44" width="12.6640625" bestFit="1" customWidth="1"/>
    <col min="45" max="46" width="13" bestFit="1" customWidth="1"/>
    <col min="47" max="48" width="12.6640625" bestFit="1" customWidth="1"/>
    <col min="49" max="51" width="13" bestFit="1" customWidth="1"/>
    <col min="52" max="52" width="12.6640625" bestFit="1" customWidth="1"/>
    <col min="53" max="55" width="13" bestFit="1" customWidth="1"/>
    <col min="56" max="57" width="12.6640625" bestFit="1" customWidth="1"/>
    <col min="58" max="59" width="13" bestFit="1" customWidth="1"/>
    <col min="60" max="60" width="12.33203125" bestFit="1" customWidth="1"/>
    <col min="61" max="61" width="12.6640625" bestFit="1" customWidth="1"/>
    <col min="62" max="62" width="13" bestFit="1" customWidth="1"/>
    <col min="63" max="63" width="12.6640625" bestFit="1" customWidth="1"/>
    <col min="64" max="64" width="13" bestFit="1" customWidth="1"/>
    <col min="65" max="65" width="12.6640625" bestFit="1" customWidth="1"/>
    <col min="66" max="67" width="13" bestFit="1" customWidth="1"/>
    <col min="68" max="68" width="12.6640625" bestFit="1" customWidth="1"/>
    <col min="69" max="69" width="12.33203125" bestFit="1" customWidth="1"/>
    <col min="70" max="71" width="12.6640625" bestFit="1" customWidth="1"/>
    <col min="72" max="72" width="12.33203125" bestFit="1" customWidth="1"/>
    <col min="73" max="74" width="12" bestFit="1" customWidth="1"/>
    <col min="75" max="76" width="12.33203125" bestFit="1" customWidth="1"/>
    <col min="77" max="77" width="12.6640625" bestFit="1" customWidth="1"/>
    <col min="78" max="78" width="12.33203125" bestFit="1" customWidth="1"/>
    <col min="79" max="81" width="12.6640625" bestFit="1" customWidth="1"/>
    <col min="82" max="83" width="12.33203125" bestFit="1" customWidth="1"/>
    <col min="84" max="84" width="12.6640625" bestFit="1" customWidth="1"/>
    <col min="85" max="86" width="13" bestFit="1" customWidth="1"/>
    <col min="87" max="87" width="12.6640625" bestFit="1" customWidth="1"/>
    <col min="88" max="90" width="13" bestFit="1" customWidth="1"/>
    <col min="91" max="91" width="12.6640625" bestFit="1" customWidth="1"/>
    <col min="92" max="94" width="13" bestFit="1" customWidth="1"/>
    <col min="95" max="95" width="12.6640625" bestFit="1" customWidth="1"/>
    <col min="96" max="98" width="13" bestFit="1" customWidth="1"/>
    <col min="99" max="99" width="12.33203125" bestFit="1" customWidth="1"/>
    <col min="100" max="100" width="12.6640625" bestFit="1" customWidth="1"/>
    <col min="101" max="101" width="13" bestFit="1" customWidth="1"/>
    <col min="102" max="102" width="12.6640625" bestFit="1" customWidth="1"/>
    <col min="103" max="103" width="13" bestFit="1" customWidth="1"/>
    <col min="104" max="104" width="12.6640625" bestFit="1" customWidth="1"/>
    <col min="105" max="107" width="13" bestFit="1" customWidth="1"/>
    <col min="108" max="108" width="12.6640625" bestFit="1" customWidth="1"/>
    <col min="109" max="111" width="13" bestFit="1" customWidth="1"/>
    <col min="112" max="113" width="12.6640625" bestFit="1" customWidth="1"/>
    <col min="114" max="114" width="13" bestFit="1" customWidth="1"/>
    <col min="115" max="115" width="12.6640625" bestFit="1" customWidth="1"/>
    <col min="116" max="116" width="13" bestFit="1" customWidth="1"/>
    <col min="117" max="118" width="12.6640625" bestFit="1" customWidth="1"/>
    <col min="119" max="119" width="13" bestFit="1" customWidth="1"/>
    <col min="120" max="120" width="12.6640625" bestFit="1" customWidth="1"/>
    <col min="121" max="122" width="12.33203125" bestFit="1" customWidth="1"/>
    <col min="123" max="123" width="12.6640625" bestFit="1" customWidth="1"/>
    <col min="124" max="125" width="12.33203125" bestFit="1" customWidth="1"/>
    <col min="126" max="126" width="12" bestFit="1" customWidth="1"/>
    <col min="127" max="128" width="12.33203125" bestFit="1" customWidth="1"/>
    <col min="129" max="129" width="12.6640625" bestFit="1" customWidth="1"/>
    <col min="130" max="131" width="12.33203125" bestFit="1" customWidth="1"/>
    <col min="132" max="132" width="12.6640625" bestFit="1" customWidth="1"/>
  </cols>
  <sheetData>
    <row r="1" spans="1:132" x14ac:dyDescent="0.3">
      <c r="B1" s="484" t="s">
        <v>511</v>
      </c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  <c r="AB1" s="484"/>
      <c r="AC1" s="484"/>
      <c r="AD1" s="484"/>
      <c r="AE1" s="484"/>
      <c r="AF1" s="484"/>
      <c r="AG1" s="484"/>
      <c r="AH1" s="484"/>
      <c r="AI1" s="484"/>
      <c r="AJ1" s="484"/>
      <c r="AK1" s="484"/>
      <c r="AL1" s="484"/>
      <c r="AM1" s="484"/>
      <c r="AN1" s="484"/>
      <c r="AO1" s="484"/>
      <c r="AP1" s="484"/>
      <c r="AQ1" s="484"/>
      <c r="AR1" s="484"/>
      <c r="AS1" s="484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484"/>
      <c r="BH1" s="484"/>
      <c r="BI1" s="484"/>
      <c r="BJ1" s="484"/>
      <c r="BK1" s="484"/>
      <c r="BL1" s="484"/>
      <c r="BM1" s="484"/>
      <c r="BN1" s="484"/>
      <c r="BO1" s="484"/>
      <c r="BP1" s="484"/>
      <c r="BQ1" s="484"/>
      <c r="BR1" s="484"/>
      <c r="BS1" s="484"/>
      <c r="BT1" s="484"/>
      <c r="BU1" s="484"/>
      <c r="BV1" s="484"/>
      <c r="BW1" s="484"/>
      <c r="BX1" s="484"/>
      <c r="BY1" s="484"/>
      <c r="BZ1" s="484"/>
      <c r="CA1" s="484"/>
      <c r="CB1" s="484"/>
      <c r="CC1" s="484"/>
      <c r="CD1" s="484"/>
      <c r="CE1" s="484"/>
      <c r="CF1" s="484"/>
      <c r="CG1" s="484"/>
      <c r="CH1" s="484"/>
      <c r="CI1" s="484"/>
      <c r="CJ1" s="484"/>
      <c r="CK1" s="484"/>
      <c r="CL1" s="484"/>
      <c r="CM1" s="484"/>
      <c r="CN1" s="484"/>
      <c r="CO1" s="484"/>
      <c r="CP1" s="484"/>
      <c r="CQ1" s="484"/>
      <c r="CR1" s="484"/>
      <c r="CS1" s="484"/>
      <c r="CT1" s="484"/>
      <c r="CU1" s="484"/>
      <c r="CV1" s="484"/>
      <c r="CW1" s="484"/>
      <c r="CX1" s="484"/>
      <c r="CY1" s="484"/>
      <c r="CZ1" s="484"/>
      <c r="DA1" s="484"/>
      <c r="DB1" s="484"/>
      <c r="DC1" s="484"/>
      <c r="DD1" s="484"/>
      <c r="DE1" s="484"/>
      <c r="DF1" s="484"/>
      <c r="DG1" s="484"/>
      <c r="DH1" s="484"/>
      <c r="DI1" s="484"/>
      <c r="DJ1" s="484"/>
      <c r="DK1" s="484"/>
      <c r="DL1" s="484"/>
      <c r="DM1" s="484"/>
      <c r="DN1" s="484"/>
      <c r="DO1" s="484"/>
      <c r="DP1" s="484"/>
      <c r="DQ1" s="484"/>
      <c r="DR1" s="484"/>
      <c r="DS1" s="484"/>
      <c r="DT1" s="484"/>
      <c r="DU1" s="484"/>
      <c r="DV1" s="484"/>
      <c r="DW1" s="484"/>
      <c r="DX1" s="484"/>
      <c r="DY1" s="484"/>
      <c r="DZ1" s="484"/>
      <c r="EA1" s="484"/>
      <c r="EB1" s="484"/>
    </row>
    <row r="2" spans="1:132" x14ac:dyDescent="0.3">
      <c r="B2" s="428" t="s">
        <v>143</v>
      </c>
      <c r="C2" s="428" t="s">
        <v>144</v>
      </c>
      <c r="D2" s="428" t="s">
        <v>145</v>
      </c>
      <c r="E2" s="428" t="s">
        <v>146</v>
      </c>
      <c r="F2" s="428" t="s">
        <v>147</v>
      </c>
      <c r="G2" s="428" t="s">
        <v>148</v>
      </c>
      <c r="H2" s="428" t="s">
        <v>149</v>
      </c>
      <c r="I2" s="428" t="s">
        <v>150</v>
      </c>
      <c r="J2" s="428" t="s">
        <v>151</v>
      </c>
      <c r="K2" s="428" t="s">
        <v>152</v>
      </c>
      <c r="L2" s="428" t="s">
        <v>153</v>
      </c>
      <c r="M2" s="428" t="s">
        <v>154</v>
      </c>
      <c r="N2" s="428" t="s">
        <v>155</v>
      </c>
      <c r="O2" s="428" t="s">
        <v>156</v>
      </c>
      <c r="P2" s="428" t="s">
        <v>157</v>
      </c>
      <c r="Q2" s="428" t="s">
        <v>158</v>
      </c>
      <c r="R2" s="428" t="s">
        <v>159</v>
      </c>
      <c r="S2" s="428" t="s">
        <v>160</v>
      </c>
      <c r="T2" s="428" t="s">
        <v>161</v>
      </c>
      <c r="U2" s="428" t="s">
        <v>162</v>
      </c>
      <c r="V2" s="428" t="s">
        <v>163</v>
      </c>
      <c r="W2" s="428" t="s">
        <v>164</v>
      </c>
      <c r="X2" s="428" t="s">
        <v>165</v>
      </c>
      <c r="Y2" s="428" t="s">
        <v>166</v>
      </c>
      <c r="Z2" s="428" t="s">
        <v>167</v>
      </c>
      <c r="AA2" s="428" t="s">
        <v>168</v>
      </c>
      <c r="AB2" s="428" t="s">
        <v>169</v>
      </c>
      <c r="AC2" s="428" t="s">
        <v>170</v>
      </c>
      <c r="AD2" s="428" t="s">
        <v>171</v>
      </c>
      <c r="AE2" s="428" t="s">
        <v>172</v>
      </c>
      <c r="AF2" s="428" t="s">
        <v>173</v>
      </c>
      <c r="AG2" s="428" t="s">
        <v>174</v>
      </c>
      <c r="AH2" s="428" t="s">
        <v>175</v>
      </c>
      <c r="AI2" s="428" t="s">
        <v>176</v>
      </c>
      <c r="AJ2" s="428" t="s">
        <v>177</v>
      </c>
      <c r="AK2" s="428" t="s">
        <v>178</v>
      </c>
      <c r="AL2" s="428" t="s">
        <v>179</v>
      </c>
      <c r="AM2" s="428" t="s">
        <v>180</v>
      </c>
      <c r="AN2" s="428" t="s">
        <v>181</v>
      </c>
      <c r="AO2" s="428" t="s">
        <v>182</v>
      </c>
      <c r="AP2" s="428" t="s">
        <v>183</v>
      </c>
      <c r="AQ2" s="428" t="s">
        <v>184</v>
      </c>
      <c r="AR2" s="428" t="s">
        <v>185</v>
      </c>
      <c r="AS2" s="428" t="s">
        <v>186</v>
      </c>
      <c r="AT2" s="428" t="s">
        <v>187</v>
      </c>
      <c r="AU2" s="428" t="s">
        <v>188</v>
      </c>
      <c r="AV2" s="428" t="s">
        <v>189</v>
      </c>
      <c r="AW2" s="428" t="s">
        <v>190</v>
      </c>
      <c r="AX2" s="428" t="s">
        <v>194</v>
      </c>
      <c r="AY2" s="428" t="s">
        <v>195</v>
      </c>
      <c r="AZ2" s="428" t="s">
        <v>196</v>
      </c>
      <c r="BA2" s="428" t="s">
        <v>197</v>
      </c>
      <c r="BB2" s="428" t="s">
        <v>198</v>
      </c>
      <c r="BC2" s="428" t="s">
        <v>199</v>
      </c>
      <c r="BD2" s="428" t="s">
        <v>200</v>
      </c>
      <c r="BE2" s="428" t="s">
        <v>201</v>
      </c>
      <c r="BF2" s="428" t="s">
        <v>202</v>
      </c>
      <c r="BG2" s="428" t="s">
        <v>203</v>
      </c>
      <c r="BH2" s="428" t="s">
        <v>204</v>
      </c>
      <c r="BI2" s="428" t="s">
        <v>205</v>
      </c>
      <c r="BJ2" s="428" t="s">
        <v>206</v>
      </c>
      <c r="BK2" s="428" t="s">
        <v>207</v>
      </c>
      <c r="BL2" s="428" t="s">
        <v>336</v>
      </c>
      <c r="BM2" s="428" t="s">
        <v>337</v>
      </c>
      <c r="BN2" s="428" t="s">
        <v>338</v>
      </c>
      <c r="BO2" s="428" t="s">
        <v>339</v>
      </c>
      <c r="BP2" s="428" t="s">
        <v>340</v>
      </c>
      <c r="BQ2" s="428" t="s">
        <v>341</v>
      </c>
      <c r="BR2" s="428" t="s">
        <v>342</v>
      </c>
      <c r="BS2" s="428" t="s">
        <v>343</v>
      </c>
      <c r="BT2" s="428" t="s">
        <v>344</v>
      </c>
      <c r="BU2" s="428" t="s">
        <v>345</v>
      </c>
      <c r="BV2" s="428" t="s">
        <v>346</v>
      </c>
      <c r="BW2" s="428" t="s">
        <v>347</v>
      </c>
      <c r="BX2" s="428" t="s">
        <v>348</v>
      </c>
      <c r="BY2" s="428" t="s">
        <v>349</v>
      </c>
      <c r="BZ2" s="428" t="s">
        <v>350</v>
      </c>
      <c r="CA2" s="428" t="s">
        <v>351</v>
      </c>
      <c r="CB2" s="428" t="s">
        <v>352</v>
      </c>
      <c r="CC2" s="428" t="s">
        <v>362</v>
      </c>
      <c r="CD2" s="428" t="s">
        <v>363</v>
      </c>
      <c r="CE2" s="428" t="s">
        <v>360</v>
      </c>
      <c r="CF2" s="428" t="s">
        <v>364</v>
      </c>
      <c r="CG2" s="428" t="s">
        <v>365</v>
      </c>
      <c r="CH2" s="428" t="s">
        <v>366</v>
      </c>
      <c r="CI2" s="428" t="s">
        <v>367</v>
      </c>
      <c r="CJ2" s="428" t="s">
        <v>368</v>
      </c>
      <c r="CK2" s="428" t="s">
        <v>369</v>
      </c>
      <c r="CL2" s="428" t="s">
        <v>370</v>
      </c>
      <c r="CM2" s="428" t="s">
        <v>371</v>
      </c>
      <c r="CN2" s="428" t="s">
        <v>372</v>
      </c>
      <c r="CO2" s="428" t="s">
        <v>373</v>
      </c>
      <c r="CP2" s="428" t="s">
        <v>384</v>
      </c>
      <c r="CQ2" s="429" t="s">
        <v>395</v>
      </c>
      <c r="CR2" s="429" t="s">
        <v>396</v>
      </c>
      <c r="CS2" s="429" t="s">
        <v>397</v>
      </c>
      <c r="CT2" s="429" t="s">
        <v>398</v>
      </c>
      <c r="CU2" s="429" t="s">
        <v>399</v>
      </c>
      <c r="CV2" s="429" t="s">
        <v>400</v>
      </c>
      <c r="CW2" s="429" t="s">
        <v>401</v>
      </c>
      <c r="CX2" s="430" t="s">
        <v>402</v>
      </c>
      <c r="CY2" s="429" t="s">
        <v>473</v>
      </c>
      <c r="CZ2" s="429" t="s">
        <v>474</v>
      </c>
      <c r="DA2" s="429" t="s">
        <v>475</v>
      </c>
      <c r="DB2" s="429" t="s">
        <v>476</v>
      </c>
      <c r="DC2" s="429" t="s">
        <v>477</v>
      </c>
      <c r="DD2" s="429" t="s">
        <v>478</v>
      </c>
      <c r="DE2" s="429" t="s">
        <v>479</v>
      </c>
      <c r="DF2" s="429" t="s">
        <v>480</v>
      </c>
      <c r="DG2" s="429" t="s">
        <v>481</v>
      </c>
      <c r="DH2" s="429" t="s">
        <v>482</v>
      </c>
      <c r="DI2" s="429" t="s">
        <v>483</v>
      </c>
      <c r="DJ2" s="429" t="s">
        <v>484</v>
      </c>
      <c r="DK2" s="429" t="s">
        <v>485</v>
      </c>
      <c r="DL2" s="429" t="s">
        <v>486</v>
      </c>
      <c r="DM2" s="429" t="s">
        <v>487</v>
      </c>
      <c r="DN2" s="429" t="s">
        <v>488</v>
      </c>
      <c r="DO2" s="429" t="s">
        <v>489</v>
      </c>
      <c r="DP2" s="429" t="s">
        <v>490</v>
      </c>
      <c r="DQ2" s="429" t="s">
        <v>491</v>
      </c>
      <c r="DR2" s="429" t="s">
        <v>492</v>
      </c>
      <c r="DS2" s="429" t="s">
        <v>493</v>
      </c>
      <c r="DT2" s="429" t="s">
        <v>494</v>
      </c>
      <c r="DU2" s="429" t="s">
        <v>495</v>
      </c>
      <c r="DV2" s="429" t="s">
        <v>496</v>
      </c>
      <c r="DW2" s="429" t="s">
        <v>497</v>
      </c>
      <c r="DX2" s="429" t="s">
        <v>498</v>
      </c>
      <c r="DY2" s="429" t="s">
        <v>499</v>
      </c>
      <c r="DZ2" s="429" t="s">
        <v>500</v>
      </c>
      <c r="EA2" s="429" t="s">
        <v>501</v>
      </c>
      <c r="EB2" s="431" t="s">
        <v>502</v>
      </c>
    </row>
    <row r="3" spans="1:132" ht="19.2" x14ac:dyDescent="0.3">
      <c r="A3" s="427" t="s">
        <v>508</v>
      </c>
      <c r="B3" s="432">
        <v>8.7813632965295718E-5</v>
      </c>
      <c r="C3" s="432">
        <v>6.6812110374114548E-4</v>
      </c>
      <c r="D3" s="432">
        <v>1.3453056290573008E-3</v>
      </c>
      <c r="E3" s="432">
        <v>2.743673774785885E-3</v>
      </c>
      <c r="F3" s="432">
        <v>4.1585334948187752E-3</v>
      </c>
      <c r="G3" s="432">
        <v>5.4130936391348109E-3</v>
      </c>
      <c r="H3" s="432">
        <v>1.8234166299858048E-2</v>
      </c>
      <c r="I3" s="432">
        <v>3.8009615156600562E-2</v>
      </c>
      <c r="J3" s="432">
        <v>6.4491758140071215E-2</v>
      </c>
      <c r="K3" s="432">
        <v>7.8331185624393451E-2</v>
      </c>
      <c r="L3" s="432">
        <v>0.1146234467659399</v>
      </c>
      <c r="M3" s="432">
        <v>0.11920820609673356</v>
      </c>
      <c r="N3" s="432">
        <v>0.13918839051965826</v>
      </c>
      <c r="O3" s="432">
        <v>0.15298330131138119</v>
      </c>
      <c r="P3" s="432">
        <v>0.16313526936210079</v>
      </c>
      <c r="Q3" s="432">
        <v>0.17728442608939621</v>
      </c>
      <c r="R3" s="432">
        <v>0.20244558590632325</v>
      </c>
      <c r="S3" s="432">
        <v>0.23473980960886717</v>
      </c>
      <c r="T3" s="432">
        <v>0.26643267561223716</v>
      </c>
      <c r="U3" s="432">
        <v>0.28328482684440498</v>
      </c>
      <c r="V3" s="432">
        <v>0.3129128908072582</v>
      </c>
      <c r="W3" s="432">
        <v>0.3318461408551564</v>
      </c>
      <c r="X3" s="432">
        <v>0.35521971985243211</v>
      </c>
      <c r="Y3" s="432">
        <v>0.36936995170488518</v>
      </c>
      <c r="Z3" s="432">
        <v>0.39055046494770779</v>
      </c>
      <c r="AA3" s="432">
        <v>0.40022233281096736</v>
      </c>
      <c r="AB3" s="432">
        <v>0.40022233281096736</v>
      </c>
      <c r="AC3" s="432">
        <v>0.40022233281096736</v>
      </c>
      <c r="AD3" s="432">
        <v>0.40517273761708056</v>
      </c>
      <c r="AE3" s="432">
        <v>0.4147678820587265</v>
      </c>
      <c r="AF3" s="432">
        <v>0.42226946656528047</v>
      </c>
      <c r="AG3" s="432">
        <v>0.43002345069950854</v>
      </c>
      <c r="AH3" s="432">
        <v>0.437870106814856</v>
      </c>
      <c r="AI3" s="432">
        <v>0.44564743055365674</v>
      </c>
      <c r="AJ3" s="432">
        <v>0.45719828923287198</v>
      </c>
      <c r="AK3" s="432">
        <v>0.47164457426556566</v>
      </c>
      <c r="AL3" s="432">
        <v>0.48869814226497976</v>
      </c>
      <c r="AM3" s="432">
        <v>0.50755299780308494</v>
      </c>
      <c r="AN3" s="432">
        <v>0.52787303521555784</v>
      </c>
      <c r="AO3" s="432">
        <v>0.54795100045053635</v>
      </c>
      <c r="AP3" s="432">
        <v>0.58030766896042707</v>
      </c>
      <c r="AQ3" s="432">
        <v>0.61832557608117356</v>
      </c>
      <c r="AR3" s="432">
        <v>0.6712434547318078</v>
      </c>
      <c r="AS3" s="432">
        <v>0.71799968462449737</v>
      </c>
      <c r="AT3" s="432">
        <v>0.76303364454265243</v>
      </c>
      <c r="AU3" s="432">
        <v>0.8068573296977003</v>
      </c>
      <c r="AV3" s="432">
        <v>0.85135833115346771</v>
      </c>
      <c r="AW3" s="432">
        <v>0.88049570385618781</v>
      </c>
      <c r="AX3" s="432">
        <v>0.90836161176626251</v>
      </c>
      <c r="AY3" s="432">
        <v>0.935822329493875</v>
      </c>
      <c r="AZ3" s="432">
        <v>0.95222153309458635</v>
      </c>
      <c r="BA3" s="432">
        <v>0.9611238642004587</v>
      </c>
      <c r="BB3" s="432">
        <v>0.96905095498710314</v>
      </c>
      <c r="BC3" s="432">
        <v>0.97413818419013642</v>
      </c>
      <c r="BD3" s="432">
        <v>0.97858599479572117</v>
      </c>
      <c r="BE3" s="432">
        <v>0.98163119828737866</v>
      </c>
      <c r="BF3" s="432">
        <v>0.99079818605180281</v>
      </c>
      <c r="BG3" s="432">
        <v>0.99352444614786584</v>
      </c>
      <c r="BH3" s="432">
        <v>0.99614265623983411</v>
      </c>
      <c r="BI3" s="432">
        <v>0.99999999999999978</v>
      </c>
      <c r="BJ3" s="432">
        <v>0.99999999999999978</v>
      </c>
      <c r="BK3" s="432">
        <v>0.99999999999999978</v>
      </c>
      <c r="BL3" s="432">
        <v>0.99999999999999978</v>
      </c>
      <c r="BM3" s="432">
        <v>0.99999999999999978</v>
      </c>
      <c r="BN3" s="432">
        <v>0.99999999999999978</v>
      </c>
      <c r="BO3" s="432">
        <v>0.99999999999999978</v>
      </c>
      <c r="BP3" s="432">
        <v>0.99999999999999978</v>
      </c>
      <c r="BQ3" s="432">
        <v>0.99999999999999978</v>
      </c>
      <c r="BR3" s="432">
        <v>0.99999999999999978</v>
      </c>
      <c r="BS3" s="432">
        <v>0.99999999999999978</v>
      </c>
      <c r="BT3" s="432">
        <v>0.99999999999999978</v>
      </c>
      <c r="BU3" s="432">
        <v>0.99999999999999978</v>
      </c>
      <c r="BV3" s="432">
        <v>0.99999999999999978</v>
      </c>
      <c r="BW3" s="432">
        <v>0.99999999999999978</v>
      </c>
      <c r="BX3" s="432">
        <v>0.99999999999999978</v>
      </c>
      <c r="BY3" s="432">
        <v>0.99999999999999978</v>
      </c>
      <c r="BZ3" s="432">
        <v>0.99999999999999978</v>
      </c>
      <c r="CA3" s="432">
        <v>0.99999999999999978</v>
      </c>
      <c r="CB3" s="432">
        <v>0.99999999999999978</v>
      </c>
      <c r="CC3" s="432">
        <v>0.99999999999999978</v>
      </c>
      <c r="CD3" s="432">
        <v>0.99999999999999978</v>
      </c>
      <c r="CE3" s="432">
        <v>0.99999999999999978</v>
      </c>
      <c r="CF3" s="432">
        <v>0.99999999999999978</v>
      </c>
      <c r="CG3" s="432">
        <v>0.99999999999999978</v>
      </c>
      <c r="CH3" s="432">
        <v>0.99999999999999978</v>
      </c>
      <c r="CI3" s="432">
        <v>0.99999999999999978</v>
      </c>
      <c r="CJ3" s="432">
        <v>0.99999999999999978</v>
      </c>
      <c r="CK3" s="432">
        <v>0.99999999999999978</v>
      </c>
      <c r="CL3" s="432">
        <v>0.99999999999999978</v>
      </c>
      <c r="CM3" s="432">
        <v>0.99999999999999978</v>
      </c>
      <c r="CN3" s="432">
        <v>0.99999999999999978</v>
      </c>
      <c r="CO3" s="432">
        <v>0.99999999999999978</v>
      </c>
      <c r="CP3" s="432">
        <v>0.99999999999999978</v>
      </c>
      <c r="CQ3" s="432">
        <v>0.99999999999999978</v>
      </c>
      <c r="CR3" s="432">
        <v>0.99999999999999978</v>
      </c>
      <c r="CS3" s="432">
        <v>0.99999999999999978</v>
      </c>
      <c r="CT3" s="432">
        <v>0.99999999999999978</v>
      </c>
      <c r="CU3" s="432">
        <v>0.99999999999999978</v>
      </c>
      <c r="CV3" s="432">
        <v>0.99999999999999978</v>
      </c>
      <c r="CW3" s="432">
        <v>0.99999999999999978</v>
      </c>
      <c r="CX3" s="432">
        <v>0.99999999999999978</v>
      </c>
      <c r="CY3" s="432">
        <v>0.99999999999999978</v>
      </c>
      <c r="CZ3" s="432">
        <v>0.99999999999999978</v>
      </c>
      <c r="DA3" s="432">
        <v>0.99999999999999978</v>
      </c>
      <c r="DB3" s="432">
        <v>0.99999999999999978</v>
      </c>
      <c r="DC3" s="432">
        <v>0.99999999999999978</v>
      </c>
      <c r="DD3" s="432">
        <v>0.99999999999999978</v>
      </c>
      <c r="DE3" s="432">
        <v>0.99999999999999978</v>
      </c>
      <c r="DF3" s="432">
        <v>0.99999999999999978</v>
      </c>
      <c r="DG3" s="432">
        <v>0.99999999999999978</v>
      </c>
      <c r="DH3" s="432">
        <v>0.99999999999999978</v>
      </c>
      <c r="DI3" s="432">
        <v>0.99999999999999978</v>
      </c>
      <c r="DJ3" s="432">
        <v>0.99999999999999978</v>
      </c>
      <c r="DK3" s="432">
        <v>0.99999999999999978</v>
      </c>
      <c r="DL3" s="432">
        <v>0.99999999999999978</v>
      </c>
      <c r="DM3" s="432">
        <v>0.99999999999999978</v>
      </c>
      <c r="DN3" s="432">
        <v>0.99999999999999978</v>
      </c>
      <c r="DO3" s="432">
        <v>0.99999999999999978</v>
      </c>
      <c r="DP3" s="432">
        <v>0.99999999999999978</v>
      </c>
      <c r="DQ3" s="432">
        <v>0.99999999999999978</v>
      </c>
      <c r="DR3" s="432">
        <v>0.99999999999999978</v>
      </c>
      <c r="DS3" s="432">
        <v>0.99999999999999978</v>
      </c>
      <c r="DT3" s="432">
        <v>0.99999999999999978</v>
      </c>
      <c r="DU3" s="432">
        <v>0.99999999999999978</v>
      </c>
      <c r="DV3" s="432">
        <v>0.99999999999999978</v>
      </c>
      <c r="DW3" s="432">
        <v>0.99999999999999978</v>
      </c>
      <c r="DX3" s="432">
        <v>0.99999999999999978</v>
      </c>
      <c r="DY3" s="432">
        <v>0.99999999999999978</v>
      </c>
      <c r="DZ3" s="432">
        <v>0.99999999999999978</v>
      </c>
      <c r="EA3" s="432">
        <v>0.99999999999999978</v>
      </c>
      <c r="EB3" s="432">
        <v>0.99999999999999978</v>
      </c>
    </row>
    <row r="4" spans="1:132" ht="19.2" x14ac:dyDescent="0.3">
      <c r="A4" s="427" t="s">
        <v>509</v>
      </c>
      <c r="B4" s="432">
        <v>8.7813632965295718E-5</v>
      </c>
      <c r="C4" s="432">
        <v>6.6812110374114548E-4</v>
      </c>
      <c r="D4" s="432">
        <v>1.3453056290573008E-3</v>
      </c>
      <c r="E4" s="432">
        <v>2.743673774785885E-3</v>
      </c>
      <c r="F4" s="433">
        <v>4.1585334948187752E-3</v>
      </c>
      <c r="G4" s="433">
        <v>5.4130936391348109E-3</v>
      </c>
      <c r="H4" s="432">
        <v>1.8234166299858048E-2</v>
      </c>
      <c r="I4" s="432">
        <v>3.8009615156600562E-2</v>
      </c>
      <c r="J4" s="432">
        <v>6.4491758140071215E-2</v>
      </c>
      <c r="K4" s="432">
        <v>7.8331185624393451E-2</v>
      </c>
      <c r="L4" s="432">
        <v>0.1146234467659399</v>
      </c>
      <c r="M4" s="432">
        <v>0.11920820609673356</v>
      </c>
      <c r="N4" s="432">
        <v>0.13918839051965826</v>
      </c>
      <c r="O4" s="432">
        <v>0.15298330131138119</v>
      </c>
      <c r="P4" s="432">
        <v>0.16313526936210079</v>
      </c>
      <c r="Q4" s="432">
        <v>0.17728442608939621</v>
      </c>
      <c r="R4" s="432">
        <v>0.20244558590632325</v>
      </c>
      <c r="S4" s="432">
        <v>0.23473980960886717</v>
      </c>
      <c r="T4" s="432">
        <v>0.26643267561223716</v>
      </c>
      <c r="U4" s="432">
        <v>0.28328482684440498</v>
      </c>
      <c r="V4" s="432">
        <v>0.3129128908072582</v>
      </c>
      <c r="W4" s="432">
        <v>0.3318461408551564</v>
      </c>
      <c r="X4" s="432">
        <v>0.35521971985243211</v>
      </c>
      <c r="Y4" s="432">
        <v>0.36936995170488518</v>
      </c>
      <c r="Z4" s="432">
        <v>0.39055046494770779</v>
      </c>
      <c r="AA4" s="432">
        <v>0.40022233281096736</v>
      </c>
      <c r="AB4" s="432">
        <v>0.40022233281096736</v>
      </c>
      <c r="AC4" s="432">
        <v>0.40022233281096736</v>
      </c>
      <c r="AD4" s="432">
        <v>0.40517273761708056</v>
      </c>
      <c r="AE4" s="432">
        <v>0.4147678820587265</v>
      </c>
      <c r="AF4" s="432">
        <v>0.42172392947076015</v>
      </c>
      <c r="AG4" s="432">
        <v>0.43081721131666628</v>
      </c>
      <c r="AH4" s="432">
        <v>0.44850107513083781</v>
      </c>
      <c r="AI4" s="432">
        <v>0.47155100266317362</v>
      </c>
      <c r="AJ4" s="432">
        <v>0.48557969288829339</v>
      </c>
      <c r="AK4" s="432">
        <v>0.50019776900572688</v>
      </c>
      <c r="AL4" s="432">
        <v>0.50402420656869551</v>
      </c>
      <c r="AM4" s="432">
        <v>0.53131084800846784</v>
      </c>
      <c r="AN4" s="432">
        <v>0.53319567765529641</v>
      </c>
      <c r="AO4" s="432">
        <v>0.54287761586807926</v>
      </c>
      <c r="AP4" s="432">
        <v>0.55384079721710877</v>
      </c>
      <c r="AQ4" s="432">
        <v>0.5677999952687578</v>
      </c>
      <c r="AR4" s="432">
        <v>0.5678734066993717</v>
      </c>
      <c r="AS4" s="432">
        <v>0.58011831452834006</v>
      </c>
      <c r="AT4" s="432">
        <v>0.59171744695428674</v>
      </c>
      <c r="AU4" s="432">
        <v>0.59738334398600546</v>
      </c>
      <c r="AV4" s="432">
        <v>0.60399272726556053</v>
      </c>
      <c r="AW4" s="432">
        <v>0.61188614291034515</v>
      </c>
      <c r="AX4" s="432">
        <v>0.62059980576921137</v>
      </c>
      <c r="AY4" s="432">
        <v>0.62984999386677698</v>
      </c>
      <c r="AZ4" s="432">
        <v>0.63879943816024209</v>
      </c>
      <c r="BA4" s="432">
        <v>0.64693829505567158</v>
      </c>
      <c r="BB4" s="432">
        <v>0.65394168971494349</v>
      </c>
      <c r="BC4" s="432">
        <v>0.66201789515669174</v>
      </c>
      <c r="BD4" s="432">
        <v>0.67052045482174694</v>
      </c>
      <c r="BE4" s="432">
        <v>0.67989855405729638</v>
      </c>
      <c r="BF4" s="432">
        <v>0.68857823412373698</v>
      </c>
      <c r="BG4" s="432">
        <v>0.69718797763484974</v>
      </c>
      <c r="BH4" s="432">
        <v>0.70682330581369746</v>
      </c>
      <c r="BI4" s="432">
        <v>0.71690411949561117</v>
      </c>
      <c r="BJ4" s="432">
        <v>0.7282931852009088</v>
      </c>
      <c r="BK4" s="432">
        <v>0.73986883317569385</v>
      </c>
      <c r="BL4" s="432">
        <v>0.75438991044151926</v>
      </c>
      <c r="BM4" s="432">
        <v>0.77014603163930673</v>
      </c>
      <c r="BN4" s="432">
        <v>0.78655528575921563</v>
      </c>
      <c r="BO4" s="432">
        <v>0.80625281827126849</v>
      </c>
      <c r="BP4" s="432">
        <v>0.82645788965959466</v>
      </c>
      <c r="BQ4" s="432">
        <v>0.84677863548621557</v>
      </c>
      <c r="BR4" s="432">
        <v>0.87029231351431213</v>
      </c>
      <c r="BS4" s="432">
        <v>0.89380599154240847</v>
      </c>
      <c r="BT4" s="432">
        <v>0.91469055529594789</v>
      </c>
      <c r="BU4" s="432">
        <v>0.93171347732307741</v>
      </c>
      <c r="BV4" s="432">
        <v>0.94705739830421887</v>
      </c>
      <c r="BW4" s="432">
        <v>0.95886333576244653</v>
      </c>
      <c r="BX4" s="432">
        <v>0.96620757018969616</v>
      </c>
      <c r="BY4" s="432">
        <v>0.98591659618825234</v>
      </c>
      <c r="BZ4" s="432">
        <v>0.98882308336905866</v>
      </c>
      <c r="CA4" s="432">
        <v>0.99079458921426833</v>
      </c>
      <c r="CB4" s="432">
        <v>0.99999999999999978</v>
      </c>
      <c r="CC4" s="432">
        <v>0.99999999999999978</v>
      </c>
      <c r="CD4" s="432">
        <v>0.99999999999999978</v>
      </c>
      <c r="CE4" s="432">
        <v>0.99999999999999978</v>
      </c>
      <c r="CF4" s="432">
        <v>0.99999999999999978</v>
      </c>
      <c r="CG4" s="432">
        <v>0.99999999999999978</v>
      </c>
      <c r="CH4" s="432">
        <v>0.99999999999999978</v>
      </c>
      <c r="CI4" s="432">
        <v>0.99999999999999978</v>
      </c>
      <c r="CJ4" s="432">
        <v>0.99999999999999978</v>
      </c>
      <c r="CK4" s="432">
        <v>0.99999999999999978</v>
      </c>
      <c r="CL4" s="432">
        <v>0.99999999999999978</v>
      </c>
      <c r="CM4" s="432">
        <v>0.99999999999999978</v>
      </c>
      <c r="CN4" s="432">
        <v>0.99999999999999978</v>
      </c>
      <c r="CO4" s="432">
        <v>0.99999999999999978</v>
      </c>
      <c r="CP4" s="432">
        <v>0.99999999999999978</v>
      </c>
      <c r="CQ4" s="432">
        <v>0.99999999999999978</v>
      </c>
      <c r="CR4" s="432">
        <v>0.99999999999999978</v>
      </c>
      <c r="CS4" s="432">
        <v>0.99999999999999978</v>
      </c>
      <c r="CT4" s="432">
        <v>0.99999999999999978</v>
      </c>
      <c r="CU4" s="432">
        <v>0.99999999999999978</v>
      </c>
      <c r="CV4" s="432">
        <v>0.99999999999999978</v>
      </c>
      <c r="CW4" s="432">
        <v>0.99999999999999978</v>
      </c>
      <c r="CX4" s="432">
        <v>0.99999999999999978</v>
      </c>
      <c r="CY4" s="432">
        <v>0.99999999999999978</v>
      </c>
      <c r="CZ4" s="432">
        <v>0.99999999999999978</v>
      </c>
      <c r="DA4" s="432">
        <v>0.99999999999999978</v>
      </c>
      <c r="DB4" s="432">
        <v>0.99999999999999978</v>
      </c>
      <c r="DC4" s="432">
        <v>0.99999999999999978</v>
      </c>
      <c r="DD4" s="432">
        <v>0.99999999999999978</v>
      </c>
      <c r="DE4" s="432">
        <v>0.99999999999999978</v>
      </c>
      <c r="DF4" s="432">
        <v>0.99999999999999978</v>
      </c>
      <c r="DG4" s="432">
        <v>0.99999999999999978</v>
      </c>
      <c r="DH4" s="432">
        <v>0.99999999999999978</v>
      </c>
      <c r="DI4" s="432">
        <v>0.99999999999999978</v>
      </c>
      <c r="DJ4" s="432">
        <v>0.99999999999999978</v>
      </c>
      <c r="DK4" s="432">
        <v>0.99999999999999978</v>
      </c>
      <c r="DL4" s="432">
        <v>0.99999999999999978</v>
      </c>
      <c r="DM4" s="432">
        <v>0.99999999999999978</v>
      </c>
      <c r="DN4" s="432">
        <v>0.99999999999999978</v>
      </c>
      <c r="DO4" s="432">
        <v>0.99999999999999978</v>
      </c>
      <c r="DP4" s="432">
        <v>0.99999999999999978</v>
      </c>
      <c r="DQ4" s="432">
        <v>0.99999999999999978</v>
      </c>
      <c r="DR4" s="432">
        <v>0.99999999999999978</v>
      </c>
      <c r="DS4" s="432">
        <v>0.99999999999999978</v>
      </c>
      <c r="DT4" s="432">
        <v>0.99999999999999978</v>
      </c>
      <c r="DU4" s="432">
        <v>0.99999999999999978</v>
      </c>
      <c r="DV4" s="432">
        <v>0.99999999999999978</v>
      </c>
      <c r="DW4" s="432">
        <v>0.99999999999999978</v>
      </c>
      <c r="DX4" s="432">
        <v>0.99999999999999978</v>
      </c>
      <c r="DY4" s="432">
        <v>0.99999999999999978</v>
      </c>
      <c r="DZ4" s="432">
        <v>0.99999999999999978</v>
      </c>
      <c r="EA4" s="432">
        <v>0.99999999999999978</v>
      </c>
      <c r="EB4" s="432">
        <v>0.99999999999999978</v>
      </c>
    </row>
    <row r="5" spans="1:132" ht="19.2" x14ac:dyDescent="0.3">
      <c r="A5" s="427" t="s">
        <v>230</v>
      </c>
      <c r="B5" s="432">
        <v>8.7813632965295718E-5</v>
      </c>
      <c r="C5" s="432">
        <v>6.6812110374114548E-4</v>
      </c>
      <c r="D5" s="432">
        <v>1.3453056290573008E-3</v>
      </c>
      <c r="E5" s="432">
        <v>2.743673774785885E-3</v>
      </c>
      <c r="F5" s="433">
        <v>4.1585334948187752E-3</v>
      </c>
      <c r="G5" s="433">
        <v>5.4130936391348109E-3</v>
      </c>
      <c r="H5" s="432">
        <v>1.8234166299858048E-2</v>
      </c>
      <c r="I5" s="432">
        <v>3.8009615156600562E-2</v>
      </c>
      <c r="J5" s="432">
        <v>6.4491758140071215E-2</v>
      </c>
      <c r="K5" s="432">
        <v>7.8331185624393451E-2</v>
      </c>
      <c r="L5" s="432">
        <v>0.1146234467659399</v>
      </c>
      <c r="M5" s="432">
        <v>0.11920820609673356</v>
      </c>
      <c r="N5" s="432">
        <v>0.13918839051965826</v>
      </c>
      <c r="O5" s="432">
        <v>0.15298330131138119</v>
      </c>
      <c r="P5" s="432">
        <v>0.16313526936210079</v>
      </c>
      <c r="Q5" s="432">
        <v>0.17728442608939621</v>
      </c>
      <c r="R5" s="432">
        <v>0.20244558590632325</v>
      </c>
      <c r="S5" s="432">
        <v>0.23473980960886717</v>
      </c>
      <c r="T5" s="432">
        <v>0.26643267561223716</v>
      </c>
      <c r="U5" s="432">
        <v>0.28328482684440498</v>
      </c>
      <c r="V5" s="432">
        <v>0.3129128908072582</v>
      </c>
      <c r="W5" s="432">
        <v>0.3318461408551564</v>
      </c>
      <c r="X5" s="432">
        <v>0.35521971985243211</v>
      </c>
      <c r="Y5" s="432">
        <v>0.36936995170488518</v>
      </c>
      <c r="Z5" s="432">
        <v>0.39055046494770779</v>
      </c>
      <c r="AA5" s="432">
        <v>0.40022233281096736</v>
      </c>
      <c r="AB5" s="432">
        <v>0.40022233281096736</v>
      </c>
      <c r="AC5" s="432">
        <v>0.40022233281096736</v>
      </c>
      <c r="AD5" s="432">
        <v>0.40517273761708056</v>
      </c>
      <c r="AE5" s="432">
        <v>0.41476788205872644</v>
      </c>
      <c r="AF5" s="432">
        <v>0.42172392947076015</v>
      </c>
      <c r="AG5" s="432">
        <v>0.43081721131666628</v>
      </c>
      <c r="AH5" s="432">
        <v>0.44850107513083781</v>
      </c>
      <c r="AI5" s="432">
        <v>0.47155100266317362</v>
      </c>
      <c r="AJ5" s="432">
        <v>0.48557969288829339</v>
      </c>
      <c r="AK5" s="432">
        <v>0.50019776900572688</v>
      </c>
      <c r="AL5" s="432">
        <v>0.50402420656869551</v>
      </c>
      <c r="AM5" s="432">
        <v>0.53131084800846784</v>
      </c>
      <c r="AN5" s="432">
        <v>0.53319567765529641</v>
      </c>
      <c r="AO5" s="432">
        <v>0.54287761586807926</v>
      </c>
      <c r="AP5" s="432">
        <v>0.55384079721710877</v>
      </c>
      <c r="AQ5" s="432">
        <v>0.5677999952687578</v>
      </c>
      <c r="AR5" s="432">
        <v>0.5678734066993717</v>
      </c>
      <c r="AS5" s="432">
        <v>0.58011831452833995</v>
      </c>
      <c r="AT5" s="432">
        <v>0.59171744695428674</v>
      </c>
      <c r="AU5" s="432">
        <v>0.60833830405168365</v>
      </c>
      <c r="AV5" s="432">
        <v>0.61691402902776593</v>
      </c>
      <c r="AW5" s="432">
        <v>0.62616605052204077</v>
      </c>
      <c r="AX5" s="432">
        <v>0.64025716391163345</v>
      </c>
      <c r="AY5" s="432">
        <v>0.64793985333465398</v>
      </c>
      <c r="AZ5" s="432">
        <v>0.65979008450735477</v>
      </c>
      <c r="BA5" s="432">
        <v>0.6730360685434813</v>
      </c>
      <c r="BB5" s="432">
        <v>0.68715882876783518</v>
      </c>
      <c r="BC5" s="432">
        <v>0.69982528165328928</v>
      </c>
      <c r="BD5" s="432">
        <v>0.70757587803208832</v>
      </c>
      <c r="BE5" s="432">
        <v>0.71473806854181932</v>
      </c>
      <c r="BF5" s="432">
        <v>0.7218657760917162</v>
      </c>
      <c r="BG5" s="432">
        <v>0.72450245751086406</v>
      </c>
      <c r="BH5" s="432">
        <v>0.73299968309583019</v>
      </c>
      <c r="BI5" s="432">
        <v>0.7399562233280037</v>
      </c>
      <c r="BJ5" s="432">
        <v>0.74502624318891664</v>
      </c>
      <c r="BK5" s="432">
        <v>0.74957628191305004</v>
      </c>
      <c r="BL5" s="432">
        <v>0.75620971770143919</v>
      </c>
      <c r="BM5" s="432">
        <v>0.7639359234712475</v>
      </c>
      <c r="BN5" s="432">
        <v>0.77585898361926176</v>
      </c>
      <c r="BO5" s="432">
        <v>0.78374288248176049</v>
      </c>
      <c r="BP5" s="432">
        <v>0.79449292446039321</v>
      </c>
      <c r="BQ5" s="432">
        <v>0.795897330002448</v>
      </c>
      <c r="BR5" s="432">
        <v>0.8004229342151411</v>
      </c>
      <c r="BS5" s="432">
        <v>0.80224397756826837</v>
      </c>
      <c r="BT5" s="432">
        <v>0.80321760494652195</v>
      </c>
      <c r="BU5" s="432">
        <v>0.81006591572938336</v>
      </c>
      <c r="BV5" s="432">
        <v>0.82271072897239161</v>
      </c>
      <c r="BW5" s="432">
        <v>0.82558275159095129</v>
      </c>
      <c r="BX5" s="432">
        <v>0.83165873973535809</v>
      </c>
      <c r="BY5" s="432">
        <v>0.83408610170264397</v>
      </c>
      <c r="BZ5" s="432">
        <v>0.8354534249540706</v>
      </c>
      <c r="CA5" s="432">
        <v>0.83604064045644755</v>
      </c>
      <c r="CB5" s="432">
        <v>0.83652905544202105</v>
      </c>
      <c r="CC5" s="432">
        <v>0.83655235120878313</v>
      </c>
      <c r="CD5" s="432">
        <v>0.83656399909216406</v>
      </c>
      <c r="CE5" s="432">
        <v>0.83656399909216406</v>
      </c>
      <c r="CF5" s="432">
        <v>0.83785093815723466</v>
      </c>
      <c r="CG5" s="432">
        <v>0.83868886207226168</v>
      </c>
      <c r="CH5" s="432">
        <v>0.83868886207226168</v>
      </c>
      <c r="CI5" s="432">
        <v>0.8392865433590162</v>
      </c>
      <c r="CJ5" s="432">
        <v>0.8392865433590162</v>
      </c>
      <c r="CK5" s="432">
        <v>0.84320038934369457</v>
      </c>
      <c r="CL5" s="432">
        <v>0.84362316423153705</v>
      </c>
      <c r="CM5" s="432">
        <v>0.84449880449951853</v>
      </c>
      <c r="CN5" s="432">
        <v>0.84619147490380187</v>
      </c>
      <c r="CO5" s="432">
        <v>0.84668551793408497</v>
      </c>
      <c r="CP5" s="432">
        <v>0.84668551793408497</v>
      </c>
      <c r="CQ5" s="432">
        <v>0.84774029930038997</v>
      </c>
      <c r="CR5" s="432">
        <v>0.84869916048592864</v>
      </c>
      <c r="CS5" s="432">
        <v>0.84955807307043518</v>
      </c>
      <c r="CT5" s="432">
        <v>0.85002709617708627</v>
      </c>
      <c r="CU5" s="432">
        <v>0.85051987785614103</v>
      </c>
      <c r="CV5" s="432">
        <v>0.85127516806613279</v>
      </c>
      <c r="CW5" s="432">
        <v>0.85164366265205349</v>
      </c>
      <c r="CX5" s="432">
        <v>0.86158882528271385</v>
      </c>
      <c r="CY5" s="432">
        <v>0.86195731986863455</v>
      </c>
      <c r="CZ5" s="432">
        <v>0.86222296965919054</v>
      </c>
      <c r="DA5" s="432">
        <v>0.86292312162339324</v>
      </c>
      <c r="DB5" s="432">
        <v>0.86351524994197115</v>
      </c>
    </row>
    <row r="6" spans="1:132" ht="19.2" x14ac:dyDescent="0.3">
      <c r="A6" s="427" t="s">
        <v>510</v>
      </c>
      <c r="B6" s="313">
        <v>0</v>
      </c>
      <c r="C6" s="313">
        <v>0</v>
      </c>
      <c r="D6" s="313">
        <v>0</v>
      </c>
      <c r="E6" s="313">
        <v>0</v>
      </c>
      <c r="F6" s="313">
        <v>0</v>
      </c>
      <c r="G6" s="313">
        <v>0</v>
      </c>
      <c r="H6" s="313">
        <v>0</v>
      </c>
      <c r="I6" s="313">
        <v>0</v>
      </c>
      <c r="J6" s="313">
        <v>0</v>
      </c>
      <c r="K6" s="313">
        <v>0</v>
      </c>
      <c r="L6" s="313">
        <v>0</v>
      </c>
      <c r="M6" s="313">
        <v>0</v>
      </c>
      <c r="N6" s="313">
        <v>0</v>
      </c>
      <c r="O6" s="313">
        <v>0</v>
      </c>
      <c r="P6" s="313">
        <v>0</v>
      </c>
      <c r="Q6" s="313">
        <v>0</v>
      </c>
      <c r="R6" s="313">
        <v>0</v>
      </c>
      <c r="S6" s="313">
        <v>0</v>
      </c>
      <c r="T6" s="313">
        <v>0</v>
      </c>
      <c r="U6" s="313">
        <v>0</v>
      </c>
      <c r="V6" s="313">
        <v>0</v>
      </c>
      <c r="W6" s="313">
        <v>0</v>
      </c>
      <c r="X6" s="313">
        <v>0</v>
      </c>
      <c r="Y6" s="313">
        <v>0</v>
      </c>
      <c r="Z6" s="313">
        <v>0</v>
      </c>
      <c r="AA6" s="313">
        <v>0</v>
      </c>
      <c r="AB6" s="313">
        <v>0</v>
      </c>
      <c r="AC6" s="313">
        <v>0</v>
      </c>
      <c r="AD6" s="313">
        <v>0</v>
      </c>
      <c r="AE6" s="313">
        <v>0</v>
      </c>
      <c r="AF6" s="313">
        <v>-5.4553709452032084E-4</v>
      </c>
      <c r="AG6" s="313">
        <v>7.9376061715774604E-4</v>
      </c>
      <c r="AH6" s="313">
        <v>1.0630968315981815E-2</v>
      </c>
      <c r="AI6" s="313">
        <v>2.5903572109516881E-2</v>
      </c>
      <c r="AJ6" s="313">
        <v>2.8381403655421411E-2</v>
      </c>
      <c r="AK6" s="313">
        <v>2.8553194740161214E-2</v>
      </c>
      <c r="AL6" s="313">
        <v>1.5326064303715747E-2</v>
      </c>
      <c r="AM6" s="313">
        <v>2.3757850205382902E-2</v>
      </c>
      <c r="AN6" s="313">
        <v>5.3226424397385674E-3</v>
      </c>
      <c r="AO6" s="313">
        <v>-5.0733845824570967E-3</v>
      </c>
      <c r="AP6" s="313">
        <v>-2.6466871743318299E-2</v>
      </c>
      <c r="AQ6" s="313">
        <v>-5.052558081241576E-2</v>
      </c>
      <c r="AR6" s="313">
        <v>-0.1033700480324361</v>
      </c>
      <c r="AS6" s="313">
        <v>-0.13788137009615742</v>
      </c>
      <c r="AT6" s="313">
        <v>-0.17131619758836569</v>
      </c>
      <c r="AU6" s="313">
        <v>1.0954960065678199E-2</v>
      </c>
      <c r="AV6" s="313">
        <v>1.2921301762205406E-2</v>
      </c>
      <c r="AW6" s="313">
        <v>1.4279907611695619E-2</v>
      </c>
      <c r="AX6" s="313">
        <v>1.9657358142422088E-2</v>
      </c>
      <c r="AY6" s="313">
        <v>1.8089859467877001E-2</v>
      </c>
      <c r="AZ6" s="313">
        <v>2.0990646347112674E-2</v>
      </c>
      <c r="BA6" s="313">
        <v>2.6097773487809728E-2</v>
      </c>
      <c r="BB6" s="313">
        <v>3.3217139052891698E-2</v>
      </c>
      <c r="BC6" s="313">
        <v>3.7807386496597539E-2</v>
      </c>
      <c r="BD6" s="313">
        <v>3.7055423210341387E-2</v>
      </c>
      <c r="BE6" s="313">
        <v>3.4839514484522938E-2</v>
      </c>
      <c r="BF6" s="313">
        <v>3.3287541967979228E-2</v>
      </c>
      <c r="BG6" s="313">
        <v>2.7314479876014319E-2</v>
      </c>
      <c r="BH6" s="313">
        <v>2.6176377282132735E-2</v>
      </c>
      <c r="BI6" s="313">
        <v>2.3052103832392534E-2</v>
      </c>
      <c r="BJ6" s="313">
        <v>1.6733057988007838E-2</v>
      </c>
      <c r="BK6" s="313">
        <v>9.7074487373561835E-3</v>
      </c>
      <c r="BL6" s="313">
        <v>1.8198072599199255E-3</v>
      </c>
      <c r="BM6" s="313">
        <v>-6.2101081680592252E-3</v>
      </c>
      <c r="BN6" s="313">
        <v>-1.0696302139953873E-2</v>
      </c>
      <c r="BO6" s="313">
        <v>-2.2509935789507995E-2</v>
      </c>
      <c r="BP6" s="313">
        <v>-3.1964965199201445E-2</v>
      </c>
      <c r="BQ6" s="313">
        <v>-5.0881305483767569E-2</v>
      </c>
      <c r="BR6" s="313">
        <v>-6.9869379299171031E-2</v>
      </c>
      <c r="BS6" s="313">
        <v>-9.15620139741401E-2</v>
      </c>
      <c r="BT6" s="313">
        <v>-0.11147295034942595</v>
      </c>
      <c r="BU6" s="313">
        <v>-0.12164756159369405</v>
      </c>
      <c r="BV6" s="313">
        <v>-0.12434666933182725</v>
      </c>
      <c r="BW6" s="313">
        <v>-0.13328058417149524</v>
      </c>
      <c r="BX6" s="313">
        <v>-0.13454883045433808</v>
      </c>
      <c r="BY6" s="313">
        <v>-0.15183049448560837</v>
      </c>
      <c r="BZ6" s="313">
        <v>-0.15336965841498806</v>
      </c>
      <c r="CA6" s="313">
        <v>-0.15475394875782078</v>
      </c>
      <c r="CB6" s="313">
        <v>-0.16347094455797873</v>
      </c>
      <c r="CC6" s="313">
        <v>-0.16344764879121665</v>
      </c>
      <c r="CD6" s="313">
        <v>-0.16343600090783572</v>
      </c>
      <c r="CE6" s="313">
        <v>-0.16343600090783572</v>
      </c>
      <c r="CF6" s="313">
        <v>-0.16214906184276512</v>
      </c>
      <c r="CG6" s="313">
        <v>-0.1613111379277381</v>
      </c>
      <c r="CH6" s="313">
        <v>-0.1613111379277381</v>
      </c>
      <c r="CI6" s="313">
        <v>-0.16071345664098358</v>
      </c>
      <c r="CJ6" s="313">
        <v>-0.16071345664098358</v>
      </c>
      <c r="CK6" s="313">
        <v>-0.15679961065630521</v>
      </c>
      <c r="CL6" s="313">
        <v>-0.15637683576846273</v>
      </c>
      <c r="CM6" s="313">
        <v>-0.15550119550048125</v>
      </c>
      <c r="CN6" s="313">
        <v>-0.15380852509619791</v>
      </c>
      <c r="CO6" s="313">
        <v>-0.1533144820659148</v>
      </c>
      <c r="CP6" s="313">
        <v>-0.1533144820659148</v>
      </c>
      <c r="CQ6" s="313">
        <v>-0.15225970069960981</v>
      </c>
      <c r="CR6" s="313">
        <v>-0.15130083951407114</v>
      </c>
      <c r="CS6" s="313">
        <v>-0.1504419269295646</v>
      </c>
      <c r="CT6" s="313">
        <v>-0.14997290382291351</v>
      </c>
      <c r="CU6" s="313">
        <v>-0.14948012214385875</v>
      </c>
      <c r="CV6" s="313">
        <v>-0.14872483193386699</v>
      </c>
      <c r="CW6" s="313">
        <v>-0.14835633734794629</v>
      </c>
      <c r="CX6" s="313">
        <v>-0.13841117471728592</v>
      </c>
      <c r="CY6" s="313">
        <v>-0.13804268013136523</v>
      </c>
      <c r="CZ6" s="313">
        <v>-0.13777703034080924</v>
      </c>
      <c r="DA6" s="313">
        <v>-0.13707687837660654</v>
      </c>
      <c r="DB6" s="313">
        <v>-0.13648475005802863</v>
      </c>
    </row>
    <row r="8" spans="1:132" x14ac:dyDescent="0.3">
      <c r="B8" s="434" t="s">
        <v>512</v>
      </c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  <c r="Y8" s="434"/>
      <c r="Z8" s="434"/>
      <c r="AA8" s="434"/>
      <c r="AB8" s="434"/>
      <c r="AC8" s="434"/>
      <c r="AD8" s="434"/>
      <c r="AE8" s="434"/>
      <c r="AF8" s="434"/>
      <c r="AG8" s="434"/>
      <c r="AH8" s="434"/>
      <c r="AI8" s="434"/>
      <c r="AJ8" s="434"/>
      <c r="AK8" s="434"/>
      <c r="AL8" s="434"/>
      <c r="AM8" s="434"/>
      <c r="AN8" s="434"/>
      <c r="AO8" s="434"/>
      <c r="AP8" s="434"/>
      <c r="AQ8" s="434"/>
      <c r="AR8" s="434"/>
      <c r="AS8" s="434"/>
      <c r="AT8" s="434"/>
      <c r="AU8" s="434"/>
      <c r="AV8" s="434"/>
      <c r="AW8" s="434"/>
      <c r="AX8" s="434"/>
      <c r="AY8" s="434"/>
      <c r="AZ8" s="434"/>
      <c r="BA8" s="434"/>
      <c r="BB8" s="434"/>
      <c r="BC8" s="434"/>
      <c r="BD8" s="434"/>
      <c r="BE8" s="434"/>
      <c r="BF8" s="434"/>
      <c r="BG8" s="434"/>
      <c r="BH8" s="434"/>
      <c r="BI8" s="434"/>
      <c r="BJ8" s="434"/>
      <c r="BK8" s="434"/>
      <c r="BL8" s="434"/>
      <c r="BM8" s="434"/>
      <c r="BN8" s="434"/>
      <c r="BO8" s="434"/>
      <c r="BP8" s="434"/>
      <c r="BQ8" s="434"/>
      <c r="BR8" s="434"/>
      <c r="BS8" s="434"/>
      <c r="BT8" s="434"/>
      <c r="BU8" s="434"/>
      <c r="BV8" s="434"/>
      <c r="BW8" s="434"/>
      <c r="BX8" s="434"/>
      <c r="BY8" s="434"/>
      <c r="BZ8" s="434"/>
      <c r="CA8" s="434"/>
      <c r="CB8" s="434"/>
      <c r="CC8" s="434"/>
      <c r="CD8" s="434"/>
      <c r="CE8" s="434"/>
      <c r="CF8" s="434"/>
      <c r="CG8" s="434"/>
      <c r="CH8" s="434"/>
      <c r="CI8" s="434"/>
      <c r="CJ8" s="434"/>
    </row>
    <row r="9" spans="1:132" x14ac:dyDescent="0.3">
      <c r="B9" s="428" t="s">
        <v>187</v>
      </c>
      <c r="C9" s="428" t="s">
        <v>188</v>
      </c>
      <c r="D9" s="428" t="s">
        <v>189</v>
      </c>
      <c r="E9" s="428" t="s">
        <v>190</v>
      </c>
      <c r="F9" s="428" t="s">
        <v>194</v>
      </c>
      <c r="G9" s="428" t="s">
        <v>195</v>
      </c>
      <c r="H9" s="428" t="s">
        <v>196</v>
      </c>
      <c r="I9" s="428" t="s">
        <v>197</v>
      </c>
      <c r="J9" s="428" t="s">
        <v>198</v>
      </c>
      <c r="K9" s="428" t="s">
        <v>199</v>
      </c>
      <c r="L9" s="428" t="s">
        <v>200</v>
      </c>
      <c r="M9" s="428" t="s">
        <v>201</v>
      </c>
      <c r="N9" s="428" t="s">
        <v>202</v>
      </c>
      <c r="O9" s="428" t="s">
        <v>203</v>
      </c>
      <c r="P9" s="428" t="s">
        <v>204</v>
      </c>
      <c r="Q9" s="428" t="s">
        <v>205</v>
      </c>
      <c r="R9" s="428" t="s">
        <v>206</v>
      </c>
      <c r="S9" s="428" t="s">
        <v>207</v>
      </c>
      <c r="T9" s="428" t="s">
        <v>336</v>
      </c>
      <c r="U9" s="428" t="s">
        <v>337</v>
      </c>
      <c r="V9" s="428" t="s">
        <v>338</v>
      </c>
      <c r="W9" s="428" t="s">
        <v>339</v>
      </c>
      <c r="X9" s="428" t="s">
        <v>340</v>
      </c>
      <c r="Y9" s="428" t="s">
        <v>341</v>
      </c>
      <c r="Z9" s="428" t="s">
        <v>342</v>
      </c>
      <c r="AA9" s="428" t="s">
        <v>343</v>
      </c>
      <c r="AB9" s="428" t="s">
        <v>344</v>
      </c>
      <c r="AC9" s="428" t="s">
        <v>345</v>
      </c>
      <c r="AD9" s="428" t="s">
        <v>346</v>
      </c>
      <c r="AE9" s="428" t="s">
        <v>347</v>
      </c>
      <c r="AF9" s="428" t="s">
        <v>348</v>
      </c>
      <c r="AG9" s="428" t="s">
        <v>349</v>
      </c>
      <c r="AH9" s="428" t="s">
        <v>350</v>
      </c>
      <c r="AI9" s="428" t="s">
        <v>351</v>
      </c>
      <c r="AJ9" s="428" t="s">
        <v>352</v>
      </c>
      <c r="AK9" s="428" t="s">
        <v>362</v>
      </c>
      <c r="AL9" s="428" t="s">
        <v>363</v>
      </c>
      <c r="AM9" s="428" t="s">
        <v>360</v>
      </c>
      <c r="AN9" s="428" t="s">
        <v>364</v>
      </c>
      <c r="AO9" s="428" t="s">
        <v>365</v>
      </c>
      <c r="AP9" s="428" t="s">
        <v>366</v>
      </c>
      <c r="AQ9" s="428" t="s">
        <v>367</v>
      </c>
      <c r="AR9" s="428" t="s">
        <v>368</v>
      </c>
      <c r="AS9" s="428" t="s">
        <v>369</v>
      </c>
      <c r="AT9" s="428" t="s">
        <v>370</v>
      </c>
      <c r="AU9" s="428" t="s">
        <v>371</v>
      </c>
      <c r="AV9" s="428" t="s">
        <v>372</v>
      </c>
      <c r="AW9" s="428" t="s">
        <v>373</v>
      </c>
      <c r="AX9" s="428" t="s">
        <v>384</v>
      </c>
      <c r="AY9" s="429" t="s">
        <v>395</v>
      </c>
      <c r="AZ9" s="429" t="s">
        <v>396</v>
      </c>
      <c r="BA9" s="429" t="s">
        <v>397</v>
      </c>
      <c r="BB9" s="429" t="s">
        <v>398</v>
      </c>
      <c r="BC9" s="429" t="s">
        <v>399</v>
      </c>
      <c r="BD9" s="429" t="s">
        <v>400</v>
      </c>
      <c r="BE9" s="429" t="s">
        <v>401</v>
      </c>
      <c r="BF9" s="430" t="s">
        <v>402</v>
      </c>
      <c r="BG9" s="429" t="s">
        <v>473</v>
      </c>
      <c r="BH9" s="429" t="s">
        <v>474</v>
      </c>
      <c r="BI9" s="429" t="s">
        <v>475</v>
      </c>
      <c r="BJ9" s="429" t="s">
        <v>476</v>
      </c>
      <c r="BK9" s="429" t="s">
        <v>477</v>
      </c>
      <c r="BL9" s="429" t="s">
        <v>478</v>
      </c>
      <c r="BM9" s="429" t="s">
        <v>479</v>
      </c>
      <c r="BN9" s="429" t="s">
        <v>480</v>
      </c>
      <c r="BO9" s="429" t="s">
        <v>481</v>
      </c>
      <c r="BP9" s="429" t="s">
        <v>482</v>
      </c>
      <c r="BQ9" s="429" t="s">
        <v>483</v>
      </c>
      <c r="BR9" s="429" t="s">
        <v>484</v>
      </c>
      <c r="BS9" s="429" t="s">
        <v>485</v>
      </c>
      <c r="BT9" s="429" t="s">
        <v>486</v>
      </c>
      <c r="BU9" s="429" t="s">
        <v>487</v>
      </c>
      <c r="BV9" s="429" t="s">
        <v>488</v>
      </c>
      <c r="BW9" s="429" t="s">
        <v>489</v>
      </c>
      <c r="BX9" s="429" t="s">
        <v>490</v>
      </c>
      <c r="BY9" s="429" t="s">
        <v>491</v>
      </c>
      <c r="BZ9" s="429" t="s">
        <v>492</v>
      </c>
      <c r="CA9" s="429" t="s">
        <v>493</v>
      </c>
      <c r="CB9" s="429" t="s">
        <v>494</v>
      </c>
      <c r="CC9" s="429" t="s">
        <v>495</v>
      </c>
      <c r="CD9" s="429" t="s">
        <v>496</v>
      </c>
      <c r="CE9" s="429" t="s">
        <v>497</v>
      </c>
      <c r="CF9" s="429" t="s">
        <v>498</v>
      </c>
      <c r="CG9" s="429" t="s">
        <v>499</v>
      </c>
      <c r="CH9" s="429" t="s">
        <v>500</v>
      </c>
      <c r="CI9" s="429" t="s">
        <v>501</v>
      </c>
      <c r="CJ9" s="431" t="s">
        <v>502</v>
      </c>
    </row>
    <row r="10" spans="1:132" ht="19.2" x14ac:dyDescent="0.3">
      <c r="A10" s="427" t="s">
        <v>509</v>
      </c>
      <c r="B10" s="432">
        <v>0</v>
      </c>
      <c r="C10" s="432">
        <v>2.1860362105501886E-2</v>
      </c>
      <c r="D10" s="432">
        <v>4.7601839062014775E-2</v>
      </c>
      <c r="E10" s="432">
        <v>7.7857760367006631E-2</v>
      </c>
      <c r="F10" s="432">
        <v>0.11055051270270631</v>
      </c>
      <c r="G10" s="432">
        <v>0.14451984653034061</v>
      </c>
      <c r="H10" s="432">
        <v>0.17781260909075236</v>
      </c>
      <c r="I10" s="432">
        <v>0.20821040392662593</v>
      </c>
      <c r="J10" s="432">
        <v>0.23406787529719483</v>
      </c>
      <c r="K10" s="432">
        <v>0.26776355032341986</v>
      </c>
      <c r="L10" s="432">
        <v>0.31050096091996099</v>
      </c>
      <c r="M10" s="432">
        <v>0.34904208839573914</v>
      </c>
      <c r="N10" s="432">
        <v>0.37457273040618533</v>
      </c>
      <c r="O10" s="432">
        <v>0.39865776292048355</v>
      </c>
      <c r="P10" s="432">
        <v>0.42530408441107281</v>
      </c>
      <c r="Q10" s="432">
        <v>0.45186805019276127</v>
      </c>
      <c r="R10" s="432">
        <v>0.47995701019325843</v>
      </c>
      <c r="S10" s="432">
        <v>0.5096214300406704</v>
      </c>
      <c r="T10" s="432">
        <v>0.54687557657962549</v>
      </c>
      <c r="U10" s="432">
        <v>0.58510567548611148</v>
      </c>
      <c r="V10" s="432">
        <v>0.62946835941029922</v>
      </c>
      <c r="W10" s="432">
        <v>0.67030687395563981</v>
      </c>
      <c r="X10" s="432">
        <v>0.70872639363203449</v>
      </c>
      <c r="Y10" s="432">
        <v>0.74609315995833059</v>
      </c>
      <c r="Z10" s="432">
        <v>0.78720657294560636</v>
      </c>
      <c r="AA10" s="432">
        <v>0.82831998593288214</v>
      </c>
      <c r="AB10" s="432">
        <v>0.86510186238655096</v>
      </c>
      <c r="AC10" s="432">
        <v>0.90097818042165834</v>
      </c>
      <c r="AD10" s="432">
        <v>0.93407842173686539</v>
      </c>
      <c r="AE10" s="432">
        <v>0.96146192915699391</v>
      </c>
      <c r="AF10" s="432">
        <v>0.97794809175622288</v>
      </c>
      <c r="AG10" s="432">
        <v>0.98509114529702424</v>
      </c>
      <c r="AH10" s="432">
        <v>0.99038538334087012</v>
      </c>
      <c r="AI10" s="432">
        <v>0.99452961465946066</v>
      </c>
      <c r="AJ10" s="432">
        <v>1.0000000000000002</v>
      </c>
      <c r="AK10" s="432">
        <v>1.0000000000000002</v>
      </c>
      <c r="AL10" s="432">
        <v>1.0000000000000002</v>
      </c>
      <c r="AM10" s="432">
        <v>1.0000000000000002</v>
      </c>
      <c r="AN10" s="432">
        <v>1.0000000000000002</v>
      </c>
      <c r="AO10" s="432">
        <v>1.0000000000000002</v>
      </c>
      <c r="AP10" s="432">
        <v>1.0000000000000002</v>
      </c>
      <c r="AQ10" s="432">
        <v>1.0000000000000002</v>
      </c>
      <c r="AR10" s="432">
        <v>1.0000000000000002</v>
      </c>
      <c r="AS10" s="432">
        <v>1.0000000000000002</v>
      </c>
      <c r="AT10" s="432">
        <v>1.0000000000000002</v>
      </c>
      <c r="AU10" s="432">
        <v>1.0000000000000002</v>
      </c>
      <c r="AV10" s="432">
        <v>1.0000000000000002</v>
      </c>
      <c r="AW10" s="432">
        <v>1.0000000000000002</v>
      </c>
      <c r="AX10" s="432">
        <v>1.0000000000000002</v>
      </c>
      <c r="AY10" s="432">
        <v>1.0000000000000002</v>
      </c>
      <c r="AZ10" s="432">
        <v>1.0000000000000002</v>
      </c>
      <c r="BA10" s="432">
        <v>1.0000000000000002</v>
      </c>
      <c r="BB10" s="432">
        <v>1.0000000000000002</v>
      </c>
      <c r="BC10" s="432">
        <v>1.0000000000000002</v>
      </c>
      <c r="BD10" s="432">
        <v>1.0000000000000002</v>
      </c>
      <c r="BE10" s="432">
        <v>1.0000000000000002</v>
      </c>
      <c r="BF10" s="432">
        <v>1.0000000000000002</v>
      </c>
      <c r="BG10" s="432">
        <v>1.0000000000000002</v>
      </c>
      <c r="BH10" s="432">
        <v>1.0000000000000002</v>
      </c>
      <c r="BI10" s="432">
        <v>1.0000000000000002</v>
      </c>
      <c r="BJ10" s="432">
        <v>1.0000000000000002</v>
      </c>
      <c r="BK10" s="432">
        <v>1.0000000000000002</v>
      </c>
      <c r="BL10" s="432">
        <v>1.0000000000000002</v>
      </c>
      <c r="BM10" s="432">
        <v>1.0000000000000002</v>
      </c>
      <c r="BN10" s="432">
        <v>1.0000000000000002</v>
      </c>
      <c r="BO10" s="432">
        <v>1.0000000000000002</v>
      </c>
      <c r="BP10" s="432">
        <v>1.0000000000000002</v>
      </c>
      <c r="BQ10" s="432">
        <v>1.0000000000000002</v>
      </c>
      <c r="BR10" s="432">
        <v>1.0000000000000002</v>
      </c>
      <c r="BS10" s="432">
        <v>1.0000000000000002</v>
      </c>
      <c r="BT10" s="432">
        <v>1.0000000000000002</v>
      </c>
      <c r="BU10" s="432">
        <v>1.0000000000000002</v>
      </c>
      <c r="BV10" s="432">
        <v>1.0000000000000002</v>
      </c>
      <c r="BW10" s="432">
        <v>1.0000000000000002</v>
      </c>
      <c r="BX10" s="432">
        <v>1.0000000000000002</v>
      </c>
      <c r="BY10" s="432">
        <v>1.0000000000000002</v>
      </c>
      <c r="BZ10" s="432">
        <v>1.0000000000000002</v>
      </c>
      <c r="CA10" s="432">
        <v>1.0000000000000002</v>
      </c>
      <c r="CB10" s="432">
        <v>1.0000000000000002</v>
      </c>
      <c r="CC10" s="432">
        <v>1.0000000000000002</v>
      </c>
      <c r="CD10" s="432">
        <v>1.0000000000000002</v>
      </c>
      <c r="CE10" s="432">
        <v>1.0000000000000002</v>
      </c>
      <c r="CF10" s="432">
        <v>1.0000000000000002</v>
      </c>
      <c r="CG10" s="432">
        <v>1.0000000000000002</v>
      </c>
      <c r="CH10" s="432">
        <v>1.0000000000000002</v>
      </c>
      <c r="CI10" s="432">
        <v>1.0000000000000002</v>
      </c>
      <c r="CJ10" s="432">
        <v>1.0000000000000002</v>
      </c>
    </row>
    <row r="11" spans="1:132" ht="19.2" x14ac:dyDescent="0.3">
      <c r="A11" s="427" t="s">
        <v>230</v>
      </c>
      <c r="B11" s="432">
        <v>0</v>
      </c>
      <c r="C11" s="432">
        <v>6.4094548875466603E-2</v>
      </c>
      <c r="D11" s="432">
        <v>0.10235533218768098</v>
      </c>
      <c r="E11" s="432">
        <v>0.13146626920190052</v>
      </c>
      <c r="F11" s="432">
        <v>0.17883461778899412</v>
      </c>
      <c r="G11" s="432">
        <v>0.20908910701625444</v>
      </c>
      <c r="H11" s="432">
        <v>0.31333235028057671</v>
      </c>
      <c r="I11" s="432">
        <v>0.35438262121807473</v>
      </c>
      <c r="J11" s="432">
        <v>0.38658474947173488</v>
      </c>
      <c r="K11" s="432">
        <v>0.41422290163339587</v>
      </c>
      <c r="L11" s="432">
        <v>0.42979411462287836</v>
      </c>
      <c r="M11" s="432">
        <v>0.44390113735710368</v>
      </c>
      <c r="N11" s="432">
        <v>0.46533225340257373</v>
      </c>
      <c r="O11" s="432">
        <v>0.4733804478536715</v>
      </c>
      <c r="P11" s="432">
        <v>0.49750883554724357</v>
      </c>
      <c r="Q11" s="432">
        <v>0.51666679178292407</v>
      </c>
      <c r="R11" s="432">
        <v>0.54031007332414593</v>
      </c>
      <c r="S11" s="432">
        <v>0.55322933172217859</v>
      </c>
      <c r="T11" s="432">
        <v>0.57247904041258846</v>
      </c>
      <c r="U11" s="432">
        <v>0.59057430007195111</v>
      </c>
      <c r="V11" s="432">
        <v>0.61037207018897099</v>
      </c>
      <c r="W11" s="432">
        <v>0.62986519202151792</v>
      </c>
      <c r="X11" s="432">
        <v>0.64574520618269327</v>
      </c>
      <c r="Y11" s="432">
        <v>0.64758975889058901</v>
      </c>
      <c r="Z11" s="432">
        <v>0.65998105621028769</v>
      </c>
      <c r="AA11" s="432">
        <v>0.66573995168740352</v>
      </c>
      <c r="AB11" s="432">
        <v>0.66697235865993831</v>
      </c>
      <c r="AC11" s="432">
        <v>0.68537368847599567</v>
      </c>
      <c r="AD11" s="432">
        <v>0.70439989204253095</v>
      </c>
      <c r="AE11" s="432">
        <v>0.70795675576094441</v>
      </c>
      <c r="AF11" s="432">
        <v>0.71793004029153129</v>
      </c>
      <c r="AG11" s="432">
        <v>0.72126427150884664</v>
      </c>
      <c r="AH11" s="432">
        <v>0.72487920198370381</v>
      </c>
      <c r="AI11" s="432">
        <v>0.7265963368409708</v>
      </c>
      <c r="AJ11" s="432">
        <v>0.7273204337193937</v>
      </c>
      <c r="AK11" s="432">
        <v>0.72739284340723598</v>
      </c>
      <c r="AL11" s="432">
        <v>0.72742904825115706</v>
      </c>
      <c r="AM11" s="432">
        <v>0.72742904825115706</v>
      </c>
      <c r="AN11" s="432">
        <v>0.72967657918904583</v>
      </c>
      <c r="AO11" s="432">
        <v>0.73089080395971273</v>
      </c>
      <c r="AP11" s="432">
        <v>0.73089080395971273</v>
      </c>
      <c r="AQ11" s="432">
        <v>0.73196488099604007</v>
      </c>
      <c r="AR11" s="432">
        <v>0.73196488099604007</v>
      </c>
      <c r="AS11" s="432">
        <v>0.73783698375147944</v>
      </c>
      <c r="AT11" s="432">
        <v>0.74062044655546411</v>
      </c>
      <c r="AU11" s="432">
        <v>0.74448095166634642</v>
      </c>
      <c r="AV11" s="432">
        <v>0.74875182039318955</v>
      </c>
      <c r="AW11" s="432">
        <v>0.7502021096038578</v>
      </c>
      <c r="AX11" s="432">
        <v>0.7502021096038578</v>
      </c>
      <c r="AY11" s="432">
        <v>0.75482660968830906</v>
      </c>
      <c r="AZ11" s="432">
        <v>0.7572419093716527</v>
      </c>
      <c r="BA11" s="432">
        <v>0.75848810380643683</v>
      </c>
      <c r="BB11" s="432">
        <v>0.75925264376422996</v>
      </c>
      <c r="BC11" s="432">
        <v>0.75985604664128981</v>
      </c>
      <c r="BD11" s="432">
        <v>0.76089489734017268</v>
      </c>
      <c r="BE11" s="432">
        <v>0.76137762299830836</v>
      </c>
      <c r="BF11" s="432">
        <v>0.78029938319267145</v>
      </c>
      <c r="BG11" s="432">
        <v>0.78078210885080723</v>
      </c>
      <c r="BH11" s="432">
        <v>0.78114415449294561</v>
      </c>
      <c r="BI11" s="432">
        <v>0.78268983123180569</v>
      </c>
      <c r="BJ11" s="432">
        <v>0.78400540230155191</v>
      </c>
    </row>
    <row r="12" spans="1:132" ht="19.2" x14ac:dyDescent="0.3">
      <c r="A12" s="427" t="s">
        <v>510</v>
      </c>
      <c r="B12" s="432">
        <v>0</v>
      </c>
      <c r="C12" s="432">
        <v>4.2234186769964717E-2</v>
      </c>
      <c r="D12" s="432">
        <v>5.47534931256662E-2</v>
      </c>
      <c r="E12" s="432">
        <v>5.3608508834893889E-2</v>
      </c>
      <c r="F12" s="432">
        <v>6.8284105086287808E-2</v>
      </c>
      <c r="G12" s="432">
        <v>6.4569260485913826E-2</v>
      </c>
      <c r="H12" s="432">
        <v>0.13551974118982435</v>
      </c>
      <c r="I12" s="432">
        <v>0.1461722172914488</v>
      </c>
      <c r="J12" s="432">
        <v>0.15251687417454005</v>
      </c>
      <c r="K12" s="432">
        <v>0.146459351309976</v>
      </c>
      <c r="L12" s="432">
        <v>0.11929315370291738</v>
      </c>
      <c r="M12" s="432">
        <v>9.4859048961364545E-2</v>
      </c>
      <c r="N12" s="432">
        <v>9.0759522996388398E-2</v>
      </c>
      <c r="O12" s="432">
        <v>7.4722684933187955E-2</v>
      </c>
      <c r="P12" s="432">
        <v>7.2204751136170753E-2</v>
      </c>
      <c r="Q12" s="432">
        <v>6.4798741590162801E-2</v>
      </c>
      <c r="R12" s="432">
        <v>6.0353063130887508E-2</v>
      </c>
      <c r="S12" s="432">
        <v>4.3607901681508188E-2</v>
      </c>
      <c r="T12" s="432">
        <v>2.5603463832962969E-2</v>
      </c>
      <c r="U12" s="432">
        <v>5.4686245858396321E-3</v>
      </c>
      <c r="V12" s="432">
        <v>-1.9096289221328222E-2</v>
      </c>
      <c r="W12" s="432">
        <v>-4.0441681934121898E-2</v>
      </c>
      <c r="X12" s="432">
        <v>-6.2981187449341225E-2</v>
      </c>
      <c r="Y12" s="432">
        <v>-9.8503401067741581E-2</v>
      </c>
      <c r="Z12" s="432">
        <v>-0.12722551673531868</v>
      </c>
      <c r="AA12" s="432">
        <v>-0.16258003424547862</v>
      </c>
      <c r="AB12" s="432">
        <v>-0.19812950372661264</v>
      </c>
      <c r="AC12" s="432">
        <v>-0.21560449194566267</v>
      </c>
      <c r="AD12" s="432">
        <v>-0.22967852969433444</v>
      </c>
      <c r="AE12" s="432">
        <v>-0.2535051733960495</v>
      </c>
      <c r="AF12" s="432">
        <v>-0.26001805146469159</v>
      </c>
      <c r="AG12" s="432">
        <v>-0.2638268737881776</v>
      </c>
      <c r="AH12" s="432">
        <v>-0.2655061813571663</v>
      </c>
      <c r="AI12" s="432">
        <v>-0.26793327781848986</v>
      </c>
      <c r="AJ12" s="432">
        <v>-0.27267956628060652</v>
      </c>
      <c r="AK12" s="432">
        <v>-0.27260715659276424</v>
      </c>
      <c r="AL12" s="432">
        <v>-0.27257095174884316</v>
      </c>
      <c r="AM12" s="432">
        <v>-0.27257095174884316</v>
      </c>
      <c r="AN12" s="432">
        <v>-0.2703234208109544</v>
      </c>
      <c r="AO12" s="432">
        <v>-0.26910919604028749</v>
      </c>
      <c r="AP12" s="432">
        <v>-0.26910919604028749</v>
      </c>
      <c r="AQ12" s="432">
        <v>-0.26803511900396015</v>
      </c>
      <c r="AR12" s="432">
        <v>-0.26803511900396015</v>
      </c>
      <c r="AS12" s="432">
        <v>-0.26216301624852079</v>
      </c>
      <c r="AT12" s="432">
        <v>-0.25937955344453612</v>
      </c>
      <c r="AU12" s="432">
        <v>-0.2555190483336538</v>
      </c>
      <c r="AV12" s="432">
        <v>-0.25124817960681067</v>
      </c>
      <c r="AW12" s="432">
        <v>-0.24979789039614242</v>
      </c>
      <c r="AX12" s="432">
        <v>-0.24979789039614242</v>
      </c>
      <c r="AY12" s="432">
        <v>-0.24517339031169116</v>
      </c>
      <c r="AZ12" s="432">
        <v>-0.24275809062834752</v>
      </c>
      <c r="BA12" s="432">
        <v>-0.24151189619356339</v>
      </c>
      <c r="BB12" s="432">
        <v>-0.24074735623577026</v>
      </c>
      <c r="BC12" s="432">
        <v>-0.24014395335871042</v>
      </c>
      <c r="BD12" s="432">
        <v>-0.23910510265982754</v>
      </c>
      <c r="BE12" s="432">
        <v>-0.23862237700169187</v>
      </c>
      <c r="BF12" s="432">
        <v>-0.21970061680732877</v>
      </c>
      <c r="BG12" s="432">
        <v>-0.21921789114919299</v>
      </c>
      <c r="BH12" s="432">
        <v>-0.21885584550705461</v>
      </c>
      <c r="BI12" s="432">
        <v>-0.21731016876819453</v>
      </c>
      <c r="BJ12" s="432">
        <v>-0.21599459769844831</v>
      </c>
    </row>
    <row r="14" spans="1:132" x14ac:dyDescent="0.3">
      <c r="B14" s="434" t="s">
        <v>513</v>
      </c>
      <c r="C14" s="434"/>
      <c r="D14" s="434"/>
      <c r="E14" s="434"/>
      <c r="F14" s="434"/>
      <c r="G14" s="434"/>
      <c r="H14" s="434"/>
      <c r="I14" s="434"/>
      <c r="J14" s="434"/>
      <c r="K14" s="434"/>
      <c r="L14" s="434"/>
      <c r="M14" s="434"/>
      <c r="N14" s="434"/>
      <c r="O14" s="434"/>
      <c r="P14" s="434"/>
      <c r="Q14" s="434"/>
      <c r="R14" s="434"/>
      <c r="S14" s="434"/>
      <c r="T14" s="434"/>
      <c r="U14" s="434"/>
      <c r="V14" s="434"/>
      <c r="W14" s="434"/>
      <c r="X14" s="434"/>
      <c r="Y14" s="434"/>
      <c r="Z14" s="434"/>
      <c r="AA14" s="434"/>
      <c r="AB14" s="434"/>
      <c r="AC14" s="434"/>
      <c r="AD14" s="434"/>
      <c r="AE14" s="434"/>
      <c r="AF14" s="434"/>
      <c r="AG14" s="434"/>
      <c r="AH14" s="434"/>
      <c r="AI14" s="434"/>
      <c r="AJ14" s="434"/>
      <c r="AK14" s="434"/>
      <c r="AL14" s="434"/>
      <c r="AM14" s="434"/>
      <c r="AN14" s="434"/>
      <c r="AO14" s="434"/>
      <c r="AP14" s="434"/>
      <c r="AQ14" s="434"/>
      <c r="AR14" s="434"/>
      <c r="AS14" s="434"/>
      <c r="AT14" s="434"/>
      <c r="AU14" s="434"/>
      <c r="AV14" s="434"/>
      <c r="AW14" s="434"/>
      <c r="AX14" s="434"/>
      <c r="AY14" s="434"/>
      <c r="AZ14" s="434"/>
      <c r="BA14" s="434"/>
      <c r="BB14" s="434"/>
      <c r="BC14" s="434"/>
      <c r="BD14" s="434"/>
      <c r="BE14" s="434"/>
      <c r="BF14" s="434"/>
      <c r="BG14" s="434"/>
      <c r="BH14" s="434"/>
      <c r="BI14" s="434"/>
      <c r="BJ14" s="434"/>
      <c r="BK14" s="434"/>
      <c r="BL14" s="434"/>
      <c r="BM14" s="434"/>
      <c r="BN14" s="434"/>
      <c r="BO14" s="434"/>
      <c r="BP14" s="434"/>
      <c r="BQ14" s="434"/>
      <c r="BR14" s="434"/>
      <c r="BS14" s="434"/>
      <c r="BT14" s="434"/>
      <c r="BU14" s="434"/>
      <c r="BV14" s="434"/>
      <c r="BW14" s="434"/>
      <c r="BX14" s="434"/>
      <c r="BY14" s="434"/>
      <c r="BZ14" s="434"/>
      <c r="CA14" s="434"/>
      <c r="CB14" s="434"/>
      <c r="CC14" s="434"/>
      <c r="CD14" s="434"/>
      <c r="CE14" s="434"/>
      <c r="CF14" s="434"/>
      <c r="CG14" s="434"/>
      <c r="CH14" s="434"/>
      <c r="CI14" s="434"/>
      <c r="CJ14" s="434"/>
    </row>
    <row r="15" spans="1:132" x14ac:dyDescent="0.3">
      <c r="B15" s="428" t="s">
        <v>187</v>
      </c>
      <c r="C15" s="428" t="s">
        <v>188</v>
      </c>
      <c r="D15" s="428" t="s">
        <v>189</v>
      </c>
      <c r="E15" s="428" t="s">
        <v>190</v>
      </c>
      <c r="F15" s="428" t="s">
        <v>194</v>
      </c>
      <c r="G15" s="428" t="s">
        <v>195</v>
      </c>
      <c r="H15" s="428" t="s">
        <v>196</v>
      </c>
      <c r="I15" s="428" t="s">
        <v>197</v>
      </c>
      <c r="J15" s="428" t="s">
        <v>198</v>
      </c>
      <c r="K15" s="428" t="s">
        <v>199</v>
      </c>
      <c r="L15" s="428" t="s">
        <v>200</v>
      </c>
      <c r="M15" s="428" t="s">
        <v>201</v>
      </c>
      <c r="N15" s="428" t="s">
        <v>202</v>
      </c>
      <c r="O15" s="428" t="s">
        <v>203</v>
      </c>
      <c r="P15" s="428" t="s">
        <v>204</v>
      </c>
      <c r="Q15" s="428" t="s">
        <v>205</v>
      </c>
      <c r="R15" s="428" t="s">
        <v>206</v>
      </c>
      <c r="S15" s="428" t="s">
        <v>207</v>
      </c>
      <c r="T15" s="428" t="s">
        <v>336</v>
      </c>
      <c r="U15" s="428" t="s">
        <v>337</v>
      </c>
      <c r="V15" s="428" t="s">
        <v>338</v>
      </c>
      <c r="W15" s="428" t="s">
        <v>339</v>
      </c>
      <c r="X15" s="428" t="s">
        <v>340</v>
      </c>
      <c r="Y15" s="428" t="s">
        <v>341</v>
      </c>
      <c r="Z15" s="428" t="s">
        <v>342</v>
      </c>
      <c r="AA15" s="428" t="s">
        <v>343</v>
      </c>
      <c r="AB15" s="428" t="s">
        <v>344</v>
      </c>
      <c r="AC15" s="428" t="s">
        <v>345</v>
      </c>
      <c r="AD15" s="428" t="s">
        <v>346</v>
      </c>
      <c r="AE15" s="428" t="s">
        <v>347</v>
      </c>
      <c r="AF15" s="428" t="s">
        <v>348</v>
      </c>
      <c r="AG15" s="428" t="s">
        <v>349</v>
      </c>
      <c r="AH15" s="428" t="s">
        <v>350</v>
      </c>
      <c r="AI15" s="428" t="s">
        <v>351</v>
      </c>
      <c r="AJ15" s="428" t="s">
        <v>352</v>
      </c>
      <c r="AK15" s="428" t="s">
        <v>362</v>
      </c>
      <c r="AL15" s="428" t="s">
        <v>363</v>
      </c>
      <c r="AM15" s="428" t="s">
        <v>360</v>
      </c>
      <c r="AN15" s="428" t="s">
        <v>364</v>
      </c>
      <c r="AO15" s="428" t="s">
        <v>365</v>
      </c>
      <c r="AP15" s="428" t="s">
        <v>366</v>
      </c>
      <c r="AQ15" s="428" t="s">
        <v>367</v>
      </c>
      <c r="AR15" s="428" t="s">
        <v>368</v>
      </c>
      <c r="AS15" s="428" t="s">
        <v>369</v>
      </c>
      <c r="AT15" s="428" t="s">
        <v>370</v>
      </c>
      <c r="AU15" s="428" t="s">
        <v>371</v>
      </c>
      <c r="AV15" s="428" t="s">
        <v>372</v>
      </c>
      <c r="AW15" s="428" t="s">
        <v>373</v>
      </c>
      <c r="AX15" s="428" t="s">
        <v>384</v>
      </c>
      <c r="AY15" s="429" t="s">
        <v>395</v>
      </c>
      <c r="AZ15" s="429" t="s">
        <v>396</v>
      </c>
      <c r="BA15" s="429" t="s">
        <v>397</v>
      </c>
      <c r="BB15" s="429" t="s">
        <v>398</v>
      </c>
      <c r="BC15" s="429" t="s">
        <v>399</v>
      </c>
      <c r="BD15" s="429" t="s">
        <v>400</v>
      </c>
      <c r="BE15" s="429" t="s">
        <v>401</v>
      </c>
      <c r="BF15" s="430" t="s">
        <v>402</v>
      </c>
      <c r="BG15" s="429" t="s">
        <v>473</v>
      </c>
      <c r="BH15" s="429" t="s">
        <v>474</v>
      </c>
      <c r="BI15" s="429" t="s">
        <v>475</v>
      </c>
      <c r="BJ15" s="429" t="s">
        <v>476</v>
      </c>
      <c r="BK15" s="429" t="s">
        <v>477</v>
      </c>
      <c r="BL15" s="429" t="s">
        <v>478</v>
      </c>
      <c r="BM15" s="429" t="s">
        <v>479</v>
      </c>
      <c r="BN15" s="429" t="s">
        <v>480</v>
      </c>
      <c r="BO15" s="429" t="s">
        <v>481</v>
      </c>
      <c r="BP15" s="429" t="s">
        <v>482</v>
      </c>
      <c r="BQ15" s="429" t="s">
        <v>483</v>
      </c>
      <c r="BR15" s="429" t="s">
        <v>484</v>
      </c>
      <c r="BS15" s="429" t="s">
        <v>485</v>
      </c>
      <c r="BT15" s="429" t="s">
        <v>486</v>
      </c>
      <c r="BU15" s="429" t="s">
        <v>487</v>
      </c>
      <c r="BV15" s="429" t="s">
        <v>488</v>
      </c>
      <c r="BW15" s="429" t="s">
        <v>489</v>
      </c>
      <c r="BX15" s="429" t="s">
        <v>490</v>
      </c>
      <c r="BY15" s="429" t="s">
        <v>491</v>
      </c>
      <c r="BZ15" s="429" t="s">
        <v>492</v>
      </c>
      <c r="CA15" s="429" t="s">
        <v>493</v>
      </c>
      <c r="CB15" s="429" t="s">
        <v>494</v>
      </c>
      <c r="CC15" s="429" t="s">
        <v>495</v>
      </c>
      <c r="CD15" s="429" t="s">
        <v>496</v>
      </c>
      <c r="CE15" s="429" t="s">
        <v>497</v>
      </c>
      <c r="CF15" s="429" t="s">
        <v>498</v>
      </c>
      <c r="CG15" s="429" t="s">
        <v>499</v>
      </c>
      <c r="CH15" s="429" t="s">
        <v>500</v>
      </c>
      <c r="CI15" s="429" t="s">
        <v>501</v>
      </c>
      <c r="CJ15" s="431" t="s">
        <v>502</v>
      </c>
    </row>
    <row r="16" spans="1:132" ht="19.2" x14ac:dyDescent="0.3">
      <c r="A16" s="427" t="s">
        <v>509</v>
      </c>
      <c r="B16" s="432">
        <v>0</v>
      </c>
      <c r="C16" s="432">
        <v>2.5282318234624394E-2</v>
      </c>
      <c r="D16" s="432">
        <v>5.5583628044109809E-2</v>
      </c>
      <c r="E16" s="432">
        <v>9.1135947854721788E-2</v>
      </c>
      <c r="F16" s="432">
        <v>0.12881163395070261</v>
      </c>
      <c r="G16" s="432">
        <v>0.1681432900052908</v>
      </c>
      <c r="H16" s="432">
        <v>0.20659949452220083</v>
      </c>
      <c r="I16" s="432">
        <v>0.24130974636751762</v>
      </c>
      <c r="J16" s="432">
        <v>0.27014503226050457</v>
      </c>
      <c r="K16" s="432">
        <v>0.30911343474105862</v>
      </c>
      <c r="L16" s="432">
        <v>0.36093341502978438</v>
      </c>
      <c r="M16" s="432">
        <v>0.40732360146148494</v>
      </c>
      <c r="N16" s="432">
        <v>0.436878828948916</v>
      </c>
      <c r="O16" s="432">
        <v>0.46456350544253927</v>
      </c>
      <c r="P16" s="432">
        <v>0.49513337463185192</v>
      </c>
      <c r="Q16" s="432">
        <v>0.52277838931376452</v>
      </c>
      <c r="R16" s="432">
        <v>0.55184231886872603</v>
      </c>
      <c r="S16" s="432">
        <v>0.58243093717304328</v>
      </c>
      <c r="T16" s="432">
        <v>0.62400961016677725</v>
      </c>
      <c r="U16" s="432">
        <v>0.66558828316051111</v>
      </c>
      <c r="V16" s="432">
        <v>0.70818341532048223</v>
      </c>
      <c r="W16" s="432">
        <v>0.74928824095308755</v>
      </c>
      <c r="X16" s="432">
        <v>0.78557941794615382</v>
      </c>
      <c r="Y16" s="432">
        <v>0.81674447196328637</v>
      </c>
      <c r="Z16" s="432">
        <v>0.84790952598041913</v>
      </c>
      <c r="AA16" s="432">
        <v>0.87907457999755201</v>
      </c>
      <c r="AB16" s="432">
        <v>0.90314151991006808</v>
      </c>
      <c r="AC16" s="432">
        <v>0.9321710136017497</v>
      </c>
      <c r="AD16" s="432">
        <v>0.96029285060493197</v>
      </c>
      <c r="AE16" s="432">
        <v>0.98499455711842243</v>
      </c>
      <c r="AF16" s="432">
        <v>0.99731197226169488</v>
      </c>
      <c r="AG16" s="432">
        <v>0.99949177041688153</v>
      </c>
      <c r="AH16" s="432">
        <v>1.0000000000000002</v>
      </c>
      <c r="AI16" s="432">
        <v>1.0000000000000002</v>
      </c>
      <c r="AJ16" s="432">
        <v>1.0000000000000002</v>
      </c>
      <c r="AK16" s="432">
        <v>1.0000000000000002</v>
      </c>
      <c r="AL16" s="432">
        <v>1.0000000000000002</v>
      </c>
      <c r="AM16" s="432">
        <v>1.0000000000000002</v>
      </c>
      <c r="AN16" s="432">
        <v>1.0000000000000002</v>
      </c>
      <c r="AO16" s="432">
        <v>1.0000000000000002</v>
      </c>
      <c r="AP16" s="432">
        <v>1.0000000000000002</v>
      </c>
      <c r="AQ16" s="432">
        <v>1.0000000000000002</v>
      </c>
      <c r="AR16" s="432">
        <v>1.0000000000000002</v>
      </c>
      <c r="AS16" s="432">
        <v>1.0000000000000002</v>
      </c>
      <c r="AT16" s="432">
        <v>1.0000000000000002</v>
      </c>
      <c r="AU16" s="432">
        <v>1.0000000000000002</v>
      </c>
      <c r="AV16" s="432">
        <v>1.0000000000000002</v>
      </c>
      <c r="AW16" s="432">
        <v>1.0000000000000002</v>
      </c>
      <c r="AX16" s="432">
        <v>1.0000000000000002</v>
      </c>
      <c r="AY16" s="432">
        <v>1.0000000000000002</v>
      </c>
      <c r="AZ16" s="432">
        <v>1.0000000000000002</v>
      </c>
      <c r="BA16" s="432">
        <v>1.0000000000000002</v>
      </c>
      <c r="BB16" s="432">
        <v>1.0000000000000002</v>
      </c>
      <c r="BC16" s="432">
        <v>1.0000000000000002</v>
      </c>
      <c r="BD16" s="432">
        <v>1.0000000000000002</v>
      </c>
      <c r="BE16" s="432">
        <v>1.0000000000000002</v>
      </c>
      <c r="BF16" s="432">
        <v>1.0000000000000002</v>
      </c>
      <c r="BG16" s="432">
        <v>1.0000000000000002</v>
      </c>
      <c r="BH16" s="432">
        <v>1.0000000000000002</v>
      </c>
      <c r="BI16" s="432">
        <v>1.0000000000000002</v>
      </c>
      <c r="BJ16" s="432">
        <v>1.0000000000000002</v>
      </c>
      <c r="BK16" s="432">
        <v>1.0000000000000002</v>
      </c>
      <c r="BL16" s="432">
        <v>1.0000000000000002</v>
      </c>
      <c r="BM16" s="432">
        <v>1.0000000000000002</v>
      </c>
      <c r="BN16" s="432">
        <v>1.0000000000000002</v>
      </c>
      <c r="BO16" s="432">
        <v>1.0000000000000002</v>
      </c>
      <c r="BP16" s="432">
        <v>1.0000000000000002</v>
      </c>
      <c r="BQ16" s="432">
        <v>1.0000000000000002</v>
      </c>
      <c r="BR16" s="432">
        <v>1.0000000000000002</v>
      </c>
      <c r="BS16" s="432">
        <v>1.0000000000000002</v>
      </c>
      <c r="BT16" s="432">
        <v>1.0000000000000002</v>
      </c>
      <c r="BU16" s="432">
        <v>1.0000000000000002</v>
      </c>
      <c r="BV16" s="432">
        <v>1.0000000000000002</v>
      </c>
      <c r="BW16" s="432">
        <v>1.0000000000000002</v>
      </c>
      <c r="BX16" s="432">
        <v>1.0000000000000002</v>
      </c>
      <c r="BY16" s="432">
        <v>1.0000000000000002</v>
      </c>
      <c r="BZ16" s="432">
        <v>1.0000000000000002</v>
      </c>
      <c r="CA16" s="432">
        <v>1.0000000000000002</v>
      </c>
      <c r="CB16" s="432">
        <v>1.0000000000000002</v>
      </c>
      <c r="CC16" s="432">
        <v>1.0000000000000002</v>
      </c>
      <c r="CD16" s="432">
        <v>1.0000000000000002</v>
      </c>
      <c r="CE16" s="432">
        <v>1.0000000000000002</v>
      </c>
      <c r="CF16" s="432">
        <v>1.0000000000000002</v>
      </c>
      <c r="CG16" s="432">
        <v>1.0000000000000002</v>
      </c>
      <c r="CH16" s="432">
        <v>1.0000000000000002</v>
      </c>
      <c r="CI16" s="432">
        <v>1.0000000000000002</v>
      </c>
      <c r="CJ16" s="432">
        <v>1.0000000000000002</v>
      </c>
    </row>
    <row r="17" spans="1:88" ht="19.2" x14ac:dyDescent="0.3">
      <c r="A17" s="427" t="s">
        <v>230</v>
      </c>
      <c r="B17" s="432">
        <v>0</v>
      </c>
      <c r="C17" s="432">
        <v>8.08701945310773E-2</v>
      </c>
      <c r="D17" s="432">
        <v>0.12581393398292939</v>
      </c>
      <c r="E17" s="432">
        <v>0.15479973032542577</v>
      </c>
      <c r="F17" s="432">
        <v>0.20587010599124519</v>
      </c>
      <c r="G17" s="432">
        <v>0.23698768013147462</v>
      </c>
      <c r="H17" s="432">
        <v>0.36531350655976202</v>
      </c>
      <c r="I17" s="432">
        <v>0.41554218687127831</v>
      </c>
      <c r="J17" s="432">
        <v>0.4546649697618762</v>
      </c>
      <c r="K17" s="432">
        <v>0.48922625759205796</v>
      </c>
      <c r="L17" s="432">
        <v>0.50858532668640044</v>
      </c>
      <c r="M17" s="432">
        <v>0.52660320609302425</v>
      </c>
      <c r="N17" s="432">
        <v>0.54887209851902818</v>
      </c>
      <c r="O17" s="432">
        <v>0.55872245520306496</v>
      </c>
      <c r="P17" s="432">
        <v>0.58768563409806485</v>
      </c>
      <c r="Q17" s="432">
        <v>0.60755366713570558</v>
      </c>
      <c r="R17" s="432">
        <v>0.63501553315235137</v>
      </c>
      <c r="S17" s="432">
        <v>0.65087445794147181</v>
      </c>
      <c r="T17" s="432">
        <v>0.67047868711639536</v>
      </c>
      <c r="U17" s="432">
        <v>0.687826026117353</v>
      </c>
      <c r="V17" s="432">
        <v>0.69870687896218853</v>
      </c>
      <c r="W17" s="432">
        <v>0.71052625444399253</v>
      </c>
      <c r="X17" s="432">
        <v>0.71863911968354177</v>
      </c>
      <c r="Y17" s="432">
        <v>0.71901389866476906</v>
      </c>
      <c r="Z17" s="432">
        <v>0.73406880449813894</v>
      </c>
      <c r="AA17" s="432">
        <v>0.7383570038274081</v>
      </c>
      <c r="AB17" s="432">
        <v>0.73890027151526771</v>
      </c>
      <c r="AC17" s="432">
        <v>0.76211013718847997</v>
      </c>
      <c r="AD17" s="432">
        <v>0.77140500744683993</v>
      </c>
      <c r="AE17" s="432">
        <v>0.77435697073394283</v>
      </c>
      <c r="AF17" s="432">
        <v>0.78086495454124094</v>
      </c>
      <c r="AG17" s="432">
        <v>0.78279403527107005</v>
      </c>
      <c r="AH17" s="432">
        <v>0.78730751901138585</v>
      </c>
      <c r="AI17" s="432">
        <v>0.78952941110764097</v>
      </c>
      <c r="AJ17" s="432">
        <v>0.79046635856070913</v>
      </c>
      <c r="AK17" s="432">
        <v>0.79056005330601598</v>
      </c>
      <c r="AL17" s="432">
        <v>0.79060690067866934</v>
      </c>
      <c r="AM17" s="432">
        <v>0.79060690067866934</v>
      </c>
      <c r="AN17" s="432">
        <v>0.79265274267610286</v>
      </c>
      <c r="AO17" s="432">
        <v>0.79374584803801573</v>
      </c>
      <c r="AP17" s="432">
        <v>0.79374584803801573</v>
      </c>
      <c r="AQ17" s="432">
        <v>0.79513565342673354</v>
      </c>
      <c r="AR17" s="432">
        <v>0.79513565342673354</v>
      </c>
      <c r="AS17" s="432">
        <v>0.79810558156420897</v>
      </c>
      <c r="AT17" s="432">
        <v>0.8015354823715779</v>
      </c>
      <c r="AU17" s="432">
        <v>0.80605848854085971</v>
      </c>
      <c r="AV17" s="432">
        <v>0.81116581870873272</v>
      </c>
      <c r="AW17" s="432">
        <v>0.81298909233817052</v>
      </c>
      <c r="AX17" s="432">
        <v>0.81298909233817052</v>
      </c>
      <c r="AY17" s="432">
        <v>0.8185006722273136</v>
      </c>
      <c r="AZ17" s="432">
        <v>0.82120698294446659</v>
      </c>
      <c r="BA17" s="432">
        <v>0.8224900317958026</v>
      </c>
      <c r="BB17" s="432">
        <v>0.82314984230856347</v>
      </c>
      <c r="BC17" s="432">
        <v>0.82330600021740818</v>
      </c>
      <c r="BD17" s="432">
        <v>0.82418176150634326</v>
      </c>
      <c r="BE17" s="432">
        <v>0.82449407732403257</v>
      </c>
      <c r="BF17" s="432">
        <v>0.83433569782519501</v>
      </c>
      <c r="BG17" s="432">
        <v>0.83464801364288443</v>
      </c>
      <c r="BH17" s="432">
        <v>0.83496032946057386</v>
      </c>
      <c r="BI17" s="432">
        <v>0.83652405558839538</v>
      </c>
      <c r="BJ17" s="432">
        <v>0.83791403436868117</v>
      </c>
    </row>
    <row r="18" spans="1:88" ht="19.2" x14ac:dyDescent="0.3">
      <c r="A18" s="427" t="s">
        <v>510</v>
      </c>
      <c r="B18" s="432">
        <v>0</v>
      </c>
      <c r="C18" s="432">
        <v>5.5587876296452905E-2</v>
      </c>
      <c r="D18" s="432">
        <v>7.0230305938819584E-2</v>
      </c>
      <c r="E18" s="432">
        <v>6.3663782470703978E-2</v>
      </c>
      <c r="F18" s="432">
        <v>7.7058472040542586E-2</v>
      </c>
      <c r="G18" s="432">
        <v>6.8844390126183819E-2</v>
      </c>
      <c r="H18" s="432">
        <v>0.15871401203756119</v>
      </c>
      <c r="I18" s="432">
        <v>0.17423244050376069</v>
      </c>
      <c r="J18" s="432">
        <v>0.18451993750137163</v>
      </c>
      <c r="K18" s="432">
        <v>0.18011282285099933</v>
      </c>
      <c r="L18" s="432">
        <v>0.14765191165661606</v>
      </c>
      <c r="M18" s="432">
        <v>0.1192796046315393</v>
      </c>
      <c r="N18" s="432">
        <v>0.11199326957011219</v>
      </c>
      <c r="O18" s="432">
        <v>9.415894976052569E-2</v>
      </c>
      <c r="P18" s="432">
        <v>9.2552259466212927E-2</v>
      </c>
      <c r="Q18" s="432">
        <v>8.4775277821941053E-2</v>
      </c>
      <c r="R18" s="432">
        <v>8.3173214283625341E-2</v>
      </c>
      <c r="S18" s="432">
        <v>6.8443520768428523E-2</v>
      </c>
      <c r="T18" s="432">
        <v>4.6469076949618104E-2</v>
      </c>
      <c r="U18" s="432">
        <v>2.2237742956841888E-2</v>
      </c>
      <c r="V18" s="432">
        <v>-9.4765363582937079E-3</v>
      </c>
      <c r="W18" s="432">
        <v>-3.8761986509095014E-2</v>
      </c>
      <c r="X18" s="432">
        <v>-6.6940298262612052E-2</v>
      </c>
      <c r="Y18" s="432">
        <v>-9.7730573298517309E-2</v>
      </c>
      <c r="Z18" s="432">
        <v>-0.11384072148228019</v>
      </c>
      <c r="AA18" s="432">
        <v>-0.14071757617014391</v>
      </c>
      <c r="AB18" s="432">
        <v>-0.16424124839480037</v>
      </c>
      <c r="AC18" s="432">
        <v>-0.17006087641326972</v>
      </c>
      <c r="AD18" s="432">
        <v>-0.18888784315809204</v>
      </c>
      <c r="AE18" s="432">
        <v>-0.2106375863844796</v>
      </c>
      <c r="AF18" s="432">
        <v>-0.21644701772045394</v>
      </c>
      <c r="AG18" s="432">
        <v>-0.21669773514581148</v>
      </c>
      <c r="AH18" s="432">
        <v>-0.21269248098861437</v>
      </c>
      <c r="AI18" s="432">
        <v>-0.21047058889235926</v>
      </c>
      <c r="AJ18" s="432">
        <v>-0.2095336414392911</v>
      </c>
      <c r="AK18" s="432">
        <v>-0.20943994669398425</v>
      </c>
      <c r="AL18" s="432">
        <v>-0.20939309932133088</v>
      </c>
      <c r="AM18" s="432">
        <v>-0.20939309932133088</v>
      </c>
      <c r="AN18" s="432">
        <v>-0.20734725732389736</v>
      </c>
      <c r="AO18" s="432">
        <v>-0.20625415196198449</v>
      </c>
      <c r="AP18" s="432">
        <v>-0.20625415196198449</v>
      </c>
      <c r="AQ18" s="432">
        <v>-0.20486434657326669</v>
      </c>
      <c r="AR18" s="432">
        <v>-0.20486434657326669</v>
      </c>
      <c r="AS18" s="432">
        <v>-0.20189441843579126</v>
      </c>
      <c r="AT18" s="432">
        <v>-0.19846451762842232</v>
      </c>
      <c r="AU18" s="432">
        <v>-0.19394151145914051</v>
      </c>
      <c r="AV18" s="432">
        <v>-0.1888341812912675</v>
      </c>
      <c r="AW18" s="432">
        <v>-0.18701090766182971</v>
      </c>
      <c r="AX18" s="432">
        <v>-0.18701090766182971</v>
      </c>
      <c r="AY18" s="432">
        <v>-0.18149932777268662</v>
      </c>
      <c r="AZ18" s="432">
        <v>-0.17879301705553363</v>
      </c>
      <c r="BA18" s="432">
        <v>-0.17750996820419762</v>
      </c>
      <c r="BB18" s="432">
        <v>-0.17685015769143675</v>
      </c>
      <c r="BC18" s="432">
        <v>-0.17669399978259204</v>
      </c>
      <c r="BD18" s="432">
        <v>-0.17581823849365696</v>
      </c>
      <c r="BE18" s="432">
        <v>-0.17550592267596765</v>
      </c>
      <c r="BF18" s="432">
        <v>-0.16566430217480521</v>
      </c>
      <c r="BG18" s="432">
        <v>-0.16535198635711579</v>
      </c>
      <c r="BH18" s="432">
        <v>-0.16503967053942636</v>
      </c>
      <c r="BI18" s="432">
        <v>-0.16347594441160485</v>
      </c>
      <c r="BJ18" s="432">
        <v>-0.16208596563131905</v>
      </c>
    </row>
    <row r="20" spans="1:88" x14ac:dyDescent="0.3">
      <c r="B20" s="434" t="s">
        <v>514</v>
      </c>
      <c r="C20" s="434"/>
      <c r="D20" s="434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4"/>
      <c r="S20" s="434"/>
      <c r="T20" s="434"/>
      <c r="U20" s="434"/>
      <c r="V20" s="434"/>
      <c r="W20" s="434"/>
      <c r="X20" s="434"/>
      <c r="Y20" s="434"/>
      <c r="Z20" s="434"/>
      <c r="AA20" s="434"/>
      <c r="AB20" s="434"/>
      <c r="AC20" s="434"/>
      <c r="AD20" s="434"/>
      <c r="AE20" s="434"/>
      <c r="AF20" s="434"/>
      <c r="AG20" s="434"/>
      <c r="AH20" s="434"/>
      <c r="AI20" s="434"/>
      <c r="AJ20" s="434"/>
      <c r="AK20" s="434"/>
      <c r="AL20" s="434"/>
      <c r="AM20" s="434"/>
      <c r="AN20" s="434"/>
      <c r="AO20" s="434"/>
      <c r="AP20" s="434"/>
      <c r="AQ20" s="434"/>
      <c r="AR20" s="434"/>
      <c r="AS20" s="434"/>
      <c r="AT20" s="434"/>
      <c r="AU20" s="434"/>
      <c r="AV20" s="434"/>
      <c r="AW20" s="434"/>
      <c r="AX20" s="434"/>
      <c r="AY20" s="434"/>
      <c r="AZ20" s="434"/>
      <c r="BA20" s="434"/>
      <c r="BB20" s="434"/>
      <c r="BC20" s="434"/>
      <c r="BD20" s="434"/>
      <c r="BE20" s="434"/>
      <c r="BF20" s="434"/>
      <c r="BG20" s="434"/>
      <c r="BH20" s="434"/>
      <c r="BI20" s="434"/>
      <c r="BJ20" s="434"/>
      <c r="BK20" s="434"/>
      <c r="BL20" s="434"/>
      <c r="BM20" s="434"/>
      <c r="BN20" s="434"/>
      <c r="BO20" s="434"/>
      <c r="BP20" s="434"/>
      <c r="BQ20" s="434"/>
      <c r="BR20" s="434"/>
      <c r="BS20" s="434"/>
      <c r="BT20" s="434"/>
      <c r="BU20" s="434"/>
      <c r="BV20" s="434"/>
      <c r="BW20" s="434"/>
      <c r="BX20" s="434"/>
      <c r="BY20" s="434"/>
      <c r="BZ20" s="434"/>
      <c r="CA20" s="434"/>
      <c r="CB20" s="434"/>
      <c r="CC20" s="434"/>
      <c r="CD20" s="434"/>
      <c r="CE20" s="434"/>
      <c r="CF20" s="434"/>
      <c r="CG20" s="434"/>
      <c r="CH20" s="434"/>
      <c r="CI20" s="434"/>
      <c r="CJ20" s="434"/>
    </row>
    <row r="21" spans="1:88" x14ac:dyDescent="0.3">
      <c r="B21" s="428" t="s">
        <v>187</v>
      </c>
      <c r="C21" s="428" t="s">
        <v>188</v>
      </c>
      <c r="D21" s="428" t="s">
        <v>189</v>
      </c>
      <c r="E21" s="428" t="s">
        <v>190</v>
      </c>
      <c r="F21" s="428" t="s">
        <v>194</v>
      </c>
      <c r="G21" s="428" t="s">
        <v>195</v>
      </c>
      <c r="H21" s="428" t="s">
        <v>196</v>
      </c>
      <c r="I21" s="428" t="s">
        <v>197</v>
      </c>
      <c r="J21" s="428" t="s">
        <v>198</v>
      </c>
      <c r="K21" s="428" t="s">
        <v>199</v>
      </c>
      <c r="L21" s="428" t="s">
        <v>200</v>
      </c>
      <c r="M21" s="428" t="s">
        <v>201</v>
      </c>
      <c r="N21" s="428" t="s">
        <v>202</v>
      </c>
      <c r="O21" s="428" t="s">
        <v>203</v>
      </c>
      <c r="P21" s="428" t="s">
        <v>204</v>
      </c>
      <c r="Q21" s="428" t="s">
        <v>205</v>
      </c>
      <c r="R21" s="428" t="s">
        <v>206</v>
      </c>
      <c r="S21" s="428" t="s">
        <v>207</v>
      </c>
      <c r="T21" s="428" t="s">
        <v>336</v>
      </c>
      <c r="U21" s="428" t="s">
        <v>337</v>
      </c>
      <c r="V21" s="428" t="s">
        <v>338</v>
      </c>
      <c r="W21" s="428" t="s">
        <v>339</v>
      </c>
      <c r="X21" s="428" t="s">
        <v>340</v>
      </c>
      <c r="Y21" s="428" t="s">
        <v>341</v>
      </c>
      <c r="Z21" s="428" t="s">
        <v>342</v>
      </c>
      <c r="AA21" s="428" t="s">
        <v>343</v>
      </c>
      <c r="AB21" s="428" t="s">
        <v>344</v>
      </c>
      <c r="AC21" s="428" t="s">
        <v>345</v>
      </c>
      <c r="AD21" s="428" t="s">
        <v>346</v>
      </c>
      <c r="AE21" s="428" t="s">
        <v>347</v>
      </c>
      <c r="AF21" s="428" t="s">
        <v>348</v>
      </c>
      <c r="AG21" s="428" t="s">
        <v>349</v>
      </c>
      <c r="AH21" s="428" t="s">
        <v>350</v>
      </c>
      <c r="AI21" s="428" t="s">
        <v>351</v>
      </c>
      <c r="AJ21" s="428" t="s">
        <v>352</v>
      </c>
      <c r="AK21" s="428" t="s">
        <v>362</v>
      </c>
      <c r="AL21" s="428" t="s">
        <v>363</v>
      </c>
      <c r="AM21" s="428" t="s">
        <v>360</v>
      </c>
      <c r="AN21" s="428" t="s">
        <v>364</v>
      </c>
      <c r="AO21" s="428" t="s">
        <v>365</v>
      </c>
      <c r="AP21" s="428" t="s">
        <v>366</v>
      </c>
      <c r="AQ21" s="428" t="s">
        <v>367</v>
      </c>
      <c r="AR21" s="428" t="s">
        <v>368</v>
      </c>
      <c r="AS21" s="428" t="s">
        <v>369</v>
      </c>
      <c r="AT21" s="428" t="s">
        <v>370</v>
      </c>
      <c r="AU21" s="428" t="s">
        <v>371</v>
      </c>
      <c r="AV21" s="428" t="s">
        <v>372</v>
      </c>
      <c r="AW21" s="428" t="s">
        <v>373</v>
      </c>
      <c r="AX21" s="428" t="s">
        <v>384</v>
      </c>
      <c r="AY21" s="429" t="s">
        <v>395</v>
      </c>
      <c r="AZ21" s="429" t="s">
        <v>396</v>
      </c>
      <c r="BA21" s="429" t="s">
        <v>397</v>
      </c>
      <c r="BB21" s="429" t="s">
        <v>398</v>
      </c>
      <c r="BC21" s="429" t="s">
        <v>399</v>
      </c>
      <c r="BD21" s="429" t="s">
        <v>400</v>
      </c>
      <c r="BE21" s="429" t="s">
        <v>401</v>
      </c>
      <c r="BF21" s="430" t="s">
        <v>402</v>
      </c>
      <c r="BG21" s="429" t="s">
        <v>473</v>
      </c>
      <c r="BH21" s="429" t="s">
        <v>474</v>
      </c>
      <c r="BI21" s="429" t="s">
        <v>475</v>
      </c>
      <c r="BJ21" s="429" t="s">
        <v>476</v>
      </c>
      <c r="BK21" s="429" t="s">
        <v>477</v>
      </c>
      <c r="BL21" s="429" t="s">
        <v>478</v>
      </c>
      <c r="BM21" s="429" t="s">
        <v>479</v>
      </c>
      <c r="BN21" s="429" t="s">
        <v>480</v>
      </c>
      <c r="BO21" s="429" t="s">
        <v>481</v>
      </c>
      <c r="BP21" s="429" t="s">
        <v>482</v>
      </c>
      <c r="BQ21" s="429" t="s">
        <v>483</v>
      </c>
      <c r="BR21" s="429" t="s">
        <v>484</v>
      </c>
      <c r="BS21" s="429" t="s">
        <v>485</v>
      </c>
      <c r="BT21" s="429" t="s">
        <v>486</v>
      </c>
      <c r="BU21" s="429" t="s">
        <v>487</v>
      </c>
      <c r="BV21" s="429" t="s">
        <v>488</v>
      </c>
      <c r="BW21" s="429" t="s">
        <v>489</v>
      </c>
      <c r="BX21" s="429" t="s">
        <v>490</v>
      </c>
      <c r="BY21" s="429" t="s">
        <v>491</v>
      </c>
      <c r="BZ21" s="429" t="s">
        <v>492</v>
      </c>
      <c r="CA21" s="429" t="s">
        <v>493</v>
      </c>
      <c r="CB21" s="429" t="s">
        <v>494</v>
      </c>
      <c r="CC21" s="429" t="s">
        <v>495</v>
      </c>
      <c r="CD21" s="429" t="s">
        <v>496</v>
      </c>
      <c r="CE21" s="429" t="s">
        <v>497</v>
      </c>
      <c r="CF21" s="429" t="s">
        <v>498</v>
      </c>
      <c r="CG21" s="429" t="s">
        <v>499</v>
      </c>
      <c r="CH21" s="429" t="s">
        <v>500</v>
      </c>
      <c r="CI21" s="429" t="s">
        <v>501</v>
      </c>
      <c r="CJ21" s="431" t="s">
        <v>502</v>
      </c>
    </row>
    <row r="22" spans="1:88" ht="19.2" x14ac:dyDescent="0.3">
      <c r="A22" s="427" t="s">
        <v>509</v>
      </c>
      <c r="B22" s="432">
        <v>0</v>
      </c>
      <c r="C22" s="432">
        <v>1.0219201374189874E-2</v>
      </c>
      <c r="D22" s="432">
        <v>2.0448572053939334E-2</v>
      </c>
      <c r="E22" s="432">
        <v>3.2686662628642088E-2</v>
      </c>
      <c r="F22" s="432">
        <v>4.8427960700143366E-2</v>
      </c>
      <c r="G22" s="432">
        <v>6.4155197732379973E-2</v>
      </c>
      <c r="H22" s="432">
        <v>7.9882434764616567E-2</v>
      </c>
      <c r="I22" s="432">
        <v>9.5609671796853174E-2</v>
      </c>
      <c r="J22" s="432">
        <v>0.1113369088290898</v>
      </c>
      <c r="K22" s="432">
        <v>0.1270952797309671</v>
      </c>
      <c r="L22" s="432">
        <v>0.13893467479182178</v>
      </c>
      <c r="M22" s="432">
        <v>0.15077406985267644</v>
      </c>
      <c r="N22" s="432">
        <v>0.16261346491353112</v>
      </c>
      <c r="O22" s="432">
        <v>0.17445285997438575</v>
      </c>
      <c r="P22" s="432">
        <v>0.18775165517464812</v>
      </c>
      <c r="Q22" s="432">
        <v>0.21063799811984957</v>
      </c>
      <c r="R22" s="432">
        <v>0.23541020686364214</v>
      </c>
      <c r="S22" s="432">
        <v>0.26193059377243694</v>
      </c>
      <c r="T22" s="432">
        <v>0.28447312343283143</v>
      </c>
      <c r="U22" s="432">
        <v>0.31131170015158111</v>
      </c>
      <c r="V22" s="432">
        <v>0.36168742264544707</v>
      </c>
      <c r="W22" s="432">
        <v>0.40161997286675838</v>
      </c>
      <c r="X22" s="432">
        <v>0.44727990660254979</v>
      </c>
      <c r="Y22" s="432">
        <v>0.50574429285036171</v>
      </c>
      <c r="Z22" s="432">
        <v>0.58070105198653199</v>
      </c>
      <c r="AA22" s="432">
        <v>0.65565781112270238</v>
      </c>
      <c r="AB22" s="432">
        <v>0.7356946605739203</v>
      </c>
      <c r="AC22" s="432">
        <v>0.7948632067011856</v>
      </c>
      <c r="AD22" s="432">
        <v>0.84489949353974603</v>
      </c>
      <c r="AE22" s="432">
        <v>0.88140622587145701</v>
      </c>
      <c r="AF22" s="432">
        <v>0.91207406040096894</v>
      </c>
      <c r="AG22" s="432">
        <v>0.93610162429617627</v>
      </c>
      <c r="AH22" s="432">
        <v>0.95767739595717871</v>
      </c>
      <c r="AI22" s="432">
        <v>0.97591989769977405</v>
      </c>
      <c r="AJ22" s="432">
        <v>1</v>
      </c>
      <c r="AK22" s="432">
        <v>1</v>
      </c>
      <c r="AL22" s="432">
        <v>1</v>
      </c>
      <c r="AM22" s="432">
        <v>1</v>
      </c>
      <c r="AN22" s="432">
        <v>1</v>
      </c>
      <c r="AO22" s="432">
        <v>1</v>
      </c>
      <c r="AP22" s="432">
        <v>1</v>
      </c>
      <c r="AQ22" s="432">
        <v>1</v>
      </c>
      <c r="AR22" s="432">
        <v>1</v>
      </c>
      <c r="AS22" s="432">
        <v>1</v>
      </c>
      <c r="AT22" s="432">
        <v>1</v>
      </c>
      <c r="AU22" s="432">
        <v>1</v>
      </c>
      <c r="AV22" s="432">
        <v>1</v>
      </c>
      <c r="AW22" s="432">
        <v>1</v>
      </c>
      <c r="AX22" s="432">
        <v>1</v>
      </c>
      <c r="AY22" s="432">
        <v>1</v>
      </c>
      <c r="AZ22" s="432">
        <v>1</v>
      </c>
      <c r="BA22" s="432">
        <v>1</v>
      </c>
      <c r="BB22" s="432">
        <v>1</v>
      </c>
      <c r="BC22" s="432">
        <v>1</v>
      </c>
      <c r="BD22" s="432">
        <v>1</v>
      </c>
      <c r="BE22" s="432">
        <v>1</v>
      </c>
      <c r="BF22" s="432">
        <v>1</v>
      </c>
      <c r="BG22" s="432">
        <v>1</v>
      </c>
      <c r="BH22" s="432">
        <v>1</v>
      </c>
      <c r="BI22" s="432">
        <v>1</v>
      </c>
      <c r="BJ22" s="432">
        <v>1</v>
      </c>
      <c r="BK22" s="432">
        <v>1</v>
      </c>
      <c r="BL22" s="432">
        <v>1</v>
      </c>
      <c r="BM22" s="432">
        <v>1</v>
      </c>
      <c r="BN22" s="432">
        <v>1</v>
      </c>
      <c r="BO22" s="432">
        <v>1</v>
      </c>
      <c r="BP22" s="432">
        <v>1</v>
      </c>
      <c r="BQ22" s="432">
        <v>1</v>
      </c>
      <c r="BR22" s="432">
        <v>1</v>
      </c>
      <c r="BS22" s="432">
        <v>1</v>
      </c>
      <c r="BT22" s="432">
        <v>1</v>
      </c>
      <c r="BU22" s="432">
        <v>1</v>
      </c>
      <c r="BV22" s="432">
        <v>1</v>
      </c>
      <c r="BW22" s="432">
        <v>1</v>
      </c>
      <c r="BX22" s="432">
        <v>1</v>
      </c>
      <c r="BY22" s="432">
        <v>1</v>
      </c>
      <c r="BZ22" s="432">
        <v>1</v>
      </c>
      <c r="CA22" s="432">
        <v>1</v>
      </c>
      <c r="CB22" s="432">
        <v>1</v>
      </c>
      <c r="CC22" s="432">
        <v>1</v>
      </c>
      <c r="CD22" s="432">
        <v>1</v>
      </c>
      <c r="CE22" s="432">
        <v>1</v>
      </c>
      <c r="CF22" s="432">
        <v>1</v>
      </c>
      <c r="CG22" s="432">
        <v>1</v>
      </c>
      <c r="CH22" s="432">
        <v>1</v>
      </c>
      <c r="CI22" s="432">
        <v>1</v>
      </c>
      <c r="CJ22" s="432">
        <v>1</v>
      </c>
    </row>
    <row r="23" spans="1:88" ht="19.2" x14ac:dyDescent="0.3">
      <c r="A23" s="427" t="s">
        <v>230</v>
      </c>
      <c r="B23" s="432">
        <v>0</v>
      </c>
      <c r="C23" s="432">
        <v>7.025439839700531E-3</v>
      </c>
      <c r="D23" s="432">
        <v>2.2551458693733265E-2</v>
      </c>
      <c r="E23" s="432">
        <v>5.2088112058070762E-2</v>
      </c>
      <c r="F23" s="432">
        <v>8.6862525881258479E-2</v>
      </c>
      <c r="G23" s="432">
        <v>0.11418088448102881</v>
      </c>
      <c r="H23" s="432">
        <v>0.13649753054236549</v>
      </c>
      <c r="I23" s="432">
        <v>0.14632374870156964</v>
      </c>
      <c r="J23" s="432">
        <v>0.15498248541118015</v>
      </c>
      <c r="K23" s="432">
        <v>0.1590688058015215</v>
      </c>
      <c r="L23" s="432">
        <v>0.16175410205803156</v>
      </c>
      <c r="M23" s="432">
        <v>0.16255677213470576</v>
      </c>
      <c r="N23" s="432">
        <v>0.18113785470964372</v>
      </c>
      <c r="O23" s="432">
        <v>0.18305526915482639</v>
      </c>
      <c r="P23" s="432">
        <v>0.19073616910910138</v>
      </c>
      <c r="Q23" s="432">
        <v>0.20747851337569603</v>
      </c>
      <c r="R23" s="432">
        <v>0.21813134326670858</v>
      </c>
      <c r="S23" s="432">
        <v>0.22105014354552383</v>
      </c>
      <c r="T23" s="432">
        <v>0.23909380815265552</v>
      </c>
      <c r="U23" s="432">
        <v>0.25973342088675944</v>
      </c>
      <c r="V23" s="432">
        <v>0.30986567317609404</v>
      </c>
      <c r="W23" s="432">
        <v>0.35546413105315217</v>
      </c>
      <c r="X23" s="432">
        <v>0.39776722768788086</v>
      </c>
      <c r="Y23" s="432">
        <v>0.40461180714807549</v>
      </c>
      <c r="Z23" s="432">
        <v>0.40794176830129086</v>
      </c>
      <c r="AA23" s="432">
        <v>0.4187038285175162</v>
      </c>
      <c r="AB23" s="432">
        <v>0.42228062006906192</v>
      </c>
      <c r="AC23" s="432">
        <v>0.42432378026423256</v>
      </c>
      <c r="AD23" s="432">
        <v>0.47645502986170213</v>
      </c>
      <c r="AE23" s="432">
        <v>0.48206970580260383</v>
      </c>
      <c r="AF23" s="432">
        <v>0.50383160514295466</v>
      </c>
      <c r="AG23" s="432">
        <v>0.51194602116079924</v>
      </c>
      <c r="AH23" s="432">
        <v>0.51250416113509245</v>
      </c>
      <c r="AI23" s="432">
        <v>0.51250416113509245</v>
      </c>
      <c r="AJ23" s="432">
        <v>0.51250416113509245</v>
      </c>
      <c r="AK23" s="432">
        <v>0.51250416113509245</v>
      </c>
      <c r="AL23" s="432">
        <v>0.51250416113509245</v>
      </c>
      <c r="AM23" s="432">
        <v>0.51250416113509245</v>
      </c>
      <c r="AN23" s="432">
        <v>0.51543781816138556</v>
      </c>
      <c r="AO23" s="432">
        <v>0.51706407933806831</v>
      </c>
      <c r="AP23" s="432">
        <v>0.51706407933806831</v>
      </c>
      <c r="AQ23" s="432">
        <v>0.51706407933806831</v>
      </c>
      <c r="AR23" s="432">
        <v>0.51706407933806831</v>
      </c>
      <c r="AS23" s="432">
        <v>0.53280909686016076</v>
      </c>
      <c r="AT23" s="432">
        <v>0.53339344067597949</v>
      </c>
      <c r="AU23" s="432">
        <v>0.53500018185346188</v>
      </c>
      <c r="AV23" s="432">
        <v>0.53642549040561294</v>
      </c>
      <c r="AW23" s="432">
        <v>0.53660692303094404</v>
      </c>
      <c r="AX23" s="432">
        <v>0.53660692303094404</v>
      </c>
      <c r="AY23" s="432">
        <v>0.53821366420842631</v>
      </c>
      <c r="AZ23" s="432">
        <v>0.53963897276057737</v>
      </c>
      <c r="BA23" s="432">
        <v>0.54075979206764235</v>
      </c>
      <c r="BB23" s="432">
        <v>0.54188061137470744</v>
      </c>
      <c r="BC23" s="432">
        <v>0.54400549797768494</v>
      </c>
      <c r="BD23" s="432">
        <v>0.54559916292991806</v>
      </c>
      <c r="BE23" s="432">
        <v>0.5466616062314068</v>
      </c>
      <c r="BF23" s="432">
        <v>0.59647311534210745</v>
      </c>
      <c r="BG23" s="432">
        <v>0.5975355586435962</v>
      </c>
      <c r="BH23" s="432">
        <v>0.59806678029434057</v>
      </c>
      <c r="BI23" s="432">
        <v>0.59955105477376958</v>
      </c>
      <c r="BJ23" s="432">
        <v>0.60061349807525832</v>
      </c>
      <c r="BK23">
        <v>0.51250416113509245</v>
      </c>
      <c r="BL23">
        <v>0.51250416113509245</v>
      </c>
      <c r="BM23">
        <v>0.51250416113509245</v>
      </c>
      <c r="BN23">
        <v>0.51250416113509245</v>
      </c>
      <c r="BO23">
        <v>0.51250416113509245</v>
      </c>
      <c r="BP23">
        <v>0.51250416113509245</v>
      </c>
      <c r="BQ23">
        <v>0.51250416113509245</v>
      </c>
      <c r="BR23">
        <v>0.51250416113509245</v>
      </c>
      <c r="BS23">
        <v>0.51250416113509245</v>
      </c>
      <c r="BT23">
        <v>0.51250416113509245</v>
      </c>
      <c r="BU23">
        <v>0.51250416113509245</v>
      </c>
      <c r="BV23">
        <v>0.51250416113509245</v>
      </c>
      <c r="BW23">
        <v>0.51250416113509245</v>
      </c>
      <c r="BX23">
        <v>0.51250416113509245</v>
      </c>
      <c r="BY23">
        <v>0.51250416113509245</v>
      </c>
      <c r="BZ23">
        <v>0.51250416113509245</v>
      </c>
      <c r="CA23">
        <v>0.51250416113509245</v>
      </c>
      <c r="CB23">
        <v>0.51250416113509245</v>
      </c>
      <c r="CC23">
        <v>0.51250416113509245</v>
      </c>
      <c r="CD23">
        <v>0.51250416113509245</v>
      </c>
      <c r="CE23">
        <v>0.51250416113509245</v>
      </c>
      <c r="CF23">
        <v>0.51250416113509245</v>
      </c>
      <c r="CG23">
        <v>0.51250416113509245</v>
      </c>
      <c r="CH23">
        <v>0.51250416113509245</v>
      </c>
      <c r="CI23">
        <v>0.51250416113509245</v>
      </c>
      <c r="CJ23">
        <v>0.54559916292991806</v>
      </c>
    </row>
    <row r="24" spans="1:88" ht="19.2" x14ac:dyDescent="0.3">
      <c r="A24" s="427" t="s">
        <v>510</v>
      </c>
      <c r="B24" s="432">
        <v>0</v>
      </c>
      <c r="C24" s="432">
        <v>-3.1937615344893432E-3</v>
      </c>
      <c r="D24" s="432">
        <v>2.1028866397939314E-3</v>
      </c>
      <c r="E24" s="432">
        <v>1.9401449429428674E-2</v>
      </c>
      <c r="F24" s="432">
        <v>3.8434565181115113E-2</v>
      </c>
      <c r="G24" s="432">
        <v>5.0025686748648837E-2</v>
      </c>
      <c r="H24" s="432">
        <v>5.6615095777748925E-2</v>
      </c>
      <c r="I24" s="432">
        <v>5.0714076904716465E-2</v>
      </c>
      <c r="J24" s="432">
        <v>4.3645576582090354E-2</v>
      </c>
      <c r="K24" s="432">
        <v>3.1973526070554398E-2</v>
      </c>
      <c r="L24" s="432">
        <v>2.281942726620978E-2</v>
      </c>
      <c r="M24" s="432">
        <v>1.1782702282029323E-2</v>
      </c>
      <c r="N24" s="432">
        <v>1.8524389796112595E-2</v>
      </c>
      <c r="O24" s="432">
        <v>8.60240918044064E-3</v>
      </c>
      <c r="P24" s="432">
        <v>2.984513934453259E-3</v>
      </c>
      <c r="Q24" s="432">
        <v>-3.1594847441535345E-3</v>
      </c>
      <c r="R24" s="432">
        <v>-1.7278863596933564E-2</v>
      </c>
      <c r="S24" s="432">
        <v>-4.0880450226913112E-2</v>
      </c>
      <c r="T24" s="432">
        <v>-4.5379315280175914E-2</v>
      </c>
      <c r="U24" s="432">
        <v>-5.1578279264821669E-2</v>
      </c>
      <c r="V24" s="432">
        <v>-5.1821749469353029E-2</v>
      </c>
      <c r="W24" s="432">
        <v>-4.6155841813606213E-2</v>
      </c>
      <c r="X24" s="432">
        <v>-4.9512678914668928E-2</v>
      </c>
      <c r="Y24" s="432">
        <v>-0.10113248570228622</v>
      </c>
      <c r="Z24" s="432">
        <v>-0.17275928368524113</v>
      </c>
      <c r="AA24" s="432">
        <v>-0.23695398260518619</v>
      </c>
      <c r="AB24" s="432">
        <v>-0.31341404050485838</v>
      </c>
      <c r="AC24" s="432">
        <v>-0.37053942643695303</v>
      </c>
      <c r="AD24" s="432">
        <v>-0.3684444636780439</v>
      </c>
      <c r="AE24" s="432">
        <v>-0.39933652006885317</v>
      </c>
      <c r="AF24" s="432">
        <v>-0.40824245525801428</v>
      </c>
      <c r="AG24" s="432">
        <v>-0.42415560313537704</v>
      </c>
      <c r="AH24" s="432">
        <v>-0.44517323482208626</v>
      </c>
      <c r="AI24" s="432">
        <v>-0.4634157365646816</v>
      </c>
      <c r="AJ24" s="432">
        <v>-0.48749583886490755</v>
      </c>
      <c r="AK24" s="432">
        <v>-0.48749583886490755</v>
      </c>
      <c r="AL24" s="432">
        <v>-0.48749583886490755</v>
      </c>
      <c r="AM24" s="432">
        <v>-0.48749583886490755</v>
      </c>
      <c r="AN24" s="432">
        <v>-0.48456218183861444</v>
      </c>
      <c r="AO24" s="432">
        <v>-0.48293592066193169</v>
      </c>
      <c r="AP24" s="432">
        <v>-0.48293592066193169</v>
      </c>
      <c r="AQ24" s="432">
        <v>-0.48293592066193169</v>
      </c>
      <c r="AR24" s="432">
        <v>-0.48293592066193169</v>
      </c>
      <c r="AS24" s="432">
        <v>-0.46719090313983924</v>
      </c>
      <c r="AT24" s="432">
        <v>-0.46660655932402051</v>
      </c>
      <c r="AU24" s="432">
        <v>-0.46499981814653812</v>
      </c>
      <c r="AV24" s="432">
        <v>-0.46357450959438706</v>
      </c>
      <c r="AW24" s="432">
        <v>-0.46339307696905596</v>
      </c>
      <c r="AX24" s="432">
        <v>-0.46339307696905596</v>
      </c>
      <c r="AY24" s="432">
        <v>-0.46178633579157369</v>
      </c>
      <c r="AZ24" s="432">
        <v>-0.46036102723942263</v>
      </c>
      <c r="BA24" s="432">
        <v>-0.45924020793235765</v>
      </c>
      <c r="BB24" s="432">
        <v>-0.45811938862529256</v>
      </c>
      <c r="BC24" s="432">
        <v>-0.45599450202231506</v>
      </c>
      <c r="BD24" s="432">
        <v>-0.45440083707008194</v>
      </c>
      <c r="BE24" s="432">
        <v>-0.4533383937685932</v>
      </c>
      <c r="BF24" s="432">
        <v>-0.40352688465789255</v>
      </c>
      <c r="BG24" s="432">
        <v>-0.4024644413564038</v>
      </c>
      <c r="BH24" s="432">
        <v>-0.40193321970565943</v>
      </c>
      <c r="BI24" s="432">
        <v>-0.40044894522623042</v>
      </c>
      <c r="BJ24" s="432">
        <v>-0.39938650192474168</v>
      </c>
      <c r="BK24">
        <v>-0.48749583886490755</v>
      </c>
      <c r="BL24">
        <v>-0.48749583886490755</v>
      </c>
      <c r="BM24">
        <v>-0.48749583886490755</v>
      </c>
      <c r="BN24">
        <v>-0.48749583886490755</v>
      </c>
      <c r="BO24">
        <v>-0.48749583886490755</v>
      </c>
      <c r="BP24">
        <v>-0.48749583886490755</v>
      </c>
      <c r="BQ24">
        <v>-0.48749583886490755</v>
      </c>
      <c r="BR24">
        <v>-0.48749583886490755</v>
      </c>
      <c r="BS24">
        <v>-0.48749583886490755</v>
      </c>
      <c r="BT24">
        <v>-0.48749583886490755</v>
      </c>
      <c r="BU24">
        <v>-0.48749583886490755</v>
      </c>
      <c r="BV24">
        <v>-0.48749583886490755</v>
      </c>
      <c r="BW24">
        <v>-0.48749583886490755</v>
      </c>
      <c r="BX24">
        <v>-0.48749583886490755</v>
      </c>
      <c r="BY24">
        <v>-0.48749583886490755</v>
      </c>
      <c r="BZ24">
        <v>-0.48749583886490755</v>
      </c>
      <c r="CA24">
        <v>-0.48749583886490755</v>
      </c>
      <c r="CB24">
        <v>-0.48749583886490755</v>
      </c>
      <c r="CC24">
        <v>-0.48749583886490755</v>
      </c>
      <c r="CD24">
        <v>-0.48749583886490755</v>
      </c>
      <c r="CE24">
        <v>-0.48749583886490755</v>
      </c>
      <c r="CF24">
        <v>-0.48749583886490755</v>
      </c>
      <c r="CG24">
        <v>-0.48749583886490755</v>
      </c>
      <c r="CH24">
        <v>-0.48749583886490755</v>
      </c>
      <c r="CI24">
        <v>-0.48749583886490755</v>
      </c>
      <c r="CJ24">
        <v>-0.45440083707008194</v>
      </c>
    </row>
  </sheetData>
  <mergeCells count="1">
    <mergeCell ref="B1:EB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D140-E146-472F-9CF9-E1AB62EAEA56}">
  <sheetPr>
    <tabColor theme="9" tint="0.79998168889431442"/>
  </sheetPr>
  <dimension ref="A1:T55"/>
  <sheetViews>
    <sheetView showGridLines="0" topLeftCell="B1" zoomScale="180" zoomScaleNormal="180" workbookViewId="0">
      <selection activeCell="N16" sqref="N16"/>
    </sheetView>
  </sheetViews>
  <sheetFormatPr baseColWidth="10" defaultColWidth="11.5546875" defaultRowHeight="14.4" x14ac:dyDescent="0.3"/>
  <cols>
    <col min="2" max="2" width="2.6640625" customWidth="1"/>
    <col min="3" max="6" width="12.6640625" customWidth="1"/>
    <col min="7" max="8" width="2.6640625" customWidth="1"/>
    <col min="9" max="12" width="12.6640625" customWidth="1"/>
    <col min="13" max="13" width="2.6640625" customWidth="1"/>
    <col min="18" max="19" width="11.5546875" customWidth="1"/>
  </cols>
  <sheetData>
    <row r="1" spans="1:20" ht="15" customHeight="1" x14ac:dyDescent="0.3">
      <c r="A1" s="471" t="s">
        <v>233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</row>
    <row r="3" spans="1:20" x14ac:dyDescent="0.3">
      <c r="B3" s="91"/>
      <c r="C3" s="89"/>
      <c r="D3" s="89"/>
      <c r="E3" s="89"/>
      <c r="F3" s="91"/>
      <c r="G3" s="89"/>
      <c r="H3" s="89"/>
      <c r="I3" s="89"/>
      <c r="J3" s="89"/>
      <c r="K3" s="89"/>
      <c r="L3" s="89"/>
      <c r="M3" s="90"/>
      <c r="O3" s="309" t="s">
        <v>240</v>
      </c>
      <c r="P3" s="309" t="s">
        <v>231</v>
      </c>
      <c r="Q3" s="309" t="s">
        <v>230</v>
      </c>
      <c r="R3" s="309" t="s">
        <v>229</v>
      </c>
    </row>
    <row r="4" spans="1:20" x14ac:dyDescent="0.3">
      <c r="B4" s="92"/>
      <c r="F4" s="92"/>
      <c r="M4" s="88"/>
      <c r="O4" s="115">
        <v>0</v>
      </c>
      <c r="P4" s="115" vm="68">
        <f>CUBEVALUE("ThisWorkbookDataModel","[Measures].[Avance Plan B39 base 100 Acumulado Semanal]",SegmentaciónDeDatos_Calendario)</f>
        <v>1</v>
      </c>
      <c r="Q4" s="115" vm="94">
        <f>CUBEVALUE("ThisWorkbookDataModel","[Measures].[Avance real B39 base 100 Acumulado Semanal]",SegmentaciónDeDatos_Calendario)</f>
        <v>0.78400540230155158</v>
      </c>
      <c r="R4" s="39">
        <f>Q4-P4</f>
        <v>-0.21599459769844842</v>
      </c>
    </row>
    <row r="5" spans="1:20" x14ac:dyDescent="0.3">
      <c r="B5" s="92"/>
      <c r="F5" s="92"/>
      <c r="M5" s="88"/>
      <c r="O5" s="115" vm="68">
        <f>P4</f>
        <v>1</v>
      </c>
      <c r="P5" s="115">
        <f>P6-P4</f>
        <v>0</v>
      </c>
      <c r="Q5" s="115">
        <f>Q6-Q4</f>
        <v>0.21599459769844842</v>
      </c>
    </row>
    <row r="6" spans="1:20" x14ac:dyDescent="0.3">
      <c r="B6" s="92"/>
      <c r="F6" s="92"/>
      <c r="M6" s="88"/>
      <c r="O6" s="115">
        <v>1</v>
      </c>
      <c r="P6" s="115">
        <v>1</v>
      </c>
      <c r="Q6" s="115">
        <v>1</v>
      </c>
    </row>
    <row r="7" spans="1:20" x14ac:dyDescent="0.3">
      <c r="B7" s="92"/>
      <c r="F7" s="92"/>
      <c r="M7" s="88"/>
    </row>
    <row r="8" spans="1:20" x14ac:dyDescent="0.3">
      <c r="B8" s="92"/>
      <c r="F8" s="92"/>
      <c r="M8" s="88"/>
      <c r="O8" s="119"/>
      <c r="P8" s="310" t="s">
        <v>241</v>
      </c>
      <c r="Q8" s="310" t="s">
        <v>242</v>
      </c>
    </row>
    <row r="9" spans="1:20" x14ac:dyDescent="0.3">
      <c r="B9" s="92"/>
      <c r="F9" s="92"/>
      <c r="M9" s="88"/>
      <c r="O9" s="311">
        <v>1</v>
      </c>
      <c r="P9" s="119">
        <v>0</v>
      </c>
      <c r="Q9" s="119">
        <v>0</v>
      </c>
    </row>
    <row r="10" spans="1:20" x14ac:dyDescent="0.3">
      <c r="B10" s="92"/>
      <c r="F10" s="92"/>
      <c r="M10" s="88"/>
      <c r="O10" s="311">
        <v>2</v>
      </c>
      <c r="P10" s="119">
        <f>-COS(Q4*PI())</f>
        <v>0.77847295452652798</v>
      </c>
      <c r="Q10" s="119">
        <f>SIN(PI()*Q4)</f>
        <v>0.6276781492697816</v>
      </c>
    </row>
    <row r="11" spans="1:20" x14ac:dyDescent="0.3">
      <c r="B11" s="92"/>
      <c r="F11" s="92"/>
      <c r="M11" s="88"/>
    </row>
    <row r="12" spans="1:20" x14ac:dyDescent="0.3">
      <c r="B12" s="92"/>
      <c r="F12" s="92"/>
      <c r="M12" s="88"/>
    </row>
    <row r="13" spans="1:20" x14ac:dyDescent="0.3">
      <c r="B13" s="92"/>
      <c r="F13" s="92"/>
      <c r="M13" s="88"/>
    </row>
    <row r="14" spans="1:20" x14ac:dyDescent="0.3">
      <c r="B14" s="92"/>
      <c r="C14" s="148" t="s">
        <v>245</v>
      </c>
      <c r="D14" s="149">
        <f>R4</f>
        <v>-0.21599459769844842</v>
      </c>
      <c r="F14" s="92"/>
      <c r="M14" s="88"/>
    </row>
    <row r="15" spans="1:20" x14ac:dyDescent="0.3">
      <c r="B15" s="92"/>
      <c r="C15" s="148" t="s">
        <v>247</v>
      </c>
      <c r="D15" s="262" vm="31">
        <f>CUBEVALUE("ThisWorkbookDataModel","[Measures].[Aporte a la Desviación B39]",SegmentaciónDeDatos_Calendario)</f>
        <v>-0.21599459769844837</v>
      </c>
      <c r="F15" s="92"/>
      <c r="M15" s="88"/>
    </row>
    <row r="16" spans="1:20" x14ac:dyDescent="0.3">
      <c r="B16" s="92"/>
      <c r="C16" s="148" t="s">
        <v>248</v>
      </c>
      <c r="D16" s="262" vm="30">
        <f>CUBEVALUE("ThisWorkbookDataModel","[Measures].[Avance Real B39 Periodo (2 sem)]",SegmentaciónDeDatos_Calendario)</f>
        <v>2.8612478086063042E-3</v>
      </c>
      <c r="F16" s="92"/>
      <c r="M16" s="88"/>
    </row>
    <row r="17" spans="1:20" x14ac:dyDescent="0.3">
      <c r="B17" s="92"/>
      <c r="F17" s="92"/>
      <c r="M17" s="88"/>
    </row>
    <row r="18" spans="1:20" x14ac:dyDescent="0.3">
      <c r="B18" s="95"/>
      <c r="C18" s="93"/>
      <c r="D18" s="93"/>
      <c r="E18" s="93"/>
      <c r="F18" s="95"/>
      <c r="G18" s="93"/>
      <c r="H18" s="93"/>
      <c r="I18" s="93"/>
      <c r="J18" s="93"/>
      <c r="K18" s="93"/>
      <c r="L18" s="93"/>
      <c r="M18" s="94"/>
    </row>
    <row r="19" spans="1:20" ht="14.4" customHeight="1" x14ac:dyDescent="0.3">
      <c r="B19" s="472" t="str" vm="1">
        <f>CUBEMEMBER("ThisWorkbookDataModel","[EDTN_PQ].[N2].&amp;[Mantenimiento del Generador de Vapor (Caldera) y Equipos Auxiliares]")</f>
        <v>Mantenimiento del Generador de Vapor (Caldera) y Equipos Auxiliares</v>
      </c>
      <c r="C19" s="473"/>
      <c r="D19" s="473"/>
      <c r="E19" s="473"/>
      <c r="F19" s="473"/>
      <c r="G19" s="474"/>
      <c r="H19" s="472" t="str" vm="2">
        <f>CUBEMEMBER("ThisWorkbookDataModel","[EDTN_PQ].[N2].&amp;[Mantenimiento del Turbo Generador y Equipos Auxiliares]")</f>
        <v>Mantenimiento del Turbo Generador y Equipos Auxiliares</v>
      </c>
      <c r="I19" s="473"/>
      <c r="J19" s="473"/>
      <c r="K19" s="473"/>
      <c r="L19" s="473"/>
      <c r="M19" s="474"/>
    </row>
    <row r="20" spans="1:20" ht="14.4" customHeight="1" x14ac:dyDescent="0.3">
      <c r="B20" s="475"/>
      <c r="C20" s="476"/>
      <c r="D20" s="476"/>
      <c r="E20" s="476"/>
      <c r="F20" s="476"/>
      <c r="G20" s="477"/>
      <c r="H20" s="475"/>
      <c r="I20" s="476"/>
      <c r="J20" s="476"/>
      <c r="K20" s="476"/>
      <c r="L20" s="476"/>
      <c r="M20" s="477"/>
    </row>
    <row r="21" spans="1:20" ht="12" customHeight="1" x14ac:dyDescent="0.3">
      <c r="B21" s="92"/>
      <c r="G21" s="88"/>
      <c r="H21" s="92"/>
      <c r="M21" s="88"/>
    </row>
    <row r="22" spans="1:20" x14ac:dyDescent="0.3">
      <c r="B22" s="92"/>
      <c r="C22" s="116" t="s">
        <v>243</v>
      </c>
      <c r="D22" s="486" vm="45">
        <f>CUBEVALUE("ThisWorkbookDataModel","[Measures].[Avance Plan B39 base 100 Acumulado Semanal]",SegmentaciónDeDatos_Calendario,B19)</f>
        <v>1</v>
      </c>
      <c r="E22" s="486"/>
      <c r="F22" s="486"/>
      <c r="G22" s="88"/>
      <c r="H22" s="92"/>
      <c r="I22" s="116" t="s">
        <v>243</v>
      </c>
      <c r="J22" s="486" vm="44">
        <f>CUBEVALUE("ThisWorkbookDataModel","[Measures].[Avance Plan B39 base 100 Acumulado Semanal]",SegmentaciónDeDatos_Calendario,H19)</f>
        <v>1</v>
      </c>
      <c r="K22" s="486"/>
      <c r="L22" s="486"/>
      <c r="M22" s="88"/>
    </row>
    <row r="23" spans="1:20" x14ac:dyDescent="0.3">
      <c r="B23" s="92"/>
      <c r="C23" s="116" t="s">
        <v>244</v>
      </c>
      <c r="D23" s="486" vm="40">
        <f>CUBEVALUE("ThisWorkbookDataModel","[Measures].[Avance Real B39 base 100 Acumulado Semanal]",SegmentaciónDeDatos_Calendario,B19)</f>
        <v>0.83791403436868095</v>
      </c>
      <c r="E23" s="486"/>
      <c r="F23" s="486"/>
      <c r="G23" s="88"/>
      <c r="H23" s="92"/>
      <c r="I23" s="116" t="s">
        <v>244</v>
      </c>
      <c r="J23" s="486" vm="42">
        <f>CUBEVALUE("ThisWorkbookDataModel","[Measures].[Avance Real B39 base 100 Acumulado Semanal]",SegmentaciónDeDatos_Calendario,H19)</f>
        <v>0.60061349807525821</v>
      </c>
      <c r="K23" s="486"/>
      <c r="L23" s="486"/>
      <c r="M23" s="88"/>
    </row>
    <row r="24" spans="1:20" x14ac:dyDescent="0.3">
      <c r="B24" s="92"/>
      <c r="C24" s="116" t="s">
        <v>245</v>
      </c>
      <c r="D24" s="486" vm="43">
        <f>CUBEVALUE("ThisWorkbookDataModel","[Measures].[Desviación B39]]",SegmentaciónDeDatos_Calendario,B19)</f>
        <v>-0.16208596563131905</v>
      </c>
      <c r="E24" s="486"/>
      <c r="F24" s="486"/>
      <c r="G24" s="88"/>
      <c r="H24" s="92"/>
      <c r="I24" s="116" t="s">
        <v>245</v>
      </c>
      <c r="J24" s="486" vm="65">
        <f>CUBEVALUE("ThisWorkbookDataModel","[Measures].[Desviación B39]]",SegmentaciónDeDatos_Calendario,H19)</f>
        <v>-0.39938650192474179</v>
      </c>
      <c r="K24" s="486"/>
      <c r="L24" s="486"/>
      <c r="M24" s="88"/>
    </row>
    <row r="25" spans="1:20" x14ac:dyDescent="0.3">
      <c r="B25" s="92"/>
      <c r="C25" s="485" t="s">
        <v>246</v>
      </c>
      <c r="D25" s="486" vm="98">
        <f>CUBEVALUE("ThisWorkbookDataModel","[Measures].[Aporte a la Desviación B39]",SegmentaciónDeDatos_Calendario,B19)</f>
        <v>-0.12526416648603697</v>
      </c>
      <c r="E25" s="486"/>
      <c r="F25" s="486"/>
      <c r="G25" s="88"/>
      <c r="H25" s="92"/>
      <c r="I25" s="485" t="s">
        <v>246</v>
      </c>
      <c r="J25" s="486" vm="91">
        <f>CUBEVALUE("ThisWorkbookDataModel","[Measures].[Aporte a la Desviación B39]",SegmentaciónDeDatos_Calendario,H19)</f>
        <v>-9.0730431212411325E-2</v>
      </c>
      <c r="K25" s="486"/>
      <c r="L25" s="486"/>
      <c r="M25" s="88"/>
    </row>
    <row r="26" spans="1:20" x14ac:dyDescent="0.3">
      <c r="B26" s="92"/>
      <c r="C26" s="485"/>
      <c r="D26" s="486"/>
      <c r="E26" s="486"/>
      <c r="F26" s="486"/>
      <c r="G26" s="88"/>
      <c r="H26" s="92"/>
      <c r="I26" s="485"/>
      <c r="J26" s="486"/>
      <c r="K26" s="486"/>
      <c r="L26" s="486"/>
      <c r="M26" s="88"/>
    </row>
    <row r="27" spans="1:20" ht="12" customHeight="1" x14ac:dyDescent="0.3">
      <c r="B27" s="95"/>
      <c r="C27" s="93"/>
      <c r="D27" s="93"/>
      <c r="E27" s="93"/>
      <c r="F27" s="93"/>
      <c r="G27" s="94"/>
      <c r="H27" s="95"/>
      <c r="I27" s="93"/>
      <c r="J27" s="93"/>
      <c r="K27" s="93"/>
      <c r="L27" s="93"/>
      <c r="M27" s="94"/>
    </row>
    <row r="29" spans="1:20" ht="15" customHeight="1" x14ac:dyDescent="0.3">
      <c r="A29" s="471" t="s">
        <v>232</v>
      </c>
      <c r="B29" s="471"/>
      <c r="C29" s="471"/>
      <c r="D29" s="471"/>
      <c r="E29" s="471"/>
      <c r="F29" s="471"/>
      <c r="G29" s="471"/>
      <c r="H29" s="471"/>
      <c r="I29" s="471"/>
      <c r="J29" s="471"/>
      <c r="K29" s="471"/>
      <c r="L29" s="471"/>
      <c r="M29" s="471"/>
      <c r="N29" s="471"/>
      <c r="O29" s="471"/>
      <c r="P29" s="471"/>
      <c r="Q29" s="471"/>
      <c r="R29" s="471"/>
      <c r="S29" s="471"/>
      <c r="T29" s="471"/>
    </row>
    <row r="31" spans="1:20" x14ac:dyDescent="0.3">
      <c r="B31" s="91"/>
      <c r="C31" s="89"/>
      <c r="D31" s="89"/>
      <c r="E31" s="89"/>
      <c r="F31" s="91"/>
      <c r="G31" s="89"/>
      <c r="H31" s="89"/>
      <c r="I31" s="89"/>
      <c r="J31" s="89"/>
      <c r="K31" s="89"/>
      <c r="L31" s="89"/>
      <c r="M31" s="90"/>
    </row>
    <row r="32" spans="1:20" x14ac:dyDescent="0.3">
      <c r="B32" s="92"/>
      <c r="F32" s="92"/>
      <c r="M32" s="88"/>
    </row>
    <row r="33" spans="2:13" x14ac:dyDescent="0.3">
      <c r="B33" s="92"/>
      <c r="F33" s="92"/>
      <c r="M33" s="88"/>
    </row>
    <row r="34" spans="2:13" x14ac:dyDescent="0.3">
      <c r="B34" s="92"/>
      <c r="F34" s="92"/>
      <c r="M34" s="88"/>
    </row>
    <row r="35" spans="2:13" x14ac:dyDescent="0.3">
      <c r="B35" s="92"/>
      <c r="F35" s="92"/>
      <c r="M35" s="88"/>
    </row>
    <row r="36" spans="2:13" x14ac:dyDescent="0.3">
      <c r="B36" s="92"/>
      <c r="F36" s="92"/>
      <c r="M36" s="88"/>
    </row>
    <row r="37" spans="2:13" x14ac:dyDescent="0.3">
      <c r="B37" s="92"/>
      <c r="F37" s="92"/>
      <c r="M37" s="88"/>
    </row>
    <row r="38" spans="2:13" x14ac:dyDescent="0.3">
      <c r="B38" s="92"/>
      <c r="F38" s="92"/>
      <c r="M38" s="88"/>
    </row>
    <row r="39" spans="2:13" x14ac:dyDescent="0.3">
      <c r="B39" s="92"/>
      <c r="F39" s="92"/>
      <c r="M39" s="88"/>
    </row>
    <row r="40" spans="2:13" x14ac:dyDescent="0.3">
      <c r="B40" s="92"/>
      <c r="F40" s="92"/>
      <c r="M40" s="88"/>
    </row>
    <row r="41" spans="2:13" x14ac:dyDescent="0.3">
      <c r="B41" s="92"/>
      <c r="F41" s="92"/>
      <c r="M41" s="88"/>
    </row>
    <row r="42" spans="2:13" x14ac:dyDescent="0.3">
      <c r="B42" s="92"/>
      <c r="C42" s="148" t="s">
        <v>245</v>
      </c>
      <c r="D42" s="149">
        <f>R4</f>
        <v>-0.21599459769844842</v>
      </c>
      <c r="F42" s="92"/>
      <c r="M42" s="88"/>
    </row>
    <row r="43" spans="2:13" x14ac:dyDescent="0.3">
      <c r="B43" s="92"/>
      <c r="C43" s="148" t="s">
        <v>247</v>
      </c>
      <c r="D43" s="262" vm="31">
        <f>CUBEVALUE("ThisWorkbookDataModel","[Measures].[Aporte a la Desviación B39]",SegmentaciónDeDatos_Calendario)</f>
        <v>-0.21599459769844837</v>
      </c>
      <c r="F43" s="92"/>
      <c r="M43" s="88"/>
    </row>
    <row r="44" spans="2:13" x14ac:dyDescent="0.3">
      <c r="B44" s="92"/>
      <c r="C44" s="148" t="s">
        <v>248</v>
      </c>
      <c r="D44" s="262" vm="36">
        <f>CUBEVALUE("ThisWorkbookDataModel","[Measures].[Avance Real B39 Periodo (1 mes)]",SegmentaciónDeDatos_Calendario)</f>
        <v>2.8612478086063042E-3</v>
      </c>
      <c r="F44" s="92"/>
      <c r="M44" s="88"/>
    </row>
    <row r="45" spans="2:13" x14ac:dyDescent="0.3">
      <c r="B45" s="92"/>
      <c r="F45" s="92"/>
      <c r="M45" s="88"/>
    </row>
    <row r="46" spans="2:13" x14ac:dyDescent="0.3">
      <c r="B46" s="95"/>
      <c r="C46" s="93"/>
      <c r="D46" s="93"/>
      <c r="E46" s="93"/>
      <c r="F46" s="95"/>
      <c r="G46" s="93"/>
      <c r="H46" s="93"/>
      <c r="I46" s="93"/>
      <c r="J46" s="93"/>
      <c r="K46" s="93"/>
      <c r="L46" s="93"/>
      <c r="M46" s="94"/>
    </row>
    <row r="47" spans="2:13" ht="14.4" customHeight="1" x14ac:dyDescent="0.3">
      <c r="B47" s="472" t="str" vm="1">
        <f>CUBEMEMBER("ThisWorkbookDataModel","[EDTN_PQ].[N2].&amp;[Mantenimiento del Generador de Vapor (Caldera) y Equipos Auxiliares]")</f>
        <v>Mantenimiento del Generador de Vapor (Caldera) y Equipos Auxiliares</v>
      </c>
      <c r="C47" s="473"/>
      <c r="D47" s="473"/>
      <c r="E47" s="473"/>
      <c r="F47" s="473"/>
      <c r="G47" s="474"/>
      <c r="H47" s="472" t="str" vm="2">
        <f>CUBEMEMBER("ThisWorkbookDataModel","[EDTN_PQ].[N2].&amp;[Mantenimiento del Turbo Generador y Equipos Auxiliares]")</f>
        <v>Mantenimiento del Turbo Generador y Equipos Auxiliares</v>
      </c>
      <c r="I47" s="473"/>
      <c r="J47" s="473"/>
      <c r="K47" s="473"/>
      <c r="L47" s="473"/>
      <c r="M47" s="474"/>
    </row>
    <row r="48" spans="2:13" ht="14.4" customHeight="1" x14ac:dyDescent="0.3">
      <c r="B48" s="475"/>
      <c r="C48" s="476"/>
      <c r="D48" s="476"/>
      <c r="E48" s="476"/>
      <c r="F48" s="476"/>
      <c r="G48" s="477"/>
      <c r="H48" s="475"/>
      <c r="I48" s="476"/>
      <c r="J48" s="476"/>
      <c r="K48" s="476"/>
      <c r="L48" s="476"/>
      <c r="M48" s="477"/>
    </row>
    <row r="49" spans="2:13" ht="12" customHeight="1" x14ac:dyDescent="0.3">
      <c r="B49" s="92"/>
      <c r="G49" s="88"/>
      <c r="H49" s="92"/>
      <c r="M49" s="88"/>
    </row>
    <row r="50" spans="2:13" x14ac:dyDescent="0.3">
      <c r="B50" s="92"/>
      <c r="C50" s="116" t="s">
        <v>243</v>
      </c>
      <c r="D50" s="486" vm="45">
        <f>CUBEVALUE("ThisWorkbookDataModel","[Measures].[Avance Plan B39 base 100 Acumulado Semanal]",SegmentaciónDeDatos_Calendario,B47)</f>
        <v>1</v>
      </c>
      <c r="E50" s="486"/>
      <c r="F50" s="486"/>
      <c r="G50" s="88"/>
      <c r="H50" s="92"/>
      <c r="I50" s="116" t="s">
        <v>243</v>
      </c>
      <c r="J50" s="486" vm="44">
        <f>CUBEVALUE("ThisWorkbookDataModel","[Measures].[Avance Plan B39 base 100 Acumulado Semanal]",SegmentaciónDeDatos_Calendario,H47)</f>
        <v>1</v>
      </c>
      <c r="K50" s="486"/>
      <c r="L50" s="486"/>
      <c r="M50" s="88"/>
    </row>
    <row r="51" spans="2:13" x14ac:dyDescent="0.3">
      <c r="B51" s="92"/>
      <c r="C51" s="116" t="s">
        <v>244</v>
      </c>
      <c r="D51" s="486" vm="40">
        <f>CUBEVALUE("ThisWorkbookDataModel","[Measures].[Avance Real B39 base 100 Acumulado Semanal]",SegmentaciónDeDatos_Calendario,B47)</f>
        <v>0.83791403436868095</v>
      </c>
      <c r="E51" s="486"/>
      <c r="F51" s="486"/>
      <c r="G51" s="88"/>
      <c r="H51" s="92"/>
      <c r="I51" s="116" t="s">
        <v>244</v>
      </c>
      <c r="J51" s="486" vm="42">
        <f>CUBEVALUE("ThisWorkbookDataModel","[Measures].[Avance Real B39 base 100 Acumulado Semanal]",SegmentaciónDeDatos_Calendario,H47)</f>
        <v>0.60061349807525821</v>
      </c>
      <c r="K51" s="486"/>
      <c r="L51" s="486"/>
      <c r="M51" s="88"/>
    </row>
    <row r="52" spans="2:13" x14ac:dyDescent="0.3">
      <c r="B52" s="92"/>
      <c r="C52" s="116" t="s">
        <v>245</v>
      </c>
      <c r="D52" s="486" vm="43">
        <f>CUBEVALUE("ThisWorkbookDataModel","[Measures].[Desviación B39]]",SegmentaciónDeDatos_Calendario,B47)</f>
        <v>-0.16208596563131905</v>
      </c>
      <c r="E52" s="486"/>
      <c r="F52" s="486"/>
      <c r="G52" s="88"/>
      <c r="H52" s="92"/>
      <c r="I52" s="116" t="s">
        <v>245</v>
      </c>
      <c r="J52" s="486" vm="65">
        <f>CUBEVALUE("ThisWorkbookDataModel","[Measures].[Desviación B39]]",SegmentaciónDeDatos_Calendario,H47)</f>
        <v>-0.39938650192474179</v>
      </c>
      <c r="K52" s="486"/>
      <c r="L52" s="486"/>
      <c r="M52" s="88"/>
    </row>
    <row r="53" spans="2:13" x14ac:dyDescent="0.3">
      <c r="B53" s="92"/>
      <c r="C53" s="485" t="s">
        <v>246</v>
      </c>
      <c r="D53" s="486" vm="98">
        <f>CUBEVALUE("ThisWorkbookDataModel","[Measures].[Aporte a la Desviación B39]",SegmentaciónDeDatos_Calendario,B47)</f>
        <v>-0.12526416648603697</v>
      </c>
      <c r="E53" s="486"/>
      <c r="F53" s="486"/>
      <c r="G53" s="88"/>
      <c r="H53" s="92"/>
      <c r="I53" s="485" t="s">
        <v>246</v>
      </c>
      <c r="J53" s="486" vm="91">
        <f>CUBEVALUE("ThisWorkbookDataModel","[Measures].[Aporte a la Desviación B39]",SegmentaciónDeDatos_Calendario,H47)</f>
        <v>-9.0730431212411325E-2</v>
      </c>
      <c r="K53" s="486"/>
      <c r="L53" s="486"/>
      <c r="M53" s="88"/>
    </row>
    <row r="54" spans="2:13" x14ac:dyDescent="0.3">
      <c r="B54" s="92"/>
      <c r="C54" s="485"/>
      <c r="D54" s="486"/>
      <c r="E54" s="486"/>
      <c r="F54" s="486"/>
      <c r="G54" s="88"/>
      <c r="H54" s="92"/>
      <c r="I54" s="485"/>
      <c r="J54" s="486"/>
      <c r="K54" s="486"/>
      <c r="L54" s="486"/>
      <c r="M54" s="88"/>
    </row>
    <row r="55" spans="2:13" ht="12" customHeight="1" x14ac:dyDescent="0.3">
      <c r="B55" s="95"/>
      <c r="C55" s="93"/>
      <c r="D55" s="93"/>
      <c r="E55" s="93"/>
      <c r="F55" s="93"/>
      <c r="G55" s="94"/>
      <c r="H55" s="95"/>
      <c r="I55" s="93"/>
      <c r="J55" s="93"/>
      <c r="K55" s="93"/>
      <c r="L55" s="93"/>
      <c r="M55" s="94"/>
    </row>
  </sheetData>
  <mergeCells count="26">
    <mergeCell ref="A1:T1"/>
    <mergeCell ref="A29:T29"/>
    <mergeCell ref="B19:G20"/>
    <mergeCell ref="H19:M20"/>
    <mergeCell ref="C25:C26"/>
    <mergeCell ref="I25:I26"/>
    <mergeCell ref="D22:F22"/>
    <mergeCell ref="D23:F23"/>
    <mergeCell ref="D24:F24"/>
    <mergeCell ref="D25:F26"/>
    <mergeCell ref="J22:L22"/>
    <mergeCell ref="J23:L23"/>
    <mergeCell ref="J24:L24"/>
    <mergeCell ref="J25:L26"/>
    <mergeCell ref="B47:G48"/>
    <mergeCell ref="H47:M48"/>
    <mergeCell ref="C53:C54"/>
    <mergeCell ref="D53:F54"/>
    <mergeCell ref="I53:I54"/>
    <mergeCell ref="J53:L54"/>
    <mergeCell ref="D50:F50"/>
    <mergeCell ref="J50:L50"/>
    <mergeCell ref="D51:F51"/>
    <mergeCell ref="J51:L51"/>
    <mergeCell ref="D52:F52"/>
    <mergeCell ref="J52:L52"/>
  </mergeCells>
  <conditionalFormatting sqref="D22:F22">
    <cfRule type="dataBar" priority="16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{9C9B83F6-A1B3-4E17-9A7A-A9C2D252277B}</x14:id>
        </ext>
      </extLst>
    </cfRule>
  </conditionalFormatting>
  <conditionalFormatting sqref="D23:F23"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{79836A17-2945-4AFE-A7D7-4C390521D4E5}</x14:id>
        </ext>
      </extLst>
    </cfRule>
  </conditionalFormatting>
  <conditionalFormatting sqref="D50:F50">
    <cfRule type="dataBar" priority="9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{F1571060-26AB-4539-AAC5-B7CC14827AB0}</x14:id>
        </ext>
      </extLst>
    </cfRule>
  </conditionalFormatting>
  <conditionalFormatting sqref="D51:F51">
    <cfRule type="dataBar" priority="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{E54AC378-9071-43C2-B487-0438B4C822D9}</x14:id>
        </ext>
      </extLst>
    </cfRule>
  </conditionalFormatting>
  <conditionalFormatting sqref="J22:L22">
    <cfRule type="dataBar" priority="14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{63876FDD-D50E-461A-9CF9-D071EC06335A}</x14:id>
        </ext>
      </extLst>
    </cfRule>
  </conditionalFormatting>
  <conditionalFormatting sqref="J23:L23">
    <cfRule type="dataBar" priority="1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{20A7C291-DC1A-4930-B5F5-8AC220354B9F}</x14:id>
        </ext>
      </extLst>
    </cfRule>
  </conditionalFormatting>
  <conditionalFormatting sqref="J50:L50">
    <cfRule type="dataBar" priority="7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{6EF50222-F399-468E-B043-098EC553AA4B}</x14:id>
        </ext>
      </extLst>
    </cfRule>
  </conditionalFormatting>
  <conditionalFormatting sqref="J51:L51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{575E0223-C0DC-412A-A4D0-0B840C8C7F5C}</x14:id>
        </ext>
      </extLst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9B83F6-A1B3-4E17-9A7A-A9C2D25227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D22:F22</xm:sqref>
        </x14:conditionalFormatting>
        <x14:conditionalFormatting xmlns:xm="http://schemas.microsoft.com/office/excel/2006/main">
          <x14:cfRule type="dataBar" id="{79836A17-2945-4AFE-A7D7-4C390521D4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D23:F23</xm:sqref>
        </x14:conditionalFormatting>
        <x14:conditionalFormatting xmlns:xm="http://schemas.microsoft.com/office/excel/2006/main">
          <x14:cfRule type="dataBar" id="{F1571060-26AB-4539-AAC5-B7CC14827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D50:F50</xm:sqref>
        </x14:conditionalFormatting>
        <x14:conditionalFormatting xmlns:xm="http://schemas.microsoft.com/office/excel/2006/main">
          <x14:cfRule type="dataBar" id="{E54AC378-9071-43C2-B487-0438B4C822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D51:F51</xm:sqref>
        </x14:conditionalFormatting>
        <x14:conditionalFormatting xmlns:xm="http://schemas.microsoft.com/office/excel/2006/main">
          <x14:cfRule type="dataBar" id="{63876FDD-D50E-461A-9CF9-D071EC06335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J22:L22</xm:sqref>
        </x14:conditionalFormatting>
        <x14:conditionalFormatting xmlns:xm="http://schemas.microsoft.com/office/excel/2006/main">
          <x14:cfRule type="dataBar" id="{20A7C291-DC1A-4930-B5F5-8AC220354B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J23:L23</xm:sqref>
        </x14:conditionalFormatting>
        <x14:conditionalFormatting xmlns:xm="http://schemas.microsoft.com/office/excel/2006/main">
          <x14:cfRule type="dataBar" id="{6EF50222-F399-468E-B043-098EC553AA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J50:L50</xm:sqref>
        </x14:conditionalFormatting>
        <x14:conditionalFormatting xmlns:xm="http://schemas.microsoft.com/office/excel/2006/main">
          <x14:cfRule type="dataBar" id="{575E0223-C0DC-412A-A4D0-0B840C8C7F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J51:L51</xm:sqref>
        </x14:conditionalFormatting>
        <x14:conditionalFormatting xmlns:xm="http://schemas.microsoft.com/office/excel/2006/main">
          <x14:cfRule type="iconSet" priority="1" id="{BB509F4D-AEE8-4C3E-9D2E-C292F937AD43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D14</xm:sqref>
        </x14:conditionalFormatting>
        <x14:conditionalFormatting xmlns:xm="http://schemas.microsoft.com/office/excel/2006/main">
          <x14:cfRule type="iconSet" priority="2" id="{EF3C66C4-639A-46FD-8325-DC429E1C6CBC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D42</xm:sqref>
        </x14:conditionalFormatting>
        <x14:conditionalFormatting xmlns:xm="http://schemas.microsoft.com/office/excel/2006/main">
          <x14:cfRule type="iconSet" priority="12" id="{2E358A1F-6B7F-428B-81EF-F6F61968167A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D24:F24</xm:sqref>
        </x14:conditionalFormatting>
        <x14:conditionalFormatting xmlns:xm="http://schemas.microsoft.com/office/excel/2006/main">
          <x14:cfRule type="iconSet" priority="5" id="{790D1993-E785-4505-9D1E-E5BC6A57D1B2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D52:F52</xm:sqref>
        </x14:conditionalFormatting>
        <x14:conditionalFormatting xmlns:xm="http://schemas.microsoft.com/office/excel/2006/main">
          <x14:cfRule type="iconSet" priority="11" id="{DC3E7DC2-B201-47C3-943E-3A755BF24328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J24:L24</xm:sqref>
        </x14:conditionalFormatting>
        <x14:conditionalFormatting xmlns:xm="http://schemas.microsoft.com/office/excel/2006/main">
          <x14:cfRule type="iconSet" priority="4" id="{8B2B28F6-4F53-4365-9D15-E79FA77AB356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J52:L52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D2DC-FE2E-4BD5-A061-DA986686CABA}">
  <sheetPr>
    <tabColor theme="9" tint="0.79998168889431442"/>
    <outlinePr summaryBelow="0"/>
  </sheetPr>
  <dimension ref="A1:AC94"/>
  <sheetViews>
    <sheetView showGridLines="0" topLeftCell="K1" zoomScale="80" zoomScaleNormal="80" workbookViewId="0">
      <selection activeCell="R30" sqref="R30"/>
    </sheetView>
  </sheetViews>
  <sheetFormatPr baseColWidth="10" defaultColWidth="11.5546875" defaultRowHeight="16.8" x14ac:dyDescent="0.4"/>
  <cols>
    <col min="1" max="1" width="2.6640625" style="67" customWidth="1"/>
    <col min="2" max="3" width="5.44140625" style="67" customWidth="1"/>
    <col min="4" max="4" width="61.33203125" style="239" customWidth="1"/>
    <col min="5" max="5" width="15.33203125" style="97" customWidth="1"/>
    <col min="6" max="6" width="16.6640625" style="68" bestFit="1" customWidth="1"/>
    <col min="7" max="7" width="123.33203125" style="67" hidden="1" customWidth="1"/>
    <col min="8" max="8" width="15.44140625" style="97" bestFit="1" customWidth="1"/>
    <col min="9" max="15" width="12.6640625" style="97" customWidth="1"/>
    <col min="16" max="16" width="7.33203125" style="97" bestFit="1" customWidth="1"/>
    <col min="17" max="17" width="12.6640625" style="97" customWidth="1"/>
    <col min="18" max="18" width="11.5546875" style="67"/>
    <col min="19" max="19" width="13.6640625" style="67" customWidth="1"/>
    <col min="20" max="26" width="11.5546875" style="67"/>
    <col min="27" max="27" width="14.44140625" style="67" customWidth="1"/>
    <col min="28" max="16384" width="11.5546875" style="67"/>
  </cols>
  <sheetData>
    <row r="1" spans="1:29" ht="17.399999999999999" customHeight="1" x14ac:dyDescent="0.4">
      <c r="A1" s="471" t="s">
        <v>436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1"/>
      <c r="W1" s="471"/>
      <c r="X1" s="471"/>
      <c r="Y1" s="471"/>
      <c r="Z1" s="471"/>
      <c r="AA1" s="471"/>
      <c r="AB1" s="471"/>
      <c r="AC1" s="471"/>
    </row>
    <row r="2" spans="1:29" x14ac:dyDescent="0.4">
      <c r="V2" s="67" t="s">
        <v>386</v>
      </c>
    </row>
    <row r="3" spans="1:29" x14ac:dyDescent="0.4">
      <c r="E3" s="491" t="s">
        <v>223</v>
      </c>
      <c r="F3" s="142"/>
      <c r="G3" s="106"/>
      <c r="H3" s="487" t="s">
        <v>229</v>
      </c>
      <c r="I3" s="488"/>
      <c r="J3" s="491" t="s">
        <v>223</v>
      </c>
      <c r="K3" s="487" t="s">
        <v>252</v>
      </c>
      <c r="L3" s="488"/>
      <c r="M3" s="487" t="s">
        <v>253</v>
      </c>
      <c r="N3" s="488"/>
      <c r="O3" s="67"/>
      <c r="P3" s="67"/>
      <c r="Q3" s="67"/>
    </row>
    <row r="4" spans="1:29" x14ac:dyDescent="0.4">
      <c r="E4" s="492"/>
      <c r="F4" s="107" t="s">
        <v>224</v>
      </c>
      <c r="G4" s="108"/>
      <c r="H4" s="489"/>
      <c r="I4" s="490"/>
      <c r="J4" s="492"/>
      <c r="K4" s="489"/>
      <c r="L4" s="490"/>
      <c r="M4" s="489"/>
      <c r="N4" s="490"/>
      <c r="O4" s="67"/>
    </row>
    <row r="5" spans="1:29" hidden="1" x14ac:dyDescent="0.4">
      <c r="B5" s="98" t="s">
        <v>0</v>
      </c>
      <c r="C5" s="80" t="s">
        <v>1</v>
      </c>
      <c r="D5" s="240" t="s">
        <v>2</v>
      </c>
      <c r="E5" s="109" t="s">
        <v>191</v>
      </c>
      <c r="F5" s="81" t="s">
        <v>192</v>
      </c>
      <c r="G5" s="375" t="s">
        <v>331</v>
      </c>
      <c r="H5" s="421" t="s">
        <v>221</v>
      </c>
      <c r="I5"/>
      <c r="J5"/>
      <c r="K5"/>
      <c r="L5"/>
      <c r="M5"/>
      <c r="N5"/>
      <c r="O5"/>
      <c r="P5" s="21">
        <v>0.22717450583622398</v>
      </c>
      <c r="Q5" s="286">
        <v>0.65300000000000002</v>
      </c>
      <c r="R5" s="286">
        <f>P5*Q5</f>
        <v>0.14834495231105427</v>
      </c>
    </row>
    <row r="6" spans="1:29" x14ac:dyDescent="0.4">
      <c r="B6" s="99" t="s">
        <v>11</v>
      </c>
      <c r="C6" s="100"/>
      <c r="D6" s="241"/>
      <c r="E6" s="110">
        <f>'EDT Nueva'!F5</f>
        <v>1</v>
      </c>
      <c r="F6" s="103">
        <v>1</v>
      </c>
      <c r="G6" s="113" t="s">
        <v>11</v>
      </c>
      <c r="H6" s="175">
        <v>-0.21599459769844842</v>
      </c>
      <c r="I6" s="175">
        <f>GETPIVOTDATA("[Measures].[Desviación B39]",$G$5,"[EDTN_PQ].[N1]","[EDTN_PQ].[N1].&amp;[Proyecto: Plan Master Tacoa]")</f>
        <v>-0.21599459769844842</v>
      </c>
      <c r="J6" s="175"/>
      <c r="K6" s="175"/>
      <c r="L6" s="175"/>
      <c r="M6" s="175"/>
      <c r="N6" s="175"/>
      <c r="O6"/>
      <c r="P6"/>
      <c r="Q6"/>
      <c r="R6"/>
    </row>
    <row r="7" spans="1:29" x14ac:dyDescent="0.4">
      <c r="B7" s="101"/>
      <c r="C7" s="16" t="s">
        <v>19</v>
      </c>
      <c r="D7" s="48"/>
      <c r="E7" s="111">
        <f>'EDT Nueva'!F6</f>
        <v>0.77282549416377599</v>
      </c>
      <c r="F7" s="104">
        <f>EDTN1013[[#This Row],[Nuevos Pesos]]*$F$6</f>
        <v>0.77282549416377599</v>
      </c>
      <c r="G7" s="114" t="s">
        <v>19</v>
      </c>
      <c r="H7" s="176">
        <v>-0.16208596563131905</v>
      </c>
      <c r="I7" s="176">
        <f>GETPIVOTDATA("[Measures].[Desviación B39]",$G$5,"[EDTN_PQ].[N1]","[EDTN_PQ].[N1].&amp;[Proyecto: Plan Master Tacoa]","[EDTN_PQ].[N2]","[EDTN_PQ].[N2].&amp;[Mantenimiento del Generador de Vapor (Caldera) y Equipos Auxiliares]")</f>
        <v>-0.16208596563131905</v>
      </c>
      <c r="J7" s="176"/>
      <c r="K7" s="176">
        <f>SUM(K8:K17)</f>
        <v>0</v>
      </c>
      <c r="L7" s="176"/>
      <c r="M7" s="176">
        <f>SUM(M8:M17)</f>
        <v>-14.225249621114724</v>
      </c>
      <c r="N7" s="176">
        <f>SUM(N8:N17)</f>
        <v>1.0000000000000002</v>
      </c>
      <c r="O7"/>
      <c r="P7"/>
      <c r="Q7"/>
      <c r="R7"/>
      <c r="S7"/>
    </row>
    <row r="8" spans="1:29" x14ac:dyDescent="0.4">
      <c r="B8" s="102"/>
      <c r="C8" s="86"/>
      <c r="D8" s="242" t="s">
        <v>22</v>
      </c>
      <c r="E8" s="112">
        <f>'EDT Nueva'!F7</f>
        <v>0.22602491175176692</v>
      </c>
      <c r="F8" s="105">
        <f>EDTN1013[[#This Row],[Nuevos Pesos]]*$F$7</f>
        <v>0.17467781411788313</v>
      </c>
      <c r="G8" s="179" t="s">
        <v>22</v>
      </c>
      <c r="H8" s="177">
        <v>-9.1379310344827491E-2</v>
      </c>
      <c r="I8" s="177">
        <f>GETPIVOTDATA("[Measures].[Desviación B39]",$G$5,"[EDTN_PQ].[N1]","[EDTN_PQ].[N1].&amp;[Proyecto: Plan Master Tacoa]","[EDTN_PQ].[N2]","[EDTN_PQ].[N2].&amp;[Mantenimiento del Generador de Vapor (Caldera) y Equipos Auxiliares]","[EDTN_PQ].[N3]","[EDTN_PQ].[N3].&amp;[1.1 Reparación de expansiones metálicas]")</f>
        <v>-9.1379310344827491E-2</v>
      </c>
      <c r="J8" s="177">
        <f t="shared" ref="J8:J17" si="0">IF($I$7&gt;0,I8/$I$7,-I8/$I$7)</f>
        <v>-0.56377065089447032</v>
      </c>
      <c r="K8" s="177">
        <f t="shared" ref="K8:K31" si="1">IF(J8&gt;0,J8,0)</f>
        <v>0</v>
      </c>
      <c r="L8" s="177" t="e">
        <f>K8/$K$7</f>
        <v>#DIV/0!</v>
      </c>
      <c r="M8" s="177">
        <f>IF(J8&lt;0,J8,0)</f>
        <v>-0.56377065089447032</v>
      </c>
      <c r="N8" s="177">
        <f t="shared" ref="N8:N17" si="2">M8/$M$7</f>
        <v>3.9631687732049226E-2</v>
      </c>
      <c r="O8"/>
      <c r="P8"/>
      <c r="Q8"/>
      <c r="R8"/>
      <c r="S8"/>
    </row>
    <row r="9" spans="1:29" x14ac:dyDescent="0.4">
      <c r="B9" s="102"/>
      <c r="C9" s="86"/>
      <c r="D9" s="242" t="s">
        <v>29</v>
      </c>
      <c r="E9" s="112">
        <f>'EDT Nueva'!F12</f>
        <v>6.9376251050029564E-2</v>
      </c>
      <c r="F9" s="105">
        <f>EDTN1013[[#This Row],[Nuevos Pesos]]*$F$7</f>
        <v>5.3615735500969278E-2</v>
      </c>
      <c r="G9" s="180" t="s">
        <v>29</v>
      </c>
      <c r="H9" s="177">
        <v>0</v>
      </c>
      <c r="I9" s="177">
        <f>GETPIVOTDATA("[Measures].[Desviación B39]",$G$5,"[EDTN_PQ].[N1]","[EDTN_PQ].[N1].&amp;[Proyecto: Plan Master Tacoa]","[EDTN_PQ].[N2]","[EDTN_PQ].[N2].&amp;[Mantenimiento del Generador de Vapor (Caldera) y Equipos Auxiliares]","[EDTN_PQ].[N3]","[EDTN_PQ].[N3].&amp;[1.2 Reemplazo de tubos de gas]")</f>
        <v>0</v>
      </c>
      <c r="J9" s="177">
        <f t="shared" si="0"/>
        <v>0</v>
      </c>
      <c r="K9" s="177">
        <f t="shared" si="1"/>
        <v>0</v>
      </c>
      <c r="L9" s="177" t="e">
        <f t="shared" ref="L9:L17" si="3">K9/$K$7</f>
        <v>#DIV/0!</v>
      </c>
      <c r="M9" s="177">
        <f t="shared" ref="M9:M17" si="4">IF(J9&lt;0,J9,0)</f>
        <v>0</v>
      </c>
      <c r="N9" s="177">
        <f t="shared" si="2"/>
        <v>0</v>
      </c>
      <c r="O9"/>
      <c r="P9"/>
      <c r="Q9"/>
      <c r="R9"/>
      <c r="S9"/>
    </row>
    <row r="10" spans="1:29" x14ac:dyDescent="0.4">
      <c r="B10" s="102"/>
      <c r="C10" s="86"/>
      <c r="D10" s="242" t="s">
        <v>31</v>
      </c>
      <c r="E10" s="112">
        <f>'EDT Nueva'!F14</f>
        <v>0.13899787802857952</v>
      </c>
      <c r="F10" s="105">
        <f>EDTN1013[[#This Row],[Nuevos Pesos]]*$F$7</f>
        <v>0.10742110377515322</v>
      </c>
      <c r="G10" s="180" t="s">
        <v>208</v>
      </c>
      <c r="H10" s="177">
        <v>-0.16000000000000003</v>
      </c>
      <c r="I10" s="177">
        <f>GETPIVOTDATA("[Measures].[Desviación B39]",$G$5,"[EDTN_PQ].[N1]","[EDTN_PQ].[N1].&amp;[Proyecto: Plan Master Tacoa]","[EDTN_PQ].[N2]","[EDTN_PQ].[N2].&amp;[Mantenimiento del Generador de Vapor (Caldera) y Equipos Auxiliares]","[EDTN_PQ].[N3]","[EDTN_PQ].[N3].&amp;[1.3 Reparación envoltura metálica]")</f>
        <v>-0.16000000000000003</v>
      </c>
      <c r="J10" s="177">
        <f t="shared" si="0"/>
        <v>-0.98713049816994169</v>
      </c>
      <c r="K10" s="177">
        <f t="shared" si="1"/>
        <v>0</v>
      </c>
      <c r="L10" s="177" t="e">
        <f t="shared" si="3"/>
        <v>#DIV/0!</v>
      </c>
      <c r="M10" s="177">
        <f t="shared" si="4"/>
        <v>-0.98713049816994169</v>
      </c>
      <c r="N10" s="177">
        <f t="shared" si="2"/>
        <v>6.9392841915739106E-2</v>
      </c>
      <c r="O10"/>
      <c r="P10"/>
      <c r="Q10"/>
      <c r="R10"/>
      <c r="S10"/>
    </row>
    <row r="11" spans="1:29" x14ac:dyDescent="0.4">
      <c r="B11" s="102"/>
      <c r="C11" s="86"/>
      <c r="D11" s="242" t="s">
        <v>39</v>
      </c>
      <c r="E11" s="112">
        <f>'EDT Nueva'!F17</f>
        <v>7.8078954422348301E-2</v>
      </c>
      <c r="F11" s="105">
        <f>EDTN1013[[#This Row],[Nuevos Pesos]]*$F$7</f>
        <v>6.0341406535242267E-2</v>
      </c>
      <c r="G11" s="180" t="s">
        <v>39</v>
      </c>
      <c r="H11" s="177">
        <v>-9.199999999999986E-2</v>
      </c>
      <c r="I11" s="177">
        <f>GETPIVOTDATA("[Measures].[Desviación B39]",$G$5,"[EDTN_PQ].[N1]","[EDTN_PQ].[N1].&amp;[Proyecto: Plan Master Tacoa]","[EDTN_PQ].[N2]","[EDTN_PQ].[N2].&amp;[Mantenimiento del Generador de Vapor (Caldera) y Equipos Auxiliares]","[EDTN_PQ].[N3]","[EDTN_PQ].[N3].&amp;[1.4 Reparación de cámaras muertas]")</f>
        <v>-9.199999999999986E-2</v>
      </c>
      <c r="J11" s="177">
        <f t="shared" si="0"/>
        <v>-0.56760003644771551</v>
      </c>
      <c r="K11" s="177">
        <f t="shared" si="1"/>
        <v>0</v>
      </c>
      <c r="L11" s="177" t="e">
        <f t="shared" si="3"/>
        <v>#DIV/0!</v>
      </c>
      <c r="M11" s="177">
        <f t="shared" si="4"/>
        <v>-0.56760003644771551</v>
      </c>
      <c r="N11" s="177">
        <f t="shared" si="2"/>
        <v>3.9900884101549919E-2</v>
      </c>
      <c r="O11"/>
      <c r="P11"/>
      <c r="Q11"/>
      <c r="R11"/>
      <c r="S11"/>
    </row>
    <row r="12" spans="1:29" x14ac:dyDescent="0.4">
      <c r="B12" s="102"/>
      <c r="C12" s="86"/>
      <c r="D12" s="242" t="s">
        <v>43</v>
      </c>
      <c r="E12" s="112">
        <f>'EDT Nueva'!F21</f>
        <v>0.2250620980454589</v>
      </c>
      <c r="F12" s="105">
        <f>EDTN1013[[#This Row],[Nuevos Pesos]]*$F$7</f>
        <v>0.17393372713951799</v>
      </c>
      <c r="G12" s="181" t="s">
        <v>43</v>
      </c>
      <c r="H12" s="177">
        <v>0</v>
      </c>
      <c r="I12" s="177">
        <f>GETPIVOTDATA("[Measures].[Desviación B39]",$G$5,"[EDTN_PQ].[N1]","[EDTN_PQ].[N1].&amp;[Proyecto: Plan Master Tacoa]","[EDTN_PQ].[N2]","[EDTN_PQ].[N2].&amp;[Mantenimiento del Generador de Vapor (Caldera) y Equipos Auxiliares]","[EDTN_PQ].[N3]","[EDTN_PQ].[N3].&amp;[1.5 Reparación ductos de aire y gas]")</f>
        <v>0</v>
      </c>
      <c r="J12" s="177">
        <f t="shared" si="0"/>
        <v>0</v>
      </c>
      <c r="K12" s="177">
        <f t="shared" si="1"/>
        <v>0</v>
      </c>
      <c r="L12" s="177" t="e">
        <f t="shared" si="3"/>
        <v>#DIV/0!</v>
      </c>
      <c r="M12" s="177">
        <f t="shared" si="4"/>
        <v>0</v>
      </c>
      <c r="N12" s="177">
        <f t="shared" si="2"/>
        <v>0</v>
      </c>
      <c r="O12"/>
      <c r="P12"/>
      <c r="Q12"/>
      <c r="R12"/>
    </row>
    <row r="13" spans="1:29" x14ac:dyDescent="0.4">
      <c r="B13" s="102"/>
      <c r="C13" s="86"/>
      <c r="D13" s="242" t="s">
        <v>249</v>
      </c>
      <c r="E13" s="112">
        <f>'EDT Nueva'!F24</f>
        <v>5.6784912836931871E-2</v>
      </c>
      <c r="F13" s="105">
        <f>EDTN1013[[#This Row],[Nuevos Pesos]]*$F$7</f>
        <v>4.3884828324248823E-2</v>
      </c>
      <c r="G13" s="376" t="s">
        <v>249</v>
      </c>
      <c r="H13" s="177">
        <v>-1</v>
      </c>
      <c r="I13" s="177">
        <f>GETPIVOTDATA("[Measures].[Desviación B39]",$G$5,"[EDTN_PQ].[N1]","[EDTN_PQ].[N1].&amp;[Proyecto: Plan Master Tacoa]","[EDTN_PQ].[N2]","[EDTN_PQ].[N2].&amp;[Mantenimiento del Generador de Vapor (Caldera) y Equipos Auxiliares]","[EDTN_PQ].[N3]","[EDTN_PQ].[N3].&amp;[1.6 Reemplazo de tuberías ácido y soda]")</f>
        <v>-1</v>
      </c>
      <c r="J13" s="177">
        <f t="shared" si="0"/>
        <v>-6.1695656135621348</v>
      </c>
      <c r="K13" s="177">
        <f t="shared" si="1"/>
        <v>0</v>
      </c>
      <c r="L13" s="177" t="e">
        <f t="shared" si="3"/>
        <v>#DIV/0!</v>
      </c>
      <c r="M13" s="177">
        <f t="shared" si="4"/>
        <v>-6.1695656135621348</v>
      </c>
      <c r="N13" s="177">
        <f t="shared" si="2"/>
        <v>0.43370526197336939</v>
      </c>
      <c r="O13"/>
      <c r="P13"/>
      <c r="Q13"/>
      <c r="R13"/>
    </row>
    <row r="14" spans="1:29" x14ac:dyDescent="0.4">
      <c r="B14" s="102"/>
      <c r="C14" s="86"/>
      <c r="D14" s="242" t="s">
        <v>48</v>
      </c>
      <c r="E14" s="112">
        <f>'EDT Nueva'!F26</f>
        <v>5.6784912836931871E-2</v>
      </c>
      <c r="F14" s="105">
        <f>EDTN1013[[#This Row],[Nuevos Pesos]]*$F$7</f>
        <v>4.3884828324248823E-2</v>
      </c>
      <c r="G14" s="179" t="s">
        <v>48</v>
      </c>
      <c r="H14" s="177">
        <v>-0.95013888888888887</v>
      </c>
      <c r="I14" s="177">
        <f>GETPIVOTDATA("[Measures].[Desviación B39]",$G$5,"[EDTN_PQ].[N1]","[EDTN_PQ].[N1].&amp;[Proyecto: Plan Master Tacoa]","[EDTN_PQ].[N2]","[EDTN_PQ].[N2].&amp;[Mantenimiento del Generador de Vapor (Caldera) y Equipos Auxiliares]","[EDTN_PQ].[N3]","[EDTN_PQ].[N3].&amp;[1.7 Mantenimiento en los equipos de balance BOP y equipos]")</f>
        <v>-0.95013888888888887</v>
      </c>
      <c r="J14" s="177">
        <f t="shared" si="0"/>
        <v>-5.8619442169970224</v>
      </c>
      <c r="K14" s="177">
        <f t="shared" si="1"/>
        <v>0</v>
      </c>
      <c r="L14" s="177" t="e">
        <f t="shared" si="3"/>
        <v>#DIV/0!</v>
      </c>
      <c r="M14" s="177">
        <f t="shared" si="4"/>
        <v>-5.8619442169970224</v>
      </c>
      <c r="N14" s="177">
        <f t="shared" si="2"/>
        <v>0.41208023571664165</v>
      </c>
      <c r="O14"/>
      <c r="P14"/>
      <c r="Q14"/>
      <c r="R14"/>
    </row>
    <row r="15" spans="1:29" x14ac:dyDescent="0.4">
      <c r="B15" s="102"/>
      <c r="C15" s="86"/>
      <c r="D15" s="242" t="s">
        <v>63</v>
      </c>
      <c r="E15" s="112">
        <f>'EDT Nueva'!F30</f>
        <v>0.10418706453930457</v>
      </c>
      <c r="F15" s="105">
        <f>EDTN1013[[#This Row],[Nuevos Pesos]]*$F$7</f>
        <v>8.0518419638061278E-2</v>
      </c>
      <c r="G15" s="180" t="s">
        <v>63</v>
      </c>
      <c r="H15" s="177">
        <v>-1.2195121951219523E-2</v>
      </c>
      <c r="I15" s="177">
        <f>GETPIVOTDATA("[Measures].[Desviación B39]",$G$5,"[EDTN_PQ].[N1]","[EDTN_PQ].[N1].&amp;[Proyecto: Plan Master Tacoa]","[EDTN_PQ].[N2]","[EDTN_PQ].[N2].&amp;[Mantenimiento del Generador de Vapor (Caldera) y Equipos Auxiliares]","[EDTN_PQ].[N3]","[EDTN_PQ].[N3].&amp;[1.9 Matenimiento de equipos y sistema de instrumentación]")</f>
        <v>-1.2195121951219523E-2</v>
      </c>
      <c r="J15" s="177">
        <f>IF($I$7&gt;0,I15/$I$7,-I15/$I$7)</f>
        <v>-7.5238605043440737E-2</v>
      </c>
      <c r="K15" s="177">
        <f t="shared" si="1"/>
        <v>0</v>
      </c>
      <c r="L15" s="177" t="e">
        <f t="shared" si="3"/>
        <v>#DIV/0!</v>
      </c>
      <c r="M15" s="177">
        <f t="shared" si="4"/>
        <v>-7.5238605043440737E-2</v>
      </c>
      <c r="N15" s="177">
        <f t="shared" si="2"/>
        <v>5.2890885606508512E-3</v>
      </c>
      <c r="O15"/>
      <c r="Q15"/>
      <c r="R15"/>
    </row>
    <row r="16" spans="1:29" x14ac:dyDescent="0.4">
      <c r="B16" s="102"/>
      <c r="C16" s="86"/>
      <c r="D16" s="242" t="s">
        <v>77</v>
      </c>
      <c r="E16" s="112">
        <f>'EDT Nueva'!F41</f>
        <v>4.4703016488648502E-2</v>
      </c>
      <c r="F16" s="105">
        <f>EDTN1013[[#This Row],[Nuevos Pesos]]*$F$7</f>
        <v>3.4547630808451205E-2</v>
      </c>
      <c r="G16" s="181" t="s">
        <v>77</v>
      </c>
      <c r="H16" s="177">
        <v>0</v>
      </c>
      <c r="I16" s="177">
        <f>GETPIVOTDATA("[Measures].[Desviación B39]",$G$5,"[EDTN_PQ].[N1]","[EDTN_PQ].[N1].&amp;[Proyecto: Plan Master Tacoa]","[EDTN_PQ].[N2]","[EDTN_PQ].[N2].&amp;[Mantenimiento del Generador de Vapor (Caldera) y Equipos Auxiliares]","[EDTN_PQ].[N3]","[EDTN_PQ].[N3].&amp;[1.10 Mantenimiento compresores de aire]")</f>
        <v>0</v>
      </c>
      <c r="J16" s="177">
        <f t="shared" si="0"/>
        <v>0</v>
      </c>
      <c r="K16" s="177">
        <f t="shared" si="1"/>
        <v>0</v>
      </c>
      <c r="L16" s="177" t="e">
        <f t="shared" si="3"/>
        <v>#DIV/0!</v>
      </c>
      <c r="M16" s="177">
        <f t="shared" si="4"/>
        <v>0</v>
      </c>
      <c r="N16" s="177">
        <f t="shared" si="2"/>
        <v>0</v>
      </c>
      <c r="O16"/>
      <c r="P16"/>
      <c r="Q16"/>
    </row>
    <row r="17" spans="2:24" x14ac:dyDescent="0.4">
      <c r="B17" s="102"/>
      <c r="C17" s="86"/>
      <c r="D17" s="242" t="s">
        <v>79</v>
      </c>
      <c r="E17" s="112">
        <f>'EDT Nueva'!F43</f>
        <v>0</v>
      </c>
      <c r="F17" s="105">
        <f>EDTN1013[[#This Row],[Nuevos Pesos]]*$F$7</f>
        <v>0</v>
      </c>
      <c r="G17" s="376" t="s">
        <v>251</v>
      </c>
      <c r="H17" s="178">
        <v>0</v>
      </c>
      <c r="I17" s="178">
        <f>GETPIVOTDATA("[Measures].[Desviación B39]",$G$5,"[EDTN_PQ].[N1]","[EDTN_PQ].[N1].&amp;[Proyecto: Plan Master Tacoa]","[EDTN_PQ].[N2]","[EDTN_PQ].[N2].&amp;[Mantenimiento del Generador de Vapor (Caldera) y Equipos Auxiliares]","[EDTN_PQ].[N3]","[EDTN_PQ].[N3].&amp;[0.0 Fin de actividades]")</f>
        <v>0</v>
      </c>
      <c r="J17" s="178">
        <f t="shared" si="0"/>
        <v>0</v>
      </c>
      <c r="K17" s="178">
        <f t="shared" si="1"/>
        <v>0</v>
      </c>
      <c r="L17" s="178" t="e">
        <f t="shared" si="3"/>
        <v>#DIV/0!</v>
      </c>
      <c r="M17" s="177">
        <f t="shared" si="4"/>
        <v>0</v>
      </c>
      <c r="N17" s="177">
        <f t="shared" si="2"/>
        <v>0</v>
      </c>
      <c r="O17"/>
      <c r="P17"/>
      <c r="Q17"/>
    </row>
    <row r="18" spans="2:24" x14ac:dyDescent="0.4">
      <c r="B18" s="101"/>
      <c r="C18" s="16" t="s">
        <v>83</v>
      </c>
      <c r="D18" s="48"/>
      <c r="E18" s="111">
        <f>'EDT Nueva'!F45</f>
        <v>0.22717450583622398</v>
      </c>
      <c r="F18" s="104">
        <f>EDTN1013[[#This Row],[Nuevos Pesos]]*$F$6</f>
        <v>0.22717450583622398</v>
      </c>
      <c r="G18" s="114" t="s">
        <v>83</v>
      </c>
      <c r="H18" s="176">
        <v>-0.39938650192474179</v>
      </c>
      <c r="I18" s="176">
        <f>GETPIVOTDATA("[Measures].[Desviación B39]",$G$5,"[EDTN_PQ].[N1]","[EDTN_PQ].[N1].&amp;[Proyecto: Plan Master Tacoa]","[EDTN_PQ].[N2]","[EDTN_PQ].[N2].&amp;[Mantenimiento del Turbo Generador y Equipos Auxiliares]")</f>
        <v>-0.39938650192474179</v>
      </c>
      <c r="J18" s="176"/>
      <c r="K18" s="176">
        <f>SUM(K19:K31)</f>
        <v>0</v>
      </c>
      <c r="L18" s="176"/>
      <c r="M18" s="176">
        <f>SUM(M19:M31)</f>
        <v>-14.10073195959054</v>
      </c>
      <c r="N18" s="176">
        <f>SUM(N19:N31)</f>
        <v>1</v>
      </c>
      <c r="O18"/>
      <c r="P18"/>
      <c r="Q18"/>
    </row>
    <row r="19" spans="2:24" x14ac:dyDescent="0.4">
      <c r="B19" s="102"/>
      <c r="C19" s="86"/>
      <c r="D19" s="242" t="s">
        <v>13</v>
      </c>
      <c r="E19" s="112">
        <f>'EDT Nueva'!F46</f>
        <v>2.3468375928862552E-2</v>
      </c>
      <c r="F19" s="105">
        <f>EDTN1013[[#This Row],[Nuevos Pesos]]*$F$18</f>
        <v>5.331416704418084E-3</v>
      </c>
      <c r="G19" s="179" t="s">
        <v>13</v>
      </c>
      <c r="H19" s="177">
        <v>0</v>
      </c>
      <c r="I19" s="177">
        <f>GETPIVOTDATA("[Measures].[Desviación B39]",$G$5,"[EDTN_PQ].[N1]","[EDTN_PQ].[N1].&amp;[Proyecto: Plan Master Tacoa]","[EDTN_PQ].[N2]","[EDTN_PQ].[N2].&amp;[Mantenimiento del Turbo Generador y Equipos Auxiliares]","[EDTN_PQ].[N3]","[EDTN_PQ].[N3].&amp;[0.0 Actividades preliminares]")</f>
        <v>0</v>
      </c>
      <c r="J19" s="177">
        <f>IF($I$18&gt;0,I19/$I$18,-I19/$I$18)</f>
        <v>0</v>
      </c>
      <c r="K19" s="177">
        <f t="shared" si="1"/>
        <v>0</v>
      </c>
      <c r="L19" s="177" t="e">
        <f>K19/$K$18</f>
        <v>#DIV/0!</v>
      </c>
      <c r="M19" s="177">
        <f>IF(J19&lt;0,J19,0)</f>
        <v>0</v>
      </c>
      <c r="N19" s="177">
        <f t="shared" ref="N19:N31" si="5">M19/$M$18</f>
        <v>0</v>
      </c>
      <c r="O19"/>
      <c r="P19"/>
      <c r="Q19"/>
    </row>
    <row r="20" spans="2:24" x14ac:dyDescent="0.4">
      <c r="B20" s="102"/>
      <c r="C20" s="86"/>
      <c r="D20" s="242" t="s">
        <v>92</v>
      </c>
      <c r="E20" s="112">
        <f>'EDT Nueva'!F48</f>
        <v>0.18279351044074912</v>
      </c>
      <c r="F20" s="105">
        <f>EDTN1013[[#This Row],[Nuevos Pesos]]*$F$18</f>
        <v>4.1526025404445832E-2</v>
      </c>
      <c r="G20" s="180" t="s">
        <v>92</v>
      </c>
      <c r="H20" s="177">
        <v>-8.5384615384615392E-2</v>
      </c>
      <c r="I20" s="177">
        <f>GETPIVOTDATA("[Measures].[Desviación B39]",$G$5,"[EDTN_PQ].[N1]","[EDTN_PQ].[N1].&amp;[Proyecto: Plan Master Tacoa]","[EDTN_PQ].[N2]","[EDTN_PQ].[N2].&amp;[Mantenimiento del Turbo Generador y Equipos Auxiliares]","[EDTN_PQ].[N3]","[EDTN_PQ].[N3].&amp;[2.4 Reparación de componentes en talleres]")</f>
        <v>-8.5384615384615392E-2</v>
      </c>
      <c r="J20" s="177">
        <f t="shared" ref="J20:J31" si="6">IF($I$18&gt;0,I20/$I$18,-I20/$I$18)</f>
        <v>-0.21378943698178562</v>
      </c>
      <c r="K20" s="177">
        <f t="shared" si="1"/>
        <v>0</v>
      </c>
      <c r="L20" s="177" t="e">
        <f t="shared" ref="L20:L31" si="7">K20/$K$18</f>
        <v>#DIV/0!</v>
      </c>
      <c r="M20" s="177">
        <f t="shared" ref="M20:M31" si="8">IF(J20&lt;0,J20,0)</f>
        <v>-0.21378943698178562</v>
      </c>
      <c r="N20" s="177">
        <f t="shared" si="5"/>
        <v>1.5161584348561271E-2</v>
      </c>
      <c r="O20"/>
      <c r="P20"/>
      <c r="Q20"/>
    </row>
    <row r="21" spans="2:24" x14ac:dyDescent="0.4">
      <c r="B21" s="102"/>
      <c r="C21" s="86"/>
      <c r="D21" s="242" t="s">
        <v>102</v>
      </c>
      <c r="E21" s="112">
        <f>'EDT Nueva'!F54</f>
        <v>3.5025603345783182E-2</v>
      </c>
      <c r="F21" s="105">
        <f>EDTN1013[[#This Row],[Nuevos Pesos]]*$F$18</f>
        <v>7.9569241316938873E-3</v>
      </c>
      <c r="G21" s="180" t="s">
        <v>102</v>
      </c>
      <c r="H21" s="177">
        <v>0</v>
      </c>
      <c r="I21" s="177">
        <f>GETPIVOTDATA("[Measures].[Desviación B39]",$G$5,"[EDTN_PQ].[N1]","[EDTN_PQ].[N1].&amp;[Proyecto: Plan Master Tacoa]","[EDTN_PQ].[N2]","[EDTN_PQ].[N2].&amp;[Mantenimiento del Turbo Generador y Equipos Auxiliares]","[EDTN_PQ].[N3]","[EDTN_PQ].[N3].&amp;[2.6 Pruebas de ensayos no destructivos]")</f>
        <v>0</v>
      </c>
      <c r="J21" s="177">
        <f t="shared" si="6"/>
        <v>0</v>
      </c>
      <c r="K21" s="177">
        <f t="shared" si="1"/>
        <v>0</v>
      </c>
      <c r="L21" s="177" t="e">
        <f t="shared" si="7"/>
        <v>#DIV/0!</v>
      </c>
      <c r="M21" s="177">
        <f t="shared" si="8"/>
        <v>0</v>
      </c>
      <c r="N21" s="177">
        <f t="shared" si="5"/>
        <v>0</v>
      </c>
      <c r="O21"/>
      <c r="P21"/>
      <c r="Q21"/>
      <c r="X21" s="67" t="s">
        <v>386</v>
      </c>
    </row>
    <row r="22" spans="2:24" x14ac:dyDescent="0.4">
      <c r="B22" s="102"/>
      <c r="C22" s="86"/>
      <c r="D22" s="242" t="s">
        <v>107</v>
      </c>
      <c r="E22" s="112">
        <f>'EDT Nueva'!F57</f>
        <v>5.0592538166131268E-2</v>
      </c>
      <c r="F22" s="105">
        <f>EDTN1013[[#This Row],[Nuevos Pesos]]*$F$18</f>
        <v>1.1493334856891172E-2</v>
      </c>
      <c r="G22" s="180" t="s">
        <v>107</v>
      </c>
      <c r="H22" s="177">
        <v>-1</v>
      </c>
      <c r="I22" s="177">
        <f>GETPIVOTDATA("[Measures].[Desviación B39]",$G$5,"[EDTN_PQ].[N1]","[EDTN_PQ].[N1].&amp;[Proyecto: Plan Master Tacoa]","[EDTN_PQ].[N2]","[EDTN_PQ].[N2].&amp;[Mantenimiento del Turbo Generador y Equipos Auxiliares]","[EDTN_PQ].[N3]","[EDTN_PQ].[N3].&amp;[2.7 Alineación de la turbina]")</f>
        <v>-1</v>
      </c>
      <c r="J22" s="177">
        <f t="shared" si="6"/>
        <v>-2.5038402529398316</v>
      </c>
      <c r="K22" s="177">
        <f t="shared" si="1"/>
        <v>0</v>
      </c>
      <c r="L22" s="177" t="e">
        <f t="shared" si="7"/>
        <v>#DIV/0!</v>
      </c>
      <c r="M22" s="177">
        <f t="shared" si="8"/>
        <v>-2.5038402529398316</v>
      </c>
      <c r="N22" s="177">
        <f t="shared" si="5"/>
        <v>0.17756810498315001</v>
      </c>
      <c r="O22"/>
      <c r="P22"/>
      <c r="Q22"/>
    </row>
    <row r="23" spans="2:24" x14ac:dyDescent="0.4">
      <c r="B23" s="102"/>
      <c r="C23" s="86"/>
      <c r="D23" s="242" t="s">
        <v>109</v>
      </c>
      <c r="E23" s="112">
        <f>'EDT Nueva'!F59</f>
        <v>4.2809070755957225E-2</v>
      </c>
      <c r="F23" s="105">
        <f>EDTN1013[[#This Row],[Nuevos Pesos]]*$F$18</f>
        <v>9.7251294942925295E-3</v>
      </c>
      <c r="G23" s="180" t="s">
        <v>109</v>
      </c>
      <c r="H23" s="177">
        <v>-0.52499999999999991</v>
      </c>
      <c r="I23" s="177">
        <f>GETPIVOTDATA("[Measures].[Desviación B39]",$G$5,"[EDTN_PQ].[N1]","[EDTN_PQ].[N1].&amp;[Proyecto: Plan Master Tacoa]","[EDTN_PQ].[N2]","[EDTN_PQ].[N2].&amp;[Mantenimiento del Turbo Generador y Equipos Auxiliares]","[EDTN_PQ].[N3]","[EDTN_PQ].[N3].&amp;[2.9 Limpieza del sistema de lubricación y control]")</f>
        <v>-0.52499999999999991</v>
      </c>
      <c r="J23" s="177">
        <f t="shared" si="6"/>
        <v>-1.3145161327934114</v>
      </c>
      <c r="K23" s="177">
        <f t="shared" si="1"/>
        <v>0</v>
      </c>
      <c r="L23" s="177" t="e">
        <f t="shared" si="7"/>
        <v>#DIV/0!</v>
      </c>
      <c r="M23" s="177">
        <f t="shared" si="8"/>
        <v>-1.3145161327934114</v>
      </c>
      <c r="N23" s="177">
        <f t="shared" si="5"/>
        <v>9.3223255116153744E-2</v>
      </c>
      <c r="O23"/>
      <c r="P23"/>
      <c r="Q23"/>
    </row>
    <row r="24" spans="2:24" x14ac:dyDescent="0.4">
      <c r="B24" s="102"/>
      <c r="C24" s="86"/>
      <c r="D24" s="242" t="s">
        <v>112</v>
      </c>
      <c r="E24" s="112">
        <f>'EDT Nueva'!F62</f>
        <v>8.1726407806827425E-2</v>
      </c>
      <c r="F24" s="105">
        <f>EDTN1013[[#This Row],[Nuevos Pesos]]*$F$18</f>
        <v>1.8566156307285739E-2</v>
      </c>
      <c r="G24" s="180" t="s">
        <v>112</v>
      </c>
      <c r="H24" s="177">
        <v>-0.77800000000000002</v>
      </c>
      <c r="I24" s="177">
        <f>GETPIVOTDATA("[Measures].[Desviación B39]",$G$5,"[EDTN_PQ].[N1]","[EDTN_PQ].[N1].&amp;[Proyecto: Plan Master Tacoa]","[EDTN_PQ].[N2]","[EDTN_PQ].[N2].&amp;[Mantenimiento del Turbo Generador y Equipos Auxiliares]","[EDTN_PQ].[N3]","[EDTN_PQ].[N3].&amp;[2.10 Aislamiento térmico]")</f>
        <v>-0.77800000000000002</v>
      </c>
      <c r="J24" s="177">
        <f t="shared" si="6"/>
        <v>-1.9479877167871891</v>
      </c>
      <c r="K24" s="177">
        <f t="shared" si="1"/>
        <v>0</v>
      </c>
      <c r="L24" s="177" t="e">
        <f t="shared" si="7"/>
        <v>#DIV/0!</v>
      </c>
      <c r="M24" s="177">
        <f t="shared" si="8"/>
        <v>-1.9479877167871891</v>
      </c>
      <c r="N24" s="177">
        <f t="shared" si="5"/>
        <v>0.13814798567689071</v>
      </c>
      <c r="O24"/>
      <c r="P24"/>
      <c r="Q24"/>
    </row>
    <row r="25" spans="2:24" x14ac:dyDescent="0.4">
      <c r="B25" s="102"/>
      <c r="C25" s="86"/>
      <c r="D25" s="242" t="s">
        <v>115</v>
      </c>
      <c r="E25" s="112">
        <f>'EDT Nueva'!F65</f>
        <v>0.24500366121311851</v>
      </c>
      <c r="F25" s="105">
        <f>EDTN1013[[#This Row],[Nuevos Pesos]]*$F$18</f>
        <v>5.5658585664155831E-2</v>
      </c>
      <c r="G25" s="180" t="s">
        <v>115</v>
      </c>
      <c r="H25" s="177">
        <v>-3.3188507645771081E-2</v>
      </c>
      <c r="I25" s="177">
        <f>GETPIVOTDATA("[Measures].[Desviación B39]",$G$5,"[EDTN_PQ].[N1]","[EDTN_PQ].[N1].&amp;[Proyecto: Plan Master Tacoa]","[EDTN_PQ].[N2]","[EDTN_PQ].[N2].&amp;[Mantenimiento del Turbo Generador y Equipos Auxiliares]","[EDTN_PQ].[N3]","[EDTN_PQ].[N3].&amp;[2.11 Inspección y pruebas eléctricas del generador]")</f>
        <v>-3.3188507645771081E-2</v>
      </c>
      <c r="J25" s="177">
        <f t="shared" si="6"/>
        <v>-8.3098721378482995E-2</v>
      </c>
      <c r="K25" s="177">
        <f t="shared" si="1"/>
        <v>0</v>
      </c>
      <c r="L25" s="177" t="e">
        <f t="shared" si="7"/>
        <v>#DIV/0!</v>
      </c>
      <c r="M25" s="177">
        <f t="shared" si="8"/>
        <v>-8.3098721378482995E-2</v>
      </c>
      <c r="N25" s="177">
        <f t="shared" si="5"/>
        <v>5.8932204098783563E-3</v>
      </c>
      <c r="O25"/>
      <c r="P25"/>
      <c r="Q25"/>
    </row>
    <row r="26" spans="2:24" x14ac:dyDescent="0.4">
      <c r="B26" s="102"/>
      <c r="C26" s="86"/>
      <c r="D26" s="242" t="s">
        <v>118</v>
      </c>
      <c r="E26" s="112">
        <f>'EDT Nueva'!F68</f>
        <v>5.8376005576305304E-2</v>
      </c>
      <c r="F26" s="105">
        <f>EDTN1013[[#This Row],[Nuevos Pesos]]*$F$18</f>
        <v>1.3261540219489812E-2</v>
      </c>
      <c r="G26" s="180" t="s">
        <v>118</v>
      </c>
      <c r="H26" s="177">
        <v>-1</v>
      </c>
      <c r="I26" s="177">
        <f>GETPIVOTDATA("[Measures].[Desviación B39]",$G$5,"[EDTN_PQ].[N1]","[EDTN_PQ].[N1].&amp;[Proyecto: Plan Master Tacoa]","[EDTN_PQ].[N2]","[EDTN_PQ].[N2].&amp;[Mantenimiento del Turbo Generador y Equipos Auxiliares]","[EDTN_PQ].[N3]","[EDTN_PQ].[N3].&amp;[2.12 Preparación de superficie metálica y cubrimiento]")</f>
        <v>-1</v>
      </c>
      <c r="J26" s="177">
        <f t="shared" si="6"/>
        <v>-2.5038402529398316</v>
      </c>
      <c r="K26" s="177">
        <f t="shared" si="1"/>
        <v>0</v>
      </c>
      <c r="L26" s="177" t="e">
        <f t="shared" si="7"/>
        <v>#DIV/0!</v>
      </c>
      <c r="M26" s="177">
        <f t="shared" si="8"/>
        <v>-2.5038402529398316</v>
      </c>
      <c r="N26" s="177">
        <f t="shared" si="5"/>
        <v>0.17756810498315001</v>
      </c>
      <c r="O26"/>
      <c r="P26"/>
      <c r="Q26"/>
    </row>
    <row r="27" spans="2:24" x14ac:dyDescent="0.4">
      <c r="B27" s="102"/>
      <c r="C27" s="86"/>
      <c r="D27" s="242" t="s">
        <v>122</v>
      </c>
      <c r="E27" s="112">
        <f>'EDT Nueva'!F72</f>
        <v>3.5025603345783182E-2</v>
      </c>
      <c r="F27" s="105">
        <f>EDTN1013[[#This Row],[Nuevos Pesos]]*$F$18</f>
        <v>7.9569241316938873E-3</v>
      </c>
      <c r="G27" s="180" t="s">
        <v>122</v>
      </c>
      <c r="H27" s="177">
        <v>0</v>
      </c>
      <c r="I27" s="177">
        <f>GETPIVOTDATA("[Measures].[Desviación B39]",$G$5,"[EDTN_PQ].[N1]","[EDTN_PQ].[N1].&amp;[Proyecto: Plan Master Tacoa]","[EDTN_PQ].[N2]","[EDTN_PQ].[N2].&amp;[Mantenimiento del Turbo Generador y Equipos Auxiliares]","[EDTN_PQ].[N3]","[EDTN_PQ].[N3].&amp;[2.13 Mantenimiento de válvulas principales]")</f>
        <v>0</v>
      </c>
      <c r="J27" s="177">
        <f t="shared" si="6"/>
        <v>0</v>
      </c>
      <c r="K27" s="177">
        <f t="shared" si="1"/>
        <v>0</v>
      </c>
      <c r="L27" s="177" t="e">
        <f t="shared" si="7"/>
        <v>#DIV/0!</v>
      </c>
      <c r="M27" s="177">
        <f t="shared" si="8"/>
        <v>0</v>
      </c>
      <c r="N27" s="177">
        <f t="shared" si="5"/>
        <v>0</v>
      </c>
      <c r="O27"/>
      <c r="P27"/>
      <c r="Q27"/>
    </row>
    <row r="28" spans="2:24" x14ac:dyDescent="0.4">
      <c r="B28" s="102"/>
      <c r="C28" s="86"/>
      <c r="D28" s="242" t="s">
        <v>126</v>
      </c>
      <c r="E28" s="112">
        <f>'EDT Nueva'!F76</f>
        <v>8.1726407806827425E-2</v>
      </c>
      <c r="F28" s="105">
        <f>EDTN1013[[#This Row],[Nuevos Pesos]]*$F$18</f>
        <v>1.8566156307285739E-2</v>
      </c>
      <c r="G28" s="180" t="s">
        <v>209</v>
      </c>
      <c r="H28" s="177">
        <v>-0.88888888888888884</v>
      </c>
      <c r="I28" s="177">
        <f>GETPIVOTDATA("[Measures].[Desviación B39]",$G$5,"[EDTN_PQ].[N1]","[EDTN_PQ].[N1].&amp;[Proyecto: Plan Master Tacoa]","[EDTN_PQ].[N2]","[EDTN_PQ].[N2].&amp;[Mantenimiento del Turbo Generador y Equipos Auxiliares]","[EDTN_PQ].[N3]","[EDTN_PQ].[N3].&amp;[2.14 Mantenimiento de equipos auxiliares]")</f>
        <v>-0.88888888888888884</v>
      </c>
      <c r="J28" s="177">
        <f t="shared" si="6"/>
        <v>-2.2256357803909612</v>
      </c>
      <c r="K28" s="177">
        <f t="shared" si="1"/>
        <v>0</v>
      </c>
      <c r="L28" s="177" t="e">
        <f t="shared" si="7"/>
        <v>#DIV/0!</v>
      </c>
      <c r="M28" s="177">
        <f t="shared" si="8"/>
        <v>-2.2256357803909612</v>
      </c>
      <c r="N28" s="177">
        <f t="shared" si="5"/>
        <v>0.15783831554057778</v>
      </c>
      <c r="O28"/>
      <c r="P28"/>
      <c r="Q28"/>
    </row>
    <row r="29" spans="2:24" x14ac:dyDescent="0.4">
      <c r="B29" s="102"/>
      <c r="C29" s="86"/>
      <c r="D29" s="242" t="s">
        <v>133</v>
      </c>
      <c r="E29" s="112">
        <f>'EDT Nueva'!F83</f>
        <v>8.1726407806827439E-2</v>
      </c>
      <c r="F29" s="105">
        <f>EDTN1013[[#This Row],[Nuevos Pesos]]*$F$18</f>
        <v>1.8566156307285742E-2</v>
      </c>
      <c r="G29" s="180" t="s">
        <v>133</v>
      </c>
      <c r="H29" s="177">
        <v>-0.82018000000000002</v>
      </c>
      <c r="I29" s="177">
        <f>GETPIVOTDATA("[Measures].[Desviación B39]",$G$5,"[EDTN_PQ].[N1]","[EDTN_PQ].[N1].&amp;[Proyecto: Plan Master Tacoa]","[EDTN_PQ].[N2]","[EDTN_PQ].[N2].&amp;[Mantenimiento del Turbo Generador y Equipos Auxiliares]","[EDTN_PQ].[N3]","[EDTN_PQ].[N3].&amp;[2.15 Desarmado de componentes y mantenimientos]")</f>
        <v>-0.82018000000000002</v>
      </c>
      <c r="J29" s="177">
        <f t="shared" si="6"/>
        <v>-2.0535996986561913</v>
      </c>
      <c r="K29" s="177">
        <f t="shared" si="1"/>
        <v>0</v>
      </c>
      <c r="L29" s="177" t="e">
        <f t="shared" si="7"/>
        <v>#DIV/0!</v>
      </c>
      <c r="M29" s="177">
        <f t="shared" si="8"/>
        <v>-2.0535996986561913</v>
      </c>
      <c r="N29" s="177">
        <f t="shared" si="5"/>
        <v>0.14563780834508</v>
      </c>
      <c r="O29"/>
      <c r="P29"/>
      <c r="Q29"/>
    </row>
    <row r="30" spans="2:24" x14ac:dyDescent="0.4">
      <c r="B30" s="102"/>
      <c r="C30" s="86"/>
      <c r="D30" s="242" t="s">
        <v>137</v>
      </c>
      <c r="E30" s="112">
        <f>'EDT Nueva'!F87</f>
        <v>8.1726407806827425E-2</v>
      </c>
      <c r="F30" s="105">
        <f>EDTN1013[[#This Row],[Nuevos Pesos]]*$F$18</f>
        <v>1.8566156307285739E-2</v>
      </c>
      <c r="G30" s="181" t="s">
        <v>210</v>
      </c>
      <c r="H30" s="177">
        <v>-0.501</v>
      </c>
      <c r="I30" s="177">
        <f>GETPIVOTDATA("[Measures].[Desviación B39]",$G$5,"[EDTN_PQ].[N1]","[EDTN_PQ].[N1].&amp;[Proyecto: Plan Master Tacoa]","[EDTN_PQ].[N2]","[EDTN_PQ].[N2].&amp;[Mantenimiento del Turbo Generador y Equipos Auxiliares]","[EDTN_PQ].[N3]","[EDTN_PQ].[N3].&amp;[2.16 Armado y ajustes]")</f>
        <v>-0.501</v>
      </c>
      <c r="J30" s="177">
        <f t="shared" si="6"/>
        <v>-1.2544239667228556</v>
      </c>
      <c r="K30" s="177">
        <f t="shared" si="1"/>
        <v>0</v>
      </c>
      <c r="L30" s="177" t="e">
        <f t="shared" si="7"/>
        <v>#DIV/0!</v>
      </c>
      <c r="M30" s="177">
        <f t="shared" si="8"/>
        <v>-1.2544239667228556</v>
      </c>
      <c r="N30" s="177">
        <f t="shared" si="5"/>
        <v>8.8961620596558155E-2</v>
      </c>
      <c r="O30"/>
      <c r="P30"/>
      <c r="Q30"/>
    </row>
    <row r="31" spans="2:24" x14ac:dyDescent="0.4">
      <c r="B31" s="102"/>
      <c r="C31" s="86"/>
      <c r="D31" s="242" t="s">
        <v>79</v>
      </c>
      <c r="E31" s="112">
        <f>'EDT Nueva'!F91</f>
        <v>0</v>
      </c>
      <c r="F31" s="105">
        <f>EDTN1013[[#This Row],[Nuevos Pesos]]*$F$18</f>
        <v>0</v>
      </c>
      <c r="G31" s="422" t="s">
        <v>251</v>
      </c>
      <c r="H31" s="182">
        <v>0</v>
      </c>
      <c r="I31" s="182">
        <f>GETPIVOTDATA("[Measures].[Desviación B39]",$G$5,"[EDTN_PQ].[N1]","[EDTN_PQ].[N1].&amp;[Proyecto: Plan Master Tacoa]","[EDTN_PQ].[N2]","[EDTN_PQ].[N2].&amp;[Mantenimiento del Turbo Generador y Equipos Auxiliares]","[EDTN_PQ].[N3]","[EDTN_PQ].[N3].&amp;[0.0 Fin de actividades]")</f>
        <v>0</v>
      </c>
      <c r="J31" s="182">
        <f t="shared" si="6"/>
        <v>0</v>
      </c>
      <c r="K31" s="182">
        <f t="shared" si="1"/>
        <v>0</v>
      </c>
      <c r="L31" s="182" t="e">
        <f t="shared" si="7"/>
        <v>#DIV/0!</v>
      </c>
      <c r="M31" s="177">
        <f t="shared" si="8"/>
        <v>0</v>
      </c>
      <c r="N31" s="177">
        <f t="shared" si="5"/>
        <v>0</v>
      </c>
      <c r="O31"/>
      <c r="P31"/>
      <c r="Q31"/>
    </row>
    <row r="32" spans="2:24" x14ac:dyDescent="0.4">
      <c r="G32"/>
      <c r="H32"/>
      <c r="I32"/>
      <c r="J32"/>
      <c r="K32"/>
      <c r="L32"/>
      <c r="M32"/>
      <c r="N32"/>
      <c r="O32"/>
      <c r="P32"/>
      <c r="Q32"/>
    </row>
    <row r="33" spans="7:17" x14ac:dyDescent="0.4">
      <c r="G33"/>
      <c r="H33"/>
      <c r="I33"/>
      <c r="J33"/>
      <c r="K33"/>
      <c r="L33"/>
      <c r="M33"/>
      <c r="N33"/>
      <c r="O33"/>
      <c r="P33"/>
      <c r="Q33"/>
    </row>
    <row r="34" spans="7:17" x14ac:dyDescent="0.4">
      <c r="G34"/>
      <c r="H34"/>
      <c r="I34"/>
      <c r="J34"/>
      <c r="K34"/>
      <c r="L34"/>
      <c r="M34"/>
      <c r="N34"/>
      <c r="O34"/>
      <c r="P34"/>
      <c r="Q34"/>
    </row>
    <row r="35" spans="7:17" x14ac:dyDescent="0.4">
      <c r="G35"/>
      <c r="H35"/>
      <c r="I35"/>
      <c r="J35"/>
      <c r="K35"/>
      <c r="L35"/>
      <c r="M35"/>
      <c r="N35"/>
      <c r="O35"/>
      <c r="P35"/>
      <c r="Q35"/>
    </row>
    <row r="36" spans="7:17" x14ac:dyDescent="0.4">
      <c r="G36"/>
      <c r="H36"/>
      <c r="I36"/>
      <c r="J36"/>
      <c r="K36"/>
      <c r="L36"/>
      <c r="M36"/>
      <c r="N36"/>
      <c r="O36"/>
      <c r="P36"/>
      <c r="Q36"/>
    </row>
    <row r="37" spans="7:17" x14ac:dyDescent="0.4">
      <c r="G37"/>
      <c r="H37"/>
      <c r="I37"/>
      <c r="J37"/>
      <c r="K37"/>
      <c r="L37"/>
      <c r="M37"/>
      <c r="N37"/>
      <c r="O37"/>
      <c r="P37"/>
      <c r="Q37"/>
    </row>
    <row r="38" spans="7:17" x14ac:dyDescent="0.4">
      <c r="G38"/>
      <c r="H38"/>
      <c r="I38"/>
      <c r="J38"/>
      <c r="K38"/>
      <c r="L38"/>
      <c r="M38"/>
      <c r="N38"/>
      <c r="O38"/>
      <c r="P38"/>
      <c r="Q38"/>
    </row>
    <row r="39" spans="7:17" x14ac:dyDescent="0.4">
      <c r="G39"/>
      <c r="H39"/>
      <c r="I39"/>
      <c r="J39"/>
      <c r="K39"/>
      <c r="L39"/>
      <c r="M39"/>
      <c r="N39"/>
      <c r="O39"/>
      <c r="P39"/>
      <c r="Q39"/>
    </row>
    <row r="40" spans="7:17" x14ac:dyDescent="0.4">
      <c r="G40"/>
      <c r="H40"/>
      <c r="I40"/>
      <c r="J40"/>
      <c r="K40"/>
      <c r="L40"/>
      <c r="M40"/>
      <c r="N40"/>
      <c r="O40"/>
      <c r="P40"/>
      <c r="Q40"/>
    </row>
    <row r="41" spans="7:17" x14ac:dyDescent="0.4">
      <c r="G41"/>
      <c r="H41"/>
      <c r="I41"/>
      <c r="J41"/>
      <c r="K41"/>
      <c r="L41"/>
      <c r="M41"/>
      <c r="N41"/>
      <c r="O41"/>
      <c r="P41"/>
      <c r="Q41"/>
    </row>
    <row r="42" spans="7:17" x14ac:dyDescent="0.4">
      <c r="G42"/>
      <c r="H42"/>
      <c r="I42"/>
      <c r="J42"/>
      <c r="K42"/>
      <c r="L42"/>
      <c r="M42"/>
      <c r="N42"/>
      <c r="O42"/>
      <c r="P42"/>
      <c r="Q42"/>
    </row>
    <row r="43" spans="7:17" x14ac:dyDescent="0.4">
      <c r="G43"/>
      <c r="H43"/>
      <c r="I43"/>
      <c r="J43"/>
      <c r="K43"/>
      <c r="L43"/>
      <c r="M43"/>
      <c r="N43"/>
      <c r="O43"/>
      <c r="P43"/>
      <c r="Q43"/>
    </row>
    <row r="44" spans="7:17" x14ac:dyDescent="0.4">
      <c r="G44"/>
      <c r="H44"/>
      <c r="I44"/>
      <c r="J44"/>
      <c r="K44"/>
      <c r="L44"/>
      <c r="M44"/>
      <c r="N44"/>
      <c r="O44"/>
      <c r="P44"/>
      <c r="Q44"/>
    </row>
    <row r="45" spans="7:17" x14ac:dyDescent="0.4">
      <c r="G45"/>
      <c r="H45"/>
      <c r="I45"/>
      <c r="J45"/>
      <c r="K45"/>
      <c r="L45"/>
      <c r="M45"/>
      <c r="N45"/>
      <c r="O45"/>
      <c r="P45"/>
      <c r="Q45"/>
    </row>
    <row r="46" spans="7:17" x14ac:dyDescent="0.4">
      <c r="G46"/>
      <c r="H46"/>
      <c r="I46"/>
      <c r="J46"/>
      <c r="K46"/>
      <c r="L46"/>
      <c r="M46"/>
      <c r="N46"/>
      <c r="O46"/>
      <c r="P46"/>
      <c r="Q46"/>
    </row>
    <row r="47" spans="7:17" x14ac:dyDescent="0.4">
      <c r="G47"/>
      <c r="H47"/>
      <c r="I47"/>
      <c r="J47"/>
      <c r="K47"/>
      <c r="L47"/>
      <c r="M47"/>
      <c r="N47"/>
      <c r="O47"/>
      <c r="P47"/>
      <c r="Q47"/>
    </row>
    <row r="48" spans="7:17" x14ac:dyDescent="0.4">
      <c r="G48"/>
      <c r="H48"/>
      <c r="I48"/>
      <c r="J48"/>
      <c r="K48"/>
      <c r="L48"/>
      <c r="M48"/>
      <c r="N48"/>
      <c r="O48"/>
      <c r="P48"/>
      <c r="Q48"/>
    </row>
    <row r="49" spans="7:17" x14ac:dyDescent="0.4">
      <c r="G49"/>
      <c r="H49"/>
      <c r="I49"/>
      <c r="J49"/>
      <c r="K49"/>
      <c r="L49"/>
      <c r="M49"/>
      <c r="N49"/>
      <c r="O49"/>
      <c r="P49"/>
      <c r="Q49"/>
    </row>
    <row r="50" spans="7:17" x14ac:dyDescent="0.4">
      <c r="G50"/>
      <c r="H50"/>
      <c r="I50"/>
      <c r="J50"/>
      <c r="K50"/>
      <c r="L50"/>
      <c r="M50"/>
      <c r="N50"/>
      <c r="O50"/>
      <c r="P50"/>
      <c r="Q50"/>
    </row>
    <row r="51" spans="7:17" x14ac:dyDescent="0.4">
      <c r="G51"/>
      <c r="H51"/>
      <c r="I51"/>
      <c r="J51"/>
      <c r="K51"/>
      <c r="L51"/>
      <c r="M51"/>
      <c r="N51"/>
      <c r="O51"/>
      <c r="P51"/>
      <c r="Q51"/>
    </row>
    <row r="52" spans="7:17" x14ac:dyDescent="0.4">
      <c r="G52"/>
      <c r="H52"/>
      <c r="I52"/>
      <c r="J52"/>
      <c r="K52"/>
      <c r="L52"/>
      <c r="M52"/>
      <c r="N52"/>
      <c r="O52"/>
      <c r="P52"/>
      <c r="Q52"/>
    </row>
    <row r="53" spans="7:17" x14ac:dyDescent="0.4">
      <c r="G53"/>
      <c r="H53"/>
      <c r="I53"/>
      <c r="J53"/>
      <c r="K53"/>
      <c r="L53"/>
      <c r="M53"/>
      <c r="N53"/>
      <c r="O53"/>
      <c r="P53"/>
      <c r="Q53"/>
    </row>
    <row r="54" spans="7:17" x14ac:dyDescent="0.4">
      <c r="G54"/>
      <c r="H54"/>
      <c r="I54"/>
      <c r="J54"/>
      <c r="K54"/>
      <c r="L54"/>
      <c r="M54"/>
      <c r="N54"/>
      <c r="O54"/>
      <c r="P54"/>
      <c r="Q54"/>
    </row>
    <row r="55" spans="7:17" x14ac:dyDescent="0.4">
      <c r="G55"/>
      <c r="H55"/>
      <c r="I55"/>
      <c r="J55"/>
      <c r="K55"/>
      <c r="L55"/>
      <c r="M55"/>
      <c r="N55"/>
      <c r="O55"/>
      <c r="P55"/>
      <c r="Q55"/>
    </row>
    <row r="56" spans="7:17" x14ac:dyDescent="0.4">
      <c r="G56"/>
      <c r="H56"/>
      <c r="I56"/>
      <c r="J56"/>
      <c r="K56"/>
      <c r="L56"/>
      <c r="M56"/>
      <c r="N56"/>
      <c r="O56"/>
      <c r="P56"/>
      <c r="Q56"/>
    </row>
    <row r="57" spans="7:17" x14ac:dyDescent="0.4">
      <c r="G57"/>
      <c r="H57"/>
      <c r="I57"/>
      <c r="J57"/>
      <c r="K57"/>
      <c r="L57"/>
      <c r="M57"/>
      <c r="N57"/>
      <c r="O57"/>
      <c r="P57"/>
      <c r="Q57"/>
    </row>
    <row r="58" spans="7:17" x14ac:dyDescent="0.4">
      <c r="G58"/>
      <c r="H58"/>
      <c r="I58"/>
      <c r="J58"/>
      <c r="K58"/>
      <c r="L58"/>
      <c r="M58"/>
      <c r="N58"/>
      <c r="O58"/>
      <c r="P58"/>
      <c r="Q58"/>
    </row>
    <row r="59" spans="7:17" x14ac:dyDescent="0.4">
      <c r="G59"/>
      <c r="H59"/>
      <c r="I59"/>
      <c r="J59"/>
      <c r="K59"/>
      <c r="L59"/>
      <c r="M59"/>
      <c r="N59"/>
      <c r="O59"/>
      <c r="P59"/>
      <c r="Q59"/>
    </row>
    <row r="60" spans="7:17" x14ac:dyDescent="0.4">
      <c r="G60"/>
      <c r="H60"/>
      <c r="I60"/>
      <c r="J60"/>
      <c r="K60"/>
      <c r="L60"/>
      <c r="M60"/>
      <c r="N60"/>
      <c r="O60"/>
      <c r="P60"/>
      <c r="Q60"/>
    </row>
    <row r="61" spans="7:17" x14ac:dyDescent="0.4">
      <c r="G61"/>
      <c r="H61"/>
      <c r="I61"/>
      <c r="J61"/>
      <c r="K61"/>
      <c r="L61"/>
      <c r="M61"/>
      <c r="N61"/>
      <c r="O61"/>
      <c r="P61"/>
      <c r="Q61"/>
    </row>
    <row r="62" spans="7:17" x14ac:dyDescent="0.4">
      <c r="G62"/>
      <c r="H62"/>
      <c r="I62"/>
      <c r="J62"/>
      <c r="K62"/>
      <c r="L62"/>
      <c r="M62"/>
      <c r="N62"/>
      <c r="O62"/>
      <c r="P62"/>
      <c r="Q62"/>
    </row>
    <row r="63" spans="7:17" x14ac:dyDescent="0.4">
      <c r="G63"/>
      <c r="H63"/>
      <c r="I63"/>
      <c r="J63"/>
      <c r="K63"/>
      <c r="L63"/>
      <c r="M63"/>
      <c r="N63"/>
      <c r="O63"/>
      <c r="P63"/>
      <c r="Q63"/>
    </row>
    <row r="64" spans="7:17" x14ac:dyDescent="0.4">
      <c r="G64"/>
      <c r="H64"/>
      <c r="I64"/>
      <c r="J64"/>
      <c r="K64"/>
      <c r="L64"/>
      <c r="M64"/>
      <c r="N64"/>
      <c r="O64"/>
      <c r="P64"/>
      <c r="Q64"/>
    </row>
    <row r="65" spans="7:17" x14ac:dyDescent="0.4">
      <c r="G65"/>
      <c r="H65"/>
      <c r="I65"/>
      <c r="J65"/>
      <c r="K65"/>
      <c r="L65"/>
      <c r="M65"/>
      <c r="N65"/>
      <c r="O65"/>
      <c r="P65"/>
      <c r="Q65"/>
    </row>
    <row r="66" spans="7:17" x14ac:dyDescent="0.4">
      <c r="G66"/>
      <c r="H66"/>
      <c r="I66"/>
      <c r="J66"/>
      <c r="K66"/>
      <c r="L66"/>
      <c r="M66"/>
      <c r="N66"/>
      <c r="O66"/>
      <c r="P66"/>
      <c r="Q66"/>
    </row>
    <row r="67" spans="7:17" x14ac:dyDescent="0.4">
      <c r="G67"/>
      <c r="H67"/>
      <c r="I67"/>
      <c r="J67"/>
      <c r="K67"/>
      <c r="L67"/>
      <c r="M67"/>
      <c r="N67"/>
      <c r="O67"/>
      <c r="P67"/>
      <c r="Q67"/>
    </row>
    <row r="68" spans="7:17" x14ac:dyDescent="0.4">
      <c r="G68"/>
      <c r="H68"/>
      <c r="I68"/>
      <c r="J68"/>
      <c r="K68"/>
      <c r="L68"/>
      <c r="M68"/>
      <c r="N68"/>
      <c r="O68"/>
      <c r="P68"/>
      <c r="Q68"/>
    </row>
    <row r="69" spans="7:17" x14ac:dyDescent="0.4">
      <c r="G69"/>
      <c r="H69"/>
      <c r="I69"/>
      <c r="J69"/>
      <c r="K69"/>
      <c r="L69"/>
      <c r="M69"/>
      <c r="N69"/>
      <c r="O69"/>
      <c r="P69"/>
      <c r="Q69"/>
    </row>
    <row r="70" spans="7:17" x14ac:dyDescent="0.4">
      <c r="G70"/>
      <c r="H70"/>
      <c r="I70"/>
      <c r="J70"/>
      <c r="K70"/>
      <c r="L70"/>
      <c r="M70"/>
      <c r="N70"/>
      <c r="O70"/>
      <c r="P70"/>
      <c r="Q70"/>
    </row>
    <row r="71" spans="7:17" x14ac:dyDescent="0.4">
      <c r="G71"/>
      <c r="H71"/>
      <c r="I71"/>
      <c r="J71"/>
      <c r="K71"/>
      <c r="L71"/>
      <c r="M71"/>
      <c r="N71"/>
      <c r="O71"/>
      <c r="P71"/>
      <c r="Q71"/>
    </row>
    <row r="72" spans="7:17" x14ac:dyDescent="0.4">
      <c r="G72"/>
      <c r="H72"/>
      <c r="I72"/>
      <c r="J72"/>
      <c r="K72"/>
      <c r="L72"/>
      <c r="M72"/>
      <c r="N72"/>
      <c r="O72"/>
      <c r="P72"/>
      <c r="Q72"/>
    </row>
    <row r="73" spans="7:17" x14ac:dyDescent="0.4">
      <c r="G73"/>
      <c r="H73"/>
      <c r="I73"/>
      <c r="J73"/>
      <c r="K73"/>
      <c r="L73"/>
      <c r="M73"/>
      <c r="N73"/>
      <c r="O73"/>
      <c r="P73"/>
      <c r="Q73"/>
    </row>
    <row r="74" spans="7:17" x14ac:dyDescent="0.4">
      <c r="G74"/>
      <c r="H74"/>
      <c r="I74"/>
      <c r="J74"/>
      <c r="K74"/>
      <c r="L74"/>
      <c r="M74"/>
      <c r="N74"/>
      <c r="O74"/>
      <c r="P74"/>
      <c r="Q74"/>
    </row>
    <row r="75" spans="7:17" x14ac:dyDescent="0.4">
      <c r="G75"/>
      <c r="H75"/>
      <c r="I75"/>
      <c r="J75"/>
      <c r="K75"/>
      <c r="L75"/>
      <c r="M75"/>
      <c r="N75"/>
      <c r="O75"/>
      <c r="P75"/>
      <c r="Q75"/>
    </row>
    <row r="76" spans="7:17" x14ac:dyDescent="0.4">
      <c r="G76"/>
      <c r="H76"/>
      <c r="I76"/>
      <c r="J76"/>
      <c r="K76"/>
      <c r="L76"/>
      <c r="M76"/>
      <c r="N76"/>
      <c r="O76"/>
      <c r="P76"/>
      <c r="Q76"/>
    </row>
    <row r="77" spans="7:17" x14ac:dyDescent="0.4">
      <c r="G77"/>
      <c r="H77"/>
      <c r="I77"/>
      <c r="J77"/>
      <c r="K77"/>
      <c r="L77"/>
      <c r="M77"/>
      <c r="N77"/>
      <c r="O77"/>
      <c r="P77"/>
      <c r="Q77"/>
    </row>
    <row r="78" spans="7:17" x14ac:dyDescent="0.4">
      <c r="G78"/>
      <c r="H78"/>
      <c r="I78"/>
      <c r="J78"/>
      <c r="K78"/>
      <c r="L78"/>
      <c r="M78"/>
      <c r="N78"/>
      <c r="O78"/>
      <c r="P78"/>
      <c r="Q78"/>
    </row>
    <row r="79" spans="7:17" x14ac:dyDescent="0.4">
      <c r="G79"/>
      <c r="H79"/>
      <c r="I79"/>
      <c r="J79"/>
      <c r="K79"/>
      <c r="L79"/>
      <c r="M79"/>
      <c r="N79"/>
      <c r="O79"/>
      <c r="P79"/>
      <c r="Q79"/>
    </row>
    <row r="80" spans="7:17" x14ac:dyDescent="0.4">
      <c r="G80"/>
      <c r="H80"/>
      <c r="I80"/>
      <c r="J80"/>
      <c r="K80"/>
      <c r="L80"/>
      <c r="M80"/>
      <c r="N80"/>
      <c r="O80"/>
      <c r="P80"/>
      <c r="Q80"/>
    </row>
    <row r="81" spans="7:17" x14ac:dyDescent="0.4">
      <c r="G81"/>
      <c r="H81"/>
      <c r="I81"/>
      <c r="J81"/>
      <c r="K81"/>
      <c r="L81"/>
      <c r="M81"/>
      <c r="N81"/>
      <c r="O81"/>
      <c r="P81"/>
      <c r="Q81"/>
    </row>
    <row r="82" spans="7:17" x14ac:dyDescent="0.4">
      <c r="G82"/>
      <c r="H82"/>
      <c r="I82"/>
      <c r="J82"/>
      <c r="K82"/>
      <c r="L82"/>
      <c r="M82"/>
      <c r="N82"/>
      <c r="O82"/>
      <c r="P82"/>
      <c r="Q82"/>
    </row>
    <row r="83" spans="7:17" x14ac:dyDescent="0.4">
      <c r="G83"/>
      <c r="H83"/>
      <c r="I83"/>
      <c r="J83"/>
      <c r="K83"/>
      <c r="L83"/>
      <c r="M83"/>
      <c r="N83"/>
      <c r="O83"/>
      <c r="P83"/>
      <c r="Q83"/>
    </row>
    <row r="84" spans="7:17" x14ac:dyDescent="0.4">
      <c r="G84"/>
      <c r="H84"/>
      <c r="I84"/>
      <c r="J84"/>
      <c r="K84"/>
      <c r="L84"/>
      <c r="M84"/>
      <c r="N84"/>
      <c r="O84"/>
      <c r="P84"/>
      <c r="Q84"/>
    </row>
    <row r="85" spans="7:17" x14ac:dyDescent="0.4">
      <c r="G85"/>
      <c r="H85"/>
      <c r="I85"/>
      <c r="J85"/>
      <c r="K85"/>
      <c r="L85"/>
      <c r="M85"/>
      <c r="N85"/>
      <c r="O85"/>
      <c r="P85"/>
      <c r="Q85"/>
    </row>
    <row r="86" spans="7:17" x14ac:dyDescent="0.4">
      <c r="G86"/>
      <c r="H86"/>
      <c r="I86"/>
      <c r="J86"/>
      <c r="K86"/>
      <c r="L86"/>
      <c r="M86"/>
      <c r="N86"/>
      <c r="O86"/>
      <c r="P86"/>
      <c r="Q86"/>
    </row>
    <row r="87" spans="7:17" x14ac:dyDescent="0.4">
      <c r="G87"/>
      <c r="H87"/>
      <c r="I87"/>
      <c r="J87"/>
      <c r="K87"/>
      <c r="L87"/>
      <c r="M87"/>
      <c r="N87"/>
      <c r="O87"/>
      <c r="P87"/>
      <c r="Q87"/>
    </row>
    <row r="88" spans="7:17" x14ac:dyDescent="0.4">
      <c r="G88"/>
      <c r="H88"/>
      <c r="I88"/>
      <c r="J88"/>
      <c r="K88"/>
      <c r="L88"/>
      <c r="M88"/>
      <c r="N88"/>
      <c r="O88"/>
      <c r="P88"/>
      <c r="Q88"/>
    </row>
    <row r="89" spans="7:17" x14ac:dyDescent="0.4">
      <c r="G89"/>
      <c r="H89"/>
      <c r="I89"/>
      <c r="J89"/>
      <c r="K89"/>
      <c r="L89"/>
      <c r="M89"/>
      <c r="N89"/>
      <c r="O89"/>
      <c r="P89"/>
      <c r="Q89"/>
    </row>
    <row r="90" spans="7:17" x14ac:dyDescent="0.4">
      <c r="G90"/>
      <c r="H90"/>
      <c r="I90"/>
      <c r="J90"/>
      <c r="K90"/>
      <c r="L90"/>
      <c r="M90"/>
      <c r="N90"/>
      <c r="O90"/>
      <c r="P90"/>
      <c r="Q90"/>
    </row>
    <row r="91" spans="7:17" x14ac:dyDescent="0.4">
      <c r="G91"/>
      <c r="H91"/>
      <c r="I91"/>
      <c r="J91"/>
      <c r="K91"/>
      <c r="L91"/>
      <c r="M91"/>
      <c r="N91"/>
      <c r="O91"/>
      <c r="P91"/>
      <c r="Q91"/>
    </row>
    <row r="92" spans="7:17" x14ac:dyDescent="0.4">
      <c r="G92"/>
      <c r="H92"/>
      <c r="I92"/>
      <c r="J92"/>
      <c r="K92"/>
      <c r="L92"/>
      <c r="M92"/>
      <c r="N92"/>
      <c r="O92"/>
      <c r="P92"/>
      <c r="Q92"/>
    </row>
    <row r="93" spans="7:17" x14ac:dyDescent="0.4">
      <c r="G93"/>
      <c r="H93"/>
      <c r="I93"/>
      <c r="J93"/>
      <c r="K93"/>
      <c r="L93"/>
      <c r="M93"/>
      <c r="N93"/>
      <c r="O93"/>
      <c r="P93"/>
      <c r="Q93"/>
    </row>
    <row r="94" spans="7:17" x14ac:dyDescent="0.4">
      <c r="G94"/>
      <c r="H94"/>
      <c r="I94"/>
      <c r="J94"/>
      <c r="K94"/>
      <c r="L94"/>
      <c r="M94"/>
      <c r="N94"/>
      <c r="O94"/>
      <c r="P94"/>
      <c r="Q94"/>
    </row>
  </sheetData>
  <mergeCells count="6">
    <mergeCell ref="A1:AC1"/>
    <mergeCell ref="M3:N4"/>
    <mergeCell ref="E3:E4"/>
    <mergeCell ref="H3:I4"/>
    <mergeCell ref="J3:J4"/>
    <mergeCell ref="K3:L4"/>
  </mergeCells>
  <pageMargins left="0.7" right="0.7" top="0.75" bottom="0.75" header="0.3" footer="0.3"/>
  <pageSetup paperSize="9" orientation="portrait" horizontalDpi="0" verticalDpi="0" r:id="rId2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3" id="{C8BE6D25-2E01-4E1E-8065-61DB2570F240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H6:H31</xm:sqref>
        </x14:conditionalFormatting>
      </x14:conditionalFormattings>
    </ex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A099-7A70-4E01-B4F0-FEA7C41DE3B6}">
  <sheetPr>
    <tabColor theme="9" tint="0.79998168889431442"/>
  </sheetPr>
  <dimension ref="A1:XFD77"/>
  <sheetViews>
    <sheetView showGridLines="0" topLeftCell="A16" zoomScaleNormal="100" workbookViewId="0">
      <selection activeCell="J30" activeCellId="8" sqref="N3:Q4 N12:Q13 N21:Q22 J21:M22 F21:I22 B21:E22 B30:E31 F30:I31 J30:M31"/>
    </sheetView>
  </sheetViews>
  <sheetFormatPr baseColWidth="10" defaultColWidth="11.5546875" defaultRowHeight="14.4" x14ac:dyDescent="0.3"/>
  <cols>
    <col min="2" max="2" width="4.6640625" customWidth="1"/>
    <col min="3" max="4" width="12.6640625" customWidth="1"/>
    <col min="5" max="6" width="4.6640625" customWidth="1"/>
    <col min="7" max="8" width="12.6640625" customWidth="1"/>
    <col min="9" max="10" width="4.6640625" customWidth="1"/>
    <col min="11" max="12" width="12.6640625" customWidth="1"/>
    <col min="13" max="14" width="4.6640625" customWidth="1"/>
    <col min="15" max="16" width="12.6640625" customWidth="1"/>
    <col min="17" max="17" width="4.6640625" customWidth="1"/>
  </cols>
  <sheetData>
    <row r="1" spans="1:25" ht="16.2" customHeight="1" x14ac:dyDescent="0.3">
      <c r="A1" s="471" t="s">
        <v>233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1"/>
      <c r="W1" s="471"/>
      <c r="X1" s="471"/>
      <c r="Y1" s="471"/>
    </row>
    <row r="2" spans="1:25" x14ac:dyDescent="0.3">
      <c r="R2" s="118"/>
      <c r="S2" s="118"/>
      <c r="T2" s="118"/>
    </row>
    <row r="3" spans="1:25" ht="15.6" customHeight="1" x14ac:dyDescent="0.3">
      <c r="B3" s="91"/>
      <c r="C3" s="89"/>
      <c r="D3" s="89"/>
      <c r="E3" s="89"/>
      <c r="F3" s="91"/>
      <c r="G3" s="89"/>
      <c r="H3" s="89"/>
      <c r="I3" s="89"/>
      <c r="J3" s="89"/>
      <c r="K3" s="89"/>
      <c r="L3" s="89"/>
      <c r="M3" s="89"/>
      <c r="N3" s="493" t="str" vm="3">
        <f>CUBEMEMBER("ThisWorkbookDataModel","[EDTN_PQ].[N3].&amp;[1.1 Reparación de expansiones metálicas]")</f>
        <v>1.1 Reparación de expansiones metálicas</v>
      </c>
      <c r="O3" s="494"/>
      <c r="P3" s="494"/>
      <c r="Q3" s="495"/>
      <c r="R3" s="115"/>
      <c r="S3" s="503" t="str" vm="1">
        <f>CUBEMEMBER("ThisWorkbookDataModel","[EDTN_PQ].[N2].&amp;[Mantenimiento del Generador de Vapor (Caldera) y Equipos Auxiliares]")</f>
        <v>Mantenimiento del Generador de Vapor (Caldera) y Equipos Auxiliares</v>
      </c>
      <c r="T3" s="504"/>
      <c r="U3" s="504"/>
      <c r="V3" s="504"/>
      <c r="W3" s="504"/>
      <c r="X3" s="504"/>
      <c r="Y3" s="504"/>
    </row>
    <row r="4" spans="1:25" x14ac:dyDescent="0.3">
      <c r="B4" s="92"/>
      <c r="F4" s="92"/>
      <c r="N4" s="496"/>
      <c r="O4" s="497"/>
      <c r="P4" s="497"/>
      <c r="Q4" s="498"/>
      <c r="R4" s="115"/>
      <c r="S4" s="309" t="s">
        <v>240</v>
      </c>
      <c r="T4" s="309" t="s">
        <v>231</v>
      </c>
      <c r="U4" s="309" t="s">
        <v>230</v>
      </c>
      <c r="V4" s="309" t="s">
        <v>229</v>
      </c>
    </row>
    <row r="5" spans="1:25" x14ac:dyDescent="0.3">
      <c r="B5" s="92"/>
      <c r="F5" s="92"/>
      <c r="N5" s="92"/>
      <c r="Q5" s="88"/>
      <c r="R5" s="115"/>
      <c r="S5" s="115">
        <v>0</v>
      </c>
      <c r="T5" s="115" vm="45">
        <f>CUBEVALUE("ThisWorkbookDataModel","[Measures].[Avance plan B39 base 100 Acumulado Semanal]",SegmentaciónDeDatos_Calendario,S3)</f>
        <v>1</v>
      </c>
      <c r="U5" s="115" vm="40">
        <f>CUBEVALUE("ThisWorkbookDataModel","[Measures].[Avance real B39 base 100 Acumulado Semanal]",SegmentaciónDeDatos_Calendario,S3)</f>
        <v>0.83791403436868095</v>
      </c>
      <c r="V5" s="39">
        <f>U5-T5</f>
        <v>-0.16208596563131905</v>
      </c>
    </row>
    <row r="6" spans="1:25" x14ac:dyDescent="0.3">
      <c r="B6" s="92"/>
      <c r="F6" s="92"/>
      <c r="N6" s="92"/>
      <c r="O6" s="116" t="s">
        <v>243</v>
      </c>
      <c r="P6" s="139" vm="104">
        <f>CUBEVALUE("ThisWorkbookDataModel","[Measures].[Avance Plan B39 base 100 Acumulado Semanal]",SegmentaciónDeDatos_Calendario,N3)</f>
        <v>1</v>
      </c>
      <c r="Q6" s="88"/>
      <c r="S6" s="115" vm="45">
        <f>T5</f>
        <v>1</v>
      </c>
      <c r="T6" s="115">
        <f>T7-T5</f>
        <v>0</v>
      </c>
      <c r="U6" s="115">
        <f>U7-U5</f>
        <v>0.16208596563131905</v>
      </c>
    </row>
    <row r="7" spans="1:25" x14ac:dyDescent="0.3">
      <c r="B7" s="92"/>
      <c r="F7" s="92"/>
      <c r="N7" s="92"/>
      <c r="O7" s="116" t="s">
        <v>244</v>
      </c>
      <c r="P7" s="139" vm="86">
        <f>CUBEVALUE("ThisWorkbookDataModel","[Measures].[Avance Real B39 base 100 Acumulado Semanal]",SegmentaciónDeDatos_Calendario,N3)</f>
        <v>0.90862068965517251</v>
      </c>
      <c r="Q7" s="88"/>
      <c r="R7" s="119"/>
      <c r="S7" s="115">
        <v>1</v>
      </c>
      <c r="T7" s="115">
        <v>1</v>
      </c>
      <c r="U7" s="115">
        <v>1</v>
      </c>
    </row>
    <row r="8" spans="1:25" x14ac:dyDescent="0.3">
      <c r="B8" s="92"/>
      <c r="F8" s="92"/>
      <c r="N8" s="92"/>
      <c r="O8" s="116" t="s">
        <v>245</v>
      </c>
      <c r="P8" s="139">
        <f>P7-P6</f>
        <v>-9.1379310344827491E-2</v>
      </c>
      <c r="Q8" s="88"/>
      <c r="R8" s="120"/>
    </row>
    <row r="9" spans="1:25" x14ac:dyDescent="0.3">
      <c r="B9" s="92"/>
      <c r="F9" s="92"/>
      <c r="N9" s="92"/>
      <c r="O9" s="485" t="s">
        <v>246</v>
      </c>
      <c r="P9" s="499" vm="49">
        <f>CUBEVALUE("ThisWorkbookDataModel","[Measures].[Aporte a la Desviación B39]",SegmentaciónDeDatos_Calendario,N3)</f>
        <v>-1.596193818663413E-2</v>
      </c>
      <c r="Q9" s="88"/>
      <c r="R9" s="120"/>
      <c r="S9" s="119"/>
      <c r="T9" s="310" t="s">
        <v>241</v>
      </c>
      <c r="U9" s="310" t="s">
        <v>242</v>
      </c>
    </row>
    <row r="10" spans="1:25" x14ac:dyDescent="0.3">
      <c r="B10" s="92"/>
      <c r="F10" s="92"/>
      <c r="N10" s="92"/>
      <c r="O10" s="485"/>
      <c r="P10" s="499"/>
      <c r="Q10" s="88"/>
      <c r="S10" s="311">
        <v>1</v>
      </c>
      <c r="T10" s="119">
        <v>0</v>
      </c>
      <c r="U10" s="119">
        <v>0</v>
      </c>
    </row>
    <row r="11" spans="1:25" x14ac:dyDescent="0.3">
      <c r="B11" s="92"/>
      <c r="F11" s="92"/>
      <c r="N11" s="95"/>
      <c r="O11" s="93"/>
      <c r="P11" s="93"/>
      <c r="Q11" s="94"/>
      <c r="S11" s="311">
        <v>2</v>
      </c>
      <c r="T11" s="119">
        <f>-COS(U5*PI())</f>
        <v>0.87313083181266915</v>
      </c>
      <c r="U11" s="119">
        <f>SIN(PI()*U5)</f>
        <v>0.48748594906737208</v>
      </c>
    </row>
    <row r="12" spans="1:25" x14ac:dyDescent="0.3">
      <c r="B12" s="92"/>
      <c r="F12" s="92"/>
      <c r="N12" s="493" t="str" vm="4">
        <f>CUBEMEMBER("ThisWorkbookDataModel","[EDTN_PQ].[N3].&amp;[1.2 Reemplazo de tubos de gas]")</f>
        <v>1.2 Reemplazo de tubos de gas</v>
      </c>
      <c r="O12" s="494"/>
      <c r="P12" s="494"/>
      <c r="Q12" s="495"/>
    </row>
    <row r="13" spans="1:25" x14ac:dyDescent="0.3">
      <c r="B13" s="92"/>
      <c r="F13" s="92"/>
      <c r="N13" s="496"/>
      <c r="O13" s="497"/>
      <c r="P13" s="497"/>
      <c r="Q13" s="498"/>
    </row>
    <row r="14" spans="1:25" x14ac:dyDescent="0.3">
      <c r="B14" s="92"/>
      <c r="C14" s="117" t="s">
        <v>245</v>
      </c>
      <c r="D14" s="39">
        <f>V5</f>
        <v>-0.16208596563131905</v>
      </c>
      <c r="F14" s="92"/>
      <c r="N14" s="92"/>
      <c r="Q14" s="88"/>
    </row>
    <row r="15" spans="1:25" x14ac:dyDescent="0.3">
      <c r="B15" s="92"/>
      <c r="C15" s="117" t="s">
        <v>247</v>
      </c>
      <c r="D15" vm="38">
        <f>CUBEVALUE("ThisWorkbookDataModel","[Measures].[Aporte a la Desviación B39]",S3,SegmentaciónDeDatos_Calendario)</f>
        <v>-0.12526416648603697</v>
      </c>
      <c r="E15" s="141"/>
      <c r="F15" s="146"/>
      <c r="N15" s="92"/>
      <c r="O15" s="116" t="s">
        <v>243</v>
      </c>
      <c r="P15" s="139" vm="107">
        <f>CUBEVALUE("ThisWorkbookDataModel","[Measures].[Avance Plan B39 base 100 Acumulado Semanal]",SegmentaciónDeDatos_Calendario,N12)</f>
        <v>1</v>
      </c>
      <c r="Q15" s="88"/>
    </row>
    <row r="16" spans="1:25" x14ac:dyDescent="0.3">
      <c r="B16" s="92"/>
      <c r="C16" s="117" t="s">
        <v>248</v>
      </c>
      <c r="D16" vm="39">
        <f>CUBEVALUE("ThisWorkbookDataModel","[Measures].[Avance Real B39 Periodo (2 sem)]",SegmentaciónDeDatos_Calendario,S3)</f>
        <v>2.953704908107313E-3</v>
      </c>
      <c r="E16" s="141"/>
      <c r="F16" s="146"/>
      <c r="N16" s="92"/>
      <c r="O16" s="116" t="s">
        <v>244</v>
      </c>
      <c r="P16" s="139" vm="109">
        <f>CUBEVALUE("ThisWorkbookDataModel","[Measures].[Avance Real B39 base 100 Acumulado Semanal]",SegmentaciónDeDatos_Calendario,N12)</f>
        <v>1</v>
      </c>
      <c r="Q16" s="88"/>
    </row>
    <row r="17" spans="2:17" x14ac:dyDescent="0.3">
      <c r="B17" s="92"/>
      <c r="F17" s="92"/>
      <c r="N17" s="92"/>
      <c r="O17" s="116" t="s">
        <v>245</v>
      </c>
      <c r="P17" s="139">
        <f>P16-P15</f>
        <v>0</v>
      </c>
      <c r="Q17" s="88"/>
    </row>
    <row r="18" spans="2:17" x14ac:dyDescent="0.3">
      <c r="B18" s="92"/>
      <c r="F18" s="92"/>
      <c r="N18" s="92"/>
      <c r="O18" s="485" t="s">
        <v>246</v>
      </c>
      <c r="P18" s="499" vm="93">
        <f>CUBEVALUE("ThisWorkbookDataModel","[Measures].[Aporte a la Desviación B39]",SegmentaciónDeDatos_Calendario,N12)</f>
        <v>0</v>
      </c>
      <c r="Q18" s="88"/>
    </row>
    <row r="19" spans="2:17" x14ac:dyDescent="0.3">
      <c r="B19" s="92"/>
      <c r="F19" s="92"/>
      <c r="N19" s="92"/>
      <c r="O19" s="485"/>
      <c r="P19" s="499"/>
      <c r="Q19" s="88"/>
    </row>
    <row r="20" spans="2:17" x14ac:dyDescent="0.3">
      <c r="B20" s="95"/>
      <c r="C20" s="93"/>
      <c r="D20" s="93"/>
      <c r="E20" s="93"/>
      <c r="F20" s="95"/>
      <c r="G20" s="93"/>
      <c r="H20" s="93"/>
      <c r="I20" s="93"/>
      <c r="J20" s="93"/>
      <c r="K20" s="93"/>
      <c r="L20" s="93"/>
      <c r="M20" s="93"/>
      <c r="N20" s="95"/>
      <c r="O20" s="93"/>
      <c r="P20" s="93"/>
      <c r="Q20" s="94"/>
    </row>
    <row r="21" spans="2:17" x14ac:dyDescent="0.3">
      <c r="B21" s="493" t="str" vm="5">
        <f>CUBEMEMBER("ThisWorkbookDataModel","[EDTN_PQ].[N3].&amp;[1.3 Reparación envoltura metálica]")</f>
        <v>1.3 Reparación envoltura metálica</v>
      </c>
      <c r="C21" s="494"/>
      <c r="D21" s="494"/>
      <c r="E21" s="495"/>
      <c r="F21" s="493" t="str" vm="6">
        <f>CUBEMEMBER("ThisWorkbookDataModel","[EDTN_PQ].[N3].&amp;[1.4 Reparación de cámaras muertas]")</f>
        <v>1.4 Reparación de cámaras muertas</v>
      </c>
      <c r="G21" s="494"/>
      <c r="H21" s="494"/>
      <c r="I21" s="495"/>
      <c r="J21" s="493" t="str" vm="7">
        <f>CUBEMEMBER("ThisWorkbookDataModel","[EDTN_PQ].[N3].&amp;[1.5 Reparación ductos de aire y gas]")</f>
        <v>1.5 Reparación ductos de aire y gas</v>
      </c>
      <c r="K21" s="494"/>
      <c r="L21" s="494"/>
      <c r="M21" s="495"/>
      <c r="N21" s="493" t="str" vm="8">
        <f>CUBEMEMBER("ThisWorkbookDataModel","[EDTN_PQ].[N3].&amp;[1.6 Reemplazo de tuberías ácido y soda]")</f>
        <v>1.6 Reemplazo de tuberías ácido y soda</v>
      </c>
      <c r="O21" s="494"/>
      <c r="P21" s="494"/>
      <c r="Q21" s="495"/>
    </row>
    <row r="22" spans="2:17" x14ac:dyDescent="0.3">
      <c r="B22" s="496"/>
      <c r="C22" s="497"/>
      <c r="D22" s="497"/>
      <c r="E22" s="498"/>
      <c r="F22" s="496"/>
      <c r="G22" s="497"/>
      <c r="H22" s="497"/>
      <c r="I22" s="498"/>
      <c r="J22" s="496"/>
      <c r="K22" s="497"/>
      <c r="L22" s="497"/>
      <c r="M22" s="498"/>
      <c r="N22" s="496"/>
      <c r="O22" s="497"/>
      <c r="P22" s="497"/>
      <c r="Q22" s="498"/>
    </row>
    <row r="23" spans="2:17" x14ac:dyDescent="0.3">
      <c r="B23" s="92"/>
      <c r="E23" s="88"/>
      <c r="F23" s="92"/>
      <c r="I23" s="88"/>
      <c r="J23" s="92"/>
      <c r="M23" s="88"/>
      <c r="N23" s="92"/>
      <c r="Q23" s="88"/>
    </row>
    <row r="24" spans="2:17" x14ac:dyDescent="0.3">
      <c r="B24" s="92"/>
      <c r="C24" s="116" t="s">
        <v>243</v>
      </c>
      <c r="D24" s="139" vm="108">
        <f>CUBEVALUE("ThisWorkbookDataModel","[Measures].[Avance Plan B39 base 100 Acumulado Semanal]",SegmentaciónDeDatos_Calendario,B21)</f>
        <v>1</v>
      </c>
      <c r="E24" s="88"/>
      <c r="F24" s="92"/>
      <c r="G24" s="116" t="s">
        <v>243</v>
      </c>
      <c r="H24" s="139" vm="83">
        <f>CUBEVALUE("ThisWorkbookDataModel","[Measures].[Avance Plan B39 base 100 Acumulado Semanal]",SegmentaciónDeDatos_Calendario,F21)</f>
        <v>1</v>
      </c>
      <c r="I24" s="88"/>
      <c r="J24" s="92"/>
      <c r="K24" s="116" t="s">
        <v>243</v>
      </c>
      <c r="L24" s="139" vm="75">
        <f>CUBEVALUE("ThisWorkbookDataModel","[Measures].[Avance Plan B39 base 100 Acumulado Semanal]",SegmentaciónDeDatos_Calendario,J21)</f>
        <v>1</v>
      </c>
      <c r="M24" s="88"/>
      <c r="N24" s="92"/>
      <c r="O24" s="116" t="s">
        <v>243</v>
      </c>
      <c r="P24" s="139" vm="63">
        <f>CUBEVALUE("ThisWorkbookDataModel","[Measures].[Avance Plan B39 base 100 Acumulado Semanal]",SegmentaciónDeDatos_Calendario,N21)</f>
        <v>1</v>
      </c>
      <c r="Q24" s="88"/>
    </row>
    <row r="25" spans="2:17" x14ac:dyDescent="0.3">
      <c r="B25" s="92"/>
      <c r="C25" s="116" t="s">
        <v>244</v>
      </c>
      <c r="D25" s="139" vm="70">
        <f>CUBEVALUE("ThisWorkbookDataModel","[Measures].[Avance Real B39 base 100 Acumulado Semanal]",SegmentaciónDeDatos_Calendario,B21)</f>
        <v>0.84</v>
      </c>
      <c r="E25" s="88"/>
      <c r="F25" s="92"/>
      <c r="G25" s="116" t="s">
        <v>244</v>
      </c>
      <c r="H25" s="139" vm="105">
        <f>CUBEVALUE("ThisWorkbookDataModel","[Measures].[Avance Real B39 base 100 Acumulado Semanal]",SegmentaciónDeDatos_Calendario,F21)</f>
        <v>0.90800000000000014</v>
      </c>
      <c r="I25" s="88"/>
      <c r="J25" s="92"/>
      <c r="K25" s="116" t="s">
        <v>244</v>
      </c>
      <c r="L25" s="139" vm="84">
        <f>CUBEVALUE("ThisWorkbookDataModel","[Measures].[Avance Real B39 base 100 Acumulado Semanal]",SegmentaciónDeDatos_Calendario,J21)</f>
        <v>1</v>
      </c>
      <c r="M25" s="88"/>
      <c r="N25" s="92"/>
      <c r="O25" s="116" t="s">
        <v>244</v>
      </c>
      <c r="P25" s="139" vm="89">
        <f>CUBEVALUE("ThisWorkbookDataModel","[Measures].[Avance Real B39 base 100 Acumulado Semanal]",SegmentaciónDeDatos_Calendario,N21)</f>
        <v>0</v>
      </c>
      <c r="Q25" s="88"/>
    </row>
    <row r="26" spans="2:17" x14ac:dyDescent="0.3">
      <c r="B26" s="92"/>
      <c r="C26" s="116" t="s">
        <v>245</v>
      </c>
      <c r="D26" s="139">
        <f>D25-D24</f>
        <v>-0.16000000000000003</v>
      </c>
      <c r="E26" s="88"/>
      <c r="F26" s="92"/>
      <c r="G26" s="116" t="s">
        <v>245</v>
      </c>
      <c r="H26" s="139">
        <f>H25-H24</f>
        <v>-9.199999999999986E-2</v>
      </c>
      <c r="I26" s="88"/>
      <c r="J26" s="92"/>
      <c r="K26" s="116" t="s">
        <v>245</v>
      </c>
      <c r="L26" s="139">
        <f>L25-L24</f>
        <v>0</v>
      </c>
      <c r="M26" s="88"/>
      <c r="N26" s="92"/>
      <c r="O26" s="116" t="s">
        <v>245</v>
      </c>
      <c r="P26" s="139">
        <f>P25-P24</f>
        <v>-1</v>
      </c>
      <c r="Q26" s="88"/>
    </row>
    <row r="27" spans="2:17" x14ac:dyDescent="0.3">
      <c r="B27" s="92"/>
      <c r="C27" s="485" t="s">
        <v>246</v>
      </c>
      <c r="D27" s="499" vm="111">
        <f>CUBEVALUE("ThisWorkbookDataModel","[Measures].[Aporte a la Desviación B39]",SegmentaciónDeDatos_Calendario,B21)</f>
        <v>-1.7187376604024515E-2</v>
      </c>
      <c r="E27" s="88"/>
      <c r="F27" s="92"/>
      <c r="G27" s="485" t="s">
        <v>246</v>
      </c>
      <c r="H27" s="499" vm="80">
        <f>CUBEVALUE("ThisWorkbookDataModel","[Measures].[Aporte a la Desviación B39]",SegmentaciónDeDatos_Calendario,F21)</f>
        <v>-5.5514094012422809E-3</v>
      </c>
      <c r="I27" s="88"/>
      <c r="J27" s="92"/>
      <c r="K27" s="485" t="s">
        <v>246</v>
      </c>
      <c r="L27" s="499" vm="78">
        <f>CUBEVALUE("ThisWorkbookDataModel","[Measures].[Aporte a la Desviación B39]",SegmentaciónDeDatos_Calendario,J21)</f>
        <v>0</v>
      </c>
      <c r="M27" s="88"/>
      <c r="N27" s="92"/>
      <c r="O27" s="485" t="s">
        <v>246</v>
      </c>
      <c r="P27" s="499" vm="88">
        <f>CUBEVALUE("ThisWorkbookDataModel","[Measures].[Aporte a la Desviación B39]",SegmentaciónDeDatos_Calendario,N21)</f>
        <v>-4.3884828324248823E-2</v>
      </c>
      <c r="Q27" s="88"/>
    </row>
    <row r="28" spans="2:17" x14ac:dyDescent="0.3">
      <c r="B28" s="92"/>
      <c r="C28" s="485"/>
      <c r="D28" s="499"/>
      <c r="E28" s="88"/>
      <c r="F28" s="92"/>
      <c r="G28" s="485"/>
      <c r="H28" s="499"/>
      <c r="I28" s="88"/>
      <c r="J28" s="92"/>
      <c r="K28" s="485"/>
      <c r="L28" s="499"/>
      <c r="M28" s="88"/>
      <c r="N28" s="92"/>
      <c r="O28" s="485"/>
      <c r="P28" s="499"/>
      <c r="Q28" s="88"/>
    </row>
    <row r="29" spans="2:17" x14ac:dyDescent="0.3">
      <c r="B29" s="95"/>
      <c r="C29" s="93"/>
      <c r="D29" s="93"/>
      <c r="E29" s="94"/>
      <c r="F29" s="95"/>
      <c r="G29" s="93"/>
      <c r="H29" s="93"/>
      <c r="I29" s="94"/>
      <c r="J29" s="95"/>
      <c r="K29" s="93"/>
      <c r="L29" s="93"/>
      <c r="M29" s="94"/>
      <c r="N29" s="95"/>
      <c r="O29" s="93"/>
      <c r="P29" s="93"/>
      <c r="Q29" s="94"/>
    </row>
    <row r="30" spans="2:17" ht="14.4" customHeight="1" x14ac:dyDescent="0.3">
      <c r="B30" s="493" t="str" vm="9">
        <f>CUBEMEMBER("ThisWorkbookDataModel","[EDTN_PQ].[N3].&amp;[1.7 Mantenimiento en los equipos de balance BOP y equipos]")</f>
        <v>1.7 Mantenimiento en los equipos de balance BOP y equipos</v>
      </c>
      <c r="C30" s="494"/>
      <c r="D30" s="494"/>
      <c r="E30" s="495"/>
      <c r="F30" s="493" t="str" vm="10">
        <f>CUBEMEMBER("ThisWorkbookDataModel","[EDTN_PQ].[N3].&amp;[1.9 Matenimiento de equipos y sistema de instrumentación]")</f>
        <v>1.9 Matenimiento de equipos y sistema de instrumentación</v>
      </c>
      <c r="G30" s="494"/>
      <c r="H30" s="494"/>
      <c r="I30" s="495"/>
      <c r="J30" s="493" t="str" vm="11">
        <f>CUBEMEMBER("ThisWorkbookDataModel","[EDTN_PQ].[N3].&amp;[1.10 Mantenimiento compresores de aire]")</f>
        <v>1.10 Mantenimiento compresores de aire</v>
      </c>
      <c r="K30" s="494"/>
      <c r="L30" s="494"/>
      <c r="M30" s="495"/>
      <c r="N30" s="91"/>
      <c r="O30" s="89"/>
      <c r="P30" s="89"/>
      <c r="Q30" s="90"/>
    </row>
    <row r="31" spans="2:17" x14ac:dyDescent="0.3">
      <c r="B31" s="496"/>
      <c r="C31" s="497"/>
      <c r="D31" s="497"/>
      <c r="E31" s="498"/>
      <c r="F31" s="496"/>
      <c r="G31" s="497"/>
      <c r="H31" s="497"/>
      <c r="I31" s="498"/>
      <c r="J31" s="496"/>
      <c r="K31" s="497"/>
      <c r="L31" s="497"/>
      <c r="M31" s="498"/>
      <c r="N31" s="92"/>
      <c r="Q31" s="88"/>
    </row>
    <row r="32" spans="2:17" x14ac:dyDescent="0.3">
      <c r="B32" s="92"/>
      <c r="E32" s="88"/>
      <c r="F32" s="92"/>
      <c r="I32" s="88"/>
      <c r="J32" s="92"/>
      <c r="M32" s="88"/>
      <c r="N32" s="92"/>
      <c r="Q32" s="88"/>
    </row>
    <row r="33" spans="1:16384" x14ac:dyDescent="0.3">
      <c r="B33" s="92"/>
      <c r="C33" s="116" t="s">
        <v>243</v>
      </c>
      <c r="D33" s="139" vm="79">
        <f>CUBEVALUE("ThisWorkbookDataModel","[Measures].[Avance Plan B39 base 100 Acumulado Semanal]",SegmentaciónDeDatos_Calendario,B30)</f>
        <v>1</v>
      </c>
      <c r="E33" s="88"/>
      <c r="F33" s="92"/>
      <c r="G33" s="116" t="s">
        <v>243</v>
      </c>
      <c r="H33" s="139" vm="99">
        <f>CUBEVALUE("ThisWorkbookDataModel","[Measures].[Avance Plan B39 base 100 Acumulado Semanal]",SegmentaciónDeDatos_Calendario,F30)</f>
        <v>1</v>
      </c>
      <c r="I33" s="88"/>
      <c r="J33" s="92"/>
      <c r="K33" s="116" t="s">
        <v>243</v>
      </c>
      <c r="L33" s="139" vm="90">
        <f>CUBEVALUE("ThisWorkbookDataModel","[Measures].[Avance Plan B39 base 100 Acumulado Semanal]",SegmentaciónDeDatos_Calendario,J30)</f>
        <v>1</v>
      </c>
      <c r="M33" s="88"/>
      <c r="N33" s="92"/>
      <c r="O33" s="116"/>
      <c r="P33" s="139"/>
      <c r="Q33" s="88"/>
    </row>
    <row r="34" spans="1:16384" x14ac:dyDescent="0.3">
      <c r="B34" s="92"/>
      <c r="C34" s="116" t="s">
        <v>244</v>
      </c>
      <c r="D34" s="139" vm="102">
        <f>CUBEVALUE("ThisWorkbookDataModel","[Measures].[Avance Real B39 base 100 Acumulado Semanal]",SegmentaciónDeDatos_Calendario,B30)</f>
        <v>4.9861111111111106E-2</v>
      </c>
      <c r="E34" s="88"/>
      <c r="F34" s="92"/>
      <c r="G34" s="116" t="s">
        <v>244</v>
      </c>
      <c r="H34" s="139" vm="97">
        <f>CUBEVALUE("ThisWorkbookDataModel","[Measures].[Avance Real B39 base 100 Acumulado Semanal]",SegmentaciónDeDatos_Calendario,F30)</f>
        <v>0.98780487804878048</v>
      </c>
      <c r="I34" s="88"/>
      <c r="J34" s="92"/>
      <c r="K34" s="116" t="s">
        <v>244</v>
      </c>
      <c r="L34" s="139" vm="71">
        <f>CUBEVALUE("ThisWorkbookDataModel","[Measures].[Avance Real B39 base 100 Acumulado Semanal]",SegmentaciónDeDatos_Calendario,J30)</f>
        <v>1</v>
      </c>
      <c r="M34" s="88"/>
      <c r="N34" s="92"/>
      <c r="O34" s="116"/>
      <c r="P34" s="139"/>
      <c r="Q34" s="88"/>
    </row>
    <row r="35" spans="1:16384" x14ac:dyDescent="0.3">
      <c r="B35" s="92"/>
      <c r="C35" s="116" t="s">
        <v>245</v>
      </c>
      <c r="D35" s="139">
        <f>D34-D33</f>
        <v>-0.95013888888888887</v>
      </c>
      <c r="E35" s="88"/>
      <c r="F35" s="92"/>
      <c r="G35" s="116" t="s">
        <v>245</v>
      </c>
      <c r="H35" s="139">
        <f>H34-H33</f>
        <v>-1.2195121951219523E-2</v>
      </c>
      <c r="I35" s="88"/>
      <c r="J35" s="92"/>
      <c r="K35" s="116" t="s">
        <v>245</v>
      </c>
      <c r="L35" s="139">
        <f>L34-L33</f>
        <v>0</v>
      </c>
      <c r="M35" s="88"/>
      <c r="N35" s="92"/>
      <c r="O35" s="116"/>
      <c r="P35" s="139"/>
      <c r="Q35" s="88"/>
    </row>
    <row r="36" spans="1:16384" x14ac:dyDescent="0.3">
      <c r="B36" s="92"/>
      <c r="C36" s="485" t="s">
        <v>246</v>
      </c>
      <c r="D36" s="499" vm="110">
        <f>CUBEVALUE("ThisWorkbookDataModel","[Measures].[Aporte a la Desviación B39]",SegmentaciónDeDatos_Calendario,B30)</f>
        <v>-4.1696682023081418E-2</v>
      </c>
      <c r="E36" s="88"/>
      <c r="F36" s="92"/>
      <c r="G36" s="485" t="s">
        <v>246</v>
      </c>
      <c r="H36" s="499" vm="82">
        <f>CUBEVALUE("ThisWorkbookDataModel","[Measures].[Aporte a la Desviación B39]",SegmentaciónDeDatos_Calendario,F30)</f>
        <v>-9.8193194680562621E-4</v>
      </c>
      <c r="I36" s="88"/>
      <c r="J36" s="92"/>
      <c r="K36" s="485" t="s">
        <v>246</v>
      </c>
      <c r="L36" s="499" vm="81">
        <f>CUBEVALUE("ThisWorkbookDataModel","[Measures].[Aporte a la Desviación B39]",SegmentaciónDeDatos_Calendario,J30)</f>
        <v>0</v>
      </c>
      <c r="M36" s="88"/>
      <c r="N36" s="92"/>
      <c r="O36" s="485"/>
      <c r="P36" s="499"/>
      <c r="Q36" s="88"/>
    </row>
    <row r="37" spans="1:16384" x14ac:dyDescent="0.3">
      <c r="B37" s="92"/>
      <c r="C37" s="485"/>
      <c r="D37" s="499"/>
      <c r="E37" s="88"/>
      <c r="F37" s="92"/>
      <c r="G37" s="485"/>
      <c r="H37" s="499"/>
      <c r="I37" s="88"/>
      <c r="J37" s="92"/>
      <c r="K37" s="485"/>
      <c r="L37" s="499"/>
      <c r="M37" s="88"/>
      <c r="N37" s="92"/>
      <c r="O37" s="485"/>
      <c r="P37" s="499"/>
      <c r="Q37" s="88"/>
    </row>
    <row r="38" spans="1:16384" x14ac:dyDescent="0.3">
      <c r="B38" s="95"/>
      <c r="C38" s="93"/>
      <c r="D38" s="93"/>
      <c r="E38" s="94"/>
      <c r="F38" s="95"/>
      <c r="G38" s="93"/>
      <c r="H38" s="93"/>
      <c r="I38" s="94"/>
      <c r="J38" s="95"/>
      <c r="K38" s="93"/>
      <c r="L38" s="93"/>
      <c r="M38" s="94"/>
      <c r="N38" s="95"/>
      <c r="O38" s="93"/>
      <c r="P38" s="93"/>
      <c r="Q38" s="94"/>
    </row>
    <row r="40" spans="1:16384" ht="14.4" customHeight="1" x14ac:dyDescent="0.3">
      <c r="A40" s="471" t="s">
        <v>232</v>
      </c>
      <c r="B40" s="471"/>
      <c r="C40" s="471"/>
      <c r="D40" s="471"/>
      <c r="E40" s="471"/>
      <c r="F40" s="471"/>
      <c r="G40" s="471"/>
      <c r="H40" s="471"/>
      <c r="I40" s="471"/>
      <c r="J40" s="471"/>
      <c r="K40" s="471"/>
      <c r="L40" s="471"/>
      <c r="M40" s="471"/>
      <c r="N40" s="471"/>
      <c r="O40" s="471"/>
      <c r="P40" s="471"/>
      <c r="Q40" s="471"/>
      <c r="R40" s="471"/>
      <c r="S40" s="471"/>
      <c r="T40" s="471"/>
      <c r="U40" s="471"/>
      <c r="V40" s="471"/>
      <c r="W40" s="471"/>
      <c r="X40" s="471"/>
      <c r="Y40" s="471"/>
      <c r="Z40" s="471"/>
      <c r="AA40" s="471"/>
      <c r="AB40" s="471"/>
      <c r="AC40" s="471"/>
      <c r="AD40" s="471"/>
      <c r="AE40" s="471"/>
      <c r="AF40" s="471"/>
      <c r="AG40" s="471"/>
      <c r="AH40" s="471"/>
      <c r="AI40" s="471"/>
      <c r="AJ40" s="471"/>
      <c r="AK40" s="471"/>
      <c r="AL40" s="471"/>
      <c r="AM40" s="471"/>
      <c r="AN40" s="471"/>
      <c r="AO40" s="471"/>
      <c r="AP40" s="471"/>
      <c r="AQ40" s="471"/>
      <c r="AR40" s="471"/>
      <c r="AS40" s="471"/>
      <c r="AT40" s="471"/>
      <c r="AU40" s="471"/>
      <c r="AV40" s="471"/>
      <c r="AW40" s="471"/>
      <c r="AX40" s="471"/>
      <c r="AY40" s="471"/>
      <c r="AZ40" s="471"/>
      <c r="BA40" s="471"/>
      <c r="BB40" s="471"/>
      <c r="BC40" s="471"/>
      <c r="BD40" s="471"/>
      <c r="BE40" s="471"/>
      <c r="BF40" s="471"/>
      <c r="BG40" s="471"/>
      <c r="BH40" s="471"/>
      <c r="BI40" s="471"/>
      <c r="BJ40" s="471"/>
      <c r="BK40" s="471"/>
      <c r="BL40" s="471"/>
      <c r="BM40" s="471"/>
      <c r="BN40" s="471"/>
      <c r="BO40" s="471"/>
      <c r="BP40" s="471"/>
      <c r="BQ40" s="471"/>
      <c r="BR40" s="471"/>
      <c r="BS40" s="471"/>
      <c r="BT40" s="471"/>
      <c r="BU40" s="471"/>
      <c r="BV40" s="471"/>
      <c r="BW40" s="471"/>
      <c r="BX40" s="471"/>
      <c r="BY40" s="471"/>
      <c r="BZ40" s="471"/>
      <c r="CA40" s="471"/>
      <c r="CB40" s="471"/>
      <c r="CC40" s="471"/>
      <c r="CD40" s="471"/>
      <c r="CE40" s="471"/>
      <c r="CF40" s="471"/>
      <c r="CG40" s="471"/>
      <c r="CH40" s="471"/>
      <c r="CI40" s="471"/>
      <c r="CJ40" s="471"/>
      <c r="CK40" s="471"/>
      <c r="CL40" s="471"/>
      <c r="CM40" s="471"/>
      <c r="CN40" s="471"/>
      <c r="CO40" s="471"/>
      <c r="CP40" s="471"/>
      <c r="CQ40" s="471"/>
      <c r="CR40" s="471"/>
      <c r="CS40" s="471"/>
      <c r="CT40" s="471"/>
      <c r="CU40" s="471"/>
      <c r="CV40" s="471"/>
      <c r="CW40" s="471"/>
      <c r="CX40" s="471"/>
      <c r="CY40" s="471"/>
      <c r="CZ40" s="471"/>
      <c r="DA40" s="471"/>
      <c r="DB40" s="471"/>
      <c r="DC40" s="471"/>
      <c r="DD40" s="471"/>
      <c r="DE40" s="471"/>
      <c r="DF40" s="471"/>
      <c r="DG40" s="471"/>
      <c r="DH40" s="471"/>
      <c r="DI40" s="471"/>
      <c r="DJ40" s="471"/>
      <c r="DK40" s="471"/>
      <c r="DL40" s="471"/>
      <c r="DM40" s="471"/>
      <c r="DN40" s="471"/>
      <c r="DO40" s="471"/>
      <c r="DP40" s="471"/>
      <c r="DQ40" s="471"/>
      <c r="DR40" s="471"/>
      <c r="DS40" s="471"/>
      <c r="DT40" s="471"/>
      <c r="DU40" s="471"/>
      <c r="DV40" s="471"/>
      <c r="DW40" s="471"/>
      <c r="DX40" s="471"/>
      <c r="DY40" s="471"/>
      <c r="DZ40" s="471"/>
      <c r="EA40" s="471"/>
      <c r="EB40" s="471"/>
      <c r="EC40" s="471"/>
      <c r="ED40" s="471"/>
      <c r="EE40" s="471"/>
      <c r="EF40" s="471"/>
      <c r="EG40" s="471"/>
      <c r="EH40" s="471"/>
      <c r="EI40" s="471"/>
      <c r="EJ40" s="471"/>
      <c r="EK40" s="471"/>
      <c r="EL40" s="471"/>
      <c r="EM40" s="471"/>
      <c r="EN40" s="471"/>
      <c r="EO40" s="471"/>
      <c r="EP40" s="471"/>
      <c r="EQ40" s="471"/>
      <c r="ER40" s="471"/>
      <c r="ES40" s="471"/>
      <c r="ET40" s="471"/>
      <c r="EU40" s="471"/>
      <c r="EV40" s="471"/>
      <c r="EW40" s="471"/>
      <c r="EX40" s="471"/>
      <c r="EY40" s="471"/>
      <c r="EZ40" s="471"/>
      <c r="FA40" s="471"/>
      <c r="FB40" s="471"/>
      <c r="FC40" s="471"/>
      <c r="FD40" s="471"/>
      <c r="FE40" s="471"/>
      <c r="FF40" s="471"/>
      <c r="FG40" s="471"/>
      <c r="FH40" s="471"/>
      <c r="FI40" s="471"/>
      <c r="FJ40" s="471"/>
      <c r="FK40" s="471"/>
      <c r="FL40" s="471"/>
      <c r="FM40" s="471"/>
      <c r="FN40" s="471"/>
      <c r="FO40" s="471"/>
      <c r="FP40" s="471"/>
      <c r="FQ40" s="471"/>
      <c r="FR40" s="471"/>
      <c r="FS40" s="471"/>
      <c r="FT40" s="471"/>
      <c r="FU40" s="471"/>
      <c r="FV40" s="471"/>
      <c r="FW40" s="471"/>
      <c r="FX40" s="471"/>
      <c r="FY40" s="471"/>
      <c r="FZ40" s="471"/>
      <c r="GA40" s="471"/>
      <c r="GB40" s="471"/>
      <c r="GC40" s="471"/>
      <c r="GD40" s="471"/>
      <c r="GE40" s="471"/>
      <c r="GF40" s="471"/>
      <c r="GG40" s="471"/>
      <c r="GH40" s="471"/>
      <c r="GI40" s="471"/>
      <c r="GJ40" s="471"/>
      <c r="GK40" s="471"/>
      <c r="GL40" s="471"/>
      <c r="GM40" s="471"/>
      <c r="GN40" s="471"/>
      <c r="GO40" s="471"/>
      <c r="GP40" s="471"/>
      <c r="GQ40" s="471"/>
      <c r="GR40" s="471"/>
      <c r="GS40" s="471"/>
      <c r="GT40" s="471"/>
      <c r="GU40" s="471"/>
      <c r="GV40" s="471"/>
      <c r="GW40" s="471"/>
      <c r="GX40" s="471"/>
      <c r="GY40" s="471"/>
      <c r="GZ40" s="471"/>
      <c r="HA40" s="471"/>
      <c r="HB40" s="471"/>
      <c r="HC40" s="471"/>
      <c r="HD40" s="471"/>
      <c r="HE40" s="471"/>
      <c r="HF40" s="471"/>
      <c r="HG40" s="471"/>
      <c r="HH40" s="471"/>
      <c r="HI40" s="471"/>
      <c r="HJ40" s="471"/>
      <c r="HK40" s="471"/>
      <c r="HL40" s="471"/>
      <c r="HM40" s="471"/>
      <c r="HN40" s="471"/>
      <c r="HO40" s="471"/>
      <c r="HP40" s="471"/>
      <c r="HQ40" s="471"/>
      <c r="HR40" s="471"/>
      <c r="HS40" s="471"/>
      <c r="HT40" s="471"/>
      <c r="HU40" s="471"/>
      <c r="HV40" s="471"/>
      <c r="HW40" s="471"/>
      <c r="HX40" s="471"/>
      <c r="HY40" s="471"/>
      <c r="HZ40" s="471"/>
      <c r="IA40" s="471"/>
      <c r="IB40" s="471"/>
      <c r="IC40" s="471"/>
      <c r="ID40" s="471"/>
      <c r="IE40" s="471"/>
      <c r="IF40" s="471"/>
      <c r="IG40" s="471"/>
      <c r="IH40" s="471"/>
      <c r="II40" s="471"/>
      <c r="IJ40" s="471"/>
      <c r="IK40" s="471"/>
      <c r="IL40" s="471"/>
      <c r="IM40" s="471"/>
      <c r="IN40" s="471"/>
      <c r="IO40" s="471"/>
      <c r="IP40" s="471"/>
      <c r="IQ40" s="471"/>
      <c r="IR40" s="471"/>
      <c r="IS40" s="471"/>
      <c r="IT40" s="471"/>
      <c r="IU40" s="471"/>
      <c r="IV40" s="471"/>
      <c r="IW40" s="471"/>
      <c r="IX40" s="471"/>
      <c r="IY40" s="471"/>
      <c r="IZ40" s="471"/>
      <c r="JA40" s="471"/>
      <c r="JB40" s="471"/>
      <c r="JC40" s="471"/>
      <c r="JD40" s="471"/>
      <c r="JE40" s="471"/>
      <c r="JF40" s="471"/>
      <c r="JG40" s="471"/>
      <c r="JH40" s="471"/>
      <c r="JI40" s="471"/>
      <c r="JJ40" s="471"/>
      <c r="JK40" s="471"/>
      <c r="JL40" s="471"/>
      <c r="JM40" s="471"/>
      <c r="JN40" s="471"/>
      <c r="JO40" s="471"/>
      <c r="JP40" s="471"/>
      <c r="JQ40" s="471"/>
      <c r="JR40" s="471"/>
      <c r="JS40" s="471"/>
      <c r="JT40" s="471"/>
      <c r="JU40" s="471"/>
      <c r="JV40" s="471"/>
      <c r="JW40" s="471"/>
      <c r="JX40" s="471"/>
      <c r="JY40" s="471"/>
      <c r="JZ40" s="471"/>
      <c r="KA40" s="471"/>
      <c r="KB40" s="471"/>
      <c r="KC40" s="471"/>
      <c r="KD40" s="471"/>
      <c r="KE40" s="471"/>
      <c r="KF40" s="471"/>
      <c r="KG40" s="471"/>
      <c r="KH40" s="471"/>
      <c r="KI40" s="471"/>
      <c r="KJ40" s="471"/>
      <c r="KK40" s="471"/>
      <c r="KL40" s="471"/>
      <c r="KM40" s="471"/>
      <c r="KN40" s="471"/>
      <c r="KO40" s="471"/>
      <c r="KP40" s="471"/>
      <c r="KQ40" s="471"/>
      <c r="KR40" s="471"/>
      <c r="KS40" s="471"/>
      <c r="KT40" s="471"/>
      <c r="KU40" s="471"/>
      <c r="KV40" s="471"/>
      <c r="KW40" s="471"/>
      <c r="KX40" s="471"/>
      <c r="KY40" s="471"/>
      <c r="KZ40" s="471"/>
      <c r="LA40" s="471"/>
      <c r="LB40" s="471"/>
      <c r="LC40" s="471"/>
      <c r="LD40" s="471"/>
      <c r="LE40" s="471"/>
      <c r="LF40" s="471"/>
      <c r="LG40" s="471"/>
      <c r="LH40" s="471"/>
      <c r="LI40" s="471"/>
      <c r="LJ40" s="471"/>
      <c r="LK40" s="471"/>
      <c r="LL40" s="471"/>
      <c r="LM40" s="471"/>
      <c r="LN40" s="471"/>
      <c r="LO40" s="471"/>
      <c r="LP40" s="471"/>
      <c r="LQ40" s="471"/>
      <c r="LR40" s="471"/>
      <c r="LS40" s="471"/>
      <c r="LT40" s="471"/>
      <c r="LU40" s="471"/>
      <c r="LV40" s="471"/>
      <c r="LW40" s="471"/>
      <c r="LX40" s="471"/>
      <c r="LY40" s="471"/>
      <c r="LZ40" s="471"/>
      <c r="MA40" s="471"/>
      <c r="MB40" s="471"/>
      <c r="MC40" s="471"/>
      <c r="MD40" s="471"/>
      <c r="ME40" s="471"/>
      <c r="MF40" s="471"/>
      <c r="MG40" s="471"/>
      <c r="MH40" s="471"/>
      <c r="MI40" s="471"/>
      <c r="MJ40" s="471"/>
      <c r="MK40" s="471"/>
      <c r="ML40" s="471"/>
      <c r="MM40" s="471"/>
      <c r="MN40" s="471"/>
      <c r="MO40" s="471"/>
      <c r="MP40" s="471"/>
      <c r="MQ40" s="471"/>
      <c r="MR40" s="471"/>
      <c r="MS40" s="471"/>
      <c r="MT40" s="471"/>
      <c r="MU40" s="471"/>
      <c r="MV40" s="471"/>
      <c r="MW40" s="471"/>
      <c r="MX40" s="471"/>
      <c r="MY40" s="471"/>
      <c r="MZ40" s="471"/>
      <c r="NA40" s="471"/>
      <c r="NB40" s="471"/>
      <c r="NC40" s="471"/>
      <c r="ND40" s="471"/>
      <c r="NE40" s="471"/>
      <c r="NF40" s="471"/>
      <c r="NG40" s="471"/>
      <c r="NH40" s="471"/>
      <c r="NI40" s="471"/>
      <c r="NJ40" s="471"/>
      <c r="NK40" s="471"/>
      <c r="NL40" s="471"/>
      <c r="NM40" s="471"/>
      <c r="NN40" s="471"/>
      <c r="NO40" s="471"/>
      <c r="NP40" s="471"/>
      <c r="NQ40" s="471"/>
      <c r="NR40" s="471"/>
      <c r="NS40" s="471"/>
      <c r="NT40" s="471"/>
      <c r="NU40" s="471"/>
      <c r="NV40" s="471"/>
      <c r="NW40" s="471"/>
      <c r="NX40" s="471"/>
      <c r="NY40" s="471"/>
      <c r="NZ40" s="471"/>
      <c r="OA40" s="471"/>
      <c r="OB40" s="471"/>
      <c r="OC40" s="471"/>
      <c r="OD40" s="471"/>
      <c r="OE40" s="471"/>
      <c r="OF40" s="471"/>
      <c r="OG40" s="471"/>
      <c r="OH40" s="471"/>
      <c r="OI40" s="471"/>
      <c r="OJ40" s="471"/>
      <c r="OK40" s="471"/>
      <c r="OL40" s="471"/>
      <c r="OM40" s="471"/>
      <c r="ON40" s="471"/>
      <c r="OO40" s="471"/>
      <c r="OP40" s="471"/>
      <c r="OQ40" s="471"/>
      <c r="OR40" s="471"/>
      <c r="OS40" s="471"/>
      <c r="OT40" s="471"/>
      <c r="OU40" s="471"/>
      <c r="OV40" s="471"/>
      <c r="OW40" s="471"/>
      <c r="OX40" s="471"/>
      <c r="OY40" s="471"/>
      <c r="OZ40" s="471"/>
      <c r="PA40" s="471"/>
      <c r="PB40" s="471"/>
      <c r="PC40" s="471"/>
      <c r="PD40" s="471"/>
      <c r="PE40" s="471"/>
      <c r="PF40" s="471"/>
      <c r="PG40" s="471"/>
      <c r="PH40" s="471"/>
      <c r="PI40" s="471"/>
      <c r="PJ40" s="471"/>
      <c r="PK40" s="471"/>
      <c r="PL40" s="471"/>
      <c r="PM40" s="471"/>
      <c r="PN40" s="471"/>
      <c r="PO40" s="471"/>
      <c r="PP40" s="471"/>
      <c r="PQ40" s="471"/>
      <c r="PR40" s="471"/>
      <c r="PS40" s="471"/>
      <c r="PT40" s="471"/>
      <c r="PU40" s="471"/>
      <c r="PV40" s="471"/>
      <c r="PW40" s="471"/>
      <c r="PX40" s="471"/>
      <c r="PY40" s="471"/>
      <c r="PZ40" s="471"/>
      <c r="QA40" s="471"/>
      <c r="QB40" s="471"/>
      <c r="QC40" s="471"/>
      <c r="QD40" s="471"/>
      <c r="QE40" s="471"/>
      <c r="QF40" s="471"/>
      <c r="QG40" s="471"/>
      <c r="QH40" s="471"/>
      <c r="QI40" s="471"/>
      <c r="QJ40" s="471"/>
      <c r="QK40" s="471"/>
      <c r="QL40" s="471"/>
      <c r="QM40" s="471"/>
      <c r="QN40" s="471"/>
      <c r="QO40" s="471"/>
      <c r="QP40" s="471"/>
      <c r="QQ40" s="471"/>
      <c r="QR40" s="471"/>
      <c r="QS40" s="471"/>
      <c r="QT40" s="471"/>
      <c r="QU40" s="471"/>
      <c r="QV40" s="471"/>
      <c r="QW40" s="471"/>
      <c r="QX40" s="471"/>
      <c r="QY40" s="471"/>
      <c r="QZ40" s="471"/>
      <c r="RA40" s="471"/>
      <c r="RB40" s="471"/>
      <c r="RC40" s="471"/>
      <c r="RD40" s="471"/>
      <c r="RE40" s="471"/>
      <c r="RF40" s="471"/>
      <c r="RG40" s="471"/>
      <c r="RH40" s="471"/>
      <c r="RI40" s="471"/>
      <c r="RJ40" s="471"/>
      <c r="RK40" s="471"/>
      <c r="RL40" s="471"/>
      <c r="RM40" s="471"/>
      <c r="RN40" s="471"/>
      <c r="RO40" s="471"/>
      <c r="RP40" s="471"/>
      <c r="RQ40" s="471"/>
      <c r="RR40" s="471"/>
      <c r="RS40" s="471"/>
      <c r="RT40" s="471"/>
      <c r="RU40" s="471"/>
      <c r="RV40" s="471"/>
      <c r="RW40" s="471"/>
      <c r="RX40" s="471"/>
      <c r="RY40" s="471"/>
      <c r="RZ40" s="471"/>
      <c r="SA40" s="471"/>
      <c r="SB40" s="471"/>
      <c r="SC40" s="471"/>
      <c r="SD40" s="471"/>
      <c r="SE40" s="471"/>
      <c r="SF40" s="471"/>
      <c r="SG40" s="471"/>
      <c r="SH40" s="471"/>
      <c r="SI40" s="471"/>
      <c r="SJ40" s="471"/>
      <c r="SK40" s="471"/>
      <c r="SL40" s="471"/>
      <c r="SM40" s="471"/>
      <c r="SN40" s="471"/>
      <c r="SO40" s="471"/>
      <c r="SP40" s="471"/>
      <c r="SQ40" s="471"/>
      <c r="SR40" s="471"/>
      <c r="SS40" s="471"/>
      <c r="ST40" s="471"/>
      <c r="SU40" s="471"/>
      <c r="SV40" s="471"/>
      <c r="SW40" s="471"/>
      <c r="SX40" s="471"/>
      <c r="SY40" s="471"/>
      <c r="SZ40" s="471"/>
      <c r="TA40" s="471"/>
      <c r="TB40" s="471"/>
      <c r="TC40" s="471"/>
      <c r="TD40" s="471"/>
      <c r="TE40" s="471"/>
      <c r="TF40" s="471"/>
      <c r="TG40" s="471"/>
      <c r="TH40" s="471"/>
      <c r="TI40" s="471"/>
      <c r="TJ40" s="471"/>
      <c r="TK40" s="471"/>
      <c r="TL40" s="471"/>
      <c r="TM40" s="471"/>
      <c r="TN40" s="471"/>
      <c r="TO40" s="471"/>
      <c r="TP40" s="471"/>
      <c r="TQ40" s="471"/>
      <c r="TR40" s="471"/>
      <c r="TS40" s="471"/>
      <c r="TT40" s="471"/>
      <c r="TU40" s="471"/>
      <c r="TV40" s="471"/>
      <c r="TW40" s="471"/>
      <c r="TX40" s="471"/>
      <c r="TY40" s="471"/>
      <c r="TZ40" s="471"/>
      <c r="UA40" s="471"/>
      <c r="UB40" s="471"/>
      <c r="UC40" s="471"/>
      <c r="UD40" s="471"/>
      <c r="UE40" s="471"/>
      <c r="UF40" s="471"/>
      <c r="UG40" s="471"/>
      <c r="UH40" s="471"/>
      <c r="UI40" s="471"/>
      <c r="UJ40" s="471"/>
      <c r="UK40" s="471"/>
      <c r="UL40" s="471"/>
      <c r="UM40" s="471"/>
      <c r="UN40" s="471"/>
      <c r="UO40" s="471"/>
      <c r="UP40" s="471"/>
      <c r="UQ40" s="471"/>
      <c r="UR40" s="471"/>
      <c r="US40" s="471"/>
      <c r="UT40" s="471"/>
      <c r="UU40" s="471"/>
      <c r="UV40" s="471"/>
      <c r="UW40" s="471"/>
      <c r="UX40" s="471"/>
      <c r="UY40" s="471"/>
      <c r="UZ40" s="471"/>
      <c r="VA40" s="471"/>
      <c r="VB40" s="471"/>
      <c r="VC40" s="471"/>
      <c r="VD40" s="471"/>
      <c r="VE40" s="471"/>
      <c r="VF40" s="471"/>
      <c r="VG40" s="471"/>
      <c r="VH40" s="471"/>
      <c r="VI40" s="471"/>
      <c r="VJ40" s="471"/>
      <c r="VK40" s="471"/>
      <c r="VL40" s="471"/>
      <c r="VM40" s="471"/>
      <c r="VN40" s="471"/>
      <c r="VO40" s="471"/>
      <c r="VP40" s="471"/>
      <c r="VQ40" s="471"/>
      <c r="VR40" s="471"/>
      <c r="VS40" s="471"/>
      <c r="VT40" s="471"/>
      <c r="VU40" s="471"/>
      <c r="VV40" s="471"/>
      <c r="VW40" s="471"/>
      <c r="VX40" s="471"/>
      <c r="VY40" s="471"/>
      <c r="VZ40" s="471"/>
      <c r="WA40" s="471"/>
      <c r="WB40" s="471"/>
      <c r="WC40" s="471"/>
      <c r="WD40" s="471"/>
      <c r="WE40" s="471"/>
      <c r="WF40" s="471"/>
      <c r="WG40" s="471"/>
      <c r="WH40" s="471"/>
      <c r="WI40" s="471"/>
      <c r="WJ40" s="471"/>
      <c r="WK40" s="471"/>
      <c r="WL40" s="471"/>
      <c r="WM40" s="471"/>
      <c r="WN40" s="471"/>
      <c r="WO40" s="471"/>
      <c r="WP40" s="471"/>
      <c r="WQ40" s="471"/>
      <c r="WR40" s="471"/>
      <c r="WS40" s="471"/>
      <c r="WT40" s="471"/>
      <c r="WU40" s="471"/>
      <c r="WV40" s="471"/>
      <c r="WW40" s="471"/>
      <c r="WX40" s="471"/>
      <c r="WY40" s="471"/>
      <c r="WZ40" s="471"/>
      <c r="XA40" s="471"/>
      <c r="XB40" s="471"/>
      <c r="XC40" s="471"/>
      <c r="XD40" s="471"/>
      <c r="XE40" s="471"/>
      <c r="XF40" s="471"/>
      <c r="XG40" s="471"/>
      <c r="XH40" s="471"/>
      <c r="XI40" s="471"/>
      <c r="XJ40" s="471"/>
      <c r="XK40" s="471"/>
      <c r="XL40" s="471"/>
      <c r="XM40" s="471"/>
      <c r="XN40" s="471"/>
      <c r="XO40" s="471"/>
      <c r="XP40" s="471"/>
      <c r="XQ40" s="471"/>
      <c r="XR40" s="471"/>
      <c r="XS40" s="471"/>
      <c r="XT40" s="471"/>
      <c r="XU40" s="471"/>
      <c r="XV40" s="471"/>
      <c r="XW40" s="471"/>
      <c r="XX40" s="471"/>
      <c r="XY40" s="471"/>
      <c r="XZ40" s="471"/>
      <c r="YA40" s="471"/>
      <c r="YB40" s="471"/>
      <c r="YC40" s="471"/>
      <c r="YD40" s="471"/>
      <c r="YE40" s="471"/>
      <c r="YF40" s="471"/>
      <c r="YG40" s="471"/>
      <c r="YH40" s="471"/>
      <c r="YI40" s="471"/>
      <c r="YJ40" s="471"/>
      <c r="YK40" s="471"/>
      <c r="YL40" s="471"/>
      <c r="YM40" s="471"/>
      <c r="YN40" s="471"/>
      <c r="YO40" s="471"/>
      <c r="YP40" s="471"/>
      <c r="YQ40" s="471"/>
      <c r="YR40" s="471"/>
      <c r="YS40" s="471"/>
      <c r="YT40" s="471"/>
      <c r="YU40" s="471"/>
      <c r="YV40" s="471"/>
      <c r="YW40" s="471"/>
      <c r="YX40" s="471"/>
      <c r="YY40" s="471"/>
      <c r="YZ40" s="471"/>
      <c r="ZA40" s="471"/>
      <c r="ZB40" s="471"/>
      <c r="ZC40" s="471"/>
      <c r="ZD40" s="471"/>
      <c r="ZE40" s="471"/>
      <c r="ZF40" s="471"/>
      <c r="ZG40" s="471"/>
      <c r="ZH40" s="471"/>
      <c r="ZI40" s="471"/>
      <c r="ZJ40" s="471"/>
      <c r="ZK40" s="471"/>
      <c r="ZL40" s="471"/>
      <c r="ZM40" s="471"/>
      <c r="ZN40" s="471"/>
      <c r="ZO40" s="471"/>
      <c r="ZP40" s="471"/>
      <c r="ZQ40" s="471"/>
      <c r="ZR40" s="471"/>
      <c r="ZS40" s="471"/>
      <c r="ZT40" s="471"/>
      <c r="ZU40" s="471"/>
      <c r="ZV40" s="471"/>
      <c r="ZW40" s="471"/>
      <c r="ZX40" s="471"/>
      <c r="ZY40" s="471"/>
      <c r="ZZ40" s="471"/>
      <c r="AAA40" s="471"/>
      <c r="AAB40" s="471"/>
      <c r="AAC40" s="471"/>
      <c r="AAD40" s="471"/>
      <c r="AAE40" s="471"/>
      <c r="AAF40" s="471"/>
      <c r="AAG40" s="471"/>
      <c r="AAH40" s="471"/>
      <c r="AAI40" s="471"/>
      <c r="AAJ40" s="471"/>
      <c r="AAK40" s="471"/>
      <c r="AAL40" s="471"/>
      <c r="AAM40" s="471"/>
      <c r="AAN40" s="471"/>
      <c r="AAO40" s="471"/>
      <c r="AAP40" s="471"/>
      <c r="AAQ40" s="471"/>
      <c r="AAR40" s="471"/>
      <c r="AAS40" s="471"/>
      <c r="AAT40" s="471"/>
      <c r="AAU40" s="471"/>
      <c r="AAV40" s="471"/>
      <c r="AAW40" s="471"/>
      <c r="AAX40" s="471"/>
      <c r="AAY40" s="471"/>
      <c r="AAZ40" s="471"/>
      <c r="ABA40" s="471"/>
      <c r="ABB40" s="471"/>
      <c r="ABC40" s="471"/>
      <c r="ABD40" s="471"/>
      <c r="ABE40" s="471"/>
      <c r="ABF40" s="471"/>
      <c r="ABG40" s="471"/>
      <c r="ABH40" s="471"/>
      <c r="ABI40" s="471"/>
      <c r="ABJ40" s="471"/>
      <c r="ABK40" s="471"/>
      <c r="ABL40" s="471"/>
      <c r="ABM40" s="471"/>
      <c r="ABN40" s="471"/>
      <c r="ABO40" s="471"/>
      <c r="ABP40" s="471"/>
      <c r="ABQ40" s="471"/>
      <c r="ABR40" s="471"/>
      <c r="ABS40" s="471"/>
      <c r="ABT40" s="471"/>
      <c r="ABU40" s="471"/>
      <c r="ABV40" s="471"/>
      <c r="ABW40" s="471"/>
      <c r="ABX40" s="471"/>
      <c r="ABY40" s="471"/>
      <c r="ABZ40" s="471"/>
      <c r="ACA40" s="471"/>
      <c r="ACB40" s="471"/>
      <c r="ACC40" s="471"/>
      <c r="ACD40" s="471"/>
      <c r="ACE40" s="471"/>
      <c r="ACF40" s="471"/>
      <c r="ACG40" s="471"/>
      <c r="ACH40" s="471"/>
      <c r="ACI40" s="471"/>
      <c r="ACJ40" s="471"/>
      <c r="ACK40" s="471"/>
      <c r="ACL40" s="471"/>
      <c r="ACM40" s="471"/>
      <c r="ACN40" s="471"/>
      <c r="ACO40" s="471"/>
      <c r="ACP40" s="471"/>
      <c r="ACQ40" s="471"/>
      <c r="ACR40" s="471"/>
      <c r="ACS40" s="471"/>
      <c r="ACT40" s="471"/>
      <c r="ACU40" s="471"/>
      <c r="ACV40" s="471"/>
      <c r="ACW40" s="471"/>
      <c r="ACX40" s="471"/>
      <c r="ACY40" s="471"/>
      <c r="ACZ40" s="471"/>
      <c r="ADA40" s="471"/>
      <c r="ADB40" s="471"/>
      <c r="ADC40" s="471"/>
      <c r="ADD40" s="471"/>
      <c r="ADE40" s="471"/>
      <c r="ADF40" s="471"/>
      <c r="ADG40" s="471"/>
      <c r="ADH40" s="471"/>
      <c r="ADI40" s="471"/>
      <c r="ADJ40" s="471"/>
      <c r="ADK40" s="471"/>
      <c r="ADL40" s="471"/>
      <c r="ADM40" s="471"/>
      <c r="ADN40" s="471"/>
      <c r="ADO40" s="471"/>
      <c r="ADP40" s="471"/>
      <c r="ADQ40" s="471"/>
      <c r="ADR40" s="471"/>
      <c r="ADS40" s="471"/>
      <c r="ADT40" s="471"/>
      <c r="ADU40" s="471"/>
      <c r="ADV40" s="471"/>
      <c r="ADW40" s="471"/>
      <c r="ADX40" s="471"/>
      <c r="ADY40" s="471"/>
      <c r="ADZ40" s="471"/>
      <c r="AEA40" s="471"/>
      <c r="AEB40" s="471"/>
      <c r="AEC40" s="471"/>
      <c r="AED40" s="471"/>
      <c r="AEE40" s="471"/>
      <c r="AEF40" s="471"/>
      <c r="AEG40" s="471"/>
      <c r="AEH40" s="471"/>
      <c r="AEI40" s="471"/>
      <c r="AEJ40" s="471"/>
      <c r="AEK40" s="471"/>
      <c r="AEL40" s="471"/>
      <c r="AEM40" s="471"/>
      <c r="AEN40" s="471"/>
      <c r="AEO40" s="471"/>
      <c r="AEP40" s="471"/>
      <c r="AEQ40" s="471"/>
      <c r="AER40" s="471"/>
      <c r="AES40" s="471"/>
      <c r="AET40" s="471"/>
      <c r="AEU40" s="471"/>
      <c r="AEV40" s="471"/>
      <c r="AEW40" s="471"/>
      <c r="AEX40" s="471"/>
      <c r="AEY40" s="471"/>
      <c r="AEZ40" s="471"/>
      <c r="AFA40" s="471"/>
      <c r="AFB40" s="471"/>
      <c r="AFC40" s="471"/>
      <c r="AFD40" s="471"/>
      <c r="AFE40" s="471"/>
      <c r="AFF40" s="471"/>
      <c r="AFG40" s="471"/>
      <c r="AFH40" s="471"/>
      <c r="AFI40" s="471"/>
      <c r="AFJ40" s="471"/>
      <c r="AFK40" s="471"/>
      <c r="AFL40" s="471"/>
      <c r="AFM40" s="471"/>
      <c r="AFN40" s="471"/>
      <c r="AFO40" s="471"/>
      <c r="AFP40" s="471"/>
      <c r="AFQ40" s="471"/>
      <c r="AFR40" s="471"/>
      <c r="AFS40" s="471"/>
      <c r="AFT40" s="471"/>
      <c r="AFU40" s="471"/>
      <c r="AFV40" s="471"/>
      <c r="AFW40" s="471"/>
      <c r="AFX40" s="471"/>
      <c r="AFY40" s="471"/>
      <c r="AFZ40" s="471"/>
      <c r="AGA40" s="471"/>
      <c r="AGB40" s="471"/>
      <c r="AGC40" s="471"/>
      <c r="AGD40" s="471"/>
      <c r="AGE40" s="471"/>
      <c r="AGF40" s="471"/>
      <c r="AGG40" s="471"/>
      <c r="AGH40" s="471"/>
      <c r="AGI40" s="471"/>
      <c r="AGJ40" s="471"/>
      <c r="AGK40" s="471"/>
      <c r="AGL40" s="471"/>
      <c r="AGM40" s="471"/>
      <c r="AGN40" s="471"/>
      <c r="AGO40" s="471"/>
      <c r="AGP40" s="471"/>
      <c r="AGQ40" s="471"/>
      <c r="AGR40" s="471"/>
      <c r="AGS40" s="471"/>
      <c r="AGT40" s="471"/>
      <c r="AGU40" s="471"/>
      <c r="AGV40" s="471"/>
      <c r="AGW40" s="471"/>
      <c r="AGX40" s="471"/>
      <c r="AGY40" s="471"/>
      <c r="AGZ40" s="471"/>
      <c r="AHA40" s="471"/>
      <c r="AHB40" s="471"/>
      <c r="AHC40" s="471"/>
      <c r="AHD40" s="471"/>
      <c r="AHE40" s="471"/>
      <c r="AHF40" s="471"/>
      <c r="AHG40" s="471"/>
      <c r="AHH40" s="471"/>
      <c r="AHI40" s="471"/>
      <c r="AHJ40" s="471"/>
      <c r="AHK40" s="471"/>
      <c r="AHL40" s="471"/>
      <c r="AHM40" s="471"/>
      <c r="AHN40" s="471"/>
      <c r="AHO40" s="471"/>
      <c r="AHP40" s="471"/>
      <c r="AHQ40" s="471"/>
      <c r="AHR40" s="471"/>
      <c r="AHS40" s="471"/>
      <c r="AHT40" s="471"/>
      <c r="AHU40" s="471"/>
      <c r="AHV40" s="471"/>
      <c r="AHW40" s="471"/>
      <c r="AHX40" s="471"/>
      <c r="AHY40" s="471"/>
      <c r="AHZ40" s="471"/>
      <c r="AIA40" s="471"/>
      <c r="AIB40" s="471"/>
      <c r="AIC40" s="471"/>
      <c r="AID40" s="471"/>
      <c r="AIE40" s="471"/>
      <c r="AIF40" s="471"/>
      <c r="AIG40" s="471"/>
      <c r="AIH40" s="471"/>
      <c r="AII40" s="471"/>
      <c r="AIJ40" s="471"/>
      <c r="AIK40" s="471"/>
      <c r="AIL40" s="471"/>
      <c r="AIM40" s="471"/>
      <c r="AIN40" s="471"/>
      <c r="AIO40" s="471"/>
      <c r="AIP40" s="471"/>
      <c r="AIQ40" s="471"/>
      <c r="AIR40" s="471"/>
      <c r="AIS40" s="471"/>
      <c r="AIT40" s="471"/>
      <c r="AIU40" s="471"/>
      <c r="AIV40" s="471"/>
      <c r="AIW40" s="471"/>
      <c r="AIX40" s="471"/>
      <c r="AIY40" s="471"/>
      <c r="AIZ40" s="471"/>
      <c r="AJA40" s="471"/>
      <c r="AJB40" s="471"/>
      <c r="AJC40" s="471"/>
      <c r="AJD40" s="471"/>
      <c r="AJE40" s="471"/>
      <c r="AJF40" s="471"/>
      <c r="AJG40" s="471"/>
      <c r="AJH40" s="471"/>
      <c r="AJI40" s="471"/>
      <c r="AJJ40" s="471"/>
      <c r="AJK40" s="471"/>
      <c r="AJL40" s="471"/>
      <c r="AJM40" s="471"/>
      <c r="AJN40" s="471"/>
      <c r="AJO40" s="471"/>
      <c r="AJP40" s="471"/>
      <c r="AJQ40" s="471"/>
      <c r="AJR40" s="471"/>
      <c r="AJS40" s="471"/>
      <c r="AJT40" s="471"/>
      <c r="AJU40" s="471"/>
      <c r="AJV40" s="471"/>
      <c r="AJW40" s="471"/>
      <c r="AJX40" s="471"/>
      <c r="AJY40" s="471"/>
      <c r="AJZ40" s="471"/>
      <c r="AKA40" s="471"/>
      <c r="AKB40" s="471"/>
      <c r="AKC40" s="471"/>
      <c r="AKD40" s="471"/>
      <c r="AKE40" s="471"/>
      <c r="AKF40" s="471"/>
      <c r="AKG40" s="471"/>
      <c r="AKH40" s="471"/>
      <c r="AKI40" s="471"/>
      <c r="AKJ40" s="471"/>
      <c r="AKK40" s="471"/>
      <c r="AKL40" s="471"/>
      <c r="AKM40" s="471"/>
      <c r="AKN40" s="471"/>
      <c r="AKO40" s="471"/>
      <c r="AKP40" s="471"/>
      <c r="AKQ40" s="471"/>
      <c r="AKR40" s="471"/>
      <c r="AKS40" s="471"/>
      <c r="AKT40" s="471"/>
      <c r="AKU40" s="471"/>
      <c r="AKV40" s="471"/>
      <c r="AKW40" s="471"/>
      <c r="AKX40" s="471"/>
      <c r="AKY40" s="471"/>
      <c r="AKZ40" s="471"/>
      <c r="ALA40" s="471"/>
      <c r="ALB40" s="471"/>
      <c r="ALC40" s="471"/>
      <c r="ALD40" s="471"/>
      <c r="ALE40" s="471"/>
      <c r="ALF40" s="471"/>
      <c r="ALG40" s="471"/>
      <c r="ALH40" s="471"/>
      <c r="ALI40" s="471"/>
      <c r="ALJ40" s="471"/>
      <c r="ALK40" s="471"/>
      <c r="ALL40" s="471"/>
      <c r="ALM40" s="471"/>
      <c r="ALN40" s="471"/>
      <c r="ALO40" s="471"/>
      <c r="ALP40" s="471"/>
      <c r="ALQ40" s="471"/>
      <c r="ALR40" s="471"/>
      <c r="ALS40" s="471"/>
      <c r="ALT40" s="471"/>
      <c r="ALU40" s="471"/>
      <c r="ALV40" s="471"/>
      <c r="ALW40" s="471"/>
      <c r="ALX40" s="471"/>
      <c r="ALY40" s="471"/>
      <c r="ALZ40" s="471"/>
      <c r="AMA40" s="471"/>
      <c r="AMB40" s="471"/>
      <c r="AMC40" s="471"/>
      <c r="AMD40" s="471"/>
      <c r="AME40" s="471"/>
      <c r="AMF40" s="471"/>
      <c r="AMG40" s="471"/>
      <c r="AMH40" s="471"/>
      <c r="AMI40" s="471"/>
      <c r="AMJ40" s="471"/>
      <c r="AMK40" s="471"/>
      <c r="AML40" s="471"/>
      <c r="AMM40" s="471"/>
      <c r="AMN40" s="471"/>
      <c r="AMO40" s="471"/>
      <c r="AMP40" s="471"/>
      <c r="AMQ40" s="471"/>
      <c r="AMR40" s="471"/>
      <c r="AMS40" s="471"/>
      <c r="AMT40" s="471"/>
      <c r="AMU40" s="471"/>
      <c r="AMV40" s="471"/>
      <c r="AMW40" s="471"/>
      <c r="AMX40" s="471"/>
      <c r="AMY40" s="471"/>
      <c r="AMZ40" s="471"/>
      <c r="ANA40" s="471"/>
      <c r="ANB40" s="471"/>
      <c r="ANC40" s="471"/>
      <c r="AND40" s="471"/>
      <c r="ANE40" s="471"/>
      <c r="ANF40" s="471"/>
      <c r="ANG40" s="471"/>
      <c r="ANH40" s="471"/>
      <c r="ANI40" s="471"/>
      <c r="ANJ40" s="471"/>
      <c r="ANK40" s="471"/>
      <c r="ANL40" s="471"/>
      <c r="ANM40" s="471"/>
      <c r="ANN40" s="471"/>
      <c r="ANO40" s="471"/>
      <c r="ANP40" s="471"/>
      <c r="ANQ40" s="471"/>
      <c r="ANR40" s="471"/>
      <c r="ANS40" s="471"/>
      <c r="ANT40" s="471"/>
      <c r="ANU40" s="471"/>
      <c r="ANV40" s="471"/>
      <c r="ANW40" s="471"/>
      <c r="ANX40" s="471"/>
      <c r="ANY40" s="471"/>
      <c r="ANZ40" s="471"/>
      <c r="AOA40" s="471"/>
      <c r="AOB40" s="471"/>
      <c r="AOC40" s="471"/>
      <c r="AOD40" s="471"/>
      <c r="AOE40" s="471"/>
      <c r="AOF40" s="471"/>
      <c r="AOG40" s="471"/>
      <c r="AOH40" s="471"/>
      <c r="AOI40" s="471"/>
      <c r="AOJ40" s="471"/>
      <c r="AOK40" s="471"/>
      <c r="AOL40" s="471"/>
      <c r="AOM40" s="471"/>
      <c r="AON40" s="471"/>
      <c r="AOO40" s="471"/>
      <c r="AOP40" s="471"/>
      <c r="AOQ40" s="471"/>
      <c r="AOR40" s="471"/>
      <c r="AOS40" s="471"/>
      <c r="AOT40" s="471"/>
      <c r="AOU40" s="471"/>
      <c r="AOV40" s="471"/>
      <c r="AOW40" s="471"/>
      <c r="AOX40" s="471"/>
      <c r="AOY40" s="471"/>
      <c r="AOZ40" s="471"/>
      <c r="APA40" s="471"/>
      <c r="APB40" s="471"/>
      <c r="APC40" s="471"/>
      <c r="APD40" s="471"/>
      <c r="APE40" s="471"/>
      <c r="APF40" s="471"/>
      <c r="APG40" s="471"/>
      <c r="APH40" s="471"/>
      <c r="API40" s="471"/>
      <c r="APJ40" s="471"/>
      <c r="APK40" s="471"/>
      <c r="APL40" s="471"/>
      <c r="APM40" s="471"/>
      <c r="APN40" s="471"/>
      <c r="APO40" s="471"/>
      <c r="APP40" s="471"/>
      <c r="APQ40" s="471"/>
      <c r="APR40" s="471"/>
      <c r="APS40" s="471"/>
      <c r="APT40" s="471"/>
      <c r="APU40" s="471"/>
      <c r="APV40" s="471"/>
      <c r="APW40" s="471"/>
      <c r="APX40" s="471"/>
      <c r="APY40" s="471"/>
      <c r="APZ40" s="471"/>
      <c r="AQA40" s="471"/>
      <c r="AQB40" s="471"/>
      <c r="AQC40" s="471"/>
      <c r="AQD40" s="471"/>
      <c r="AQE40" s="471"/>
      <c r="AQF40" s="471"/>
      <c r="AQG40" s="471"/>
      <c r="AQH40" s="471"/>
      <c r="AQI40" s="471"/>
      <c r="AQJ40" s="471"/>
      <c r="AQK40" s="471"/>
      <c r="AQL40" s="471"/>
      <c r="AQM40" s="471"/>
      <c r="AQN40" s="471"/>
      <c r="AQO40" s="471"/>
      <c r="AQP40" s="471"/>
      <c r="AQQ40" s="471"/>
      <c r="AQR40" s="471"/>
      <c r="AQS40" s="471"/>
      <c r="AQT40" s="471"/>
      <c r="AQU40" s="471"/>
      <c r="AQV40" s="471"/>
      <c r="AQW40" s="471"/>
      <c r="AQX40" s="471"/>
      <c r="AQY40" s="471"/>
      <c r="AQZ40" s="471"/>
      <c r="ARA40" s="471"/>
      <c r="ARB40" s="471"/>
      <c r="ARC40" s="471"/>
      <c r="ARD40" s="471"/>
      <c r="ARE40" s="471"/>
      <c r="ARF40" s="471"/>
      <c r="ARG40" s="471"/>
      <c r="ARH40" s="471"/>
      <c r="ARI40" s="471"/>
      <c r="ARJ40" s="471"/>
      <c r="ARK40" s="471"/>
      <c r="ARL40" s="471"/>
      <c r="ARM40" s="471"/>
      <c r="ARN40" s="471"/>
      <c r="ARO40" s="471"/>
      <c r="ARP40" s="471"/>
      <c r="ARQ40" s="471"/>
      <c r="ARR40" s="471"/>
      <c r="ARS40" s="471"/>
      <c r="ART40" s="471"/>
      <c r="ARU40" s="471"/>
      <c r="ARV40" s="471"/>
      <c r="ARW40" s="471"/>
      <c r="ARX40" s="471"/>
      <c r="ARY40" s="471"/>
      <c r="ARZ40" s="471"/>
      <c r="ASA40" s="471"/>
      <c r="ASB40" s="471"/>
      <c r="ASC40" s="471"/>
      <c r="ASD40" s="471"/>
      <c r="ASE40" s="471"/>
      <c r="ASF40" s="471"/>
      <c r="ASG40" s="471"/>
      <c r="ASH40" s="471"/>
      <c r="ASI40" s="471"/>
      <c r="ASJ40" s="471"/>
      <c r="ASK40" s="471"/>
      <c r="ASL40" s="471"/>
      <c r="ASM40" s="471"/>
      <c r="ASN40" s="471"/>
      <c r="ASO40" s="471"/>
      <c r="ASP40" s="471"/>
      <c r="ASQ40" s="471"/>
      <c r="ASR40" s="471"/>
      <c r="ASS40" s="471"/>
      <c r="AST40" s="471"/>
      <c r="ASU40" s="471"/>
      <c r="ASV40" s="471"/>
      <c r="ASW40" s="471"/>
      <c r="ASX40" s="471"/>
      <c r="ASY40" s="471"/>
      <c r="ASZ40" s="471"/>
      <c r="ATA40" s="471"/>
      <c r="ATB40" s="471"/>
      <c r="ATC40" s="471"/>
      <c r="ATD40" s="471"/>
      <c r="ATE40" s="471"/>
      <c r="ATF40" s="471"/>
      <c r="ATG40" s="471"/>
      <c r="ATH40" s="471"/>
      <c r="ATI40" s="471"/>
      <c r="ATJ40" s="471"/>
      <c r="ATK40" s="471"/>
      <c r="ATL40" s="471"/>
      <c r="ATM40" s="471"/>
      <c r="ATN40" s="471"/>
      <c r="ATO40" s="471"/>
      <c r="ATP40" s="471"/>
      <c r="ATQ40" s="471"/>
      <c r="ATR40" s="471"/>
      <c r="ATS40" s="471"/>
      <c r="ATT40" s="471"/>
      <c r="ATU40" s="471"/>
      <c r="ATV40" s="471"/>
      <c r="ATW40" s="471"/>
      <c r="ATX40" s="471"/>
      <c r="ATY40" s="471"/>
      <c r="ATZ40" s="471"/>
      <c r="AUA40" s="471"/>
      <c r="AUB40" s="471"/>
      <c r="AUC40" s="471"/>
      <c r="AUD40" s="471"/>
      <c r="AUE40" s="471"/>
      <c r="AUF40" s="471"/>
      <c r="AUG40" s="471"/>
      <c r="AUH40" s="471"/>
      <c r="AUI40" s="471"/>
      <c r="AUJ40" s="471"/>
      <c r="AUK40" s="471"/>
      <c r="AUL40" s="471"/>
      <c r="AUM40" s="471"/>
      <c r="AUN40" s="471"/>
      <c r="AUO40" s="471"/>
      <c r="AUP40" s="471"/>
      <c r="AUQ40" s="471"/>
      <c r="AUR40" s="471"/>
      <c r="AUS40" s="471"/>
      <c r="AUT40" s="471"/>
      <c r="AUU40" s="471"/>
      <c r="AUV40" s="471"/>
      <c r="AUW40" s="471"/>
      <c r="AUX40" s="471"/>
      <c r="AUY40" s="471"/>
      <c r="AUZ40" s="471"/>
      <c r="AVA40" s="471"/>
      <c r="AVB40" s="471"/>
      <c r="AVC40" s="471"/>
      <c r="AVD40" s="471"/>
      <c r="AVE40" s="471"/>
      <c r="AVF40" s="471"/>
      <c r="AVG40" s="471"/>
      <c r="AVH40" s="471"/>
      <c r="AVI40" s="471"/>
      <c r="AVJ40" s="471"/>
      <c r="AVK40" s="471"/>
      <c r="AVL40" s="471"/>
      <c r="AVM40" s="471"/>
      <c r="AVN40" s="471"/>
      <c r="AVO40" s="471"/>
      <c r="AVP40" s="471"/>
      <c r="AVQ40" s="471"/>
      <c r="AVR40" s="471"/>
      <c r="AVS40" s="471"/>
      <c r="AVT40" s="471"/>
      <c r="AVU40" s="471"/>
      <c r="AVV40" s="471"/>
      <c r="AVW40" s="471"/>
      <c r="AVX40" s="471"/>
      <c r="AVY40" s="471"/>
      <c r="AVZ40" s="471"/>
      <c r="AWA40" s="471"/>
      <c r="AWB40" s="471"/>
      <c r="AWC40" s="471"/>
      <c r="AWD40" s="471"/>
      <c r="AWE40" s="471"/>
      <c r="AWF40" s="471"/>
      <c r="AWG40" s="471"/>
      <c r="AWH40" s="471"/>
      <c r="AWI40" s="471"/>
      <c r="AWJ40" s="471"/>
      <c r="AWK40" s="471"/>
      <c r="AWL40" s="471"/>
      <c r="AWM40" s="471"/>
      <c r="AWN40" s="471"/>
      <c r="AWO40" s="471"/>
      <c r="AWP40" s="471"/>
      <c r="AWQ40" s="471"/>
      <c r="AWR40" s="471"/>
      <c r="AWS40" s="471"/>
      <c r="AWT40" s="471"/>
      <c r="AWU40" s="471"/>
      <c r="AWV40" s="471"/>
      <c r="AWW40" s="471"/>
      <c r="AWX40" s="471"/>
      <c r="AWY40" s="471"/>
      <c r="AWZ40" s="471"/>
      <c r="AXA40" s="471"/>
      <c r="AXB40" s="471"/>
      <c r="AXC40" s="471"/>
      <c r="AXD40" s="471"/>
      <c r="AXE40" s="471"/>
      <c r="AXF40" s="471"/>
      <c r="AXG40" s="471"/>
      <c r="AXH40" s="471"/>
      <c r="AXI40" s="471"/>
      <c r="AXJ40" s="471"/>
      <c r="AXK40" s="471"/>
      <c r="AXL40" s="471"/>
      <c r="AXM40" s="471"/>
      <c r="AXN40" s="471"/>
      <c r="AXO40" s="471"/>
      <c r="AXP40" s="471"/>
      <c r="AXQ40" s="471"/>
      <c r="AXR40" s="471"/>
      <c r="AXS40" s="471"/>
      <c r="AXT40" s="471"/>
      <c r="AXU40" s="471"/>
      <c r="AXV40" s="471"/>
      <c r="AXW40" s="471"/>
      <c r="AXX40" s="471"/>
      <c r="AXY40" s="471"/>
      <c r="AXZ40" s="471"/>
      <c r="AYA40" s="471"/>
      <c r="AYB40" s="471"/>
      <c r="AYC40" s="471"/>
      <c r="AYD40" s="471"/>
      <c r="AYE40" s="471"/>
      <c r="AYF40" s="471"/>
      <c r="AYG40" s="471"/>
      <c r="AYH40" s="471"/>
      <c r="AYI40" s="471"/>
      <c r="AYJ40" s="471"/>
      <c r="AYK40" s="471"/>
      <c r="AYL40" s="471"/>
      <c r="AYM40" s="471"/>
      <c r="AYN40" s="471"/>
      <c r="AYO40" s="471"/>
      <c r="AYP40" s="471"/>
      <c r="AYQ40" s="471"/>
      <c r="AYR40" s="471"/>
      <c r="AYS40" s="471"/>
      <c r="AYT40" s="471"/>
      <c r="AYU40" s="471"/>
      <c r="AYV40" s="471"/>
      <c r="AYW40" s="471"/>
      <c r="AYX40" s="471"/>
      <c r="AYY40" s="471"/>
      <c r="AYZ40" s="471"/>
      <c r="AZA40" s="471"/>
      <c r="AZB40" s="471"/>
      <c r="AZC40" s="471"/>
      <c r="AZD40" s="471"/>
      <c r="AZE40" s="471"/>
      <c r="AZF40" s="471"/>
      <c r="AZG40" s="471"/>
      <c r="AZH40" s="471"/>
      <c r="AZI40" s="471"/>
      <c r="AZJ40" s="471"/>
      <c r="AZK40" s="471"/>
      <c r="AZL40" s="471"/>
      <c r="AZM40" s="471"/>
      <c r="AZN40" s="471"/>
      <c r="AZO40" s="471"/>
      <c r="AZP40" s="471"/>
      <c r="AZQ40" s="471"/>
      <c r="AZR40" s="471"/>
      <c r="AZS40" s="471"/>
      <c r="AZT40" s="471"/>
      <c r="AZU40" s="471"/>
      <c r="AZV40" s="471"/>
      <c r="AZW40" s="471"/>
      <c r="AZX40" s="471"/>
      <c r="AZY40" s="471"/>
      <c r="AZZ40" s="471"/>
      <c r="BAA40" s="471"/>
      <c r="BAB40" s="471"/>
      <c r="BAC40" s="471"/>
      <c r="BAD40" s="471"/>
      <c r="BAE40" s="471"/>
      <c r="BAF40" s="471"/>
      <c r="BAG40" s="471"/>
      <c r="BAH40" s="471"/>
      <c r="BAI40" s="471"/>
      <c r="BAJ40" s="471"/>
      <c r="BAK40" s="471"/>
      <c r="BAL40" s="471"/>
      <c r="BAM40" s="471"/>
      <c r="BAN40" s="471"/>
      <c r="BAO40" s="471"/>
      <c r="BAP40" s="471"/>
      <c r="BAQ40" s="471"/>
      <c r="BAR40" s="471"/>
      <c r="BAS40" s="471"/>
      <c r="BAT40" s="471"/>
      <c r="BAU40" s="471"/>
      <c r="BAV40" s="471"/>
      <c r="BAW40" s="471"/>
      <c r="BAX40" s="471"/>
      <c r="BAY40" s="471"/>
      <c r="BAZ40" s="471"/>
      <c r="BBA40" s="471"/>
      <c r="BBB40" s="471"/>
      <c r="BBC40" s="471"/>
      <c r="BBD40" s="471"/>
      <c r="BBE40" s="471"/>
      <c r="BBF40" s="471"/>
      <c r="BBG40" s="471"/>
      <c r="BBH40" s="471"/>
      <c r="BBI40" s="471"/>
      <c r="BBJ40" s="471"/>
      <c r="BBK40" s="471"/>
      <c r="BBL40" s="471"/>
      <c r="BBM40" s="471"/>
      <c r="BBN40" s="471"/>
      <c r="BBO40" s="471"/>
      <c r="BBP40" s="471"/>
      <c r="BBQ40" s="471"/>
      <c r="BBR40" s="471"/>
      <c r="BBS40" s="471"/>
      <c r="BBT40" s="471"/>
      <c r="BBU40" s="471"/>
      <c r="BBV40" s="471"/>
      <c r="BBW40" s="471"/>
      <c r="BBX40" s="471"/>
      <c r="BBY40" s="471"/>
      <c r="BBZ40" s="471"/>
      <c r="BCA40" s="471"/>
      <c r="BCB40" s="471"/>
      <c r="BCC40" s="471"/>
      <c r="BCD40" s="471"/>
      <c r="BCE40" s="471"/>
      <c r="BCF40" s="471"/>
      <c r="BCG40" s="471"/>
      <c r="BCH40" s="471"/>
      <c r="BCI40" s="471"/>
      <c r="BCJ40" s="471"/>
      <c r="BCK40" s="471"/>
      <c r="BCL40" s="471"/>
      <c r="BCM40" s="471"/>
      <c r="BCN40" s="471"/>
      <c r="BCO40" s="471"/>
      <c r="BCP40" s="471"/>
      <c r="BCQ40" s="471"/>
      <c r="BCR40" s="471"/>
      <c r="BCS40" s="471"/>
      <c r="BCT40" s="471"/>
      <c r="BCU40" s="471"/>
      <c r="BCV40" s="471"/>
      <c r="BCW40" s="471"/>
      <c r="BCX40" s="471"/>
      <c r="BCY40" s="471"/>
      <c r="BCZ40" s="471"/>
      <c r="BDA40" s="471"/>
      <c r="BDB40" s="471"/>
      <c r="BDC40" s="471"/>
      <c r="BDD40" s="471"/>
      <c r="BDE40" s="471"/>
      <c r="BDF40" s="471"/>
      <c r="BDG40" s="471"/>
      <c r="BDH40" s="471"/>
      <c r="BDI40" s="471"/>
      <c r="BDJ40" s="471"/>
      <c r="BDK40" s="471"/>
      <c r="BDL40" s="471"/>
      <c r="BDM40" s="471"/>
      <c r="BDN40" s="471"/>
      <c r="BDO40" s="471"/>
      <c r="BDP40" s="471"/>
      <c r="BDQ40" s="471"/>
      <c r="BDR40" s="471"/>
      <c r="BDS40" s="471"/>
      <c r="BDT40" s="471"/>
      <c r="BDU40" s="471"/>
      <c r="BDV40" s="471"/>
      <c r="BDW40" s="471"/>
      <c r="BDX40" s="471"/>
      <c r="BDY40" s="471"/>
      <c r="BDZ40" s="471"/>
      <c r="BEA40" s="471"/>
      <c r="BEB40" s="471"/>
      <c r="BEC40" s="471"/>
      <c r="BED40" s="471"/>
      <c r="BEE40" s="471"/>
      <c r="BEF40" s="471"/>
      <c r="BEG40" s="471"/>
      <c r="BEH40" s="471"/>
      <c r="BEI40" s="471"/>
      <c r="BEJ40" s="471"/>
      <c r="BEK40" s="471"/>
      <c r="BEL40" s="471"/>
      <c r="BEM40" s="471"/>
      <c r="BEN40" s="471"/>
      <c r="BEO40" s="471"/>
      <c r="BEP40" s="471"/>
      <c r="BEQ40" s="471"/>
      <c r="BER40" s="471"/>
      <c r="BES40" s="471"/>
      <c r="BET40" s="471"/>
      <c r="BEU40" s="471"/>
      <c r="BEV40" s="471"/>
      <c r="BEW40" s="471"/>
      <c r="BEX40" s="471"/>
      <c r="BEY40" s="471"/>
      <c r="BEZ40" s="471"/>
      <c r="BFA40" s="471"/>
      <c r="BFB40" s="471"/>
      <c r="BFC40" s="471"/>
      <c r="BFD40" s="471"/>
      <c r="BFE40" s="471"/>
      <c r="BFF40" s="471"/>
      <c r="BFG40" s="471"/>
      <c r="BFH40" s="471"/>
      <c r="BFI40" s="471"/>
      <c r="BFJ40" s="471"/>
      <c r="BFK40" s="471"/>
      <c r="BFL40" s="471"/>
      <c r="BFM40" s="471"/>
      <c r="BFN40" s="471"/>
      <c r="BFO40" s="471"/>
      <c r="BFP40" s="471"/>
      <c r="BFQ40" s="471"/>
      <c r="BFR40" s="471"/>
      <c r="BFS40" s="471"/>
      <c r="BFT40" s="471"/>
      <c r="BFU40" s="471"/>
      <c r="BFV40" s="471"/>
      <c r="BFW40" s="471"/>
      <c r="BFX40" s="471"/>
      <c r="BFY40" s="471"/>
      <c r="BFZ40" s="471"/>
      <c r="BGA40" s="471"/>
      <c r="BGB40" s="471"/>
      <c r="BGC40" s="471"/>
      <c r="BGD40" s="471"/>
      <c r="BGE40" s="471"/>
      <c r="BGF40" s="471"/>
      <c r="BGG40" s="471"/>
      <c r="BGH40" s="471"/>
      <c r="BGI40" s="471"/>
      <c r="BGJ40" s="471"/>
      <c r="BGK40" s="471"/>
      <c r="BGL40" s="471"/>
      <c r="BGM40" s="471"/>
      <c r="BGN40" s="471"/>
      <c r="BGO40" s="471"/>
      <c r="BGP40" s="471"/>
      <c r="BGQ40" s="471"/>
      <c r="BGR40" s="471"/>
      <c r="BGS40" s="471"/>
      <c r="BGT40" s="471"/>
      <c r="BGU40" s="471"/>
      <c r="BGV40" s="471"/>
      <c r="BGW40" s="471"/>
      <c r="BGX40" s="471"/>
      <c r="BGY40" s="471"/>
      <c r="BGZ40" s="471"/>
      <c r="BHA40" s="471"/>
      <c r="BHB40" s="471"/>
      <c r="BHC40" s="471"/>
      <c r="BHD40" s="471"/>
      <c r="BHE40" s="471"/>
      <c r="BHF40" s="471"/>
      <c r="BHG40" s="471"/>
      <c r="BHH40" s="471"/>
      <c r="BHI40" s="471"/>
      <c r="BHJ40" s="471"/>
      <c r="BHK40" s="471"/>
      <c r="BHL40" s="471"/>
      <c r="BHM40" s="471"/>
      <c r="BHN40" s="471"/>
      <c r="BHO40" s="471"/>
      <c r="BHP40" s="471"/>
      <c r="BHQ40" s="471"/>
      <c r="BHR40" s="471"/>
      <c r="BHS40" s="471"/>
      <c r="BHT40" s="471"/>
      <c r="BHU40" s="471"/>
      <c r="BHV40" s="471"/>
      <c r="BHW40" s="471"/>
      <c r="BHX40" s="471"/>
      <c r="BHY40" s="471"/>
      <c r="BHZ40" s="471"/>
      <c r="BIA40" s="471"/>
      <c r="BIB40" s="471"/>
      <c r="BIC40" s="471"/>
      <c r="BID40" s="471"/>
      <c r="BIE40" s="471"/>
      <c r="BIF40" s="471"/>
      <c r="BIG40" s="471"/>
      <c r="BIH40" s="471"/>
      <c r="BII40" s="471"/>
      <c r="BIJ40" s="471"/>
      <c r="BIK40" s="471"/>
      <c r="BIL40" s="471"/>
      <c r="BIM40" s="471"/>
      <c r="BIN40" s="471"/>
      <c r="BIO40" s="471"/>
      <c r="BIP40" s="471"/>
      <c r="BIQ40" s="471"/>
      <c r="BIR40" s="471"/>
      <c r="BIS40" s="471"/>
      <c r="BIT40" s="471"/>
      <c r="BIU40" s="471"/>
      <c r="BIV40" s="471"/>
      <c r="BIW40" s="471"/>
      <c r="BIX40" s="471"/>
      <c r="BIY40" s="471"/>
      <c r="BIZ40" s="471"/>
      <c r="BJA40" s="471"/>
      <c r="BJB40" s="471"/>
      <c r="BJC40" s="471"/>
      <c r="BJD40" s="471"/>
      <c r="BJE40" s="471"/>
      <c r="BJF40" s="471"/>
      <c r="BJG40" s="471"/>
      <c r="BJH40" s="471"/>
      <c r="BJI40" s="471"/>
      <c r="BJJ40" s="471"/>
      <c r="BJK40" s="471"/>
      <c r="BJL40" s="471"/>
      <c r="BJM40" s="471"/>
      <c r="BJN40" s="471"/>
      <c r="BJO40" s="471"/>
      <c r="BJP40" s="471"/>
      <c r="BJQ40" s="471"/>
      <c r="BJR40" s="471"/>
      <c r="BJS40" s="471"/>
      <c r="BJT40" s="471"/>
      <c r="BJU40" s="471"/>
      <c r="BJV40" s="471"/>
      <c r="BJW40" s="471"/>
      <c r="BJX40" s="471"/>
      <c r="BJY40" s="471"/>
      <c r="BJZ40" s="471"/>
      <c r="BKA40" s="471"/>
      <c r="BKB40" s="471"/>
      <c r="BKC40" s="471"/>
      <c r="BKD40" s="471"/>
      <c r="BKE40" s="471"/>
      <c r="BKF40" s="471"/>
      <c r="BKG40" s="471"/>
      <c r="BKH40" s="471"/>
      <c r="BKI40" s="471"/>
      <c r="BKJ40" s="471"/>
      <c r="BKK40" s="471"/>
      <c r="BKL40" s="471"/>
      <c r="BKM40" s="471"/>
      <c r="BKN40" s="471"/>
      <c r="BKO40" s="471"/>
      <c r="BKP40" s="471"/>
      <c r="BKQ40" s="471"/>
      <c r="BKR40" s="471"/>
      <c r="BKS40" s="471"/>
      <c r="BKT40" s="471"/>
      <c r="BKU40" s="471"/>
      <c r="BKV40" s="471"/>
      <c r="BKW40" s="471"/>
      <c r="BKX40" s="471"/>
      <c r="BKY40" s="471"/>
      <c r="BKZ40" s="471"/>
      <c r="BLA40" s="471"/>
      <c r="BLB40" s="471"/>
      <c r="BLC40" s="471"/>
      <c r="BLD40" s="471"/>
      <c r="BLE40" s="471"/>
      <c r="BLF40" s="471"/>
      <c r="BLG40" s="471"/>
      <c r="BLH40" s="471"/>
      <c r="BLI40" s="471"/>
      <c r="BLJ40" s="471"/>
      <c r="BLK40" s="471"/>
      <c r="BLL40" s="471"/>
      <c r="BLM40" s="471"/>
      <c r="BLN40" s="471"/>
      <c r="BLO40" s="471"/>
      <c r="BLP40" s="471"/>
      <c r="BLQ40" s="471"/>
      <c r="BLR40" s="471"/>
      <c r="BLS40" s="471"/>
      <c r="BLT40" s="471"/>
      <c r="BLU40" s="471"/>
      <c r="BLV40" s="471"/>
      <c r="BLW40" s="471"/>
      <c r="BLX40" s="471"/>
      <c r="BLY40" s="471"/>
      <c r="BLZ40" s="471"/>
      <c r="BMA40" s="471"/>
      <c r="BMB40" s="471"/>
      <c r="BMC40" s="471"/>
      <c r="BMD40" s="471"/>
      <c r="BME40" s="471"/>
      <c r="BMF40" s="471"/>
      <c r="BMG40" s="471"/>
      <c r="BMH40" s="471"/>
      <c r="BMI40" s="471"/>
      <c r="BMJ40" s="471"/>
      <c r="BMK40" s="471"/>
      <c r="BML40" s="471"/>
      <c r="BMM40" s="471"/>
      <c r="BMN40" s="471"/>
      <c r="BMO40" s="471"/>
      <c r="BMP40" s="471"/>
      <c r="BMQ40" s="471"/>
      <c r="BMR40" s="471"/>
      <c r="BMS40" s="471"/>
      <c r="BMT40" s="471"/>
      <c r="BMU40" s="471"/>
      <c r="BMV40" s="471"/>
      <c r="BMW40" s="471"/>
      <c r="BMX40" s="471"/>
      <c r="BMY40" s="471"/>
      <c r="BMZ40" s="471"/>
      <c r="BNA40" s="471"/>
      <c r="BNB40" s="471"/>
      <c r="BNC40" s="471"/>
      <c r="BND40" s="471"/>
      <c r="BNE40" s="471"/>
      <c r="BNF40" s="471"/>
      <c r="BNG40" s="471"/>
      <c r="BNH40" s="471"/>
      <c r="BNI40" s="471"/>
      <c r="BNJ40" s="471"/>
      <c r="BNK40" s="471"/>
      <c r="BNL40" s="471"/>
      <c r="BNM40" s="471"/>
      <c r="BNN40" s="471"/>
      <c r="BNO40" s="471"/>
      <c r="BNP40" s="471"/>
      <c r="BNQ40" s="471"/>
      <c r="BNR40" s="471"/>
      <c r="BNS40" s="471"/>
      <c r="BNT40" s="471"/>
      <c r="BNU40" s="471"/>
      <c r="BNV40" s="471"/>
      <c r="BNW40" s="471"/>
      <c r="BNX40" s="471"/>
      <c r="BNY40" s="471"/>
      <c r="BNZ40" s="471"/>
      <c r="BOA40" s="471"/>
      <c r="BOB40" s="471"/>
      <c r="BOC40" s="471"/>
      <c r="BOD40" s="471"/>
      <c r="BOE40" s="471"/>
      <c r="BOF40" s="471"/>
      <c r="BOG40" s="471"/>
      <c r="BOH40" s="471"/>
      <c r="BOI40" s="471"/>
      <c r="BOJ40" s="471"/>
      <c r="BOK40" s="471"/>
      <c r="BOL40" s="471"/>
      <c r="BOM40" s="471"/>
      <c r="BON40" s="471"/>
      <c r="BOO40" s="471"/>
      <c r="BOP40" s="471"/>
      <c r="BOQ40" s="471"/>
      <c r="BOR40" s="471"/>
      <c r="BOS40" s="471"/>
      <c r="BOT40" s="471"/>
      <c r="BOU40" s="471"/>
      <c r="BOV40" s="471"/>
      <c r="BOW40" s="471"/>
      <c r="BOX40" s="471"/>
      <c r="BOY40" s="471"/>
      <c r="BOZ40" s="471"/>
      <c r="BPA40" s="471"/>
      <c r="BPB40" s="471"/>
      <c r="BPC40" s="471"/>
      <c r="BPD40" s="471"/>
      <c r="BPE40" s="471"/>
      <c r="BPF40" s="471"/>
      <c r="BPG40" s="471"/>
      <c r="BPH40" s="471"/>
      <c r="BPI40" s="471"/>
      <c r="BPJ40" s="471"/>
      <c r="BPK40" s="471"/>
      <c r="BPL40" s="471"/>
      <c r="BPM40" s="471"/>
      <c r="BPN40" s="471"/>
      <c r="BPO40" s="471"/>
      <c r="BPP40" s="471"/>
      <c r="BPQ40" s="471"/>
      <c r="BPR40" s="471"/>
      <c r="BPS40" s="471"/>
      <c r="BPT40" s="471"/>
      <c r="BPU40" s="471"/>
      <c r="BPV40" s="471"/>
      <c r="BPW40" s="471"/>
      <c r="BPX40" s="471"/>
      <c r="BPY40" s="471"/>
      <c r="BPZ40" s="471"/>
      <c r="BQA40" s="471"/>
      <c r="BQB40" s="471"/>
      <c r="BQC40" s="471"/>
      <c r="BQD40" s="471"/>
      <c r="BQE40" s="471"/>
      <c r="BQF40" s="471"/>
      <c r="BQG40" s="471"/>
      <c r="BQH40" s="471"/>
      <c r="BQI40" s="471"/>
      <c r="BQJ40" s="471"/>
      <c r="BQK40" s="471"/>
      <c r="BQL40" s="471"/>
      <c r="BQM40" s="471"/>
      <c r="BQN40" s="471"/>
      <c r="BQO40" s="471"/>
      <c r="BQP40" s="471"/>
      <c r="BQQ40" s="471"/>
      <c r="BQR40" s="471"/>
      <c r="BQS40" s="471"/>
      <c r="BQT40" s="471"/>
      <c r="BQU40" s="471"/>
      <c r="BQV40" s="471"/>
      <c r="BQW40" s="471"/>
      <c r="BQX40" s="471"/>
      <c r="BQY40" s="471"/>
      <c r="BQZ40" s="471"/>
      <c r="BRA40" s="471"/>
      <c r="BRB40" s="471"/>
      <c r="BRC40" s="471"/>
      <c r="BRD40" s="471"/>
      <c r="BRE40" s="471"/>
      <c r="BRF40" s="471"/>
      <c r="BRG40" s="471"/>
      <c r="BRH40" s="471"/>
      <c r="BRI40" s="471"/>
      <c r="BRJ40" s="471"/>
      <c r="BRK40" s="471"/>
      <c r="BRL40" s="471"/>
      <c r="BRM40" s="471"/>
      <c r="BRN40" s="471"/>
      <c r="BRO40" s="471"/>
      <c r="BRP40" s="471"/>
      <c r="BRQ40" s="471"/>
      <c r="BRR40" s="471"/>
      <c r="BRS40" s="471"/>
      <c r="BRT40" s="471"/>
      <c r="BRU40" s="471"/>
      <c r="BRV40" s="471"/>
      <c r="BRW40" s="471"/>
      <c r="BRX40" s="471"/>
      <c r="BRY40" s="471"/>
      <c r="BRZ40" s="471"/>
      <c r="BSA40" s="471"/>
      <c r="BSB40" s="471"/>
      <c r="BSC40" s="471"/>
      <c r="BSD40" s="471"/>
      <c r="BSE40" s="471"/>
      <c r="BSF40" s="471"/>
      <c r="BSG40" s="471"/>
      <c r="BSH40" s="471"/>
      <c r="BSI40" s="471"/>
      <c r="BSJ40" s="471"/>
      <c r="BSK40" s="471"/>
      <c r="BSL40" s="471"/>
      <c r="BSM40" s="471"/>
      <c r="BSN40" s="471"/>
      <c r="BSO40" s="471"/>
      <c r="BSP40" s="471"/>
      <c r="BSQ40" s="471"/>
      <c r="BSR40" s="471"/>
      <c r="BSS40" s="471"/>
      <c r="BST40" s="471"/>
      <c r="BSU40" s="471"/>
      <c r="BSV40" s="471"/>
      <c r="BSW40" s="471"/>
      <c r="BSX40" s="471"/>
      <c r="BSY40" s="471"/>
      <c r="BSZ40" s="471"/>
      <c r="BTA40" s="471"/>
      <c r="BTB40" s="471"/>
      <c r="BTC40" s="471"/>
      <c r="BTD40" s="471"/>
      <c r="BTE40" s="471"/>
      <c r="BTF40" s="471"/>
      <c r="BTG40" s="471"/>
      <c r="BTH40" s="471"/>
      <c r="BTI40" s="471"/>
      <c r="BTJ40" s="471"/>
      <c r="BTK40" s="471"/>
      <c r="BTL40" s="471"/>
      <c r="BTM40" s="471"/>
      <c r="BTN40" s="471"/>
      <c r="BTO40" s="471"/>
      <c r="BTP40" s="471"/>
      <c r="BTQ40" s="471"/>
      <c r="BTR40" s="471"/>
      <c r="BTS40" s="471"/>
      <c r="BTT40" s="471"/>
      <c r="BTU40" s="471"/>
      <c r="BTV40" s="471"/>
      <c r="BTW40" s="471"/>
      <c r="BTX40" s="471"/>
      <c r="BTY40" s="471"/>
      <c r="BTZ40" s="471"/>
      <c r="BUA40" s="471"/>
      <c r="BUB40" s="471"/>
      <c r="BUC40" s="471"/>
      <c r="BUD40" s="471"/>
      <c r="BUE40" s="471"/>
      <c r="BUF40" s="471"/>
      <c r="BUG40" s="471"/>
      <c r="BUH40" s="471"/>
      <c r="BUI40" s="471"/>
      <c r="BUJ40" s="471"/>
      <c r="BUK40" s="471"/>
      <c r="BUL40" s="471"/>
      <c r="BUM40" s="471"/>
      <c r="BUN40" s="471"/>
      <c r="BUO40" s="471"/>
      <c r="BUP40" s="471"/>
      <c r="BUQ40" s="471"/>
      <c r="BUR40" s="471"/>
      <c r="BUS40" s="471"/>
      <c r="BUT40" s="471"/>
      <c r="BUU40" s="471"/>
      <c r="BUV40" s="471"/>
      <c r="BUW40" s="471"/>
      <c r="BUX40" s="471"/>
      <c r="BUY40" s="471"/>
      <c r="BUZ40" s="471"/>
      <c r="BVA40" s="471"/>
      <c r="BVB40" s="471"/>
      <c r="BVC40" s="471"/>
      <c r="BVD40" s="471"/>
      <c r="BVE40" s="471"/>
      <c r="BVF40" s="471"/>
      <c r="BVG40" s="471"/>
      <c r="BVH40" s="471"/>
      <c r="BVI40" s="471"/>
      <c r="BVJ40" s="471"/>
      <c r="BVK40" s="471"/>
      <c r="BVL40" s="471"/>
      <c r="BVM40" s="471"/>
      <c r="BVN40" s="471"/>
      <c r="BVO40" s="471"/>
      <c r="BVP40" s="471"/>
      <c r="BVQ40" s="471"/>
      <c r="BVR40" s="471"/>
      <c r="BVS40" s="471"/>
      <c r="BVT40" s="471"/>
      <c r="BVU40" s="471"/>
      <c r="BVV40" s="471"/>
      <c r="BVW40" s="471"/>
      <c r="BVX40" s="471"/>
      <c r="BVY40" s="471"/>
      <c r="BVZ40" s="471"/>
      <c r="BWA40" s="471"/>
      <c r="BWB40" s="471"/>
      <c r="BWC40" s="471"/>
      <c r="BWD40" s="471"/>
      <c r="BWE40" s="471"/>
      <c r="BWF40" s="471"/>
      <c r="BWG40" s="471"/>
      <c r="BWH40" s="471"/>
      <c r="BWI40" s="471"/>
      <c r="BWJ40" s="471"/>
      <c r="BWK40" s="471"/>
      <c r="BWL40" s="471"/>
      <c r="BWM40" s="471"/>
      <c r="BWN40" s="471"/>
      <c r="BWO40" s="471"/>
      <c r="BWP40" s="471"/>
      <c r="BWQ40" s="471"/>
      <c r="BWR40" s="471"/>
      <c r="BWS40" s="471"/>
      <c r="BWT40" s="471"/>
      <c r="BWU40" s="471"/>
      <c r="BWV40" s="471"/>
      <c r="BWW40" s="471"/>
      <c r="BWX40" s="471"/>
      <c r="BWY40" s="471"/>
      <c r="BWZ40" s="471"/>
      <c r="BXA40" s="471"/>
      <c r="BXB40" s="471"/>
      <c r="BXC40" s="471"/>
      <c r="BXD40" s="471"/>
      <c r="BXE40" s="471"/>
      <c r="BXF40" s="471"/>
      <c r="BXG40" s="471"/>
      <c r="BXH40" s="471"/>
      <c r="BXI40" s="471"/>
      <c r="BXJ40" s="471"/>
      <c r="BXK40" s="471"/>
      <c r="BXL40" s="471"/>
      <c r="BXM40" s="471"/>
      <c r="BXN40" s="471"/>
      <c r="BXO40" s="471"/>
      <c r="BXP40" s="471"/>
      <c r="BXQ40" s="471"/>
      <c r="BXR40" s="471"/>
      <c r="BXS40" s="471"/>
      <c r="BXT40" s="471"/>
      <c r="BXU40" s="471"/>
      <c r="BXV40" s="471"/>
      <c r="BXW40" s="471"/>
      <c r="BXX40" s="471"/>
      <c r="BXY40" s="471"/>
      <c r="BXZ40" s="471"/>
      <c r="BYA40" s="471"/>
      <c r="BYB40" s="471"/>
      <c r="BYC40" s="471"/>
      <c r="BYD40" s="471"/>
      <c r="BYE40" s="471"/>
      <c r="BYF40" s="471"/>
      <c r="BYG40" s="471"/>
      <c r="BYH40" s="471"/>
      <c r="BYI40" s="471"/>
      <c r="BYJ40" s="471"/>
      <c r="BYK40" s="471"/>
      <c r="BYL40" s="471"/>
      <c r="BYM40" s="471"/>
      <c r="BYN40" s="471"/>
      <c r="BYO40" s="471"/>
      <c r="BYP40" s="471"/>
      <c r="BYQ40" s="471"/>
      <c r="BYR40" s="471"/>
      <c r="BYS40" s="471"/>
      <c r="BYT40" s="471"/>
      <c r="BYU40" s="471"/>
      <c r="BYV40" s="471"/>
      <c r="BYW40" s="471"/>
      <c r="BYX40" s="471"/>
      <c r="BYY40" s="471"/>
      <c r="BYZ40" s="471"/>
      <c r="BZA40" s="471"/>
      <c r="BZB40" s="471"/>
      <c r="BZC40" s="471"/>
      <c r="BZD40" s="471"/>
      <c r="BZE40" s="471"/>
      <c r="BZF40" s="471"/>
      <c r="BZG40" s="471"/>
      <c r="BZH40" s="471"/>
      <c r="BZI40" s="471"/>
      <c r="BZJ40" s="471"/>
      <c r="BZK40" s="471"/>
      <c r="BZL40" s="471"/>
      <c r="BZM40" s="471"/>
      <c r="BZN40" s="471"/>
      <c r="BZO40" s="471"/>
      <c r="BZP40" s="471"/>
      <c r="BZQ40" s="471"/>
      <c r="BZR40" s="471"/>
      <c r="BZS40" s="471"/>
      <c r="BZT40" s="471"/>
      <c r="BZU40" s="471"/>
      <c r="BZV40" s="471"/>
      <c r="BZW40" s="471"/>
      <c r="BZX40" s="471"/>
      <c r="BZY40" s="471"/>
      <c r="BZZ40" s="471"/>
      <c r="CAA40" s="471"/>
      <c r="CAB40" s="471"/>
      <c r="CAC40" s="471"/>
      <c r="CAD40" s="471"/>
      <c r="CAE40" s="471"/>
      <c r="CAF40" s="471"/>
      <c r="CAG40" s="471"/>
      <c r="CAH40" s="471"/>
      <c r="CAI40" s="471"/>
      <c r="CAJ40" s="471"/>
      <c r="CAK40" s="471"/>
      <c r="CAL40" s="471"/>
      <c r="CAM40" s="471"/>
      <c r="CAN40" s="471"/>
      <c r="CAO40" s="471"/>
      <c r="CAP40" s="471"/>
      <c r="CAQ40" s="471"/>
      <c r="CAR40" s="471"/>
      <c r="CAS40" s="471"/>
      <c r="CAT40" s="471"/>
      <c r="CAU40" s="471"/>
      <c r="CAV40" s="471"/>
      <c r="CAW40" s="471"/>
      <c r="CAX40" s="471"/>
      <c r="CAY40" s="471"/>
      <c r="CAZ40" s="471"/>
      <c r="CBA40" s="471"/>
      <c r="CBB40" s="471"/>
      <c r="CBC40" s="471"/>
      <c r="CBD40" s="471"/>
      <c r="CBE40" s="471"/>
      <c r="CBF40" s="471"/>
      <c r="CBG40" s="471"/>
      <c r="CBH40" s="471"/>
      <c r="CBI40" s="471"/>
      <c r="CBJ40" s="471"/>
      <c r="CBK40" s="471"/>
      <c r="CBL40" s="471"/>
      <c r="CBM40" s="471"/>
      <c r="CBN40" s="471"/>
      <c r="CBO40" s="471"/>
      <c r="CBP40" s="471"/>
      <c r="CBQ40" s="471"/>
      <c r="CBR40" s="471"/>
      <c r="CBS40" s="471"/>
      <c r="CBT40" s="471"/>
      <c r="CBU40" s="471"/>
      <c r="CBV40" s="471"/>
      <c r="CBW40" s="471"/>
      <c r="CBX40" s="471"/>
      <c r="CBY40" s="471"/>
      <c r="CBZ40" s="471"/>
      <c r="CCA40" s="471"/>
      <c r="CCB40" s="471"/>
      <c r="CCC40" s="471"/>
      <c r="CCD40" s="471"/>
      <c r="CCE40" s="471"/>
      <c r="CCF40" s="471"/>
      <c r="CCG40" s="471"/>
      <c r="CCH40" s="471"/>
      <c r="CCI40" s="471"/>
      <c r="CCJ40" s="471"/>
      <c r="CCK40" s="471"/>
      <c r="CCL40" s="471"/>
      <c r="CCM40" s="471"/>
      <c r="CCN40" s="471"/>
      <c r="CCO40" s="471"/>
      <c r="CCP40" s="471"/>
      <c r="CCQ40" s="471"/>
      <c r="CCR40" s="471"/>
      <c r="CCS40" s="471"/>
      <c r="CCT40" s="471"/>
      <c r="CCU40" s="471"/>
      <c r="CCV40" s="471"/>
      <c r="CCW40" s="471"/>
      <c r="CCX40" s="471"/>
      <c r="CCY40" s="471"/>
      <c r="CCZ40" s="471"/>
      <c r="CDA40" s="471"/>
      <c r="CDB40" s="471"/>
      <c r="CDC40" s="471"/>
      <c r="CDD40" s="471"/>
      <c r="CDE40" s="471"/>
      <c r="CDF40" s="471"/>
      <c r="CDG40" s="471"/>
      <c r="CDH40" s="471"/>
      <c r="CDI40" s="471"/>
      <c r="CDJ40" s="471"/>
      <c r="CDK40" s="471"/>
      <c r="CDL40" s="471"/>
      <c r="CDM40" s="471"/>
      <c r="CDN40" s="471"/>
      <c r="CDO40" s="471"/>
      <c r="CDP40" s="471"/>
      <c r="CDQ40" s="471"/>
      <c r="CDR40" s="471"/>
      <c r="CDS40" s="471"/>
      <c r="CDT40" s="471"/>
      <c r="CDU40" s="471"/>
      <c r="CDV40" s="471"/>
      <c r="CDW40" s="471"/>
      <c r="CDX40" s="471"/>
      <c r="CDY40" s="471"/>
      <c r="CDZ40" s="471"/>
      <c r="CEA40" s="471"/>
      <c r="CEB40" s="471"/>
      <c r="CEC40" s="471"/>
      <c r="CED40" s="471"/>
      <c r="CEE40" s="471"/>
      <c r="CEF40" s="471"/>
      <c r="CEG40" s="471"/>
      <c r="CEH40" s="471"/>
      <c r="CEI40" s="471"/>
      <c r="CEJ40" s="471"/>
      <c r="CEK40" s="471"/>
      <c r="CEL40" s="471"/>
      <c r="CEM40" s="471"/>
      <c r="CEN40" s="471"/>
      <c r="CEO40" s="471"/>
      <c r="CEP40" s="471"/>
      <c r="CEQ40" s="471"/>
      <c r="CER40" s="471"/>
      <c r="CES40" s="471"/>
      <c r="CET40" s="471"/>
      <c r="CEU40" s="471"/>
      <c r="CEV40" s="471"/>
      <c r="CEW40" s="471"/>
      <c r="CEX40" s="471"/>
      <c r="CEY40" s="471"/>
      <c r="CEZ40" s="471"/>
      <c r="CFA40" s="471"/>
      <c r="CFB40" s="471"/>
      <c r="CFC40" s="471"/>
      <c r="CFD40" s="471"/>
      <c r="CFE40" s="471"/>
      <c r="CFF40" s="471"/>
      <c r="CFG40" s="471"/>
      <c r="CFH40" s="471"/>
      <c r="CFI40" s="471"/>
      <c r="CFJ40" s="471"/>
      <c r="CFK40" s="471"/>
      <c r="CFL40" s="471"/>
      <c r="CFM40" s="471"/>
      <c r="CFN40" s="471"/>
      <c r="CFO40" s="471"/>
      <c r="CFP40" s="471"/>
      <c r="CFQ40" s="471"/>
      <c r="CFR40" s="471"/>
      <c r="CFS40" s="471"/>
      <c r="CFT40" s="471"/>
      <c r="CFU40" s="471"/>
      <c r="CFV40" s="471"/>
      <c r="CFW40" s="471"/>
      <c r="CFX40" s="471"/>
      <c r="CFY40" s="471"/>
      <c r="CFZ40" s="471"/>
      <c r="CGA40" s="471"/>
      <c r="CGB40" s="471"/>
      <c r="CGC40" s="471"/>
      <c r="CGD40" s="471"/>
      <c r="CGE40" s="471"/>
      <c r="CGF40" s="471"/>
      <c r="CGG40" s="471"/>
      <c r="CGH40" s="471"/>
      <c r="CGI40" s="471"/>
      <c r="CGJ40" s="471"/>
      <c r="CGK40" s="471"/>
      <c r="CGL40" s="471"/>
      <c r="CGM40" s="471"/>
      <c r="CGN40" s="471"/>
      <c r="CGO40" s="471"/>
      <c r="CGP40" s="471"/>
      <c r="CGQ40" s="471"/>
      <c r="CGR40" s="471"/>
      <c r="CGS40" s="471"/>
      <c r="CGT40" s="471"/>
      <c r="CGU40" s="471"/>
      <c r="CGV40" s="471"/>
      <c r="CGW40" s="471"/>
      <c r="CGX40" s="471"/>
      <c r="CGY40" s="471"/>
      <c r="CGZ40" s="471"/>
      <c r="CHA40" s="471"/>
      <c r="CHB40" s="471"/>
      <c r="CHC40" s="471"/>
      <c r="CHD40" s="471"/>
      <c r="CHE40" s="471"/>
      <c r="CHF40" s="471"/>
      <c r="CHG40" s="471"/>
      <c r="CHH40" s="471"/>
      <c r="CHI40" s="471"/>
      <c r="CHJ40" s="471"/>
      <c r="CHK40" s="471"/>
      <c r="CHL40" s="471"/>
      <c r="CHM40" s="471"/>
      <c r="CHN40" s="471"/>
      <c r="CHO40" s="471"/>
      <c r="CHP40" s="471"/>
      <c r="CHQ40" s="471"/>
      <c r="CHR40" s="471"/>
      <c r="CHS40" s="471"/>
      <c r="CHT40" s="471"/>
      <c r="CHU40" s="471"/>
      <c r="CHV40" s="471"/>
      <c r="CHW40" s="471"/>
      <c r="CHX40" s="471"/>
      <c r="CHY40" s="471"/>
      <c r="CHZ40" s="471"/>
      <c r="CIA40" s="471"/>
      <c r="CIB40" s="471"/>
      <c r="CIC40" s="471"/>
      <c r="CID40" s="471"/>
      <c r="CIE40" s="471"/>
      <c r="CIF40" s="471"/>
      <c r="CIG40" s="471"/>
      <c r="CIH40" s="471"/>
      <c r="CII40" s="471"/>
      <c r="CIJ40" s="471"/>
      <c r="CIK40" s="471"/>
      <c r="CIL40" s="471"/>
      <c r="CIM40" s="471"/>
      <c r="CIN40" s="471"/>
      <c r="CIO40" s="471"/>
      <c r="CIP40" s="471"/>
      <c r="CIQ40" s="471"/>
      <c r="CIR40" s="471"/>
      <c r="CIS40" s="471"/>
      <c r="CIT40" s="471"/>
      <c r="CIU40" s="471"/>
      <c r="CIV40" s="471"/>
      <c r="CIW40" s="471"/>
      <c r="CIX40" s="471"/>
      <c r="CIY40" s="471"/>
      <c r="CIZ40" s="471"/>
      <c r="CJA40" s="471"/>
      <c r="CJB40" s="471"/>
      <c r="CJC40" s="471"/>
      <c r="CJD40" s="471"/>
      <c r="CJE40" s="471"/>
      <c r="CJF40" s="471"/>
      <c r="CJG40" s="471"/>
      <c r="CJH40" s="471"/>
      <c r="CJI40" s="471"/>
      <c r="CJJ40" s="471"/>
      <c r="CJK40" s="471"/>
      <c r="CJL40" s="471"/>
      <c r="CJM40" s="471"/>
      <c r="CJN40" s="471"/>
      <c r="CJO40" s="471"/>
      <c r="CJP40" s="471"/>
      <c r="CJQ40" s="471"/>
      <c r="CJR40" s="471"/>
      <c r="CJS40" s="471"/>
      <c r="CJT40" s="471"/>
      <c r="CJU40" s="471"/>
      <c r="CJV40" s="471"/>
      <c r="CJW40" s="471"/>
      <c r="CJX40" s="471"/>
      <c r="CJY40" s="471"/>
      <c r="CJZ40" s="471"/>
      <c r="CKA40" s="471"/>
      <c r="CKB40" s="471"/>
      <c r="CKC40" s="471"/>
      <c r="CKD40" s="471"/>
      <c r="CKE40" s="471"/>
      <c r="CKF40" s="471"/>
      <c r="CKG40" s="471"/>
      <c r="CKH40" s="471"/>
      <c r="CKI40" s="471"/>
      <c r="CKJ40" s="471"/>
      <c r="CKK40" s="471"/>
      <c r="CKL40" s="471"/>
      <c r="CKM40" s="471"/>
      <c r="CKN40" s="471"/>
      <c r="CKO40" s="471"/>
      <c r="CKP40" s="471"/>
      <c r="CKQ40" s="471"/>
      <c r="CKR40" s="471"/>
      <c r="CKS40" s="471"/>
      <c r="CKT40" s="471"/>
      <c r="CKU40" s="471"/>
      <c r="CKV40" s="471"/>
      <c r="CKW40" s="471"/>
      <c r="CKX40" s="471"/>
      <c r="CKY40" s="471"/>
      <c r="CKZ40" s="471"/>
      <c r="CLA40" s="471"/>
      <c r="CLB40" s="471"/>
      <c r="CLC40" s="471"/>
      <c r="CLD40" s="471"/>
      <c r="CLE40" s="471"/>
      <c r="CLF40" s="471"/>
      <c r="CLG40" s="471"/>
      <c r="CLH40" s="471"/>
      <c r="CLI40" s="471"/>
      <c r="CLJ40" s="471"/>
      <c r="CLK40" s="471"/>
      <c r="CLL40" s="471"/>
      <c r="CLM40" s="471"/>
      <c r="CLN40" s="471"/>
      <c r="CLO40" s="471"/>
      <c r="CLP40" s="471"/>
      <c r="CLQ40" s="471"/>
      <c r="CLR40" s="471"/>
      <c r="CLS40" s="471"/>
      <c r="CLT40" s="471"/>
      <c r="CLU40" s="471"/>
      <c r="CLV40" s="471"/>
      <c r="CLW40" s="471"/>
      <c r="CLX40" s="471"/>
      <c r="CLY40" s="471"/>
      <c r="CLZ40" s="471"/>
      <c r="CMA40" s="471"/>
      <c r="CMB40" s="471"/>
      <c r="CMC40" s="471"/>
      <c r="CMD40" s="471"/>
      <c r="CME40" s="471"/>
      <c r="CMF40" s="471"/>
      <c r="CMG40" s="471"/>
      <c r="CMH40" s="471"/>
      <c r="CMI40" s="471"/>
      <c r="CMJ40" s="471"/>
      <c r="CMK40" s="471"/>
      <c r="CML40" s="471"/>
      <c r="CMM40" s="471"/>
      <c r="CMN40" s="471"/>
      <c r="CMO40" s="471"/>
      <c r="CMP40" s="471"/>
      <c r="CMQ40" s="471"/>
      <c r="CMR40" s="471"/>
      <c r="CMS40" s="471"/>
      <c r="CMT40" s="471"/>
      <c r="CMU40" s="471"/>
      <c r="CMV40" s="471"/>
      <c r="CMW40" s="471"/>
      <c r="CMX40" s="471"/>
      <c r="CMY40" s="471"/>
      <c r="CMZ40" s="471"/>
      <c r="CNA40" s="471"/>
      <c r="CNB40" s="471"/>
      <c r="CNC40" s="471"/>
      <c r="CND40" s="471"/>
      <c r="CNE40" s="471"/>
      <c r="CNF40" s="471"/>
      <c r="CNG40" s="471"/>
      <c r="CNH40" s="471"/>
      <c r="CNI40" s="471"/>
      <c r="CNJ40" s="471"/>
      <c r="CNK40" s="471"/>
      <c r="CNL40" s="471"/>
      <c r="CNM40" s="471"/>
      <c r="CNN40" s="471"/>
      <c r="CNO40" s="471"/>
      <c r="CNP40" s="471"/>
      <c r="CNQ40" s="471"/>
      <c r="CNR40" s="471"/>
      <c r="CNS40" s="471"/>
      <c r="CNT40" s="471"/>
      <c r="CNU40" s="471"/>
      <c r="CNV40" s="471"/>
      <c r="CNW40" s="471"/>
      <c r="CNX40" s="471"/>
      <c r="CNY40" s="471"/>
      <c r="CNZ40" s="471"/>
      <c r="COA40" s="471"/>
      <c r="COB40" s="471"/>
      <c r="COC40" s="471"/>
      <c r="COD40" s="471"/>
      <c r="COE40" s="471"/>
      <c r="COF40" s="471"/>
      <c r="COG40" s="471"/>
      <c r="COH40" s="471"/>
      <c r="COI40" s="471"/>
      <c r="COJ40" s="471"/>
      <c r="COK40" s="471"/>
      <c r="COL40" s="471"/>
      <c r="COM40" s="471"/>
      <c r="CON40" s="471"/>
      <c r="COO40" s="471"/>
      <c r="COP40" s="471"/>
      <c r="COQ40" s="471"/>
      <c r="COR40" s="471"/>
      <c r="COS40" s="471"/>
      <c r="COT40" s="471"/>
      <c r="COU40" s="471"/>
      <c r="COV40" s="471"/>
      <c r="COW40" s="471"/>
      <c r="COX40" s="471"/>
      <c r="COY40" s="471"/>
      <c r="COZ40" s="471"/>
      <c r="CPA40" s="471"/>
      <c r="CPB40" s="471"/>
      <c r="CPC40" s="471"/>
      <c r="CPD40" s="471"/>
      <c r="CPE40" s="471"/>
      <c r="CPF40" s="471"/>
      <c r="CPG40" s="471"/>
      <c r="CPH40" s="471"/>
      <c r="CPI40" s="471"/>
      <c r="CPJ40" s="471"/>
      <c r="CPK40" s="471"/>
      <c r="CPL40" s="471"/>
      <c r="CPM40" s="471"/>
      <c r="CPN40" s="471"/>
      <c r="CPO40" s="471"/>
      <c r="CPP40" s="471"/>
      <c r="CPQ40" s="471"/>
      <c r="CPR40" s="471"/>
      <c r="CPS40" s="471"/>
      <c r="CPT40" s="471"/>
      <c r="CPU40" s="471"/>
      <c r="CPV40" s="471"/>
      <c r="CPW40" s="471"/>
      <c r="CPX40" s="471"/>
      <c r="CPY40" s="471"/>
      <c r="CPZ40" s="471"/>
      <c r="CQA40" s="471"/>
      <c r="CQB40" s="471"/>
      <c r="CQC40" s="471"/>
      <c r="CQD40" s="471"/>
      <c r="CQE40" s="471"/>
      <c r="CQF40" s="471"/>
      <c r="CQG40" s="471"/>
      <c r="CQH40" s="471"/>
      <c r="CQI40" s="471"/>
      <c r="CQJ40" s="471"/>
      <c r="CQK40" s="471"/>
      <c r="CQL40" s="471"/>
      <c r="CQM40" s="471"/>
      <c r="CQN40" s="471"/>
      <c r="CQO40" s="471"/>
      <c r="CQP40" s="471"/>
      <c r="CQQ40" s="471"/>
      <c r="CQR40" s="471"/>
      <c r="CQS40" s="471"/>
      <c r="CQT40" s="471"/>
      <c r="CQU40" s="471"/>
      <c r="CQV40" s="471"/>
      <c r="CQW40" s="471"/>
      <c r="CQX40" s="471"/>
      <c r="CQY40" s="471"/>
      <c r="CQZ40" s="471"/>
      <c r="CRA40" s="471"/>
      <c r="CRB40" s="471"/>
      <c r="CRC40" s="471"/>
      <c r="CRD40" s="471"/>
      <c r="CRE40" s="471"/>
      <c r="CRF40" s="471"/>
      <c r="CRG40" s="471"/>
      <c r="CRH40" s="471"/>
      <c r="CRI40" s="471"/>
      <c r="CRJ40" s="471"/>
      <c r="CRK40" s="471"/>
      <c r="CRL40" s="471"/>
      <c r="CRM40" s="471"/>
      <c r="CRN40" s="471"/>
      <c r="CRO40" s="471"/>
      <c r="CRP40" s="471"/>
      <c r="CRQ40" s="471"/>
      <c r="CRR40" s="471"/>
      <c r="CRS40" s="471"/>
      <c r="CRT40" s="471"/>
      <c r="CRU40" s="471"/>
      <c r="CRV40" s="471"/>
      <c r="CRW40" s="471"/>
      <c r="CRX40" s="471"/>
      <c r="CRY40" s="471"/>
      <c r="CRZ40" s="471"/>
      <c r="CSA40" s="471"/>
      <c r="CSB40" s="471"/>
      <c r="CSC40" s="471"/>
      <c r="CSD40" s="471"/>
      <c r="CSE40" s="471"/>
      <c r="CSF40" s="471"/>
      <c r="CSG40" s="471"/>
      <c r="CSH40" s="471"/>
      <c r="CSI40" s="471"/>
      <c r="CSJ40" s="471"/>
      <c r="CSK40" s="471"/>
      <c r="CSL40" s="471"/>
      <c r="CSM40" s="471"/>
      <c r="CSN40" s="471"/>
      <c r="CSO40" s="471"/>
      <c r="CSP40" s="471"/>
      <c r="CSQ40" s="471"/>
      <c r="CSR40" s="471"/>
      <c r="CSS40" s="471"/>
      <c r="CST40" s="471"/>
      <c r="CSU40" s="471"/>
      <c r="CSV40" s="471"/>
      <c r="CSW40" s="471"/>
      <c r="CSX40" s="471"/>
      <c r="CSY40" s="471"/>
      <c r="CSZ40" s="471"/>
      <c r="CTA40" s="471"/>
      <c r="CTB40" s="471"/>
      <c r="CTC40" s="471"/>
      <c r="CTD40" s="471"/>
      <c r="CTE40" s="471"/>
      <c r="CTF40" s="471"/>
      <c r="CTG40" s="471"/>
      <c r="CTH40" s="471"/>
      <c r="CTI40" s="471"/>
      <c r="CTJ40" s="471"/>
      <c r="CTK40" s="471"/>
      <c r="CTL40" s="471"/>
      <c r="CTM40" s="471"/>
      <c r="CTN40" s="471"/>
      <c r="CTO40" s="471"/>
      <c r="CTP40" s="471"/>
      <c r="CTQ40" s="471"/>
      <c r="CTR40" s="471"/>
      <c r="CTS40" s="471"/>
      <c r="CTT40" s="471"/>
      <c r="CTU40" s="471"/>
      <c r="CTV40" s="471"/>
      <c r="CTW40" s="471"/>
      <c r="CTX40" s="471"/>
      <c r="CTY40" s="471"/>
      <c r="CTZ40" s="471"/>
      <c r="CUA40" s="471"/>
      <c r="CUB40" s="471"/>
      <c r="CUC40" s="471"/>
      <c r="CUD40" s="471"/>
      <c r="CUE40" s="471"/>
      <c r="CUF40" s="471"/>
      <c r="CUG40" s="471"/>
      <c r="CUH40" s="471"/>
      <c r="CUI40" s="471"/>
      <c r="CUJ40" s="471"/>
      <c r="CUK40" s="471"/>
      <c r="CUL40" s="471"/>
      <c r="CUM40" s="471"/>
      <c r="CUN40" s="471"/>
      <c r="CUO40" s="471"/>
      <c r="CUP40" s="471"/>
      <c r="CUQ40" s="471"/>
      <c r="CUR40" s="471"/>
      <c r="CUS40" s="471"/>
      <c r="CUT40" s="471"/>
      <c r="CUU40" s="471"/>
      <c r="CUV40" s="471"/>
      <c r="CUW40" s="471"/>
      <c r="CUX40" s="471"/>
      <c r="CUY40" s="471"/>
      <c r="CUZ40" s="471"/>
      <c r="CVA40" s="471"/>
      <c r="CVB40" s="471"/>
      <c r="CVC40" s="471"/>
      <c r="CVD40" s="471"/>
      <c r="CVE40" s="471"/>
      <c r="CVF40" s="471"/>
      <c r="CVG40" s="471"/>
      <c r="CVH40" s="471"/>
      <c r="CVI40" s="471"/>
      <c r="CVJ40" s="471"/>
      <c r="CVK40" s="471"/>
      <c r="CVL40" s="471"/>
      <c r="CVM40" s="471"/>
      <c r="CVN40" s="471"/>
      <c r="CVO40" s="471"/>
      <c r="CVP40" s="471"/>
      <c r="CVQ40" s="471"/>
      <c r="CVR40" s="471"/>
      <c r="CVS40" s="471"/>
      <c r="CVT40" s="471"/>
      <c r="CVU40" s="471"/>
      <c r="CVV40" s="471"/>
      <c r="CVW40" s="471"/>
      <c r="CVX40" s="471"/>
      <c r="CVY40" s="471"/>
      <c r="CVZ40" s="471"/>
      <c r="CWA40" s="471"/>
      <c r="CWB40" s="471"/>
      <c r="CWC40" s="471"/>
      <c r="CWD40" s="471"/>
      <c r="CWE40" s="471"/>
      <c r="CWF40" s="471"/>
      <c r="CWG40" s="471"/>
      <c r="CWH40" s="471"/>
      <c r="CWI40" s="471"/>
      <c r="CWJ40" s="471"/>
      <c r="CWK40" s="471"/>
      <c r="CWL40" s="471"/>
      <c r="CWM40" s="471"/>
      <c r="CWN40" s="471"/>
      <c r="CWO40" s="471"/>
      <c r="CWP40" s="471"/>
      <c r="CWQ40" s="471"/>
      <c r="CWR40" s="471"/>
      <c r="CWS40" s="471"/>
      <c r="CWT40" s="471"/>
      <c r="CWU40" s="471"/>
      <c r="CWV40" s="471"/>
      <c r="CWW40" s="471"/>
      <c r="CWX40" s="471"/>
      <c r="CWY40" s="471"/>
      <c r="CWZ40" s="471"/>
      <c r="CXA40" s="471"/>
      <c r="CXB40" s="471"/>
      <c r="CXC40" s="471"/>
      <c r="CXD40" s="471"/>
      <c r="CXE40" s="471"/>
      <c r="CXF40" s="471"/>
      <c r="CXG40" s="471"/>
      <c r="CXH40" s="471"/>
      <c r="CXI40" s="471"/>
      <c r="CXJ40" s="471"/>
      <c r="CXK40" s="471"/>
      <c r="CXL40" s="471"/>
      <c r="CXM40" s="471"/>
      <c r="CXN40" s="471"/>
      <c r="CXO40" s="471"/>
      <c r="CXP40" s="471"/>
      <c r="CXQ40" s="471"/>
      <c r="CXR40" s="471"/>
      <c r="CXS40" s="471"/>
      <c r="CXT40" s="471"/>
      <c r="CXU40" s="471"/>
      <c r="CXV40" s="471"/>
      <c r="CXW40" s="471"/>
      <c r="CXX40" s="471"/>
      <c r="CXY40" s="471"/>
      <c r="CXZ40" s="471"/>
      <c r="CYA40" s="471"/>
      <c r="CYB40" s="471"/>
      <c r="CYC40" s="471"/>
      <c r="CYD40" s="471"/>
      <c r="CYE40" s="471"/>
      <c r="CYF40" s="471"/>
      <c r="CYG40" s="471"/>
      <c r="CYH40" s="471"/>
      <c r="CYI40" s="471"/>
      <c r="CYJ40" s="471"/>
      <c r="CYK40" s="471"/>
      <c r="CYL40" s="471"/>
      <c r="CYM40" s="471"/>
      <c r="CYN40" s="471"/>
      <c r="CYO40" s="471"/>
      <c r="CYP40" s="471"/>
      <c r="CYQ40" s="471"/>
      <c r="CYR40" s="471"/>
      <c r="CYS40" s="471"/>
      <c r="CYT40" s="471"/>
      <c r="CYU40" s="471"/>
      <c r="CYV40" s="471"/>
      <c r="CYW40" s="471"/>
      <c r="CYX40" s="471"/>
      <c r="CYY40" s="471"/>
      <c r="CYZ40" s="471"/>
      <c r="CZA40" s="471"/>
      <c r="CZB40" s="471"/>
      <c r="CZC40" s="471"/>
      <c r="CZD40" s="471"/>
      <c r="CZE40" s="471"/>
      <c r="CZF40" s="471"/>
      <c r="CZG40" s="471"/>
      <c r="CZH40" s="471"/>
      <c r="CZI40" s="471"/>
      <c r="CZJ40" s="471"/>
      <c r="CZK40" s="471"/>
      <c r="CZL40" s="471"/>
      <c r="CZM40" s="471"/>
      <c r="CZN40" s="471"/>
      <c r="CZO40" s="471"/>
      <c r="CZP40" s="471"/>
      <c r="CZQ40" s="471"/>
      <c r="CZR40" s="471"/>
      <c r="CZS40" s="471"/>
      <c r="CZT40" s="471"/>
      <c r="CZU40" s="471"/>
      <c r="CZV40" s="471"/>
      <c r="CZW40" s="471"/>
      <c r="CZX40" s="471"/>
      <c r="CZY40" s="471"/>
      <c r="CZZ40" s="471"/>
      <c r="DAA40" s="471"/>
      <c r="DAB40" s="471"/>
      <c r="DAC40" s="471"/>
      <c r="DAD40" s="471"/>
      <c r="DAE40" s="471"/>
      <c r="DAF40" s="471"/>
      <c r="DAG40" s="471"/>
      <c r="DAH40" s="471"/>
      <c r="DAI40" s="471"/>
      <c r="DAJ40" s="471"/>
      <c r="DAK40" s="471"/>
      <c r="DAL40" s="471"/>
      <c r="DAM40" s="471"/>
      <c r="DAN40" s="471"/>
      <c r="DAO40" s="471"/>
      <c r="DAP40" s="471"/>
      <c r="DAQ40" s="471"/>
      <c r="DAR40" s="471"/>
      <c r="DAS40" s="471"/>
      <c r="DAT40" s="471"/>
      <c r="DAU40" s="471"/>
      <c r="DAV40" s="471"/>
      <c r="DAW40" s="471"/>
      <c r="DAX40" s="471"/>
      <c r="DAY40" s="471"/>
      <c r="DAZ40" s="471"/>
      <c r="DBA40" s="471"/>
      <c r="DBB40" s="471"/>
      <c r="DBC40" s="471"/>
      <c r="DBD40" s="471"/>
      <c r="DBE40" s="471"/>
      <c r="DBF40" s="471"/>
      <c r="DBG40" s="471"/>
      <c r="DBH40" s="471"/>
      <c r="DBI40" s="471"/>
      <c r="DBJ40" s="471"/>
      <c r="DBK40" s="471"/>
      <c r="DBL40" s="471"/>
      <c r="DBM40" s="471"/>
      <c r="DBN40" s="471"/>
      <c r="DBO40" s="471"/>
      <c r="DBP40" s="471"/>
      <c r="DBQ40" s="471"/>
      <c r="DBR40" s="471"/>
      <c r="DBS40" s="471"/>
      <c r="DBT40" s="471"/>
      <c r="DBU40" s="471"/>
      <c r="DBV40" s="471"/>
      <c r="DBW40" s="471"/>
      <c r="DBX40" s="471"/>
      <c r="DBY40" s="471"/>
      <c r="DBZ40" s="471"/>
      <c r="DCA40" s="471"/>
      <c r="DCB40" s="471"/>
      <c r="DCC40" s="471"/>
      <c r="DCD40" s="471"/>
      <c r="DCE40" s="471"/>
      <c r="DCF40" s="471"/>
      <c r="DCG40" s="471"/>
      <c r="DCH40" s="471"/>
      <c r="DCI40" s="471"/>
      <c r="DCJ40" s="471"/>
      <c r="DCK40" s="471"/>
      <c r="DCL40" s="471"/>
      <c r="DCM40" s="471"/>
      <c r="DCN40" s="471"/>
      <c r="DCO40" s="471"/>
      <c r="DCP40" s="471"/>
      <c r="DCQ40" s="471"/>
      <c r="DCR40" s="471"/>
      <c r="DCS40" s="471"/>
      <c r="DCT40" s="471"/>
      <c r="DCU40" s="471"/>
      <c r="DCV40" s="471"/>
      <c r="DCW40" s="471"/>
      <c r="DCX40" s="471"/>
      <c r="DCY40" s="471"/>
      <c r="DCZ40" s="471"/>
      <c r="DDA40" s="471"/>
      <c r="DDB40" s="471"/>
      <c r="DDC40" s="471"/>
      <c r="DDD40" s="471"/>
      <c r="DDE40" s="471"/>
      <c r="DDF40" s="471"/>
      <c r="DDG40" s="471"/>
      <c r="DDH40" s="471"/>
      <c r="DDI40" s="471"/>
      <c r="DDJ40" s="471"/>
      <c r="DDK40" s="471"/>
      <c r="DDL40" s="471"/>
      <c r="DDM40" s="471"/>
      <c r="DDN40" s="471"/>
      <c r="DDO40" s="471"/>
      <c r="DDP40" s="471"/>
      <c r="DDQ40" s="471"/>
      <c r="DDR40" s="471"/>
      <c r="DDS40" s="471"/>
      <c r="DDT40" s="471"/>
      <c r="DDU40" s="471"/>
      <c r="DDV40" s="471"/>
      <c r="DDW40" s="471"/>
      <c r="DDX40" s="471"/>
      <c r="DDY40" s="471"/>
      <c r="DDZ40" s="471"/>
      <c r="DEA40" s="471"/>
      <c r="DEB40" s="471"/>
      <c r="DEC40" s="471"/>
      <c r="DED40" s="471"/>
      <c r="DEE40" s="471"/>
      <c r="DEF40" s="471"/>
      <c r="DEG40" s="471"/>
      <c r="DEH40" s="471"/>
      <c r="DEI40" s="471"/>
      <c r="DEJ40" s="471"/>
      <c r="DEK40" s="471"/>
      <c r="DEL40" s="471"/>
      <c r="DEM40" s="471"/>
      <c r="DEN40" s="471"/>
      <c r="DEO40" s="471"/>
      <c r="DEP40" s="471"/>
      <c r="DEQ40" s="471"/>
      <c r="DER40" s="471"/>
      <c r="DES40" s="471"/>
      <c r="DET40" s="471"/>
      <c r="DEU40" s="471"/>
      <c r="DEV40" s="471"/>
      <c r="DEW40" s="471"/>
      <c r="DEX40" s="471"/>
      <c r="DEY40" s="471"/>
      <c r="DEZ40" s="471"/>
      <c r="DFA40" s="471"/>
      <c r="DFB40" s="471"/>
      <c r="DFC40" s="471"/>
      <c r="DFD40" s="471"/>
      <c r="DFE40" s="471"/>
      <c r="DFF40" s="471"/>
      <c r="DFG40" s="471"/>
      <c r="DFH40" s="471"/>
      <c r="DFI40" s="471"/>
      <c r="DFJ40" s="471"/>
      <c r="DFK40" s="471"/>
      <c r="DFL40" s="471"/>
      <c r="DFM40" s="471"/>
      <c r="DFN40" s="471"/>
      <c r="DFO40" s="471"/>
      <c r="DFP40" s="471"/>
      <c r="DFQ40" s="471"/>
      <c r="DFR40" s="471"/>
      <c r="DFS40" s="471"/>
      <c r="DFT40" s="471"/>
      <c r="DFU40" s="471"/>
      <c r="DFV40" s="471"/>
      <c r="DFW40" s="471"/>
      <c r="DFX40" s="471"/>
      <c r="DFY40" s="471"/>
      <c r="DFZ40" s="471"/>
      <c r="DGA40" s="471"/>
      <c r="DGB40" s="471"/>
      <c r="DGC40" s="471"/>
      <c r="DGD40" s="471"/>
      <c r="DGE40" s="471"/>
      <c r="DGF40" s="471"/>
      <c r="DGG40" s="471"/>
      <c r="DGH40" s="471"/>
      <c r="DGI40" s="471"/>
      <c r="DGJ40" s="471"/>
      <c r="DGK40" s="471"/>
      <c r="DGL40" s="471"/>
      <c r="DGM40" s="471"/>
      <c r="DGN40" s="471"/>
      <c r="DGO40" s="471"/>
      <c r="DGP40" s="471"/>
      <c r="DGQ40" s="471"/>
      <c r="DGR40" s="471"/>
      <c r="DGS40" s="471"/>
      <c r="DGT40" s="471"/>
      <c r="DGU40" s="471"/>
      <c r="DGV40" s="471"/>
      <c r="DGW40" s="471"/>
      <c r="DGX40" s="471"/>
      <c r="DGY40" s="471"/>
      <c r="DGZ40" s="471"/>
      <c r="DHA40" s="471"/>
      <c r="DHB40" s="471"/>
      <c r="DHC40" s="471"/>
      <c r="DHD40" s="471"/>
      <c r="DHE40" s="471"/>
      <c r="DHF40" s="471"/>
      <c r="DHG40" s="471"/>
      <c r="DHH40" s="471"/>
      <c r="DHI40" s="471"/>
      <c r="DHJ40" s="471"/>
      <c r="DHK40" s="471"/>
      <c r="DHL40" s="471"/>
      <c r="DHM40" s="471"/>
      <c r="DHN40" s="471"/>
      <c r="DHO40" s="471"/>
      <c r="DHP40" s="471"/>
      <c r="DHQ40" s="471"/>
      <c r="DHR40" s="471"/>
      <c r="DHS40" s="471"/>
      <c r="DHT40" s="471"/>
      <c r="DHU40" s="471"/>
      <c r="DHV40" s="471"/>
      <c r="DHW40" s="471"/>
      <c r="DHX40" s="471"/>
      <c r="DHY40" s="471"/>
      <c r="DHZ40" s="471"/>
      <c r="DIA40" s="471"/>
      <c r="DIB40" s="471"/>
      <c r="DIC40" s="471"/>
      <c r="DID40" s="471"/>
      <c r="DIE40" s="471"/>
      <c r="DIF40" s="471"/>
      <c r="DIG40" s="471"/>
      <c r="DIH40" s="471"/>
      <c r="DII40" s="471"/>
      <c r="DIJ40" s="471"/>
      <c r="DIK40" s="471"/>
      <c r="DIL40" s="471"/>
      <c r="DIM40" s="471"/>
      <c r="DIN40" s="471"/>
      <c r="DIO40" s="471"/>
      <c r="DIP40" s="471"/>
      <c r="DIQ40" s="471"/>
      <c r="DIR40" s="471"/>
      <c r="DIS40" s="471"/>
      <c r="DIT40" s="471"/>
      <c r="DIU40" s="471"/>
      <c r="DIV40" s="471"/>
      <c r="DIW40" s="471"/>
      <c r="DIX40" s="471"/>
      <c r="DIY40" s="471"/>
      <c r="DIZ40" s="471"/>
      <c r="DJA40" s="471"/>
      <c r="DJB40" s="471"/>
      <c r="DJC40" s="471"/>
      <c r="DJD40" s="471"/>
      <c r="DJE40" s="471"/>
      <c r="DJF40" s="471"/>
      <c r="DJG40" s="471"/>
      <c r="DJH40" s="471"/>
      <c r="DJI40" s="471"/>
      <c r="DJJ40" s="471"/>
      <c r="DJK40" s="471"/>
      <c r="DJL40" s="471"/>
      <c r="DJM40" s="471"/>
      <c r="DJN40" s="471"/>
      <c r="DJO40" s="471"/>
      <c r="DJP40" s="471"/>
      <c r="DJQ40" s="471"/>
      <c r="DJR40" s="471"/>
      <c r="DJS40" s="471"/>
      <c r="DJT40" s="471"/>
      <c r="DJU40" s="471"/>
      <c r="DJV40" s="471"/>
      <c r="DJW40" s="471"/>
      <c r="DJX40" s="471"/>
      <c r="DJY40" s="471"/>
      <c r="DJZ40" s="471"/>
      <c r="DKA40" s="471"/>
      <c r="DKB40" s="471"/>
      <c r="DKC40" s="471"/>
      <c r="DKD40" s="471"/>
      <c r="DKE40" s="471"/>
      <c r="DKF40" s="471"/>
      <c r="DKG40" s="471"/>
      <c r="DKH40" s="471"/>
      <c r="DKI40" s="471"/>
      <c r="DKJ40" s="471"/>
      <c r="DKK40" s="471"/>
      <c r="DKL40" s="471"/>
      <c r="DKM40" s="471"/>
      <c r="DKN40" s="471"/>
      <c r="DKO40" s="471"/>
      <c r="DKP40" s="471"/>
      <c r="DKQ40" s="471"/>
      <c r="DKR40" s="471"/>
      <c r="DKS40" s="471"/>
      <c r="DKT40" s="471"/>
      <c r="DKU40" s="471"/>
      <c r="DKV40" s="471"/>
      <c r="DKW40" s="471"/>
      <c r="DKX40" s="471"/>
      <c r="DKY40" s="471"/>
      <c r="DKZ40" s="471"/>
      <c r="DLA40" s="471"/>
      <c r="DLB40" s="471"/>
      <c r="DLC40" s="471"/>
      <c r="DLD40" s="471"/>
      <c r="DLE40" s="471"/>
      <c r="DLF40" s="471"/>
      <c r="DLG40" s="471"/>
      <c r="DLH40" s="471"/>
      <c r="DLI40" s="471"/>
      <c r="DLJ40" s="471"/>
      <c r="DLK40" s="471"/>
      <c r="DLL40" s="471"/>
      <c r="DLM40" s="471"/>
      <c r="DLN40" s="471"/>
      <c r="DLO40" s="471"/>
      <c r="DLP40" s="471"/>
      <c r="DLQ40" s="471"/>
      <c r="DLR40" s="471"/>
      <c r="DLS40" s="471"/>
      <c r="DLT40" s="471"/>
      <c r="DLU40" s="471"/>
      <c r="DLV40" s="471"/>
      <c r="DLW40" s="471"/>
      <c r="DLX40" s="471"/>
      <c r="DLY40" s="471"/>
      <c r="DLZ40" s="471"/>
      <c r="DMA40" s="471"/>
      <c r="DMB40" s="471"/>
      <c r="DMC40" s="471"/>
      <c r="DMD40" s="471"/>
      <c r="DME40" s="471"/>
      <c r="DMF40" s="471"/>
      <c r="DMG40" s="471"/>
      <c r="DMH40" s="471"/>
      <c r="DMI40" s="471"/>
      <c r="DMJ40" s="471"/>
      <c r="DMK40" s="471"/>
      <c r="DML40" s="471"/>
      <c r="DMM40" s="471"/>
      <c r="DMN40" s="471"/>
      <c r="DMO40" s="471"/>
      <c r="DMP40" s="471"/>
      <c r="DMQ40" s="471"/>
      <c r="DMR40" s="471"/>
      <c r="DMS40" s="471"/>
      <c r="DMT40" s="471"/>
      <c r="DMU40" s="471"/>
      <c r="DMV40" s="471"/>
      <c r="DMW40" s="471"/>
      <c r="DMX40" s="471"/>
      <c r="DMY40" s="471"/>
      <c r="DMZ40" s="471"/>
      <c r="DNA40" s="471"/>
      <c r="DNB40" s="471"/>
      <c r="DNC40" s="471"/>
      <c r="DND40" s="471"/>
      <c r="DNE40" s="471"/>
      <c r="DNF40" s="471"/>
      <c r="DNG40" s="471"/>
      <c r="DNH40" s="471"/>
      <c r="DNI40" s="471"/>
      <c r="DNJ40" s="471"/>
      <c r="DNK40" s="471"/>
      <c r="DNL40" s="471"/>
      <c r="DNM40" s="471"/>
      <c r="DNN40" s="471"/>
      <c r="DNO40" s="471"/>
      <c r="DNP40" s="471"/>
      <c r="DNQ40" s="471"/>
      <c r="DNR40" s="471"/>
      <c r="DNS40" s="471"/>
      <c r="DNT40" s="471"/>
      <c r="DNU40" s="471"/>
      <c r="DNV40" s="471"/>
      <c r="DNW40" s="471"/>
      <c r="DNX40" s="471"/>
      <c r="DNY40" s="471"/>
      <c r="DNZ40" s="471"/>
      <c r="DOA40" s="471"/>
      <c r="DOB40" s="471"/>
      <c r="DOC40" s="471"/>
      <c r="DOD40" s="471"/>
      <c r="DOE40" s="471"/>
      <c r="DOF40" s="471"/>
      <c r="DOG40" s="471"/>
      <c r="DOH40" s="471"/>
      <c r="DOI40" s="471"/>
      <c r="DOJ40" s="471"/>
      <c r="DOK40" s="471"/>
      <c r="DOL40" s="471"/>
      <c r="DOM40" s="471"/>
      <c r="DON40" s="471"/>
      <c r="DOO40" s="471"/>
      <c r="DOP40" s="471"/>
      <c r="DOQ40" s="471"/>
      <c r="DOR40" s="471"/>
      <c r="DOS40" s="471"/>
      <c r="DOT40" s="471"/>
      <c r="DOU40" s="471"/>
      <c r="DOV40" s="471"/>
      <c r="DOW40" s="471"/>
      <c r="DOX40" s="471"/>
      <c r="DOY40" s="471"/>
      <c r="DOZ40" s="471"/>
      <c r="DPA40" s="471"/>
      <c r="DPB40" s="471"/>
      <c r="DPC40" s="471"/>
      <c r="DPD40" s="471"/>
      <c r="DPE40" s="471"/>
      <c r="DPF40" s="471"/>
      <c r="DPG40" s="471"/>
      <c r="DPH40" s="471"/>
      <c r="DPI40" s="471"/>
      <c r="DPJ40" s="471"/>
      <c r="DPK40" s="471"/>
      <c r="DPL40" s="471"/>
      <c r="DPM40" s="471"/>
      <c r="DPN40" s="471"/>
      <c r="DPO40" s="471"/>
      <c r="DPP40" s="471"/>
      <c r="DPQ40" s="471"/>
      <c r="DPR40" s="471"/>
      <c r="DPS40" s="471"/>
      <c r="DPT40" s="471"/>
      <c r="DPU40" s="471"/>
      <c r="DPV40" s="471"/>
      <c r="DPW40" s="471"/>
      <c r="DPX40" s="471"/>
      <c r="DPY40" s="471"/>
      <c r="DPZ40" s="471"/>
      <c r="DQA40" s="471"/>
      <c r="DQB40" s="471"/>
      <c r="DQC40" s="471"/>
      <c r="DQD40" s="471"/>
      <c r="DQE40" s="471"/>
      <c r="DQF40" s="471"/>
      <c r="DQG40" s="471"/>
      <c r="DQH40" s="471"/>
      <c r="DQI40" s="471"/>
      <c r="DQJ40" s="471"/>
      <c r="DQK40" s="471"/>
      <c r="DQL40" s="471"/>
      <c r="DQM40" s="471"/>
      <c r="DQN40" s="471"/>
      <c r="DQO40" s="471"/>
      <c r="DQP40" s="471"/>
      <c r="DQQ40" s="471"/>
      <c r="DQR40" s="471"/>
      <c r="DQS40" s="471"/>
      <c r="DQT40" s="471"/>
      <c r="DQU40" s="471"/>
      <c r="DQV40" s="471"/>
      <c r="DQW40" s="471"/>
      <c r="DQX40" s="471"/>
      <c r="DQY40" s="471"/>
      <c r="DQZ40" s="471"/>
      <c r="DRA40" s="471"/>
      <c r="DRB40" s="471"/>
      <c r="DRC40" s="471"/>
      <c r="DRD40" s="471"/>
      <c r="DRE40" s="471"/>
      <c r="DRF40" s="471"/>
      <c r="DRG40" s="471"/>
      <c r="DRH40" s="471"/>
      <c r="DRI40" s="471"/>
      <c r="DRJ40" s="471"/>
      <c r="DRK40" s="471"/>
      <c r="DRL40" s="471"/>
      <c r="DRM40" s="471"/>
      <c r="DRN40" s="471"/>
      <c r="DRO40" s="471"/>
      <c r="DRP40" s="471"/>
      <c r="DRQ40" s="471"/>
      <c r="DRR40" s="471"/>
      <c r="DRS40" s="471"/>
      <c r="DRT40" s="471"/>
      <c r="DRU40" s="471"/>
      <c r="DRV40" s="471"/>
      <c r="DRW40" s="471"/>
      <c r="DRX40" s="471"/>
      <c r="DRY40" s="471"/>
      <c r="DRZ40" s="471"/>
      <c r="DSA40" s="471"/>
      <c r="DSB40" s="471"/>
      <c r="DSC40" s="471"/>
      <c r="DSD40" s="471"/>
      <c r="DSE40" s="471"/>
      <c r="DSF40" s="471"/>
      <c r="DSG40" s="471"/>
      <c r="DSH40" s="471"/>
      <c r="DSI40" s="471"/>
      <c r="DSJ40" s="471"/>
      <c r="DSK40" s="471"/>
      <c r="DSL40" s="471"/>
      <c r="DSM40" s="471"/>
      <c r="DSN40" s="471"/>
      <c r="DSO40" s="471"/>
      <c r="DSP40" s="471"/>
      <c r="DSQ40" s="471"/>
      <c r="DSR40" s="471"/>
      <c r="DSS40" s="471"/>
      <c r="DST40" s="471"/>
      <c r="DSU40" s="471"/>
      <c r="DSV40" s="471"/>
      <c r="DSW40" s="471"/>
      <c r="DSX40" s="471"/>
      <c r="DSY40" s="471"/>
      <c r="DSZ40" s="471"/>
      <c r="DTA40" s="471"/>
      <c r="DTB40" s="471"/>
      <c r="DTC40" s="471"/>
      <c r="DTD40" s="471"/>
      <c r="DTE40" s="471"/>
      <c r="DTF40" s="471"/>
      <c r="DTG40" s="471"/>
      <c r="DTH40" s="471"/>
      <c r="DTI40" s="471"/>
      <c r="DTJ40" s="471"/>
      <c r="DTK40" s="471"/>
      <c r="DTL40" s="471"/>
      <c r="DTM40" s="471"/>
      <c r="DTN40" s="471"/>
      <c r="DTO40" s="471"/>
      <c r="DTP40" s="471"/>
      <c r="DTQ40" s="471"/>
      <c r="DTR40" s="471"/>
      <c r="DTS40" s="471"/>
      <c r="DTT40" s="471"/>
      <c r="DTU40" s="471"/>
      <c r="DTV40" s="471"/>
      <c r="DTW40" s="471"/>
      <c r="DTX40" s="471"/>
      <c r="DTY40" s="471"/>
      <c r="DTZ40" s="471"/>
      <c r="DUA40" s="471"/>
      <c r="DUB40" s="471"/>
      <c r="DUC40" s="471"/>
      <c r="DUD40" s="471"/>
      <c r="DUE40" s="471"/>
      <c r="DUF40" s="471"/>
      <c r="DUG40" s="471"/>
      <c r="DUH40" s="471"/>
      <c r="DUI40" s="471"/>
      <c r="DUJ40" s="471"/>
      <c r="DUK40" s="471"/>
      <c r="DUL40" s="471"/>
      <c r="DUM40" s="471"/>
      <c r="DUN40" s="471"/>
      <c r="DUO40" s="471"/>
      <c r="DUP40" s="471"/>
      <c r="DUQ40" s="471"/>
      <c r="DUR40" s="471"/>
      <c r="DUS40" s="471"/>
      <c r="DUT40" s="471"/>
      <c r="DUU40" s="471"/>
      <c r="DUV40" s="471"/>
      <c r="DUW40" s="471"/>
      <c r="DUX40" s="471"/>
      <c r="DUY40" s="471"/>
      <c r="DUZ40" s="471"/>
      <c r="DVA40" s="471"/>
      <c r="DVB40" s="471"/>
      <c r="DVC40" s="471"/>
      <c r="DVD40" s="471"/>
      <c r="DVE40" s="471"/>
      <c r="DVF40" s="471"/>
      <c r="DVG40" s="471"/>
      <c r="DVH40" s="471"/>
      <c r="DVI40" s="471"/>
      <c r="DVJ40" s="471"/>
      <c r="DVK40" s="471"/>
      <c r="DVL40" s="471"/>
      <c r="DVM40" s="471"/>
      <c r="DVN40" s="471"/>
      <c r="DVO40" s="471"/>
      <c r="DVP40" s="471"/>
      <c r="DVQ40" s="471"/>
      <c r="DVR40" s="471"/>
      <c r="DVS40" s="471"/>
      <c r="DVT40" s="471"/>
      <c r="DVU40" s="471"/>
      <c r="DVV40" s="471"/>
      <c r="DVW40" s="471"/>
      <c r="DVX40" s="471"/>
      <c r="DVY40" s="471"/>
      <c r="DVZ40" s="471"/>
      <c r="DWA40" s="471"/>
      <c r="DWB40" s="471"/>
      <c r="DWC40" s="471"/>
      <c r="DWD40" s="471"/>
      <c r="DWE40" s="471"/>
      <c r="DWF40" s="471"/>
      <c r="DWG40" s="471"/>
      <c r="DWH40" s="471"/>
      <c r="DWI40" s="471"/>
      <c r="DWJ40" s="471"/>
      <c r="DWK40" s="471"/>
      <c r="DWL40" s="471"/>
      <c r="DWM40" s="471"/>
      <c r="DWN40" s="471"/>
      <c r="DWO40" s="471"/>
      <c r="DWP40" s="471"/>
      <c r="DWQ40" s="471"/>
      <c r="DWR40" s="471"/>
      <c r="DWS40" s="471"/>
      <c r="DWT40" s="471"/>
      <c r="DWU40" s="471"/>
      <c r="DWV40" s="471"/>
      <c r="DWW40" s="471"/>
      <c r="DWX40" s="471"/>
      <c r="DWY40" s="471"/>
      <c r="DWZ40" s="471"/>
      <c r="DXA40" s="471"/>
      <c r="DXB40" s="471"/>
      <c r="DXC40" s="471"/>
      <c r="DXD40" s="471"/>
      <c r="DXE40" s="471"/>
      <c r="DXF40" s="471"/>
      <c r="DXG40" s="471"/>
      <c r="DXH40" s="471"/>
      <c r="DXI40" s="471"/>
      <c r="DXJ40" s="471"/>
      <c r="DXK40" s="471"/>
      <c r="DXL40" s="471"/>
      <c r="DXM40" s="471"/>
      <c r="DXN40" s="471"/>
      <c r="DXO40" s="471"/>
      <c r="DXP40" s="471"/>
      <c r="DXQ40" s="471"/>
      <c r="DXR40" s="471"/>
      <c r="DXS40" s="471"/>
      <c r="DXT40" s="471"/>
      <c r="DXU40" s="471"/>
      <c r="DXV40" s="471"/>
      <c r="DXW40" s="471"/>
      <c r="DXX40" s="471"/>
      <c r="DXY40" s="471"/>
      <c r="DXZ40" s="471"/>
      <c r="DYA40" s="471"/>
      <c r="DYB40" s="471"/>
      <c r="DYC40" s="471"/>
      <c r="DYD40" s="471"/>
      <c r="DYE40" s="471"/>
      <c r="DYF40" s="471"/>
      <c r="DYG40" s="471"/>
      <c r="DYH40" s="471"/>
      <c r="DYI40" s="471"/>
      <c r="DYJ40" s="471"/>
      <c r="DYK40" s="471"/>
      <c r="DYL40" s="471"/>
      <c r="DYM40" s="471"/>
      <c r="DYN40" s="471"/>
      <c r="DYO40" s="471"/>
      <c r="DYP40" s="471"/>
      <c r="DYQ40" s="471"/>
      <c r="DYR40" s="471"/>
      <c r="DYS40" s="471"/>
      <c r="DYT40" s="471"/>
      <c r="DYU40" s="471"/>
      <c r="DYV40" s="471"/>
      <c r="DYW40" s="471"/>
      <c r="DYX40" s="471"/>
      <c r="DYY40" s="471"/>
      <c r="DYZ40" s="471"/>
      <c r="DZA40" s="471"/>
      <c r="DZB40" s="471"/>
      <c r="DZC40" s="471"/>
      <c r="DZD40" s="471"/>
      <c r="DZE40" s="471"/>
      <c r="DZF40" s="471"/>
      <c r="DZG40" s="471"/>
      <c r="DZH40" s="471"/>
      <c r="DZI40" s="471"/>
      <c r="DZJ40" s="471"/>
      <c r="DZK40" s="471"/>
      <c r="DZL40" s="471"/>
      <c r="DZM40" s="471"/>
      <c r="DZN40" s="471"/>
      <c r="DZO40" s="471"/>
      <c r="DZP40" s="471"/>
      <c r="DZQ40" s="471"/>
      <c r="DZR40" s="471"/>
      <c r="DZS40" s="471"/>
      <c r="DZT40" s="471"/>
      <c r="DZU40" s="471"/>
      <c r="DZV40" s="471"/>
      <c r="DZW40" s="471"/>
      <c r="DZX40" s="471"/>
      <c r="DZY40" s="471"/>
      <c r="DZZ40" s="471"/>
      <c r="EAA40" s="471"/>
      <c r="EAB40" s="471"/>
      <c r="EAC40" s="471"/>
      <c r="EAD40" s="471"/>
      <c r="EAE40" s="471"/>
      <c r="EAF40" s="471"/>
      <c r="EAG40" s="471"/>
      <c r="EAH40" s="471"/>
      <c r="EAI40" s="471"/>
      <c r="EAJ40" s="471"/>
      <c r="EAK40" s="471"/>
      <c r="EAL40" s="471"/>
      <c r="EAM40" s="471"/>
      <c r="EAN40" s="471"/>
      <c r="EAO40" s="471"/>
      <c r="EAP40" s="471"/>
      <c r="EAQ40" s="471"/>
      <c r="EAR40" s="471"/>
      <c r="EAS40" s="471"/>
      <c r="EAT40" s="471"/>
      <c r="EAU40" s="471"/>
      <c r="EAV40" s="471"/>
      <c r="EAW40" s="471"/>
      <c r="EAX40" s="471"/>
      <c r="EAY40" s="471"/>
      <c r="EAZ40" s="471"/>
      <c r="EBA40" s="471"/>
      <c r="EBB40" s="471"/>
      <c r="EBC40" s="471"/>
      <c r="EBD40" s="471"/>
      <c r="EBE40" s="471"/>
      <c r="EBF40" s="471"/>
      <c r="EBG40" s="471"/>
      <c r="EBH40" s="471"/>
      <c r="EBI40" s="471"/>
      <c r="EBJ40" s="471"/>
      <c r="EBK40" s="471"/>
      <c r="EBL40" s="471"/>
      <c r="EBM40" s="471"/>
      <c r="EBN40" s="471"/>
      <c r="EBO40" s="471"/>
      <c r="EBP40" s="471"/>
      <c r="EBQ40" s="471"/>
      <c r="EBR40" s="471"/>
      <c r="EBS40" s="471"/>
      <c r="EBT40" s="471"/>
      <c r="EBU40" s="471"/>
      <c r="EBV40" s="471"/>
      <c r="EBW40" s="471"/>
      <c r="EBX40" s="471"/>
      <c r="EBY40" s="471"/>
      <c r="EBZ40" s="471"/>
      <c r="ECA40" s="471"/>
      <c r="ECB40" s="471"/>
      <c r="ECC40" s="471"/>
      <c r="ECD40" s="471"/>
      <c r="ECE40" s="471"/>
      <c r="ECF40" s="471"/>
      <c r="ECG40" s="471"/>
      <c r="ECH40" s="471"/>
      <c r="ECI40" s="471"/>
      <c r="ECJ40" s="471"/>
      <c r="ECK40" s="471"/>
      <c r="ECL40" s="471"/>
      <c r="ECM40" s="471"/>
      <c r="ECN40" s="471"/>
      <c r="ECO40" s="471"/>
      <c r="ECP40" s="471"/>
      <c r="ECQ40" s="471"/>
      <c r="ECR40" s="471"/>
      <c r="ECS40" s="471"/>
      <c r="ECT40" s="471"/>
      <c r="ECU40" s="471"/>
      <c r="ECV40" s="471"/>
      <c r="ECW40" s="471"/>
      <c r="ECX40" s="471"/>
      <c r="ECY40" s="471"/>
      <c r="ECZ40" s="471"/>
      <c r="EDA40" s="471"/>
      <c r="EDB40" s="471"/>
      <c r="EDC40" s="471"/>
      <c r="EDD40" s="471"/>
      <c r="EDE40" s="471"/>
      <c r="EDF40" s="471"/>
      <c r="EDG40" s="471"/>
      <c r="EDH40" s="471"/>
      <c r="EDI40" s="471"/>
      <c r="EDJ40" s="471"/>
      <c r="EDK40" s="471"/>
      <c r="EDL40" s="471"/>
      <c r="EDM40" s="471"/>
      <c r="EDN40" s="471"/>
      <c r="EDO40" s="471"/>
      <c r="EDP40" s="471"/>
      <c r="EDQ40" s="471"/>
      <c r="EDR40" s="471"/>
      <c r="EDS40" s="471"/>
      <c r="EDT40" s="471"/>
      <c r="EDU40" s="471"/>
      <c r="EDV40" s="471"/>
      <c r="EDW40" s="471"/>
      <c r="EDX40" s="471"/>
      <c r="EDY40" s="471"/>
      <c r="EDZ40" s="471"/>
      <c r="EEA40" s="471"/>
      <c r="EEB40" s="471"/>
      <c r="EEC40" s="471"/>
      <c r="EED40" s="471"/>
      <c r="EEE40" s="471"/>
      <c r="EEF40" s="471"/>
      <c r="EEG40" s="471"/>
      <c r="EEH40" s="471"/>
      <c r="EEI40" s="471"/>
      <c r="EEJ40" s="471"/>
      <c r="EEK40" s="471"/>
      <c r="EEL40" s="471"/>
      <c r="EEM40" s="471"/>
      <c r="EEN40" s="471"/>
      <c r="EEO40" s="471"/>
      <c r="EEP40" s="471"/>
      <c r="EEQ40" s="471"/>
      <c r="EER40" s="471"/>
      <c r="EES40" s="471"/>
      <c r="EET40" s="471"/>
      <c r="EEU40" s="471"/>
      <c r="EEV40" s="471"/>
      <c r="EEW40" s="471"/>
      <c r="EEX40" s="471"/>
      <c r="EEY40" s="471"/>
      <c r="EEZ40" s="471"/>
      <c r="EFA40" s="471"/>
      <c r="EFB40" s="471"/>
      <c r="EFC40" s="471"/>
      <c r="EFD40" s="471"/>
      <c r="EFE40" s="471"/>
      <c r="EFF40" s="471"/>
      <c r="EFG40" s="471"/>
      <c r="EFH40" s="471"/>
      <c r="EFI40" s="471"/>
      <c r="EFJ40" s="471"/>
      <c r="EFK40" s="471"/>
      <c r="EFL40" s="471"/>
      <c r="EFM40" s="471"/>
      <c r="EFN40" s="471"/>
      <c r="EFO40" s="471"/>
      <c r="EFP40" s="471"/>
      <c r="EFQ40" s="471"/>
      <c r="EFR40" s="471"/>
      <c r="EFS40" s="471"/>
      <c r="EFT40" s="471"/>
      <c r="EFU40" s="471"/>
      <c r="EFV40" s="471"/>
      <c r="EFW40" s="471"/>
      <c r="EFX40" s="471"/>
      <c r="EFY40" s="471"/>
      <c r="EFZ40" s="471"/>
      <c r="EGA40" s="471"/>
      <c r="EGB40" s="471"/>
      <c r="EGC40" s="471"/>
      <c r="EGD40" s="471"/>
      <c r="EGE40" s="471"/>
      <c r="EGF40" s="471"/>
      <c r="EGG40" s="471"/>
      <c r="EGH40" s="471"/>
      <c r="EGI40" s="471"/>
      <c r="EGJ40" s="471"/>
      <c r="EGK40" s="471"/>
      <c r="EGL40" s="471"/>
      <c r="EGM40" s="471"/>
      <c r="EGN40" s="471"/>
      <c r="EGO40" s="471"/>
      <c r="EGP40" s="471"/>
      <c r="EGQ40" s="471"/>
      <c r="EGR40" s="471"/>
      <c r="EGS40" s="471"/>
      <c r="EGT40" s="471"/>
      <c r="EGU40" s="471"/>
      <c r="EGV40" s="471"/>
      <c r="EGW40" s="471"/>
      <c r="EGX40" s="471"/>
      <c r="EGY40" s="471"/>
      <c r="EGZ40" s="471"/>
      <c r="EHA40" s="471"/>
      <c r="EHB40" s="471"/>
      <c r="EHC40" s="471"/>
      <c r="EHD40" s="471"/>
      <c r="EHE40" s="471"/>
      <c r="EHF40" s="471"/>
      <c r="EHG40" s="471"/>
      <c r="EHH40" s="471"/>
      <c r="EHI40" s="471"/>
      <c r="EHJ40" s="471"/>
      <c r="EHK40" s="471"/>
      <c r="EHL40" s="471"/>
      <c r="EHM40" s="471"/>
      <c r="EHN40" s="471"/>
      <c r="EHO40" s="471"/>
      <c r="EHP40" s="471"/>
      <c r="EHQ40" s="471"/>
      <c r="EHR40" s="471"/>
      <c r="EHS40" s="471"/>
      <c r="EHT40" s="471"/>
      <c r="EHU40" s="471"/>
      <c r="EHV40" s="471"/>
      <c r="EHW40" s="471"/>
      <c r="EHX40" s="471"/>
      <c r="EHY40" s="471"/>
      <c r="EHZ40" s="471"/>
      <c r="EIA40" s="471"/>
      <c r="EIB40" s="471"/>
      <c r="EIC40" s="471"/>
      <c r="EID40" s="471"/>
      <c r="EIE40" s="471"/>
      <c r="EIF40" s="471"/>
      <c r="EIG40" s="471"/>
      <c r="EIH40" s="471"/>
      <c r="EII40" s="471"/>
      <c r="EIJ40" s="471"/>
      <c r="EIK40" s="471"/>
      <c r="EIL40" s="471"/>
      <c r="EIM40" s="471"/>
      <c r="EIN40" s="471"/>
      <c r="EIO40" s="471"/>
      <c r="EIP40" s="471"/>
      <c r="EIQ40" s="471"/>
      <c r="EIR40" s="471"/>
      <c r="EIS40" s="471"/>
      <c r="EIT40" s="471"/>
      <c r="EIU40" s="471"/>
      <c r="EIV40" s="471"/>
      <c r="EIW40" s="471"/>
      <c r="EIX40" s="471"/>
      <c r="EIY40" s="471"/>
      <c r="EIZ40" s="471"/>
      <c r="EJA40" s="471"/>
      <c r="EJB40" s="471"/>
      <c r="EJC40" s="471"/>
      <c r="EJD40" s="471"/>
      <c r="EJE40" s="471"/>
      <c r="EJF40" s="471"/>
      <c r="EJG40" s="471"/>
      <c r="EJH40" s="471"/>
      <c r="EJI40" s="471"/>
      <c r="EJJ40" s="471"/>
      <c r="EJK40" s="471"/>
      <c r="EJL40" s="471"/>
      <c r="EJM40" s="471"/>
      <c r="EJN40" s="471"/>
      <c r="EJO40" s="471"/>
      <c r="EJP40" s="471"/>
      <c r="EJQ40" s="471"/>
      <c r="EJR40" s="471"/>
      <c r="EJS40" s="471"/>
      <c r="EJT40" s="471"/>
      <c r="EJU40" s="471"/>
      <c r="EJV40" s="471"/>
      <c r="EJW40" s="471"/>
      <c r="EJX40" s="471"/>
      <c r="EJY40" s="471"/>
      <c r="EJZ40" s="471"/>
      <c r="EKA40" s="471"/>
      <c r="EKB40" s="471"/>
      <c r="EKC40" s="471"/>
      <c r="EKD40" s="471"/>
      <c r="EKE40" s="471"/>
      <c r="EKF40" s="471"/>
      <c r="EKG40" s="471"/>
      <c r="EKH40" s="471"/>
      <c r="EKI40" s="471"/>
      <c r="EKJ40" s="471"/>
      <c r="EKK40" s="471"/>
      <c r="EKL40" s="471"/>
      <c r="EKM40" s="471"/>
      <c r="EKN40" s="471"/>
      <c r="EKO40" s="471"/>
      <c r="EKP40" s="471"/>
      <c r="EKQ40" s="471"/>
      <c r="EKR40" s="471"/>
      <c r="EKS40" s="471"/>
      <c r="EKT40" s="471"/>
      <c r="EKU40" s="471"/>
      <c r="EKV40" s="471"/>
      <c r="EKW40" s="471"/>
      <c r="EKX40" s="471"/>
      <c r="EKY40" s="471"/>
      <c r="EKZ40" s="471"/>
      <c r="ELA40" s="471"/>
      <c r="ELB40" s="471"/>
      <c r="ELC40" s="471"/>
      <c r="ELD40" s="471"/>
      <c r="ELE40" s="471"/>
      <c r="ELF40" s="471"/>
      <c r="ELG40" s="471"/>
      <c r="ELH40" s="471"/>
      <c r="ELI40" s="471"/>
      <c r="ELJ40" s="471"/>
      <c r="ELK40" s="471"/>
      <c r="ELL40" s="471"/>
      <c r="ELM40" s="471"/>
      <c r="ELN40" s="471"/>
      <c r="ELO40" s="471"/>
      <c r="ELP40" s="471"/>
      <c r="ELQ40" s="471"/>
      <c r="ELR40" s="471"/>
      <c r="ELS40" s="471"/>
      <c r="ELT40" s="471"/>
      <c r="ELU40" s="471"/>
      <c r="ELV40" s="471"/>
      <c r="ELW40" s="471"/>
      <c r="ELX40" s="471"/>
      <c r="ELY40" s="471"/>
      <c r="ELZ40" s="471"/>
      <c r="EMA40" s="471"/>
      <c r="EMB40" s="471"/>
      <c r="EMC40" s="471"/>
      <c r="EMD40" s="471"/>
      <c r="EME40" s="471"/>
      <c r="EMF40" s="471"/>
      <c r="EMG40" s="471"/>
      <c r="EMH40" s="471"/>
      <c r="EMI40" s="471"/>
      <c r="EMJ40" s="471"/>
      <c r="EMK40" s="471"/>
      <c r="EML40" s="471"/>
      <c r="EMM40" s="471"/>
      <c r="EMN40" s="471"/>
      <c r="EMO40" s="471"/>
      <c r="EMP40" s="471"/>
      <c r="EMQ40" s="471"/>
      <c r="EMR40" s="471"/>
      <c r="EMS40" s="471"/>
      <c r="EMT40" s="471"/>
      <c r="EMU40" s="471"/>
      <c r="EMV40" s="471"/>
      <c r="EMW40" s="471"/>
      <c r="EMX40" s="471"/>
      <c r="EMY40" s="471"/>
      <c r="EMZ40" s="471"/>
      <c r="ENA40" s="471"/>
      <c r="ENB40" s="471"/>
      <c r="ENC40" s="471"/>
      <c r="END40" s="471"/>
      <c r="ENE40" s="471"/>
      <c r="ENF40" s="471"/>
      <c r="ENG40" s="471"/>
      <c r="ENH40" s="471"/>
      <c r="ENI40" s="471"/>
      <c r="ENJ40" s="471"/>
      <c r="ENK40" s="471"/>
      <c r="ENL40" s="471"/>
      <c r="ENM40" s="471"/>
      <c r="ENN40" s="471"/>
      <c r="ENO40" s="471"/>
      <c r="ENP40" s="471"/>
      <c r="ENQ40" s="471"/>
      <c r="ENR40" s="471"/>
      <c r="ENS40" s="471"/>
      <c r="ENT40" s="471"/>
      <c r="ENU40" s="471"/>
      <c r="ENV40" s="471"/>
      <c r="ENW40" s="471"/>
      <c r="ENX40" s="471"/>
      <c r="ENY40" s="471"/>
      <c r="ENZ40" s="471"/>
      <c r="EOA40" s="471"/>
      <c r="EOB40" s="471"/>
      <c r="EOC40" s="471"/>
      <c r="EOD40" s="471"/>
      <c r="EOE40" s="471"/>
      <c r="EOF40" s="471"/>
      <c r="EOG40" s="471"/>
      <c r="EOH40" s="471"/>
      <c r="EOI40" s="471"/>
      <c r="EOJ40" s="471"/>
      <c r="EOK40" s="471"/>
      <c r="EOL40" s="471"/>
      <c r="EOM40" s="471"/>
      <c r="EON40" s="471"/>
      <c r="EOO40" s="471"/>
      <c r="EOP40" s="471"/>
      <c r="EOQ40" s="471"/>
      <c r="EOR40" s="471"/>
      <c r="EOS40" s="471"/>
      <c r="EOT40" s="471"/>
      <c r="EOU40" s="471"/>
      <c r="EOV40" s="471"/>
      <c r="EOW40" s="471"/>
      <c r="EOX40" s="471"/>
      <c r="EOY40" s="471"/>
      <c r="EOZ40" s="471"/>
      <c r="EPA40" s="471"/>
      <c r="EPB40" s="471"/>
      <c r="EPC40" s="471"/>
      <c r="EPD40" s="471"/>
      <c r="EPE40" s="471"/>
      <c r="EPF40" s="471"/>
      <c r="EPG40" s="471"/>
      <c r="EPH40" s="471"/>
      <c r="EPI40" s="471"/>
      <c r="EPJ40" s="471"/>
      <c r="EPK40" s="471"/>
      <c r="EPL40" s="471"/>
      <c r="EPM40" s="471"/>
      <c r="EPN40" s="471"/>
      <c r="EPO40" s="471"/>
      <c r="EPP40" s="471"/>
      <c r="EPQ40" s="471"/>
      <c r="EPR40" s="471"/>
      <c r="EPS40" s="471"/>
      <c r="EPT40" s="471"/>
      <c r="EPU40" s="471"/>
      <c r="EPV40" s="471"/>
      <c r="EPW40" s="471"/>
      <c r="EPX40" s="471"/>
      <c r="EPY40" s="471"/>
      <c r="EPZ40" s="471"/>
      <c r="EQA40" s="471"/>
      <c r="EQB40" s="471"/>
      <c r="EQC40" s="471"/>
      <c r="EQD40" s="471"/>
      <c r="EQE40" s="471"/>
      <c r="EQF40" s="471"/>
      <c r="EQG40" s="471"/>
      <c r="EQH40" s="471"/>
      <c r="EQI40" s="471"/>
      <c r="EQJ40" s="471"/>
      <c r="EQK40" s="471"/>
      <c r="EQL40" s="471"/>
      <c r="EQM40" s="471"/>
      <c r="EQN40" s="471"/>
      <c r="EQO40" s="471"/>
      <c r="EQP40" s="471"/>
      <c r="EQQ40" s="471"/>
      <c r="EQR40" s="471"/>
      <c r="EQS40" s="471"/>
      <c r="EQT40" s="471"/>
      <c r="EQU40" s="471"/>
      <c r="EQV40" s="471"/>
      <c r="EQW40" s="471"/>
      <c r="EQX40" s="471"/>
      <c r="EQY40" s="471"/>
      <c r="EQZ40" s="471"/>
      <c r="ERA40" s="471"/>
      <c r="ERB40" s="471"/>
      <c r="ERC40" s="471"/>
      <c r="ERD40" s="471"/>
      <c r="ERE40" s="471"/>
      <c r="ERF40" s="471"/>
      <c r="ERG40" s="471"/>
      <c r="ERH40" s="471"/>
      <c r="ERI40" s="471"/>
      <c r="ERJ40" s="471"/>
      <c r="ERK40" s="471"/>
      <c r="ERL40" s="471"/>
      <c r="ERM40" s="471"/>
      <c r="ERN40" s="471"/>
      <c r="ERO40" s="471"/>
      <c r="ERP40" s="471"/>
      <c r="ERQ40" s="471"/>
      <c r="ERR40" s="471"/>
      <c r="ERS40" s="471"/>
      <c r="ERT40" s="471"/>
      <c r="ERU40" s="471"/>
      <c r="ERV40" s="471"/>
      <c r="ERW40" s="471"/>
      <c r="ERX40" s="471"/>
      <c r="ERY40" s="471"/>
      <c r="ERZ40" s="471"/>
      <c r="ESA40" s="471"/>
      <c r="ESB40" s="471"/>
      <c r="ESC40" s="471"/>
      <c r="ESD40" s="471"/>
      <c r="ESE40" s="471"/>
      <c r="ESF40" s="471"/>
      <c r="ESG40" s="471"/>
      <c r="ESH40" s="471"/>
      <c r="ESI40" s="471"/>
      <c r="ESJ40" s="471"/>
      <c r="ESK40" s="471"/>
      <c r="ESL40" s="471"/>
      <c r="ESM40" s="471"/>
      <c r="ESN40" s="471"/>
      <c r="ESO40" s="471"/>
      <c r="ESP40" s="471"/>
      <c r="ESQ40" s="471"/>
      <c r="ESR40" s="471"/>
      <c r="ESS40" s="471"/>
      <c r="EST40" s="471"/>
      <c r="ESU40" s="471"/>
      <c r="ESV40" s="471"/>
      <c r="ESW40" s="471"/>
      <c r="ESX40" s="471"/>
      <c r="ESY40" s="471"/>
      <c r="ESZ40" s="471"/>
      <c r="ETA40" s="471"/>
      <c r="ETB40" s="471"/>
      <c r="ETC40" s="471"/>
      <c r="ETD40" s="471"/>
      <c r="ETE40" s="471"/>
      <c r="ETF40" s="471"/>
      <c r="ETG40" s="471"/>
      <c r="ETH40" s="471"/>
      <c r="ETI40" s="471"/>
      <c r="ETJ40" s="471"/>
      <c r="ETK40" s="471"/>
      <c r="ETL40" s="471"/>
      <c r="ETM40" s="471"/>
      <c r="ETN40" s="471"/>
      <c r="ETO40" s="471"/>
      <c r="ETP40" s="471"/>
      <c r="ETQ40" s="471"/>
      <c r="ETR40" s="471"/>
      <c r="ETS40" s="471"/>
      <c r="ETT40" s="471"/>
      <c r="ETU40" s="471"/>
      <c r="ETV40" s="471"/>
      <c r="ETW40" s="471"/>
      <c r="ETX40" s="471"/>
      <c r="ETY40" s="471"/>
      <c r="ETZ40" s="471"/>
      <c r="EUA40" s="471"/>
      <c r="EUB40" s="471"/>
      <c r="EUC40" s="471"/>
      <c r="EUD40" s="471"/>
      <c r="EUE40" s="471"/>
      <c r="EUF40" s="471"/>
      <c r="EUG40" s="471"/>
      <c r="EUH40" s="471"/>
      <c r="EUI40" s="471"/>
      <c r="EUJ40" s="471"/>
      <c r="EUK40" s="471"/>
      <c r="EUL40" s="471"/>
      <c r="EUM40" s="471"/>
      <c r="EUN40" s="471"/>
      <c r="EUO40" s="471"/>
      <c r="EUP40" s="471"/>
      <c r="EUQ40" s="471"/>
      <c r="EUR40" s="471"/>
      <c r="EUS40" s="471"/>
      <c r="EUT40" s="471"/>
      <c r="EUU40" s="471"/>
      <c r="EUV40" s="471"/>
      <c r="EUW40" s="471"/>
      <c r="EUX40" s="471"/>
      <c r="EUY40" s="471"/>
      <c r="EUZ40" s="471"/>
      <c r="EVA40" s="471"/>
      <c r="EVB40" s="471"/>
      <c r="EVC40" s="471"/>
      <c r="EVD40" s="471"/>
      <c r="EVE40" s="471"/>
      <c r="EVF40" s="471"/>
      <c r="EVG40" s="471"/>
      <c r="EVH40" s="471"/>
      <c r="EVI40" s="471"/>
      <c r="EVJ40" s="471"/>
      <c r="EVK40" s="471"/>
      <c r="EVL40" s="471"/>
      <c r="EVM40" s="471"/>
      <c r="EVN40" s="471"/>
      <c r="EVO40" s="471"/>
      <c r="EVP40" s="471"/>
      <c r="EVQ40" s="471"/>
      <c r="EVR40" s="471"/>
      <c r="EVS40" s="471"/>
      <c r="EVT40" s="471"/>
      <c r="EVU40" s="471"/>
      <c r="EVV40" s="471"/>
      <c r="EVW40" s="471"/>
      <c r="EVX40" s="471"/>
      <c r="EVY40" s="471"/>
      <c r="EVZ40" s="471"/>
      <c r="EWA40" s="471"/>
      <c r="EWB40" s="471"/>
      <c r="EWC40" s="471"/>
      <c r="EWD40" s="471"/>
      <c r="EWE40" s="471"/>
      <c r="EWF40" s="471"/>
      <c r="EWG40" s="471"/>
      <c r="EWH40" s="471"/>
      <c r="EWI40" s="471"/>
      <c r="EWJ40" s="471"/>
      <c r="EWK40" s="471"/>
      <c r="EWL40" s="471"/>
      <c r="EWM40" s="471"/>
      <c r="EWN40" s="471"/>
      <c r="EWO40" s="471"/>
      <c r="EWP40" s="471"/>
      <c r="EWQ40" s="471"/>
      <c r="EWR40" s="471"/>
      <c r="EWS40" s="471"/>
      <c r="EWT40" s="471"/>
      <c r="EWU40" s="471"/>
      <c r="EWV40" s="471"/>
      <c r="EWW40" s="471"/>
      <c r="EWX40" s="471"/>
      <c r="EWY40" s="471"/>
      <c r="EWZ40" s="471"/>
      <c r="EXA40" s="471"/>
      <c r="EXB40" s="471"/>
      <c r="EXC40" s="471"/>
      <c r="EXD40" s="471"/>
      <c r="EXE40" s="471"/>
      <c r="EXF40" s="471"/>
      <c r="EXG40" s="471"/>
      <c r="EXH40" s="471"/>
      <c r="EXI40" s="471"/>
      <c r="EXJ40" s="471"/>
      <c r="EXK40" s="471"/>
      <c r="EXL40" s="471"/>
      <c r="EXM40" s="471"/>
      <c r="EXN40" s="471"/>
      <c r="EXO40" s="471"/>
      <c r="EXP40" s="471"/>
      <c r="EXQ40" s="471"/>
      <c r="EXR40" s="471"/>
      <c r="EXS40" s="471"/>
      <c r="EXT40" s="471"/>
      <c r="EXU40" s="471"/>
      <c r="EXV40" s="471"/>
      <c r="EXW40" s="471"/>
      <c r="EXX40" s="471"/>
      <c r="EXY40" s="471"/>
      <c r="EXZ40" s="471"/>
      <c r="EYA40" s="471"/>
      <c r="EYB40" s="471"/>
      <c r="EYC40" s="471"/>
      <c r="EYD40" s="471"/>
      <c r="EYE40" s="471"/>
      <c r="EYF40" s="471"/>
      <c r="EYG40" s="471"/>
      <c r="EYH40" s="471"/>
      <c r="EYI40" s="471"/>
      <c r="EYJ40" s="471"/>
      <c r="EYK40" s="471"/>
      <c r="EYL40" s="471"/>
      <c r="EYM40" s="471"/>
      <c r="EYN40" s="471"/>
      <c r="EYO40" s="471"/>
      <c r="EYP40" s="471"/>
      <c r="EYQ40" s="471"/>
      <c r="EYR40" s="471"/>
      <c r="EYS40" s="471"/>
      <c r="EYT40" s="471"/>
      <c r="EYU40" s="471"/>
      <c r="EYV40" s="471"/>
      <c r="EYW40" s="471"/>
      <c r="EYX40" s="471"/>
      <c r="EYY40" s="471"/>
      <c r="EYZ40" s="471"/>
      <c r="EZA40" s="471"/>
      <c r="EZB40" s="471"/>
      <c r="EZC40" s="471"/>
      <c r="EZD40" s="471"/>
      <c r="EZE40" s="471"/>
      <c r="EZF40" s="471"/>
      <c r="EZG40" s="471"/>
      <c r="EZH40" s="471"/>
      <c r="EZI40" s="471"/>
      <c r="EZJ40" s="471"/>
      <c r="EZK40" s="471"/>
      <c r="EZL40" s="471"/>
      <c r="EZM40" s="471"/>
      <c r="EZN40" s="471"/>
      <c r="EZO40" s="471"/>
      <c r="EZP40" s="471"/>
      <c r="EZQ40" s="471"/>
      <c r="EZR40" s="471"/>
      <c r="EZS40" s="471"/>
      <c r="EZT40" s="471"/>
      <c r="EZU40" s="471"/>
      <c r="EZV40" s="471"/>
      <c r="EZW40" s="471"/>
      <c r="EZX40" s="471"/>
      <c r="EZY40" s="471"/>
      <c r="EZZ40" s="471"/>
      <c r="FAA40" s="471"/>
      <c r="FAB40" s="471"/>
      <c r="FAC40" s="471"/>
      <c r="FAD40" s="471"/>
      <c r="FAE40" s="471"/>
      <c r="FAF40" s="471"/>
      <c r="FAG40" s="471"/>
      <c r="FAH40" s="471"/>
      <c r="FAI40" s="471"/>
      <c r="FAJ40" s="471"/>
      <c r="FAK40" s="471"/>
      <c r="FAL40" s="471"/>
      <c r="FAM40" s="471"/>
      <c r="FAN40" s="471"/>
      <c r="FAO40" s="471"/>
      <c r="FAP40" s="471"/>
      <c r="FAQ40" s="471"/>
      <c r="FAR40" s="471"/>
      <c r="FAS40" s="471"/>
      <c r="FAT40" s="471"/>
      <c r="FAU40" s="471"/>
      <c r="FAV40" s="471"/>
      <c r="FAW40" s="471"/>
      <c r="FAX40" s="471"/>
      <c r="FAY40" s="471"/>
      <c r="FAZ40" s="471"/>
      <c r="FBA40" s="471"/>
      <c r="FBB40" s="471"/>
      <c r="FBC40" s="471"/>
      <c r="FBD40" s="471"/>
      <c r="FBE40" s="471"/>
      <c r="FBF40" s="471"/>
      <c r="FBG40" s="471"/>
      <c r="FBH40" s="471"/>
      <c r="FBI40" s="471"/>
      <c r="FBJ40" s="471"/>
      <c r="FBK40" s="471"/>
      <c r="FBL40" s="471"/>
      <c r="FBM40" s="471"/>
      <c r="FBN40" s="471"/>
      <c r="FBO40" s="471"/>
      <c r="FBP40" s="471"/>
      <c r="FBQ40" s="471"/>
      <c r="FBR40" s="471"/>
      <c r="FBS40" s="471"/>
      <c r="FBT40" s="471"/>
      <c r="FBU40" s="471"/>
      <c r="FBV40" s="471"/>
      <c r="FBW40" s="471"/>
      <c r="FBX40" s="471"/>
      <c r="FBY40" s="471"/>
      <c r="FBZ40" s="471"/>
      <c r="FCA40" s="471"/>
      <c r="FCB40" s="471"/>
      <c r="FCC40" s="471"/>
      <c r="FCD40" s="471"/>
      <c r="FCE40" s="471"/>
      <c r="FCF40" s="471"/>
      <c r="FCG40" s="471"/>
      <c r="FCH40" s="471"/>
      <c r="FCI40" s="471"/>
      <c r="FCJ40" s="471"/>
      <c r="FCK40" s="471"/>
      <c r="FCL40" s="471"/>
      <c r="FCM40" s="471"/>
      <c r="FCN40" s="471"/>
      <c r="FCO40" s="471"/>
      <c r="FCP40" s="471"/>
      <c r="FCQ40" s="471"/>
      <c r="FCR40" s="471"/>
      <c r="FCS40" s="471"/>
      <c r="FCT40" s="471"/>
      <c r="FCU40" s="471"/>
      <c r="FCV40" s="471"/>
      <c r="FCW40" s="471"/>
      <c r="FCX40" s="471"/>
      <c r="FCY40" s="471"/>
      <c r="FCZ40" s="471"/>
      <c r="FDA40" s="471"/>
      <c r="FDB40" s="471"/>
      <c r="FDC40" s="471"/>
      <c r="FDD40" s="471"/>
      <c r="FDE40" s="471"/>
      <c r="FDF40" s="471"/>
      <c r="FDG40" s="471"/>
      <c r="FDH40" s="471"/>
      <c r="FDI40" s="471"/>
      <c r="FDJ40" s="471"/>
      <c r="FDK40" s="471"/>
      <c r="FDL40" s="471"/>
      <c r="FDM40" s="471"/>
      <c r="FDN40" s="471"/>
      <c r="FDO40" s="471"/>
      <c r="FDP40" s="471"/>
      <c r="FDQ40" s="471"/>
      <c r="FDR40" s="471"/>
      <c r="FDS40" s="471"/>
      <c r="FDT40" s="471"/>
      <c r="FDU40" s="471"/>
      <c r="FDV40" s="471"/>
      <c r="FDW40" s="471"/>
      <c r="FDX40" s="471"/>
      <c r="FDY40" s="471"/>
      <c r="FDZ40" s="471"/>
      <c r="FEA40" s="471"/>
      <c r="FEB40" s="471"/>
      <c r="FEC40" s="471"/>
      <c r="FED40" s="471"/>
      <c r="FEE40" s="471"/>
      <c r="FEF40" s="471"/>
      <c r="FEG40" s="471"/>
      <c r="FEH40" s="471"/>
      <c r="FEI40" s="471"/>
      <c r="FEJ40" s="471"/>
      <c r="FEK40" s="471"/>
      <c r="FEL40" s="471"/>
      <c r="FEM40" s="471"/>
      <c r="FEN40" s="471"/>
      <c r="FEO40" s="471"/>
      <c r="FEP40" s="471"/>
      <c r="FEQ40" s="471"/>
      <c r="FER40" s="471"/>
      <c r="FES40" s="471"/>
      <c r="FET40" s="471"/>
      <c r="FEU40" s="471"/>
      <c r="FEV40" s="471"/>
      <c r="FEW40" s="471"/>
      <c r="FEX40" s="471"/>
      <c r="FEY40" s="471"/>
      <c r="FEZ40" s="471"/>
      <c r="FFA40" s="471"/>
      <c r="FFB40" s="471"/>
      <c r="FFC40" s="471"/>
      <c r="FFD40" s="471"/>
      <c r="FFE40" s="471"/>
      <c r="FFF40" s="471"/>
      <c r="FFG40" s="471"/>
      <c r="FFH40" s="471"/>
      <c r="FFI40" s="471"/>
      <c r="FFJ40" s="471"/>
      <c r="FFK40" s="471"/>
      <c r="FFL40" s="471"/>
      <c r="FFM40" s="471"/>
      <c r="FFN40" s="471"/>
      <c r="FFO40" s="471"/>
      <c r="FFP40" s="471"/>
      <c r="FFQ40" s="471"/>
      <c r="FFR40" s="471"/>
      <c r="FFS40" s="471"/>
      <c r="FFT40" s="471"/>
      <c r="FFU40" s="471"/>
      <c r="FFV40" s="471"/>
      <c r="FFW40" s="471"/>
      <c r="FFX40" s="471"/>
      <c r="FFY40" s="471"/>
      <c r="FFZ40" s="471"/>
      <c r="FGA40" s="471"/>
      <c r="FGB40" s="471"/>
      <c r="FGC40" s="471"/>
      <c r="FGD40" s="471"/>
      <c r="FGE40" s="471"/>
      <c r="FGF40" s="471"/>
      <c r="FGG40" s="471"/>
      <c r="FGH40" s="471"/>
      <c r="FGI40" s="471"/>
      <c r="FGJ40" s="471"/>
      <c r="FGK40" s="471"/>
      <c r="FGL40" s="471"/>
      <c r="FGM40" s="471"/>
      <c r="FGN40" s="471"/>
      <c r="FGO40" s="471"/>
      <c r="FGP40" s="471"/>
      <c r="FGQ40" s="471"/>
      <c r="FGR40" s="471"/>
      <c r="FGS40" s="471"/>
      <c r="FGT40" s="471"/>
      <c r="FGU40" s="471"/>
      <c r="FGV40" s="471"/>
      <c r="FGW40" s="471"/>
      <c r="FGX40" s="471"/>
      <c r="FGY40" s="471"/>
      <c r="FGZ40" s="471"/>
      <c r="FHA40" s="471"/>
      <c r="FHB40" s="471"/>
      <c r="FHC40" s="471"/>
      <c r="FHD40" s="471"/>
      <c r="FHE40" s="471"/>
      <c r="FHF40" s="471"/>
      <c r="FHG40" s="471"/>
      <c r="FHH40" s="471"/>
      <c r="FHI40" s="471"/>
      <c r="FHJ40" s="471"/>
      <c r="FHK40" s="471"/>
      <c r="FHL40" s="471"/>
      <c r="FHM40" s="471"/>
      <c r="FHN40" s="471"/>
      <c r="FHO40" s="471"/>
      <c r="FHP40" s="471"/>
      <c r="FHQ40" s="471"/>
      <c r="FHR40" s="471"/>
      <c r="FHS40" s="471"/>
      <c r="FHT40" s="471"/>
      <c r="FHU40" s="471"/>
      <c r="FHV40" s="471"/>
      <c r="FHW40" s="471"/>
      <c r="FHX40" s="471"/>
      <c r="FHY40" s="471"/>
      <c r="FHZ40" s="471"/>
      <c r="FIA40" s="471"/>
      <c r="FIB40" s="471"/>
      <c r="FIC40" s="471"/>
      <c r="FID40" s="471"/>
      <c r="FIE40" s="471"/>
      <c r="FIF40" s="471"/>
      <c r="FIG40" s="471"/>
      <c r="FIH40" s="471"/>
      <c r="FII40" s="471"/>
      <c r="FIJ40" s="471"/>
      <c r="FIK40" s="471"/>
      <c r="FIL40" s="471"/>
      <c r="FIM40" s="471"/>
      <c r="FIN40" s="471"/>
      <c r="FIO40" s="471"/>
      <c r="FIP40" s="471"/>
      <c r="FIQ40" s="471"/>
      <c r="FIR40" s="471"/>
      <c r="FIS40" s="471"/>
      <c r="FIT40" s="471"/>
      <c r="FIU40" s="471"/>
      <c r="FIV40" s="471"/>
      <c r="FIW40" s="471"/>
      <c r="FIX40" s="471"/>
      <c r="FIY40" s="471"/>
      <c r="FIZ40" s="471"/>
      <c r="FJA40" s="471"/>
      <c r="FJB40" s="471"/>
      <c r="FJC40" s="471"/>
      <c r="FJD40" s="471"/>
      <c r="FJE40" s="471"/>
      <c r="FJF40" s="471"/>
      <c r="FJG40" s="471"/>
      <c r="FJH40" s="471"/>
      <c r="FJI40" s="471"/>
      <c r="FJJ40" s="471"/>
      <c r="FJK40" s="471"/>
      <c r="FJL40" s="471"/>
      <c r="FJM40" s="471"/>
      <c r="FJN40" s="471"/>
      <c r="FJO40" s="471"/>
      <c r="FJP40" s="471"/>
      <c r="FJQ40" s="471"/>
      <c r="FJR40" s="471"/>
      <c r="FJS40" s="471"/>
      <c r="FJT40" s="471"/>
      <c r="FJU40" s="471"/>
      <c r="FJV40" s="471"/>
      <c r="FJW40" s="471"/>
      <c r="FJX40" s="471"/>
      <c r="FJY40" s="471"/>
      <c r="FJZ40" s="471"/>
      <c r="FKA40" s="471"/>
      <c r="FKB40" s="471"/>
      <c r="FKC40" s="471"/>
      <c r="FKD40" s="471"/>
      <c r="FKE40" s="471"/>
      <c r="FKF40" s="471"/>
      <c r="FKG40" s="471"/>
      <c r="FKH40" s="471"/>
      <c r="FKI40" s="471"/>
      <c r="FKJ40" s="471"/>
      <c r="FKK40" s="471"/>
      <c r="FKL40" s="471"/>
      <c r="FKM40" s="471"/>
      <c r="FKN40" s="471"/>
      <c r="FKO40" s="471"/>
      <c r="FKP40" s="471"/>
      <c r="FKQ40" s="471"/>
      <c r="FKR40" s="471"/>
      <c r="FKS40" s="471"/>
      <c r="FKT40" s="471"/>
      <c r="FKU40" s="471"/>
      <c r="FKV40" s="471"/>
      <c r="FKW40" s="471"/>
      <c r="FKX40" s="471"/>
      <c r="FKY40" s="471"/>
      <c r="FKZ40" s="471"/>
      <c r="FLA40" s="471"/>
      <c r="FLB40" s="471"/>
      <c r="FLC40" s="471"/>
      <c r="FLD40" s="471"/>
      <c r="FLE40" s="471"/>
      <c r="FLF40" s="471"/>
      <c r="FLG40" s="471"/>
      <c r="FLH40" s="471"/>
      <c r="FLI40" s="471"/>
      <c r="FLJ40" s="471"/>
      <c r="FLK40" s="471"/>
      <c r="FLL40" s="471"/>
      <c r="FLM40" s="471"/>
      <c r="FLN40" s="471"/>
      <c r="FLO40" s="471"/>
      <c r="FLP40" s="471"/>
      <c r="FLQ40" s="471"/>
      <c r="FLR40" s="471"/>
      <c r="FLS40" s="471"/>
      <c r="FLT40" s="471"/>
      <c r="FLU40" s="471"/>
      <c r="FLV40" s="471"/>
      <c r="FLW40" s="471"/>
      <c r="FLX40" s="471"/>
      <c r="FLY40" s="471"/>
      <c r="FLZ40" s="471"/>
      <c r="FMA40" s="471"/>
      <c r="FMB40" s="471"/>
      <c r="FMC40" s="471"/>
      <c r="FMD40" s="471"/>
      <c r="FME40" s="471"/>
      <c r="FMF40" s="471"/>
      <c r="FMG40" s="471"/>
      <c r="FMH40" s="471"/>
      <c r="FMI40" s="471"/>
      <c r="FMJ40" s="471"/>
      <c r="FMK40" s="471"/>
      <c r="FML40" s="471"/>
      <c r="FMM40" s="471"/>
      <c r="FMN40" s="471"/>
      <c r="FMO40" s="471"/>
      <c r="FMP40" s="471"/>
      <c r="FMQ40" s="471"/>
      <c r="FMR40" s="471"/>
      <c r="FMS40" s="471"/>
      <c r="FMT40" s="471"/>
      <c r="FMU40" s="471"/>
      <c r="FMV40" s="471"/>
      <c r="FMW40" s="471"/>
      <c r="FMX40" s="471"/>
      <c r="FMY40" s="471"/>
      <c r="FMZ40" s="471"/>
      <c r="FNA40" s="471"/>
      <c r="FNB40" s="471"/>
      <c r="FNC40" s="471"/>
      <c r="FND40" s="471"/>
      <c r="FNE40" s="471"/>
      <c r="FNF40" s="471"/>
      <c r="FNG40" s="471"/>
      <c r="FNH40" s="471"/>
      <c r="FNI40" s="471"/>
      <c r="FNJ40" s="471"/>
      <c r="FNK40" s="471"/>
      <c r="FNL40" s="471"/>
      <c r="FNM40" s="471"/>
      <c r="FNN40" s="471"/>
      <c r="FNO40" s="471"/>
      <c r="FNP40" s="471"/>
      <c r="FNQ40" s="471"/>
      <c r="FNR40" s="471"/>
      <c r="FNS40" s="471"/>
      <c r="FNT40" s="471"/>
      <c r="FNU40" s="471"/>
      <c r="FNV40" s="471"/>
      <c r="FNW40" s="471"/>
      <c r="FNX40" s="471"/>
      <c r="FNY40" s="471"/>
      <c r="FNZ40" s="471"/>
      <c r="FOA40" s="471"/>
      <c r="FOB40" s="471"/>
      <c r="FOC40" s="471"/>
      <c r="FOD40" s="471"/>
      <c r="FOE40" s="471"/>
      <c r="FOF40" s="471"/>
      <c r="FOG40" s="471"/>
      <c r="FOH40" s="471"/>
      <c r="FOI40" s="471"/>
      <c r="FOJ40" s="471"/>
      <c r="FOK40" s="471"/>
      <c r="FOL40" s="471"/>
      <c r="FOM40" s="471"/>
      <c r="FON40" s="471"/>
      <c r="FOO40" s="471"/>
      <c r="FOP40" s="471"/>
      <c r="FOQ40" s="471"/>
      <c r="FOR40" s="471"/>
      <c r="FOS40" s="471"/>
      <c r="FOT40" s="471"/>
      <c r="FOU40" s="471"/>
      <c r="FOV40" s="471"/>
      <c r="FOW40" s="471"/>
      <c r="FOX40" s="471"/>
      <c r="FOY40" s="471"/>
      <c r="FOZ40" s="471"/>
      <c r="FPA40" s="471"/>
      <c r="FPB40" s="471"/>
      <c r="FPC40" s="471"/>
      <c r="FPD40" s="471"/>
      <c r="FPE40" s="471"/>
      <c r="FPF40" s="471"/>
      <c r="FPG40" s="471"/>
      <c r="FPH40" s="471"/>
      <c r="FPI40" s="471"/>
      <c r="FPJ40" s="471"/>
      <c r="FPK40" s="471"/>
      <c r="FPL40" s="471"/>
      <c r="FPM40" s="471"/>
      <c r="FPN40" s="471"/>
      <c r="FPO40" s="471"/>
      <c r="FPP40" s="471"/>
      <c r="FPQ40" s="471"/>
      <c r="FPR40" s="471"/>
      <c r="FPS40" s="471"/>
      <c r="FPT40" s="471"/>
      <c r="FPU40" s="471"/>
      <c r="FPV40" s="471"/>
      <c r="FPW40" s="471"/>
      <c r="FPX40" s="471"/>
      <c r="FPY40" s="471"/>
      <c r="FPZ40" s="471"/>
      <c r="FQA40" s="471"/>
      <c r="FQB40" s="471"/>
      <c r="FQC40" s="471"/>
      <c r="FQD40" s="471"/>
      <c r="FQE40" s="471"/>
      <c r="FQF40" s="471"/>
      <c r="FQG40" s="471"/>
      <c r="FQH40" s="471"/>
      <c r="FQI40" s="471"/>
      <c r="FQJ40" s="471"/>
      <c r="FQK40" s="471"/>
      <c r="FQL40" s="471"/>
      <c r="FQM40" s="471"/>
      <c r="FQN40" s="471"/>
      <c r="FQO40" s="471"/>
      <c r="FQP40" s="471"/>
      <c r="FQQ40" s="471"/>
      <c r="FQR40" s="471"/>
      <c r="FQS40" s="471"/>
      <c r="FQT40" s="471"/>
      <c r="FQU40" s="471"/>
      <c r="FQV40" s="471"/>
      <c r="FQW40" s="471"/>
      <c r="FQX40" s="471"/>
      <c r="FQY40" s="471"/>
      <c r="FQZ40" s="471"/>
      <c r="FRA40" s="471"/>
      <c r="FRB40" s="471"/>
      <c r="FRC40" s="471"/>
      <c r="FRD40" s="471"/>
      <c r="FRE40" s="471"/>
      <c r="FRF40" s="471"/>
      <c r="FRG40" s="471"/>
      <c r="FRH40" s="471"/>
      <c r="FRI40" s="471"/>
      <c r="FRJ40" s="471"/>
      <c r="FRK40" s="471"/>
      <c r="FRL40" s="471"/>
      <c r="FRM40" s="471"/>
      <c r="FRN40" s="471"/>
      <c r="FRO40" s="471"/>
      <c r="FRP40" s="471"/>
      <c r="FRQ40" s="471"/>
      <c r="FRR40" s="471"/>
      <c r="FRS40" s="471"/>
      <c r="FRT40" s="471"/>
      <c r="FRU40" s="471"/>
      <c r="FRV40" s="471"/>
      <c r="FRW40" s="471"/>
      <c r="FRX40" s="471"/>
      <c r="FRY40" s="471"/>
      <c r="FRZ40" s="471"/>
      <c r="FSA40" s="471"/>
      <c r="FSB40" s="471"/>
      <c r="FSC40" s="471"/>
      <c r="FSD40" s="471"/>
      <c r="FSE40" s="471"/>
      <c r="FSF40" s="471"/>
      <c r="FSG40" s="471"/>
      <c r="FSH40" s="471"/>
      <c r="FSI40" s="471"/>
      <c r="FSJ40" s="471"/>
      <c r="FSK40" s="471"/>
      <c r="FSL40" s="471"/>
      <c r="FSM40" s="471"/>
      <c r="FSN40" s="471"/>
      <c r="FSO40" s="471"/>
      <c r="FSP40" s="471"/>
      <c r="FSQ40" s="471"/>
      <c r="FSR40" s="471"/>
      <c r="FSS40" s="471"/>
      <c r="FST40" s="471"/>
      <c r="FSU40" s="471"/>
      <c r="FSV40" s="471"/>
      <c r="FSW40" s="471"/>
      <c r="FSX40" s="471"/>
      <c r="FSY40" s="471"/>
      <c r="FSZ40" s="471"/>
      <c r="FTA40" s="471"/>
      <c r="FTB40" s="471"/>
      <c r="FTC40" s="471"/>
      <c r="FTD40" s="471"/>
      <c r="FTE40" s="471"/>
      <c r="FTF40" s="471"/>
      <c r="FTG40" s="471"/>
      <c r="FTH40" s="471"/>
      <c r="FTI40" s="471"/>
      <c r="FTJ40" s="471"/>
      <c r="FTK40" s="471"/>
      <c r="FTL40" s="471"/>
      <c r="FTM40" s="471"/>
      <c r="FTN40" s="471"/>
      <c r="FTO40" s="471"/>
      <c r="FTP40" s="471"/>
      <c r="FTQ40" s="471"/>
      <c r="FTR40" s="471"/>
      <c r="FTS40" s="471"/>
      <c r="FTT40" s="471"/>
      <c r="FTU40" s="471"/>
      <c r="FTV40" s="471"/>
      <c r="FTW40" s="471"/>
      <c r="FTX40" s="471"/>
      <c r="FTY40" s="471"/>
      <c r="FTZ40" s="471"/>
      <c r="FUA40" s="471"/>
      <c r="FUB40" s="471"/>
      <c r="FUC40" s="471"/>
      <c r="FUD40" s="471"/>
      <c r="FUE40" s="471"/>
      <c r="FUF40" s="471"/>
      <c r="FUG40" s="471"/>
      <c r="FUH40" s="471"/>
      <c r="FUI40" s="471"/>
      <c r="FUJ40" s="471"/>
      <c r="FUK40" s="471"/>
      <c r="FUL40" s="471"/>
      <c r="FUM40" s="471"/>
      <c r="FUN40" s="471"/>
      <c r="FUO40" s="471"/>
      <c r="FUP40" s="471"/>
      <c r="FUQ40" s="471"/>
      <c r="FUR40" s="471"/>
      <c r="FUS40" s="471"/>
      <c r="FUT40" s="471"/>
      <c r="FUU40" s="471"/>
      <c r="FUV40" s="471"/>
      <c r="FUW40" s="471"/>
      <c r="FUX40" s="471"/>
      <c r="FUY40" s="471"/>
      <c r="FUZ40" s="471"/>
      <c r="FVA40" s="471"/>
      <c r="FVB40" s="471"/>
      <c r="FVC40" s="471"/>
      <c r="FVD40" s="471"/>
      <c r="FVE40" s="471"/>
      <c r="FVF40" s="471"/>
      <c r="FVG40" s="471"/>
      <c r="FVH40" s="471"/>
      <c r="FVI40" s="471"/>
      <c r="FVJ40" s="471"/>
      <c r="FVK40" s="471"/>
      <c r="FVL40" s="471"/>
      <c r="FVM40" s="471"/>
      <c r="FVN40" s="471"/>
      <c r="FVO40" s="471"/>
      <c r="FVP40" s="471"/>
      <c r="FVQ40" s="471"/>
      <c r="FVR40" s="471"/>
      <c r="FVS40" s="471"/>
      <c r="FVT40" s="471"/>
      <c r="FVU40" s="471"/>
      <c r="FVV40" s="471"/>
      <c r="FVW40" s="471"/>
      <c r="FVX40" s="471"/>
      <c r="FVY40" s="471"/>
      <c r="FVZ40" s="471"/>
      <c r="FWA40" s="471"/>
      <c r="FWB40" s="471"/>
      <c r="FWC40" s="471"/>
      <c r="FWD40" s="471"/>
      <c r="FWE40" s="471"/>
      <c r="FWF40" s="471"/>
      <c r="FWG40" s="471"/>
      <c r="FWH40" s="471"/>
      <c r="FWI40" s="471"/>
      <c r="FWJ40" s="471"/>
      <c r="FWK40" s="471"/>
      <c r="FWL40" s="471"/>
      <c r="FWM40" s="471"/>
      <c r="FWN40" s="471"/>
      <c r="FWO40" s="471"/>
      <c r="FWP40" s="471"/>
      <c r="FWQ40" s="471"/>
      <c r="FWR40" s="471"/>
      <c r="FWS40" s="471"/>
      <c r="FWT40" s="471"/>
      <c r="FWU40" s="471"/>
      <c r="FWV40" s="471"/>
      <c r="FWW40" s="471"/>
      <c r="FWX40" s="471"/>
      <c r="FWY40" s="471"/>
      <c r="FWZ40" s="471"/>
      <c r="FXA40" s="471"/>
      <c r="FXB40" s="471"/>
      <c r="FXC40" s="471"/>
      <c r="FXD40" s="471"/>
      <c r="FXE40" s="471"/>
      <c r="FXF40" s="471"/>
      <c r="FXG40" s="471"/>
      <c r="FXH40" s="471"/>
      <c r="FXI40" s="471"/>
      <c r="FXJ40" s="471"/>
      <c r="FXK40" s="471"/>
      <c r="FXL40" s="471"/>
      <c r="FXM40" s="471"/>
      <c r="FXN40" s="471"/>
      <c r="FXO40" s="471"/>
      <c r="FXP40" s="471"/>
      <c r="FXQ40" s="471"/>
      <c r="FXR40" s="471"/>
      <c r="FXS40" s="471"/>
      <c r="FXT40" s="471"/>
      <c r="FXU40" s="471"/>
      <c r="FXV40" s="471"/>
      <c r="FXW40" s="471"/>
      <c r="FXX40" s="471"/>
      <c r="FXY40" s="471"/>
      <c r="FXZ40" s="471"/>
      <c r="FYA40" s="471"/>
      <c r="FYB40" s="471"/>
      <c r="FYC40" s="471"/>
      <c r="FYD40" s="471"/>
      <c r="FYE40" s="471"/>
      <c r="FYF40" s="471"/>
      <c r="FYG40" s="471"/>
      <c r="FYH40" s="471"/>
      <c r="FYI40" s="471"/>
      <c r="FYJ40" s="471"/>
      <c r="FYK40" s="471"/>
      <c r="FYL40" s="471"/>
      <c r="FYM40" s="471"/>
      <c r="FYN40" s="471"/>
      <c r="FYO40" s="471"/>
      <c r="FYP40" s="471"/>
      <c r="FYQ40" s="471"/>
      <c r="FYR40" s="471"/>
      <c r="FYS40" s="471"/>
      <c r="FYT40" s="471"/>
      <c r="FYU40" s="471"/>
      <c r="FYV40" s="471"/>
      <c r="FYW40" s="471"/>
      <c r="FYX40" s="471"/>
      <c r="FYY40" s="471"/>
      <c r="FYZ40" s="471"/>
      <c r="FZA40" s="471"/>
      <c r="FZB40" s="471"/>
      <c r="FZC40" s="471"/>
      <c r="FZD40" s="471"/>
      <c r="FZE40" s="471"/>
      <c r="FZF40" s="471"/>
      <c r="FZG40" s="471"/>
      <c r="FZH40" s="471"/>
      <c r="FZI40" s="471"/>
      <c r="FZJ40" s="471"/>
      <c r="FZK40" s="471"/>
      <c r="FZL40" s="471"/>
      <c r="FZM40" s="471"/>
      <c r="FZN40" s="471"/>
      <c r="FZO40" s="471"/>
      <c r="FZP40" s="471"/>
      <c r="FZQ40" s="471"/>
      <c r="FZR40" s="471"/>
      <c r="FZS40" s="471"/>
      <c r="FZT40" s="471"/>
      <c r="FZU40" s="471"/>
      <c r="FZV40" s="471"/>
      <c r="FZW40" s="471"/>
      <c r="FZX40" s="471"/>
      <c r="FZY40" s="471"/>
      <c r="FZZ40" s="471"/>
      <c r="GAA40" s="471"/>
      <c r="GAB40" s="471"/>
      <c r="GAC40" s="471"/>
      <c r="GAD40" s="471"/>
      <c r="GAE40" s="471"/>
      <c r="GAF40" s="471"/>
      <c r="GAG40" s="471"/>
      <c r="GAH40" s="471"/>
      <c r="GAI40" s="471"/>
      <c r="GAJ40" s="471"/>
      <c r="GAK40" s="471"/>
      <c r="GAL40" s="471"/>
      <c r="GAM40" s="471"/>
      <c r="GAN40" s="471"/>
      <c r="GAO40" s="471"/>
      <c r="GAP40" s="471"/>
      <c r="GAQ40" s="471"/>
      <c r="GAR40" s="471"/>
      <c r="GAS40" s="471"/>
      <c r="GAT40" s="471"/>
      <c r="GAU40" s="471"/>
      <c r="GAV40" s="471"/>
      <c r="GAW40" s="471"/>
      <c r="GAX40" s="471"/>
      <c r="GAY40" s="471"/>
      <c r="GAZ40" s="471"/>
      <c r="GBA40" s="471"/>
      <c r="GBB40" s="471"/>
      <c r="GBC40" s="471"/>
      <c r="GBD40" s="471"/>
      <c r="GBE40" s="471"/>
      <c r="GBF40" s="471"/>
      <c r="GBG40" s="471"/>
      <c r="GBH40" s="471"/>
      <c r="GBI40" s="471"/>
      <c r="GBJ40" s="471"/>
      <c r="GBK40" s="471"/>
      <c r="GBL40" s="471"/>
      <c r="GBM40" s="471"/>
      <c r="GBN40" s="471"/>
      <c r="GBO40" s="471"/>
      <c r="GBP40" s="471"/>
      <c r="GBQ40" s="471"/>
      <c r="GBR40" s="471"/>
      <c r="GBS40" s="471"/>
      <c r="GBT40" s="471"/>
      <c r="GBU40" s="471"/>
      <c r="GBV40" s="471"/>
      <c r="GBW40" s="471"/>
      <c r="GBX40" s="471"/>
      <c r="GBY40" s="471"/>
      <c r="GBZ40" s="471"/>
      <c r="GCA40" s="471"/>
      <c r="GCB40" s="471"/>
      <c r="GCC40" s="471"/>
      <c r="GCD40" s="471"/>
      <c r="GCE40" s="471"/>
      <c r="GCF40" s="471"/>
      <c r="GCG40" s="471"/>
      <c r="GCH40" s="471"/>
      <c r="GCI40" s="471"/>
      <c r="GCJ40" s="471"/>
      <c r="GCK40" s="471"/>
      <c r="GCL40" s="471"/>
      <c r="GCM40" s="471"/>
      <c r="GCN40" s="471"/>
      <c r="GCO40" s="471"/>
      <c r="GCP40" s="471"/>
      <c r="GCQ40" s="471"/>
      <c r="GCR40" s="471"/>
      <c r="GCS40" s="471"/>
      <c r="GCT40" s="471"/>
      <c r="GCU40" s="471"/>
      <c r="GCV40" s="471"/>
      <c r="GCW40" s="471"/>
      <c r="GCX40" s="471"/>
      <c r="GCY40" s="471"/>
      <c r="GCZ40" s="471"/>
      <c r="GDA40" s="471"/>
      <c r="GDB40" s="471"/>
      <c r="GDC40" s="471"/>
      <c r="GDD40" s="471"/>
      <c r="GDE40" s="471"/>
      <c r="GDF40" s="471"/>
      <c r="GDG40" s="471"/>
      <c r="GDH40" s="471"/>
      <c r="GDI40" s="471"/>
      <c r="GDJ40" s="471"/>
      <c r="GDK40" s="471"/>
      <c r="GDL40" s="471"/>
      <c r="GDM40" s="471"/>
      <c r="GDN40" s="471"/>
      <c r="GDO40" s="471"/>
      <c r="GDP40" s="471"/>
      <c r="GDQ40" s="471"/>
      <c r="GDR40" s="471"/>
      <c r="GDS40" s="471"/>
      <c r="GDT40" s="471"/>
      <c r="GDU40" s="471"/>
      <c r="GDV40" s="471"/>
      <c r="GDW40" s="471"/>
      <c r="GDX40" s="471"/>
      <c r="GDY40" s="471"/>
      <c r="GDZ40" s="471"/>
      <c r="GEA40" s="471"/>
      <c r="GEB40" s="471"/>
      <c r="GEC40" s="471"/>
      <c r="GED40" s="471"/>
      <c r="GEE40" s="471"/>
      <c r="GEF40" s="471"/>
      <c r="GEG40" s="471"/>
      <c r="GEH40" s="471"/>
      <c r="GEI40" s="471"/>
      <c r="GEJ40" s="471"/>
      <c r="GEK40" s="471"/>
      <c r="GEL40" s="471"/>
      <c r="GEM40" s="471"/>
      <c r="GEN40" s="471"/>
      <c r="GEO40" s="471"/>
      <c r="GEP40" s="471"/>
      <c r="GEQ40" s="471"/>
      <c r="GER40" s="471"/>
      <c r="GES40" s="471"/>
      <c r="GET40" s="471"/>
      <c r="GEU40" s="471"/>
      <c r="GEV40" s="471"/>
      <c r="GEW40" s="471"/>
      <c r="GEX40" s="471"/>
      <c r="GEY40" s="471"/>
      <c r="GEZ40" s="471"/>
      <c r="GFA40" s="471"/>
      <c r="GFB40" s="471"/>
      <c r="GFC40" s="471"/>
      <c r="GFD40" s="471"/>
      <c r="GFE40" s="471"/>
      <c r="GFF40" s="471"/>
      <c r="GFG40" s="471"/>
      <c r="GFH40" s="471"/>
      <c r="GFI40" s="471"/>
      <c r="GFJ40" s="471"/>
      <c r="GFK40" s="471"/>
      <c r="GFL40" s="471"/>
      <c r="GFM40" s="471"/>
      <c r="GFN40" s="471"/>
      <c r="GFO40" s="471"/>
      <c r="GFP40" s="471"/>
      <c r="GFQ40" s="471"/>
      <c r="GFR40" s="471"/>
      <c r="GFS40" s="471"/>
      <c r="GFT40" s="471"/>
      <c r="GFU40" s="471"/>
      <c r="GFV40" s="471"/>
      <c r="GFW40" s="471"/>
      <c r="GFX40" s="471"/>
      <c r="GFY40" s="471"/>
      <c r="GFZ40" s="471"/>
      <c r="GGA40" s="471"/>
      <c r="GGB40" s="471"/>
      <c r="GGC40" s="471"/>
      <c r="GGD40" s="471"/>
      <c r="GGE40" s="471"/>
      <c r="GGF40" s="471"/>
      <c r="GGG40" s="471"/>
      <c r="GGH40" s="471"/>
      <c r="GGI40" s="471"/>
      <c r="GGJ40" s="471"/>
      <c r="GGK40" s="471"/>
      <c r="GGL40" s="471"/>
      <c r="GGM40" s="471"/>
      <c r="GGN40" s="471"/>
      <c r="GGO40" s="471"/>
      <c r="GGP40" s="471"/>
      <c r="GGQ40" s="471"/>
      <c r="GGR40" s="471"/>
      <c r="GGS40" s="471"/>
      <c r="GGT40" s="471"/>
      <c r="GGU40" s="471"/>
      <c r="GGV40" s="471"/>
      <c r="GGW40" s="471"/>
      <c r="GGX40" s="471"/>
      <c r="GGY40" s="471"/>
      <c r="GGZ40" s="471"/>
      <c r="GHA40" s="471"/>
      <c r="GHB40" s="471"/>
      <c r="GHC40" s="471"/>
      <c r="GHD40" s="471"/>
      <c r="GHE40" s="471"/>
      <c r="GHF40" s="471"/>
      <c r="GHG40" s="471"/>
      <c r="GHH40" s="471"/>
      <c r="GHI40" s="471"/>
      <c r="GHJ40" s="471"/>
      <c r="GHK40" s="471"/>
      <c r="GHL40" s="471"/>
      <c r="GHM40" s="471"/>
      <c r="GHN40" s="471"/>
      <c r="GHO40" s="471"/>
      <c r="GHP40" s="471"/>
      <c r="GHQ40" s="471"/>
      <c r="GHR40" s="471"/>
      <c r="GHS40" s="471"/>
      <c r="GHT40" s="471"/>
      <c r="GHU40" s="471"/>
      <c r="GHV40" s="471"/>
      <c r="GHW40" s="471"/>
      <c r="GHX40" s="471"/>
      <c r="GHY40" s="471"/>
      <c r="GHZ40" s="471"/>
      <c r="GIA40" s="471"/>
      <c r="GIB40" s="471"/>
      <c r="GIC40" s="471"/>
      <c r="GID40" s="471"/>
      <c r="GIE40" s="471"/>
      <c r="GIF40" s="471"/>
      <c r="GIG40" s="471"/>
      <c r="GIH40" s="471"/>
      <c r="GII40" s="471"/>
      <c r="GIJ40" s="471"/>
      <c r="GIK40" s="471"/>
      <c r="GIL40" s="471"/>
      <c r="GIM40" s="471"/>
      <c r="GIN40" s="471"/>
      <c r="GIO40" s="471"/>
      <c r="GIP40" s="471"/>
      <c r="GIQ40" s="471"/>
      <c r="GIR40" s="471"/>
      <c r="GIS40" s="471"/>
      <c r="GIT40" s="471"/>
      <c r="GIU40" s="471"/>
      <c r="GIV40" s="471"/>
      <c r="GIW40" s="471"/>
      <c r="GIX40" s="471"/>
      <c r="GIY40" s="471"/>
      <c r="GIZ40" s="471"/>
      <c r="GJA40" s="471"/>
      <c r="GJB40" s="471"/>
      <c r="GJC40" s="471"/>
      <c r="GJD40" s="471"/>
      <c r="GJE40" s="471"/>
      <c r="GJF40" s="471"/>
      <c r="GJG40" s="471"/>
      <c r="GJH40" s="471"/>
      <c r="GJI40" s="471"/>
      <c r="GJJ40" s="471"/>
      <c r="GJK40" s="471"/>
      <c r="GJL40" s="471"/>
      <c r="GJM40" s="471"/>
      <c r="GJN40" s="471"/>
      <c r="GJO40" s="471"/>
      <c r="GJP40" s="471"/>
      <c r="GJQ40" s="471"/>
      <c r="GJR40" s="471"/>
      <c r="GJS40" s="471"/>
      <c r="GJT40" s="471"/>
      <c r="GJU40" s="471"/>
      <c r="GJV40" s="471"/>
      <c r="GJW40" s="471"/>
      <c r="GJX40" s="471"/>
      <c r="GJY40" s="471"/>
      <c r="GJZ40" s="471"/>
      <c r="GKA40" s="471"/>
      <c r="GKB40" s="471"/>
      <c r="GKC40" s="471"/>
      <c r="GKD40" s="471"/>
      <c r="GKE40" s="471"/>
      <c r="GKF40" s="471"/>
      <c r="GKG40" s="471"/>
      <c r="GKH40" s="471"/>
      <c r="GKI40" s="471"/>
      <c r="GKJ40" s="471"/>
      <c r="GKK40" s="471"/>
      <c r="GKL40" s="471"/>
      <c r="GKM40" s="471"/>
      <c r="GKN40" s="471"/>
      <c r="GKO40" s="471"/>
      <c r="GKP40" s="471"/>
      <c r="GKQ40" s="471"/>
      <c r="GKR40" s="471"/>
      <c r="GKS40" s="471"/>
      <c r="GKT40" s="471"/>
      <c r="GKU40" s="471"/>
      <c r="GKV40" s="471"/>
      <c r="GKW40" s="471"/>
      <c r="GKX40" s="471"/>
      <c r="GKY40" s="471"/>
      <c r="GKZ40" s="471"/>
      <c r="GLA40" s="471"/>
      <c r="GLB40" s="471"/>
      <c r="GLC40" s="471"/>
      <c r="GLD40" s="471"/>
      <c r="GLE40" s="471"/>
      <c r="GLF40" s="471"/>
      <c r="GLG40" s="471"/>
      <c r="GLH40" s="471"/>
      <c r="GLI40" s="471"/>
      <c r="GLJ40" s="471"/>
      <c r="GLK40" s="471"/>
      <c r="GLL40" s="471"/>
      <c r="GLM40" s="471"/>
      <c r="GLN40" s="471"/>
      <c r="GLO40" s="471"/>
      <c r="GLP40" s="471"/>
      <c r="GLQ40" s="471"/>
      <c r="GLR40" s="471"/>
      <c r="GLS40" s="471"/>
      <c r="GLT40" s="471"/>
      <c r="GLU40" s="471"/>
      <c r="GLV40" s="471"/>
      <c r="GLW40" s="471"/>
      <c r="GLX40" s="471"/>
      <c r="GLY40" s="471"/>
      <c r="GLZ40" s="471"/>
      <c r="GMA40" s="471"/>
      <c r="GMB40" s="471"/>
      <c r="GMC40" s="471"/>
      <c r="GMD40" s="471"/>
      <c r="GME40" s="471"/>
      <c r="GMF40" s="471"/>
      <c r="GMG40" s="471"/>
      <c r="GMH40" s="471"/>
      <c r="GMI40" s="471"/>
      <c r="GMJ40" s="471"/>
      <c r="GMK40" s="471"/>
      <c r="GML40" s="471"/>
      <c r="GMM40" s="471"/>
      <c r="GMN40" s="471"/>
      <c r="GMO40" s="471"/>
      <c r="GMP40" s="471"/>
      <c r="GMQ40" s="471"/>
      <c r="GMR40" s="471"/>
      <c r="GMS40" s="471"/>
      <c r="GMT40" s="471"/>
      <c r="GMU40" s="471"/>
      <c r="GMV40" s="471"/>
      <c r="GMW40" s="471"/>
      <c r="GMX40" s="471"/>
      <c r="GMY40" s="471"/>
      <c r="GMZ40" s="471"/>
      <c r="GNA40" s="471"/>
      <c r="GNB40" s="471"/>
      <c r="GNC40" s="471"/>
      <c r="GND40" s="471"/>
      <c r="GNE40" s="471"/>
      <c r="GNF40" s="471"/>
      <c r="GNG40" s="471"/>
      <c r="GNH40" s="471"/>
      <c r="GNI40" s="471"/>
      <c r="GNJ40" s="471"/>
      <c r="GNK40" s="471"/>
      <c r="GNL40" s="471"/>
      <c r="GNM40" s="471"/>
      <c r="GNN40" s="471"/>
      <c r="GNO40" s="471"/>
      <c r="GNP40" s="471"/>
      <c r="GNQ40" s="471"/>
      <c r="GNR40" s="471"/>
      <c r="GNS40" s="471"/>
      <c r="GNT40" s="471"/>
      <c r="GNU40" s="471"/>
      <c r="GNV40" s="471"/>
      <c r="GNW40" s="471"/>
      <c r="GNX40" s="471"/>
      <c r="GNY40" s="471"/>
      <c r="GNZ40" s="471"/>
      <c r="GOA40" s="471"/>
      <c r="GOB40" s="471"/>
      <c r="GOC40" s="471"/>
      <c r="GOD40" s="471"/>
      <c r="GOE40" s="471"/>
      <c r="GOF40" s="471"/>
      <c r="GOG40" s="471"/>
      <c r="GOH40" s="471"/>
      <c r="GOI40" s="471"/>
      <c r="GOJ40" s="471"/>
      <c r="GOK40" s="471"/>
      <c r="GOL40" s="471"/>
      <c r="GOM40" s="471"/>
      <c r="GON40" s="471"/>
      <c r="GOO40" s="471"/>
      <c r="GOP40" s="471"/>
      <c r="GOQ40" s="471"/>
      <c r="GOR40" s="471"/>
      <c r="GOS40" s="471"/>
      <c r="GOT40" s="471"/>
      <c r="GOU40" s="471"/>
      <c r="GOV40" s="471"/>
      <c r="GOW40" s="471"/>
      <c r="GOX40" s="471"/>
      <c r="GOY40" s="471"/>
      <c r="GOZ40" s="471"/>
      <c r="GPA40" s="471"/>
      <c r="GPB40" s="471"/>
      <c r="GPC40" s="471"/>
      <c r="GPD40" s="471"/>
      <c r="GPE40" s="471"/>
      <c r="GPF40" s="471"/>
      <c r="GPG40" s="471"/>
      <c r="GPH40" s="471"/>
      <c r="GPI40" s="471"/>
      <c r="GPJ40" s="471"/>
      <c r="GPK40" s="471"/>
      <c r="GPL40" s="471"/>
      <c r="GPM40" s="471"/>
      <c r="GPN40" s="471"/>
      <c r="GPO40" s="471"/>
      <c r="GPP40" s="471"/>
      <c r="GPQ40" s="471"/>
      <c r="GPR40" s="471"/>
      <c r="GPS40" s="471"/>
      <c r="GPT40" s="471"/>
      <c r="GPU40" s="471"/>
      <c r="GPV40" s="471"/>
      <c r="GPW40" s="471"/>
      <c r="GPX40" s="471"/>
      <c r="GPY40" s="471"/>
      <c r="GPZ40" s="471"/>
      <c r="GQA40" s="471"/>
      <c r="GQB40" s="471"/>
      <c r="GQC40" s="471"/>
      <c r="GQD40" s="471"/>
      <c r="GQE40" s="471"/>
      <c r="GQF40" s="471"/>
      <c r="GQG40" s="471"/>
      <c r="GQH40" s="471"/>
      <c r="GQI40" s="471"/>
      <c r="GQJ40" s="471"/>
      <c r="GQK40" s="471"/>
      <c r="GQL40" s="471"/>
      <c r="GQM40" s="471"/>
      <c r="GQN40" s="471"/>
      <c r="GQO40" s="471"/>
      <c r="GQP40" s="471"/>
      <c r="GQQ40" s="471"/>
      <c r="GQR40" s="471"/>
      <c r="GQS40" s="471"/>
      <c r="GQT40" s="471"/>
      <c r="GQU40" s="471"/>
      <c r="GQV40" s="471"/>
      <c r="GQW40" s="471"/>
      <c r="GQX40" s="471"/>
      <c r="GQY40" s="471"/>
      <c r="GQZ40" s="471"/>
      <c r="GRA40" s="471"/>
      <c r="GRB40" s="471"/>
      <c r="GRC40" s="471"/>
      <c r="GRD40" s="471"/>
      <c r="GRE40" s="471"/>
      <c r="GRF40" s="471"/>
      <c r="GRG40" s="471"/>
      <c r="GRH40" s="471"/>
      <c r="GRI40" s="471"/>
      <c r="GRJ40" s="471"/>
      <c r="GRK40" s="471"/>
      <c r="GRL40" s="471"/>
      <c r="GRM40" s="471"/>
      <c r="GRN40" s="471"/>
      <c r="GRO40" s="471"/>
      <c r="GRP40" s="471"/>
      <c r="GRQ40" s="471"/>
      <c r="GRR40" s="471"/>
      <c r="GRS40" s="471"/>
      <c r="GRT40" s="471"/>
      <c r="GRU40" s="471"/>
      <c r="GRV40" s="471"/>
      <c r="GRW40" s="471"/>
      <c r="GRX40" s="471"/>
      <c r="GRY40" s="471"/>
      <c r="GRZ40" s="471"/>
      <c r="GSA40" s="471"/>
      <c r="GSB40" s="471"/>
      <c r="GSC40" s="471"/>
      <c r="GSD40" s="471"/>
      <c r="GSE40" s="471"/>
      <c r="GSF40" s="471"/>
      <c r="GSG40" s="471"/>
      <c r="GSH40" s="471"/>
      <c r="GSI40" s="471"/>
      <c r="GSJ40" s="471"/>
      <c r="GSK40" s="471"/>
      <c r="GSL40" s="471"/>
      <c r="GSM40" s="471"/>
      <c r="GSN40" s="471"/>
      <c r="GSO40" s="471"/>
      <c r="GSP40" s="471"/>
      <c r="GSQ40" s="471"/>
      <c r="GSR40" s="471"/>
      <c r="GSS40" s="471"/>
      <c r="GST40" s="471"/>
      <c r="GSU40" s="471"/>
      <c r="GSV40" s="471"/>
      <c r="GSW40" s="471"/>
      <c r="GSX40" s="471"/>
      <c r="GSY40" s="471"/>
      <c r="GSZ40" s="471"/>
      <c r="GTA40" s="471"/>
      <c r="GTB40" s="471"/>
      <c r="GTC40" s="471"/>
      <c r="GTD40" s="471"/>
      <c r="GTE40" s="471"/>
      <c r="GTF40" s="471"/>
      <c r="GTG40" s="471"/>
      <c r="GTH40" s="471"/>
      <c r="GTI40" s="471"/>
      <c r="GTJ40" s="471"/>
      <c r="GTK40" s="471"/>
      <c r="GTL40" s="471"/>
      <c r="GTM40" s="471"/>
      <c r="GTN40" s="471"/>
      <c r="GTO40" s="471"/>
      <c r="GTP40" s="471"/>
      <c r="GTQ40" s="471"/>
      <c r="GTR40" s="471"/>
      <c r="GTS40" s="471"/>
      <c r="GTT40" s="471"/>
      <c r="GTU40" s="471"/>
      <c r="GTV40" s="471"/>
      <c r="GTW40" s="471"/>
      <c r="GTX40" s="471"/>
      <c r="GTY40" s="471"/>
      <c r="GTZ40" s="471"/>
      <c r="GUA40" s="471"/>
      <c r="GUB40" s="471"/>
      <c r="GUC40" s="471"/>
      <c r="GUD40" s="471"/>
      <c r="GUE40" s="471"/>
      <c r="GUF40" s="471"/>
      <c r="GUG40" s="471"/>
      <c r="GUH40" s="471"/>
      <c r="GUI40" s="471"/>
      <c r="GUJ40" s="471"/>
      <c r="GUK40" s="471"/>
      <c r="GUL40" s="471"/>
      <c r="GUM40" s="471"/>
      <c r="GUN40" s="471"/>
      <c r="GUO40" s="471"/>
      <c r="GUP40" s="471"/>
      <c r="GUQ40" s="471"/>
      <c r="GUR40" s="471"/>
      <c r="GUS40" s="471"/>
      <c r="GUT40" s="471"/>
      <c r="GUU40" s="471"/>
      <c r="GUV40" s="471"/>
      <c r="GUW40" s="471"/>
      <c r="GUX40" s="471"/>
      <c r="GUY40" s="471"/>
      <c r="GUZ40" s="471"/>
      <c r="GVA40" s="471"/>
      <c r="GVB40" s="471"/>
      <c r="GVC40" s="471"/>
      <c r="GVD40" s="471"/>
      <c r="GVE40" s="471"/>
      <c r="GVF40" s="471"/>
      <c r="GVG40" s="471"/>
      <c r="GVH40" s="471"/>
      <c r="GVI40" s="471"/>
      <c r="GVJ40" s="471"/>
      <c r="GVK40" s="471"/>
      <c r="GVL40" s="471"/>
      <c r="GVM40" s="471"/>
      <c r="GVN40" s="471"/>
      <c r="GVO40" s="471"/>
      <c r="GVP40" s="471"/>
      <c r="GVQ40" s="471"/>
      <c r="GVR40" s="471"/>
      <c r="GVS40" s="471"/>
      <c r="GVT40" s="471"/>
      <c r="GVU40" s="471"/>
      <c r="GVV40" s="471"/>
      <c r="GVW40" s="471"/>
      <c r="GVX40" s="471"/>
      <c r="GVY40" s="471"/>
      <c r="GVZ40" s="471"/>
      <c r="GWA40" s="471"/>
      <c r="GWB40" s="471"/>
      <c r="GWC40" s="471"/>
      <c r="GWD40" s="471"/>
      <c r="GWE40" s="471"/>
      <c r="GWF40" s="471"/>
      <c r="GWG40" s="471"/>
      <c r="GWH40" s="471"/>
      <c r="GWI40" s="471"/>
      <c r="GWJ40" s="471"/>
      <c r="GWK40" s="471"/>
      <c r="GWL40" s="471"/>
      <c r="GWM40" s="471"/>
      <c r="GWN40" s="471"/>
      <c r="GWO40" s="471"/>
      <c r="GWP40" s="471"/>
      <c r="GWQ40" s="471"/>
      <c r="GWR40" s="471"/>
      <c r="GWS40" s="471"/>
      <c r="GWT40" s="471"/>
      <c r="GWU40" s="471"/>
      <c r="GWV40" s="471"/>
      <c r="GWW40" s="471"/>
      <c r="GWX40" s="471"/>
      <c r="GWY40" s="471"/>
      <c r="GWZ40" s="471"/>
      <c r="GXA40" s="471"/>
      <c r="GXB40" s="471"/>
      <c r="GXC40" s="471"/>
      <c r="GXD40" s="471"/>
      <c r="GXE40" s="471"/>
      <c r="GXF40" s="471"/>
      <c r="GXG40" s="471"/>
      <c r="GXH40" s="471"/>
      <c r="GXI40" s="471"/>
      <c r="GXJ40" s="471"/>
      <c r="GXK40" s="471"/>
      <c r="GXL40" s="471"/>
      <c r="GXM40" s="471"/>
      <c r="GXN40" s="471"/>
      <c r="GXO40" s="471"/>
      <c r="GXP40" s="471"/>
      <c r="GXQ40" s="471"/>
      <c r="GXR40" s="471"/>
      <c r="GXS40" s="471"/>
      <c r="GXT40" s="471"/>
      <c r="GXU40" s="471"/>
      <c r="GXV40" s="471"/>
      <c r="GXW40" s="471"/>
      <c r="GXX40" s="471"/>
      <c r="GXY40" s="471"/>
      <c r="GXZ40" s="471"/>
      <c r="GYA40" s="471"/>
      <c r="GYB40" s="471"/>
      <c r="GYC40" s="471"/>
      <c r="GYD40" s="471"/>
      <c r="GYE40" s="471"/>
      <c r="GYF40" s="471"/>
      <c r="GYG40" s="471"/>
      <c r="GYH40" s="471"/>
      <c r="GYI40" s="471"/>
      <c r="GYJ40" s="471"/>
      <c r="GYK40" s="471"/>
      <c r="GYL40" s="471"/>
      <c r="GYM40" s="471"/>
      <c r="GYN40" s="471"/>
      <c r="GYO40" s="471"/>
      <c r="GYP40" s="471"/>
      <c r="GYQ40" s="471"/>
      <c r="GYR40" s="471"/>
      <c r="GYS40" s="471"/>
      <c r="GYT40" s="471"/>
      <c r="GYU40" s="471"/>
      <c r="GYV40" s="471"/>
      <c r="GYW40" s="471"/>
      <c r="GYX40" s="471"/>
      <c r="GYY40" s="471"/>
      <c r="GYZ40" s="471"/>
      <c r="GZA40" s="471"/>
      <c r="GZB40" s="471"/>
      <c r="GZC40" s="471"/>
      <c r="GZD40" s="471"/>
      <c r="GZE40" s="471"/>
      <c r="GZF40" s="471"/>
      <c r="GZG40" s="471"/>
      <c r="GZH40" s="471"/>
      <c r="GZI40" s="471"/>
      <c r="GZJ40" s="471"/>
      <c r="GZK40" s="471"/>
      <c r="GZL40" s="471"/>
      <c r="GZM40" s="471"/>
      <c r="GZN40" s="471"/>
      <c r="GZO40" s="471"/>
      <c r="GZP40" s="471"/>
      <c r="GZQ40" s="471"/>
      <c r="GZR40" s="471"/>
      <c r="GZS40" s="471"/>
      <c r="GZT40" s="471"/>
      <c r="GZU40" s="471"/>
      <c r="GZV40" s="471"/>
      <c r="GZW40" s="471"/>
      <c r="GZX40" s="471"/>
      <c r="GZY40" s="471"/>
      <c r="GZZ40" s="471"/>
      <c r="HAA40" s="471"/>
      <c r="HAB40" s="471"/>
      <c r="HAC40" s="471"/>
      <c r="HAD40" s="471"/>
      <c r="HAE40" s="471"/>
      <c r="HAF40" s="471"/>
      <c r="HAG40" s="471"/>
      <c r="HAH40" s="471"/>
      <c r="HAI40" s="471"/>
      <c r="HAJ40" s="471"/>
      <c r="HAK40" s="471"/>
      <c r="HAL40" s="471"/>
      <c r="HAM40" s="471"/>
      <c r="HAN40" s="471"/>
      <c r="HAO40" s="471"/>
      <c r="HAP40" s="471"/>
      <c r="HAQ40" s="471"/>
      <c r="HAR40" s="471"/>
      <c r="HAS40" s="471"/>
      <c r="HAT40" s="471"/>
      <c r="HAU40" s="471"/>
      <c r="HAV40" s="471"/>
      <c r="HAW40" s="471"/>
      <c r="HAX40" s="471"/>
      <c r="HAY40" s="471"/>
      <c r="HAZ40" s="471"/>
      <c r="HBA40" s="471"/>
      <c r="HBB40" s="471"/>
      <c r="HBC40" s="471"/>
      <c r="HBD40" s="471"/>
      <c r="HBE40" s="471"/>
      <c r="HBF40" s="471"/>
      <c r="HBG40" s="471"/>
      <c r="HBH40" s="471"/>
      <c r="HBI40" s="471"/>
      <c r="HBJ40" s="471"/>
      <c r="HBK40" s="471"/>
      <c r="HBL40" s="471"/>
      <c r="HBM40" s="471"/>
      <c r="HBN40" s="471"/>
      <c r="HBO40" s="471"/>
      <c r="HBP40" s="471"/>
      <c r="HBQ40" s="471"/>
      <c r="HBR40" s="471"/>
      <c r="HBS40" s="471"/>
      <c r="HBT40" s="471"/>
      <c r="HBU40" s="471"/>
      <c r="HBV40" s="471"/>
      <c r="HBW40" s="471"/>
      <c r="HBX40" s="471"/>
      <c r="HBY40" s="471"/>
      <c r="HBZ40" s="471"/>
      <c r="HCA40" s="471"/>
      <c r="HCB40" s="471"/>
      <c r="HCC40" s="471"/>
      <c r="HCD40" s="471"/>
      <c r="HCE40" s="471"/>
      <c r="HCF40" s="471"/>
      <c r="HCG40" s="471"/>
      <c r="HCH40" s="471"/>
      <c r="HCI40" s="471"/>
      <c r="HCJ40" s="471"/>
      <c r="HCK40" s="471"/>
      <c r="HCL40" s="471"/>
      <c r="HCM40" s="471"/>
      <c r="HCN40" s="471"/>
      <c r="HCO40" s="471"/>
      <c r="HCP40" s="471"/>
      <c r="HCQ40" s="471"/>
      <c r="HCR40" s="471"/>
      <c r="HCS40" s="471"/>
      <c r="HCT40" s="471"/>
      <c r="HCU40" s="471"/>
      <c r="HCV40" s="471"/>
      <c r="HCW40" s="471"/>
      <c r="HCX40" s="471"/>
      <c r="HCY40" s="471"/>
      <c r="HCZ40" s="471"/>
      <c r="HDA40" s="471"/>
      <c r="HDB40" s="471"/>
      <c r="HDC40" s="471"/>
      <c r="HDD40" s="471"/>
      <c r="HDE40" s="471"/>
      <c r="HDF40" s="471"/>
      <c r="HDG40" s="471"/>
      <c r="HDH40" s="471"/>
      <c r="HDI40" s="471"/>
      <c r="HDJ40" s="471"/>
      <c r="HDK40" s="471"/>
      <c r="HDL40" s="471"/>
      <c r="HDM40" s="471"/>
      <c r="HDN40" s="471"/>
      <c r="HDO40" s="471"/>
      <c r="HDP40" s="471"/>
      <c r="HDQ40" s="471"/>
      <c r="HDR40" s="471"/>
      <c r="HDS40" s="471"/>
      <c r="HDT40" s="471"/>
      <c r="HDU40" s="471"/>
      <c r="HDV40" s="471"/>
      <c r="HDW40" s="471"/>
      <c r="HDX40" s="471"/>
      <c r="HDY40" s="471"/>
      <c r="HDZ40" s="471"/>
      <c r="HEA40" s="471"/>
      <c r="HEB40" s="471"/>
      <c r="HEC40" s="471"/>
      <c r="HED40" s="471"/>
      <c r="HEE40" s="471"/>
      <c r="HEF40" s="471"/>
      <c r="HEG40" s="471"/>
      <c r="HEH40" s="471"/>
      <c r="HEI40" s="471"/>
      <c r="HEJ40" s="471"/>
      <c r="HEK40" s="471"/>
      <c r="HEL40" s="471"/>
      <c r="HEM40" s="471"/>
      <c r="HEN40" s="471"/>
      <c r="HEO40" s="471"/>
      <c r="HEP40" s="471"/>
      <c r="HEQ40" s="471"/>
      <c r="HER40" s="471"/>
      <c r="HES40" s="471"/>
      <c r="HET40" s="471"/>
      <c r="HEU40" s="471"/>
      <c r="HEV40" s="471"/>
      <c r="HEW40" s="471"/>
      <c r="HEX40" s="471"/>
      <c r="HEY40" s="471"/>
      <c r="HEZ40" s="471"/>
      <c r="HFA40" s="471"/>
      <c r="HFB40" s="471"/>
      <c r="HFC40" s="471"/>
      <c r="HFD40" s="471"/>
      <c r="HFE40" s="471"/>
      <c r="HFF40" s="471"/>
      <c r="HFG40" s="471"/>
      <c r="HFH40" s="471"/>
      <c r="HFI40" s="471"/>
      <c r="HFJ40" s="471"/>
      <c r="HFK40" s="471"/>
      <c r="HFL40" s="471"/>
      <c r="HFM40" s="471"/>
      <c r="HFN40" s="471"/>
      <c r="HFO40" s="471"/>
      <c r="HFP40" s="471"/>
      <c r="HFQ40" s="471"/>
      <c r="HFR40" s="471"/>
      <c r="HFS40" s="471"/>
      <c r="HFT40" s="471"/>
      <c r="HFU40" s="471"/>
      <c r="HFV40" s="471"/>
      <c r="HFW40" s="471"/>
      <c r="HFX40" s="471"/>
      <c r="HFY40" s="471"/>
      <c r="HFZ40" s="471"/>
      <c r="HGA40" s="471"/>
      <c r="HGB40" s="471"/>
      <c r="HGC40" s="471"/>
      <c r="HGD40" s="471"/>
      <c r="HGE40" s="471"/>
      <c r="HGF40" s="471"/>
      <c r="HGG40" s="471"/>
      <c r="HGH40" s="471"/>
      <c r="HGI40" s="471"/>
      <c r="HGJ40" s="471"/>
      <c r="HGK40" s="471"/>
      <c r="HGL40" s="471"/>
      <c r="HGM40" s="471"/>
      <c r="HGN40" s="471"/>
      <c r="HGO40" s="471"/>
      <c r="HGP40" s="471"/>
      <c r="HGQ40" s="471"/>
      <c r="HGR40" s="471"/>
      <c r="HGS40" s="471"/>
      <c r="HGT40" s="471"/>
      <c r="HGU40" s="471"/>
      <c r="HGV40" s="471"/>
      <c r="HGW40" s="471"/>
      <c r="HGX40" s="471"/>
      <c r="HGY40" s="471"/>
      <c r="HGZ40" s="471"/>
      <c r="HHA40" s="471"/>
      <c r="HHB40" s="471"/>
      <c r="HHC40" s="471"/>
      <c r="HHD40" s="471"/>
      <c r="HHE40" s="471"/>
      <c r="HHF40" s="471"/>
      <c r="HHG40" s="471"/>
      <c r="HHH40" s="471"/>
      <c r="HHI40" s="471"/>
      <c r="HHJ40" s="471"/>
      <c r="HHK40" s="471"/>
      <c r="HHL40" s="471"/>
      <c r="HHM40" s="471"/>
      <c r="HHN40" s="471"/>
      <c r="HHO40" s="471"/>
      <c r="HHP40" s="471"/>
      <c r="HHQ40" s="471"/>
      <c r="HHR40" s="471"/>
      <c r="HHS40" s="471"/>
      <c r="HHT40" s="471"/>
      <c r="HHU40" s="471"/>
      <c r="HHV40" s="471"/>
      <c r="HHW40" s="471"/>
      <c r="HHX40" s="471"/>
      <c r="HHY40" s="471"/>
      <c r="HHZ40" s="471"/>
      <c r="HIA40" s="471"/>
      <c r="HIB40" s="471"/>
      <c r="HIC40" s="471"/>
      <c r="HID40" s="471"/>
      <c r="HIE40" s="471"/>
      <c r="HIF40" s="471"/>
      <c r="HIG40" s="471"/>
      <c r="HIH40" s="471"/>
      <c r="HII40" s="471"/>
      <c r="HIJ40" s="471"/>
      <c r="HIK40" s="471"/>
      <c r="HIL40" s="471"/>
      <c r="HIM40" s="471"/>
      <c r="HIN40" s="471"/>
      <c r="HIO40" s="471"/>
      <c r="HIP40" s="471"/>
      <c r="HIQ40" s="471"/>
      <c r="HIR40" s="471"/>
      <c r="HIS40" s="471"/>
      <c r="HIT40" s="471"/>
      <c r="HIU40" s="471"/>
      <c r="HIV40" s="471"/>
      <c r="HIW40" s="471"/>
      <c r="HIX40" s="471"/>
      <c r="HIY40" s="471"/>
      <c r="HIZ40" s="471"/>
      <c r="HJA40" s="471"/>
      <c r="HJB40" s="471"/>
      <c r="HJC40" s="471"/>
      <c r="HJD40" s="471"/>
      <c r="HJE40" s="471"/>
      <c r="HJF40" s="471"/>
      <c r="HJG40" s="471"/>
      <c r="HJH40" s="471"/>
      <c r="HJI40" s="471"/>
      <c r="HJJ40" s="471"/>
      <c r="HJK40" s="471"/>
      <c r="HJL40" s="471"/>
      <c r="HJM40" s="471"/>
      <c r="HJN40" s="471"/>
      <c r="HJO40" s="471"/>
      <c r="HJP40" s="471"/>
      <c r="HJQ40" s="471"/>
      <c r="HJR40" s="471"/>
      <c r="HJS40" s="471"/>
      <c r="HJT40" s="471"/>
      <c r="HJU40" s="471"/>
      <c r="HJV40" s="471"/>
      <c r="HJW40" s="471"/>
      <c r="HJX40" s="471"/>
      <c r="HJY40" s="471"/>
      <c r="HJZ40" s="471"/>
      <c r="HKA40" s="471"/>
      <c r="HKB40" s="471"/>
      <c r="HKC40" s="471"/>
      <c r="HKD40" s="471"/>
      <c r="HKE40" s="471"/>
      <c r="HKF40" s="471"/>
      <c r="HKG40" s="471"/>
      <c r="HKH40" s="471"/>
      <c r="HKI40" s="471"/>
      <c r="HKJ40" s="471"/>
      <c r="HKK40" s="471"/>
      <c r="HKL40" s="471"/>
      <c r="HKM40" s="471"/>
      <c r="HKN40" s="471"/>
      <c r="HKO40" s="471"/>
      <c r="HKP40" s="471"/>
      <c r="HKQ40" s="471"/>
      <c r="HKR40" s="471"/>
      <c r="HKS40" s="471"/>
      <c r="HKT40" s="471"/>
      <c r="HKU40" s="471"/>
      <c r="HKV40" s="471"/>
      <c r="HKW40" s="471"/>
      <c r="HKX40" s="471"/>
      <c r="HKY40" s="471"/>
      <c r="HKZ40" s="471"/>
      <c r="HLA40" s="471"/>
      <c r="HLB40" s="471"/>
      <c r="HLC40" s="471"/>
      <c r="HLD40" s="471"/>
      <c r="HLE40" s="471"/>
      <c r="HLF40" s="471"/>
      <c r="HLG40" s="471"/>
      <c r="HLH40" s="471"/>
      <c r="HLI40" s="471"/>
      <c r="HLJ40" s="471"/>
      <c r="HLK40" s="471"/>
      <c r="HLL40" s="471"/>
      <c r="HLM40" s="471"/>
      <c r="HLN40" s="471"/>
      <c r="HLO40" s="471"/>
      <c r="HLP40" s="471"/>
      <c r="HLQ40" s="471"/>
      <c r="HLR40" s="471"/>
      <c r="HLS40" s="471"/>
      <c r="HLT40" s="471"/>
      <c r="HLU40" s="471"/>
      <c r="HLV40" s="471"/>
      <c r="HLW40" s="471"/>
      <c r="HLX40" s="471"/>
      <c r="HLY40" s="471"/>
      <c r="HLZ40" s="471"/>
      <c r="HMA40" s="471"/>
      <c r="HMB40" s="471"/>
      <c r="HMC40" s="471"/>
      <c r="HMD40" s="471"/>
      <c r="HME40" s="471"/>
      <c r="HMF40" s="471"/>
      <c r="HMG40" s="471"/>
      <c r="HMH40" s="471"/>
      <c r="HMI40" s="471"/>
      <c r="HMJ40" s="471"/>
      <c r="HMK40" s="471"/>
      <c r="HML40" s="471"/>
      <c r="HMM40" s="471"/>
      <c r="HMN40" s="471"/>
      <c r="HMO40" s="471"/>
      <c r="HMP40" s="471"/>
      <c r="HMQ40" s="471"/>
      <c r="HMR40" s="471"/>
      <c r="HMS40" s="471"/>
      <c r="HMT40" s="471"/>
      <c r="HMU40" s="471"/>
      <c r="HMV40" s="471"/>
      <c r="HMW40" s="471"/>
      <c r="HMX40" s="471"/>
      <c r="HMY40" s="471"/>
      <c r="HMZ40" s="471"/>
      <c r="HNA40" s="471"/>
      <c r="HNB40" s="471"/>
      <c r="HNC40" s="471"/>
      <c r="HND40" s="471"/>
      <c r="HNE40" s="471"/>
      <c r="HNF40" s="471"/>
      <c r="HNG40" s="471"/>
      <c r="HNH40" s="471"/>
      <c r="HNI40" s="471"/>
      <c r="HNJ40" s="471"/>
      <c r="HNK40" s="471"/>
      <c r="HNL40" s="471"/>
      <c r="HNM40" s="471"/>
      <c r="HNN40" s="471"/>
      <c r="HNO40" s="471"/>
      <c r="HNP40" s="471"/>
      <c r="HNQ40" s="471"/>
      <c r="HNR40" s="471"/>
      <c r="HNS40" s="471"/>
      <c r="HNT40" s="471"/>
      <c r="HNU40" s="471"/>
      <c r="HNV40" s="471"/>
      <c r="HNW40" s="471"/>
      <c r="HNX40" s="471"/>
      <c r="HNY40" s="471"/>
      <c r="HNZ40" s="471"/>
      <c r="HOA40" s="471"/>
      <c r="HOB40" s="471"/>
      <c r="HOC40" s="471"/>
      <c r="HOD40" s="471"/>
      <c r="HOE40" s="471"/>
      <c r="HOF40" s="471"/>
      <c r="HOG40" s="471"/>
      <c r="HOH40" s="471"/>
      <c r="HOI40" s="471"/>
      <c r="HOJ40" s="471"/>
      <c r="HOK40" s="471"/>
      <c r="HOL40" s="471"/>
      <c r="HOM40" s="471"/>
      <c r="HON40" s="471"/>
      <c r="HOO40" s="471"/>
      <c r="HOP40" s="471"/>
      <c r="HOQ40" s="471"/>
      <c r="HOR40" s="471"/>
      <c r="HOS40" s="471"/>
      <c r="HOT40" s="471"/>
      <c r="HOU40" s="471"/>
      <c r="HOV40" s="471"/>
      <c r="HOW40" s="471"/>
      <c r="HOX40" s="471"/>
      <c r="HOY40" s="471"/>
      <c r="HOZ40" s="471"/>
      <c r="HPA40" s="471"/>
      <c r="HPB40" s="471"/>
      <c r="HPC40" s="471"/>
      <c r="HPD40" s="471"/>
      <c r="HPE40" s="471"/>
      <c r="HPF40" s="471"/>
      <c r="HPG40" s="471"/>
      <c r="HPH40" s="471"/>
      <c r="HPI40" s="471"/>
      <c r="HPJ40" s="471"/>
      <c r="HPK40" s="471"/>
      <c r="HPL40" s="471"/>
      <c r="HPM40" s="471"/>
      <c r="HPN40" s="471"/>
      <c r="HPO40" s="471"/>
      <c r="HPP40" s="471"/>
      <c r="HPQ40" s="471"/>
      <c r="HPR40" s="471"/>
      <c r="HPS40" s="471"/>
      <c r="HPT40" s="471"/>
      <c r="HPU40" s="471"/>
      <c r="HPV40" s="471"/>
      <c r="HPW40" s="471"/>
      <c r="HPX40" s="471"/>
      <c r="HPY40" s="471"/>
      <c r="HPZ40" s="471"/>
      <c r="HQA40" s="471"/>
      <c r="HQB40" s="471"/>
      <c r="HQC40" s="471"/>
      <c r="HQD40" s="471"/>
      <c r="HQE40" s="471"/>
      <c r="HQF40" s="471"/>
      <c r="HQG40" s="471"/>
      <c r="HQH40" s="471"/>
      <c r="HQI40" s="471"/>
      <c r="HQJ40" s="471"/>
      <c r="HQK40" s="471"/>
      <c r="HQL40" s="471"/>
      <c r="HQM40" s="471"/>
      <c r="HQN40" s="471"/>
      <c r="HQO40" s="471"/>
      <c r="HQP40" s="471"/>
      <c r="HQQ40" s="471"/>
      <c r="HQR40" s="471"/>
      <c r="HQS40" s="471"/>
      <c r="HQT40" s="471"/>
      <c r="HQU40" s="471"/>
      <c r="HQV40" s="471"/>
      <c r="HQW40" s="471"/>
      <c r="HQX40" s="471"/>
      <c r="HQY40" s="471"/>
      <c r="HQZ40" s="471"/>
      <c r="HRA40" s="471"/>
      <c r="HRB40" s="471"/>
      <c r="HRC40" s="471"/>
      <c r="HRD40" s="471"/>
      <c r="HRE40" s="471"/>
      <c r="HRF40" s="471"/>
      <c r="HRG40" s="471"/>
      <c r="HRH40" s="471"/>
      <c r="HRI40" s="471"/>
      <c r="HRJ40" s="471"/>
      <c r="HRK40" s="471"/>
      <c r="HRL40" s="471"/>
      <c r="HRM40" s="471"/>
      <c r="HRN40" s="471"/>
      <c r="HRO40" s="471"/>
      <c r="HRP40" s="471"/>
      <c r="HRQ40" s="471"/>
      <c r="HRR40" s="471"/>
      <c r="HRS40" s="471"/>
      <c r="HRT40" s="471"/>
      <c r="HRU40" s="471"/>
      <c r="HRV40" s="471"/>
      <c r="HRW40" s="471"/>
      <c r="HRX40" s="471"/>
      <c r="HRY40" s="471"/>
      <c r="HRZ40" s="471"/>
      <c r="HSA40" s="471"/>
      <c r="HSB40" s="471"/>
      <c r="HSC40" s="471"/>
      <c r="HSD40" s="471"/>
      <c r="HSE40" s="471"/>
      <c r="HSF40" s="471"/>
      <c r="HSG40" s="471"/>
      <c r="HSH40" s="471"/>
      <c r="HSI40" s="471"/>
      <c r="HSJ40" s="471"/>
      <c r="HSK40" s="471"/>
      <c r="HSL40" s="471"/>
      <c r="HSM40" s="471"/>
      <c r="HSN40" s="471"/>
      <c r="HSO40" s="471"/>
      <c r="HSP40" s="471"/>
      <c r="HSQ40" s="471"/>
      <c r="HSR40" s="471"/>
      <c r="HSS40" s="471"/>
      <c r="HST40" s="471"/>
      <c r="HSU40" s="471"/>
      <c r="HSV40" s="471"/>
      <c r="HSW40" s="471"/>
      <c r="HSX40" s="471"/>
      <c r="HSY40" s="471"/>
      <c r="HSZ40" s="471"/>
      <c r="HTA40" s="471"/>
      <c r="HTB40" s="471"/>
      <c r="HTC40" s="471"/>
      <c r="HTD40" s="471"/>
      <c r="HTE40" s="471"/>
      <c r="HTF40" s="471"/>
      <c r="HTG40" s="471"/>
      <c r="HTH40" s="471"/>
      <c r="HTI40" s="471"/>
      <c r="HTJ40" s="471"/>
      <c r="HTK40" s="471"/>
      <c r="HTL40" s="471"/>
      <c r="HTM40" s="471"/>
      <c r="HTN40" s="471"/>
      <c r="HTO40" s="471"/>
      <c r="HTP40" s="471"/>
      <c r="HTQ40" s="471"/>
      <c r="HTR40" s="471"/>
      <c r="HTS40" s="471"/>
      <c r="HTT40" s="471"/>
      <c r="HTU40" s="471"/>
      <c r="HTV40" s="471"/>
      <c r="HTW40" s="471"/>
      <c r="HTX40" s="471"/>
      <c r="HTY40" s="471"/>
      <c r="HTZ40" s="471"/>
      <c r="HUA40" s="471"/>
      <c r="HUB40" s="471"/>
      <c r="HUC40" s="471"/>
      <c r="HUD40" s="471"/>
      <c r="HUE40" s="471"/>
      <c r="HUF40" s="471"/>
      <c r="HUG40" s="471"/>
      <c r="HUH40" s="471"/>
      <c r="HUI40" s="471"/>
      <c r="HUJ40" s="471"/>
      <c r="HUK40" s="471"/>
      <c r="HUL40" s="471"/>
      <c r="HUM40" s="471"/>
      <c r="HUN40" s="471"/>
      <c r="HUO40" s="471"/>
      <c r="HUP40" s="471"/>
      <c r="HUQ40" s="471"/>
      <c r="HUR40" s="471"/>
      <c r="HUS40" s="471"/>
      <c r="HUT40" s="471"/>
      <c r="HUU40" s="471"/>
      <c r="HUV40" s="471"/>
      <c r="HUW40" s="471"/>
      <c r="HUX40" s="471"/>
      <c r="HUY40" s="471"/>
      <c r="HUZ40" s="471"/>
      <c r="HVA40" s="471"/>
      <c r="HVB40" s="471"/>
      <c r="HVC40" s="471"/>
      <c r="HVD40" s="471"/>
      <c r="HVE40" s="471"/>
      <c r="HVF40" s="471"/>
      <c r="HVG40" s="471"/>
      <c r="HVH40" s="471"/>
      <c r="HVI40" s="471"/>
      <c r="HVJ40" s="471"/>
      <c r="HVK40" s="471"/>
      <c r="HVL40" s="471"/>
      <c r="HVM40" s="471"/>
      <c r="HVN40" s="471"/>
      <c r="HVO40" s="471"/>
      <c r="HVP40" s="471"/>
      <c r="HVQ40" s="471"/>
      <c r="HVR40" s="471"/>
      <c r="HVS40" s="471"/>
      <c r="HVT40" s="471"/>
      <c r="HVU40" s="471"/>
      <c r="HVV40" s="471"/>
      <c r="HVW40" s="471"/>
      <c r="HVX40" s="471"/>
      <c r="HVY40" s="471"/>
      <c r="HVZ40" s="471"/>
      <c r="HWA40" s="471"/>
      <c r="HWB40" s="471"/>
      <c r="HWC40" s="471"/>
      <c r="HWD40" s="471"/>
      <c r="HWE40" s="471"/>
      <c r="HWF40" s="471"/>
      <c r="HWG40" s="471"/>
      <c r="HWH40" s="471"/>
      <c r="HWI40" s="471"/>
      <c r="HWJ40" s="471"/>
      <c r="HWK40" s="471"/>
      <c r="HWL40" s="471"/>
      <c r="HWM40" s="471"/>
      <c r="HWN40" s="471"/>
      <c r="HWO40" s="471"/>
      <c r="HWP40" s="471"/>
      <c r="HWQ40" s="471"/>
      <c r="HWR40" s="471"/>
      <c r="HWS40" s="471"/>
      <c r="HWT40" s="471"/>
      <c r="HWU40" s="471"/>
      <c r="HWV40" s="471"/>
      <c r="HWW40" s="471"/>
      <c r="HWX40" s="471"/>
      <c r="HWY40" s="471"/>
      <c r="HWZ40" s="471"/>
      <c r="HXA40" s="471"/>
      <c r="HXB40" s="471"/>
      <c r="HXC40" s="471"/>
      <c r="HXD40" s="471"/>
      <c r="HXE40" s="471"/>
      <c r="HXF40" s="471"/>
      <c r="HXG40" s="471"/>
      <c r="HXH40" s="471"/>
      <c r="HXI40" s="471"/>
      <c r="HXJ40" s="471"/>
      <c r="HXK40" s="471"/>
      <c r="HXL40" s="471"/>
      <c r="HXM40" s="471"/>
      <c r="HXN40" s="471"/>
      <c r="HXO40" s="471"/>
      <c r="HXP40" s="471"/>
      <c r="HXQ40" s="471"/>
      <c r="HXR40" s="471"/>
      <c r="HXS40" s="471"/>
      <c r="HXT40" s="471"/>
      <c r="HXU40" s="471"/>
      <c r="HXV40" s="471"/>
      <c r="HXW40" s="471"/>
      <c r="HXX40" s="471"/>
      <c r="HXY40" s="471"/>
      <c r="HXZ40" s="471"/>
      <c r="HYA40" s="471"/>
      <c r="HYB40" s="471"/>
      <c r="HYC40" s="471"/>
      <c r="HYD40" s="471"/>
      <c r="HYE40" s="471"/>
      <c r="HYF40" s="471"/>
      <c r="HYG40" s="471"/>
      <c r="HYH40" s="471"/>
      <c r="HYI40" s="471"/>
      <c r="HYJ40" s="471"/>
      <c r="HYK40" s="471"/>
      <c r="HYL40" s="471"/>
      <c r="HYM40" s="471"/>
      <c r="HYN40" s="471"/>
      <c r="HYO40" s="471"/>
      <c r="HYP40" s="471"/>
      <c r="HYQ40" s="471"/>
      <c r="HYR40" s="471"/>
      <c r="HYS40" s="471"/>
      <c r="HYT40" s="471"/>
      <c r="HYU40" s="471"/>
      <c r="HYV40" s="471"/>
      <c r="HYW40" s="471"/>
      <c r="HYX40" s="471"/>
      <c r="HYY40" s="471"/>
      <c r="HYZ40" s="471"/>
      <c r="HZA40" s="471"/>
      <c r="HZB40" s="471"/>
      <c r="HZC40" s="471"/>
      <c r="HZD40" s="471"/>
      <c r="HZE40" s="471"/>
      <c r="HZF40" s="471"/>
      <c r="HZG40" s="471"/>
      <c r="HZH40" s="471"/>
      <c r="HZI40" s="471"/>
      <c r="HZJ40" s="471"/>
      <c r="HZK40" s="471"/>
      <c r="HZL40" s="471"/>
      <c r="HZM40" s="471"/>
      <c r="HZN40" s="471"/>
      <c r="HZO40" s="471"/>
      <c r="HZP40" s="471"/>
      <c r="HZQ40" s="471"/>
      <c r="HZR40" s="471"/>
      <c r="HZS40" s="471"/>
      <c r="HZT40" s="471"/>
      <c r="HZU40" s="471"/>
      <c r="HZV40" s="471"/>
      <c r="HZW40" s="471"/>
      <c r="HZX40" s="471"/>
      <c r="HZY40" s="471"/>
      <c r="HZZ40" s="471"/>
      <c r="IAA40" s="471"/>
      <c r="IAB40" s="471"/>
      <c r="IAC40" s="471"/>
      <c r="IAD40" s="471"/>
      <c r="IAE40" s="471"/>
      <c r="IAF40" s="471"/>
      <c r="IAG40" s="471"/>
      <c r="IAH40" s="471"/>
      <c r="IAI40" s="471"/>
      <c r="IAJ40" s="471"/>
      <c r="IAK40" s="471"/>
      <c r="IAL40" s="471"/>
      <c r="IAM40" s="471"/>
      <c r="IAN40" s="471"/>
      <c r="IAO40" s="471"/>
      <c r="IAP40" s="471"/>
      <c r="IAQ40" s="471"/>
      <c r="IAR40" s="471"/>
      <c r="IAS40" s="471"/>
      <c r="IAT40" s="471"/>
      <c r="IAU40" s="471"/>
      <c r="IAV40" s="471"/>
      <c r="IAW40" s="471"/>
      <c r="IAX40" s="471"/>
      <c r="IAY40" s="471"/>
      <c r="IAZ40" s="471"/>
      <c r="IBA40" s="471"/>
      <c r="IBB40" s="471"/>
      <c r="IBC40" s="471"/>
      <c r="IBD40" s="471"/>
      <c r="IBE40" s="471"/>
      <c r="IBF40" s="471"/>
      <c r="IBG40" s="471"/>
      <c r="IBH40" s="471"/>
      <c r="IBI40" s="471"/>
      <c r="IBJ40" s="471"/>
      <c r="IBK40" s="471"/>
      <c r="IBL40" s="471"/>
      <c r="IBM40" s="471"/>
      <c r="IBN40" s="471"/>
      <c r="IBO40" s="471"/>
      <c r="IBP40" s="471"/>
      <c r="IBQ40" s="471"/>
      <c r="IBR40" s="471"/>
      <c r="IBS40" s="471"/>
      <c r="IBT40" s="471"/>
      <c r="IBU40" s="471"/>
      <c r="IBV40" s="471"/>
      <c r="IBW40" s="471"/>
      <c r="IBX40" s="471"/>
      <c r="IBY40" s="471"/>
      <c r="IBZ40" s="471"/>
      <c r="ICA40" s="471"/>
      <c r="ICB40" s="471"/>
      <c r="ICC40" s="471"/>
      <c r="ICD40" s="471"/>
      <c r="ICE40" s="471"/>
      <c r="ICF40" s="471"/>
      <c r="ICG40" s="471"/>
      <c r="ICH40" s="471"/>
      <c r="ICI40" s="471"/>
      <c r="ICJ40" s="471"/>
      <c r="ICK40" s="471"/>
      <c r="ICL40" s="471"/>
      <c r="ICM40" s="471"/>
      <c r="ICN40" s="471"/>
      <c r="ICO40" s="471"/>
      <c r="ICP40" s="471"/>
      <c r="ICQ40" s="471"/>
      <c r="ICR40" s="471"/>
      <c r="ICS40" s="471"/>
      <c r="ICT40" s="471"/>
      <c r="ICU40" s="471"/>
      <c r="ICV40" s="471"/>
      <c r="ICW40" s="471"/>
      <c r="ICX40" s="471"/>
      <c r="ICY40" s="471"/>
      <c r="ICZ40" s="471"/>
      <c r="IDA40" s="471"/>
      <c r="IDB40" s="471"/>
      <c r="IDC40" s="471"/>
      <c r="IDD40" s="471"/>
      <c r="IDE40" s="471"/>
      <c r="IDF40" s="471"/>
      <c r="IDG40" s="471"/>
      <c r="IDH40" s="471"/>
      <c r="IDI40" s="471"/>
      <c r="IDJ40" s="471"/>
      <c r="IDK40" s="471"/>
      <c r="IDL40" s="471"/>
      <c r="IDM40" s="471"/>
      <c r="IDN40" s="471"/>
      <c r="IDO40" s="471"/>
      <c r="IDP40" s="471"/>
      <c r="IDQ40" s="471"/>
      <c r="IDR40" s="471"/>
      <c r="IDS40" s="471"/>
      <c r="IDT40" s="471"/>
      <c r="IDU40" s="471"/>
      <c r="IDV40" s="471"/>
      <c r="IDW40" s="471"/>
      <c r="IDX40" s="471"/>
      <c r="IDY40" s="471"/>
      <c r="IDZ40" s="471"/>
      <c r="IEA40" s="471"/>
      <c r="IEB40" s="471"/>
      <c r="IEC40" s="471"/>
      <c r="IED40" s="471"/>
      <c r="IEE40" s="471"/>
      <c r="IEF40" s="471"/>
      <c r="IEG40" s="471"/>
      <c r="IEH40" s="471"/>
      <c r="IEI40" s="471"/>
      <c r="IEJ40" s="471"/>
      <c r="IEK40" s="471"/>
      <c r="IEL40" s="471"/>
      <c r="IEM40" s="471"/>
      <c r="IEN40" s="471"/>
      <c r="IEO40" s="471"/>
      <c r="IEP40" s="471"/>
      <c r="IEQ40" s="471"/>
      <c r="IER40" s="471"/>
      <c r="IES40" s="471"/>
      <c r="IET40" s="471"/>
      <c r="IEU40" s="471"/>
      <c r="IEV40" s="471"/>
      <c r="IEW40" s="471"/>
      <c r="IEX40" s="471"/>
      <c r="IEY40" s="471"/>
      <c r="IEZ40" s="471"/>
      <c r="IFA40" s="471"/>
      <c r="IFB40" s="471"/>
      <c r="IFC40" s="471"/>
      <c r="IFD40" s="471"/>
      <c r="IFE40" s="471"/>
      <c r="IFF40" s="471"/>
      <c r="IFG40" s="471"/>
      <c r="IFH40" s="471"/>
      <c r="IFI40" s="471"/>
      <c r="IFJ40" s="471"/>
      <c r="IFK40" s="471"/>
      <c r="IFL40" s="471"/>
      <c r="IFM40" s="471"/>
      <c r="IFN40" s="471"/>
      <c r="IFO40" s="471"/>
      <c r="IFP40" s="471"/>
      <c r="IFQ40" s="471"/>
      <c r="IFR40" s="471"/>
      <c r="IFS40" s="471"/>
      <c r="IFT40" s="471"/>
      <c r="IFU40" s="471"/>
      <c r="IFV40" s="471"/>
      <c r="IFW40" s="471"/>
      <c r="IFX40" s="471"/>
      <c r="IFY40" s="471"/>
      <c r="IFZ40" s="471"/>
      <c r="IGA40" s="471"/>
      <c r="IGB40" s="471"/>
      <c r="IGC40" s="471"/>
      <c r="IGD40" s="471"/>
      <c r="IGE40" s="471"/>
      <c r="IGF40" s="471"/>
      <c r="IGG40" s="471"/>
      <c r="IGH40" s="471"/>
      <c r="IGI40" s="471"/>
      <c r="IGJ40" s="471"/>
      <c r="IGK40" s="471"/>
      <c r="IGL40" s="471"/>
      <c r="IGM40" s="471"/>
      <c r="IGN40" s="471"/>
      <c r="IGO40" s="471"/>
      <c r="IGP40" s="471"/>
      <c r="IGQ40" s="471"/>
      <c r="IGR40" s="471"/>
      <c r="IGS40" s="471"/>
      <c r="IGT40" s="471"/>
      <c r="IGU40" s="471"/>
      <c r="IGV40" s="471"/>
      <c r="IGW40" s="471"/>
      <c r="IGX40" s="471"/>
      <c r="IGY40" s="471"/>
      <c r="IGZ40" s="471"/>
      <c r="IHA40" s="471"/>
      <c r="IHB40" s="471"/>
      <c r="IHC40" s="471"/>
      <c r="IHD40" s="471"/>
      <c r="IHE40" s="471"/>
      <c r="IHF40" s="471"/>
      <c r="IHG40" s="471"/>
      <c r="IHH40" s="471"/>
      <c r="IHI40" s="471"/>
      <c r="IHJ40" s="471"/>
      <c r="IHK40" s="471"/>
      <c r="IHL40" s="471"/>
      <c r="IHM40" s="471"/>
      <c r="IHN40" s="471"/>
      <c r="IHO40" s="471"/>
      <c r="IHP40" s="471"/>
      <c r="IHQ40" s="471"/>
      <c r="IHR40" s="471"/>
      <c r="IHS40" s="471"/>
      <c r="IHT40" s="471"/>
      <c r="IHU40" s="471"/>
      <c r="IHV40" s="471"/>
      <c r="IHW40" s="471"/>
      <c r="IHX40" s="471"/>
      <c r="IHY40" s="471"/>
      <c r="IHZ40" s="471"/>
      <c r="IIA40" s="471"/>
      <c r="IIB40" s="471"/>
      <c r="IIC40" s="471"/>
      <c r="IID40" s="471"/>
      <c r="IIE40" s="471"/>
      <c r="IIF40" s="471"/>
      <c r="IIG40" s="471"/>
      <c r="IIH40" s="471"/>
      <c r="III40" s="471"/>
      <c r="IIJ40" s="471"/>
      <c r="IIK40" s="471"/>
      <c r="IIL40" s="471"/>
      <c r="IIM40" s="471"/>
      <c r="IIN40" s="471"/>
      <c r="IIO40" s="471"/>
      <c r="IIP40" s="471"/>
      <c r="IIQ40" s="471"/>
      <c r="IIR40" s="471"/>
      <c r="IIS40" s="471"/>
      <c r="IIT40" s="471"/>
      <c r="IIU40" s="471"/>
      <c r="IIV40" s="471"/>
      <c r="IIW40" s="471"/>
      <c r="IIX40" s="471"/>
      <c r="IIY40" s="471"/>
      <c r="IIZ40" s="471"/>
      <c r="IJA40" s="471"/>
      <c r="IJB40" s="471"/>
      <c r="IJC40" s="471"/>
      <c r="IJD40" s="471"/>
      <c r="IJE40" s="471"/>
      <c r="IJF40" s="471"/>
      <c r="IJG40" s="471"/>
      <c r="IJH40" s="471"/>
      <c r="IJI40" s="471"/>
      <c r="IJJ40" s="471"/>
      <c r="IJK40" s="471"/>
      <c r="IJL40" s="471"/>
      <c r="IJM40" s="471"/>
      <c r="IJN40" s="471"/>
      <c r="IJO40" s="471"/>
      <c r="IJP40" s="471"/>
      <c r="IJQ40" s="471"/>
      <c r="IJR40" s="471"/>
      <c r="IJS40" s="471"/>
      <c r="IJT40" s="471"/>
      <c r="IJU40" s="471"/>
      <c r="IJV40" s="471"/>
      <c r="IJW40" s="471"/>
      <c r="IJX40" s="471"/>
      <c r="IJY40" s="471"/>
      <c r="IJZ40" s="471"/>
      <c r="IKA40" s="471"/>
      <c r="IKB40" s="471"/>
      <c r="IKC40" s="471"/>
      <c r="IKD40" s="471"/>
      <c r="IKE40" s="471"/>
      <c r="IKF40" s="471"/>
      <c r="IKG40" s="471"/>
      <c r="IKH40" s="471"/>
      <c r="IKI40" s="471"/>
      <c r="IKJ40" s="471"/>
      <c r="IKK40" s="471"/>
      <c r="IKL40" s="471"/>
      <c r="IKM40" s="471"/>
      <c r="IKN40" s="471"/>
      <c r="IKO40" s="471"/>
      <c r="IKP40" s="471"/>
      <c r="IKQ40" s="471"/>
      <c r="IKR40" s="471"/>
      <c r="IKS40" s="471"/>
      <c r="IKT40" s="471"/>
      <c r="IKU40" s="471"/>
      <c r="IKV40" s="471"/>
      <c r="IKW40" s="471"/>
      <c r="IKX40" s="471"/>
      <c r="IKY40" s="471"/>
      <c r="IKZ40" s="471"/>
      <c r="ILA40" s="471"/>
      <c r="ILB40" s="471"/>
      <c r="ILC40" s="471"/>
      <c r="ILD40" s="471"/>
      <c r="ILE40" s="471"/>
      <c r="ILF40" s="471"/>
      <c r="ILG40" s="471"/>
      <c r="ILH40" s="471"/>
      <c r="ILI40" s="471"/>
      <c r="ILJ40" s="471"/>
      <c r="ILK40" s="471"/>
      <c r="ILL40" s="471"/>
      <c r="ILM40" s="471"/>
      <c r="ILN40" s="471"/>
      <c r="ILO40" s="471"/>
      <c r="ILP40" s="471"/>
      <c r="ILQ40" s="471"/>
      <c r="ILR40" s="471"/>
      <c r="ILS40" s="471"/>
      <c r="ILT40" s="471"/>
      <c r="ILU40" s="471"/>
      <c r="ILV40" s="471"/>
      <c r="ILW40" s="471"/>
      <c r="ILX40" s="471"/>
      <c r="ILY40" s="471"/>
      <c r="ILZ40" s="471"/>
      <c r="IMA40" s="471"/>
      <c r="IMB40" s="471"/>
      <c r="IMC40" s="471"/>
      <c r="IMD40" s="471"/>
      <c r="IME40" s="471"/>
      <c r="IMF40" s="471"/>
      <c r="IMG40" s="471"/>
      <c r="IMH40" s="471"/>
      <c r="IMI40" s="471"/>
      <c r="IMJ40" s="471"/>
      <c r="IMK40" s="471"/>
      <c r="IML40" s="471"/>
      <c r="IMM40" s="471"/>
      <c r="IMN40" s="471"/>
      <c r="IMO40" s="471"/>
      <c r="IMP40" s="471"/>
      <c r="IMQ40" s="471"/>
      <c r="IMR40" s="471"/>
      <c r="IMS40" s="471"/>
      <c r="IMT40" s="471"/>
      <c r="IMU40" s="471"/>
      <c r="IMV40" s="471"/>
      <c r="IMW40" s="471"/>
      <c r="IMX40" s="471"/>
      <c r="IMY40" s="471"/>
      <c r="IMZ40" s="471"/>
      <c r="INA40" s="471"/>
      <c r="INB40" s="471"/>
      <c r="INC40" s="471"/>
      <c r="IND40" s="471"/>
      <c r="INE40" s="471"/>
      <c r="INF40" s="471"/>
      <c r="ING40" s="471"/>
      <c r="INH40" s="471"/>
      <c r="INI40" s="471"/>
      <c r="INJ40" s="471"/>
      <c r="INK40" s="471"/>
      <c r="INL40" s="471"/>
      <c r="INM40" s="471"/>
      <c r="INN40" s="471"/>
      <c r="INO40" s="471"/>
      <c r="INP40" s="471"/>
      <c r="INQ40" s="471"/>
      <c r="INR40" s="471"/>
      <c r="INS40" s="471"/>
      <c r="INT40" s="471"/>
      <c r="INU40" s="471"/>
      <c r="INV40" s="471"/>
      <c r="INW40" s="471"/>
      <c r="INX40" s="471"/>
      <c r="INY40" s="471"/>
      <c r="INZ40" s="471"/>
      <c r="IOA40" s="471"/>
      <c r="IOB40" s="471"/>
      <c r="IOC40" s="471"/>
      <c r="IOD40" s="471"/>
      <c r="IOE40" s="471"/>
      <c r="IOF40" s="471"/>
      <c r="IOG40" s="471"/>
      <c r="IOH40" s="471"/>
      <c r="IOI40" s="471"/>
      <c r="IOJ40" s="471"/>
      <c r="IOK40" s="471"/>
      <c r="IOL40" s="471"/>
      <c r="IOM40" s="471"/>
      <c r="ION40" s="471"/>
      <c r="IOO40" s="471"/>
      <c r="IOP40" s="471"/>
      <c r="IOQ40" s="471"/>
      <c r="IOR40" s="471"/>
      <c r="IOS40" s="471"/>
      <c r="IOT40" s="471"/>
      <c r="IOU40" s="471"/>
      <c r="IOV40" s="471"/>
      <c r="IOW40" s="471"/>
      <c r="IOX40" s="471"/>
      <c r="IOY40" s="471"/>
      <c r="IOZ40" s="471"/>
      <c r="IPA40" s="471"/>
      <c r="IPB40" s="471"/>
      <c r="IPC40" s="471"/>
      <c r="IPD40" s="471"/>
      <c r="IPE40" s="471"/>
      <c r="IPF40" s="471"/>
      <c r="IPG40" s="471"/>
      <c r="IPH40" s="471"/>
      <c r="IPI40" s="471"/>
      <c r="IPJ40" s="471"/>
      <c r="IPK40" s="471"/>
      <c r="IPL40" s="471"/>
      <c r="IPM40" s="471"/>
      <c r="IPN40" s="471"/>
      <c r="IPO40" s="471"/>
      <c r="IPP40" s="471"/>
      <c r="IPQ40" s="471"/>
      <c r="IPR40" s="471"/>
      <c r="IPS40" s="471"/>
      <c r="IPT40" s="471"/>
      <c r="IPU40" s="471"/>
      <c r="IPV40" s="471"/>
      <c r="IPW40" s="471"/>
      <c r="IPX40" s="471"/>
      <c r="IPY40" s="471"/>
      <c r="IPZ40" s="471"/>
      <c r="IQA40" s="471"/>
      <c r="IQB40" s="471"/>
      <c r="IQC40" s="471"/>
      <c r="IQD40" s="471"/>
      <c r="IQE40" s="471"/>
      <c r="IQF40" s="471"/>
      <c r="IQG40" s="471"/>
      <c r="IQH40" s="471"/>
      <c r="IQI40" s="471"/>
      <c r="IQJ40" s="471"/>
      <c r="IQK40" s="471"/>
      <c r="IQL40" s="471"/>
      <c r="IQM40" s="471"/>
      <c r="IQN40" s="471"/>
      <c r="IQO40" s="471"/>
      <c r="IQP40" s="471"/>
      <c r="IQQ40" s="471"/>
      <c r="IQR40" s="471"/>
      <c r="IQS40" s="471"/>
      <c r="IQT40" s="471"/>
      <c r="IQU40" s="471"/>
      <c r="IQV40" s="471"/>
      <c r="IQW40" s="471"/>
      <c r="IQX40" s="471"/>
      <c r="IQY40" s="471"/>
      <c r="IQZ40" s="471"/>
      <c r="IRA40" s="471"/>
      <c r="IRB40" s="471"/>
      <c r="IRC40" s="471"/>
      <c r="IRD40" s="471"/>
      <c r="IRE40" s="471"/>
      <c r="IRF40" s="471"/>
      <c r="IRG40" s="471"/>
      <c r="IRH40" s="471"/>
      <c r="IRI40" s="471"/>
      <c r="IRJ40" s="471"/>
      <c r="IRK40" s="471"/>
      <c r="IRL40" s="471"/>
      <c r="IRM40" s="471"/>
      <c r="IRN40" s="471"/>
      <c r="IRO40" s="471"/>
      <c r="IRP40" s="471"/>
      <c r="IRQ40" s="471"/>
      <c r="IRR40" s="471"/>
      <c r="IRS40" s="471"/>
      <c r="IRT40" s="471"/>
      <c r="IRU40" s="471"/>
      <c r="IRV40" s="471"/>
      <c r="IRW40" s="471"/>
      <c r="IRX40" s="471"/>
      <c r="IRY40" s="471"/>
      <c r="IRZ40" s="471"/>
      <c r="ISA40" s="471"/>
      <c r="ISB40" s="471"/>
      <c r="ISC40" s="471"/>
      <c r="ISD40" s="471"/>
      <c r="ISE40" s="471"/>
      <c r="ISF40" s="471"/>
      <c r="ISG40" s="471"/>
      <c r="ISH40" s="471"/>
      <c r="ISI40" s="471"/>
      <c r="ISJ40" s="471"/>
      <c r="ISK40" s="471"/>
      <c r="ISL40" s="471"/>
      <c r="ISM40" s="471"/>
      <c r="ISN40" s="471"/>
      <c r="ISO40" s="471"/>
      <c r="ISP40" s="471"/>
      <c r="ISQ40" s="471"/>
      <c r="ISR40" s="471"/>
      <c r="ISS40" s="471"/>
      <c r="IST40" s="471"/>
      <c r="ISU40" s="471"/>
      <c r="ISV40" s="471"/>
      <c r="ISW40" s="471"/>
      <c r="ISX40" s="471"/>
      <c r="ISY40" s="471"/>
      <c r="ISZ40" s="471"/>
      <c r="ITA40" s="471"/>
      <c r="ITB40" s="471"/>
      <c r="ITC40" s="471"/>
      <c r="ITD40" s="471"/>
      <c r="ITE40" s="471"/>
      <c r="ITF40" s="471"/>
      <c r="ITG40" s="471"/>
      <c r="ITH40" s="471"/>
      <c r="ITI40" s="471"/>
      <c r="ITJ40" s="471"/>
      <c r="ITK40" s="471"/>
      <c r="ITL40" s="471"/>
      <c r="ITM40" s="471"/>
      <c r="ITN40" s="471"/>
      <c r="ITO40" s="471"/>
      <c r="ITP40" s="471"/>
      <c r="ITQ40" s="471"/>
      <c r="ITR40" s="471"/>
      <c r="ITS40" s="471"/>
      <c r="ITT40" s="471"/>
      <c r="ITU40" s="471"/>
      <c r="ITV40" s="471"/>
      <c r="ITW40" s="471"/>
      <c r="ITX40" s="471"/>
      <c r="ITY40" s="471"/>
      <c r="ITZ40" s="471"/>
      <c r="IUA40" s="471"/>
      <c r="IUB40" s="471"/>
      <c r="IUC40" s="471"/>
      <c r="IUD40" s="471"/>
      <c r="IUE40" s="471"/>
      <c r="IUF40" s="471"/>
      <c r="IUG40" s="471"/>
      <c r="IUH40" s="471"/>
      <c r="IUI40" s="471"/>
      <c r="IUJ40" s="471"/>
      <c r="IUK40" s="471"/>
      <c r="IUL40" s="471"/>
      <c r="IUM40" s="471"/>
      <c r="IUN40" s="471"/>
      <c r="IUO40" s="471"/>
      <c r="IUP40" s="471"/>
      <c r="IUQ40" s="471"/>
      <c r="IUR40" s="471"/>
      <c r="IUS40" s="471"/>
      <c r="IUT40" s="471"/>
      <c r="IUU40" s="471"/>
      <c r="IUV40" s="471"/>
      <c r="IUW40" s="471"/>
      <c r="IUX40" s="471"/>
      <c r="IUY40" s="471"/>
      <c r="IUZ40" s="471"/>
      <c r="IVA40" s="471"/>
      <c r="IVB40" s="471"/>
      <c r="IVC40" s="471"/>
      <c r="IVD40" s="471"/>
      <c r="IVE40" s="471"/>
      <c r="IVF40" s="471"/>
      <c r="IVG40" s="471"/>
      <c r="IVH40" s="471"/>
      <c r="IVI40" s="471"/>
      <c r="IVJ40" s="471"/>
      <c r="IVK40" s="471"/>
      <c r="IVL40" s="471"/>
      <c r="IVM40" s="471"/>
      <c r="IVN40" s="471"/>
      <c r="IVO40" s="471"/>
      <c r="IVP40" s="471"/>
      <c r="IVQ40" s="471"/>
      <c r="IVR40" s="471"/>
      <c r="IVS40" s="471"/>
      <c r="IVT40" s="471"/>
      <c r="IVU40" s="471"/>
      <c r="IVV40" s="471"/>
      <c r="IVW40" s="471"/>
      <c r="IVX40" s="471"/>
      <c r="IVY40" s="471"/>
      <c r="IVZ40" s="471"/>
      <c r="IWA40" s="471"/>
      <c r="IWB40" s="471"/>
      <c r="IWC40" s="471"/>
      <c r="IWD40" s="471"/>
      <c r="IWE40" s="471"/>
      <c r="IWF40" s="471"/>
      <c r="IWG40" s="471"/>
      <c r="IWH40" s="471"/>
      <c r="IWI40" s="471"/>
      <c r="IWJ40" s="471"/>
      <c r="IWK40" s="471"/>
      <c r="IWL40" s="471"/>
      <c r="IWM40" s="471"/>
      <c r="IWN40" s="471"/>
      <c r="IWO40" s="471"/>
      <c r="IWP40" s="471"/>
      <c r="IWQ40" s="471"/>
      <c r="IWR40" s="471"/>
      <c r="IWS40" s="471"/>
      <c r="IWT40" s="471"/>
      <c r="IWU40" s="471"/>
      <c r="IWV40" s="471"/>
      <c r="IWW40" s="471"/>
      <c r="IWX40" s="471"/>
      <c r="IWY40" s="471"/>
      <c r="IWZ40" s="471"/>
      <c r="IXA40" s="471"/>
      <c r="IXB40" s="471"/>
      <c r="IXC40" s="471"/>
      <c r="IXD40" s="471"/>
      <c r="IXE40" s="471"/>
      <c r="IXF40" s="471"/>
      <c r="IXG40" s="471"/>
      <c r="IXH40" s="471"/>
      <c r="IXI40" s="471"/>
      <c r="IXJ40" s="471"/>
      <c r="IXK40" s="471"/>
      <c r="IXL40" s="471"/>
      <c r="IXM40" s="471"/>
      <c r="IXN40" s="471"/>
      <c r="IXO40" s="471"/>
      <c r="IXP40" s="471"/>
      <c r="IXQ40" s="471"/>
      <c r="IXR40" s="471"/>
      <c r="IXS40" s="471"/>
      <c r="IXT40" s="471"/>
      <c r="IXU40" s="471"/>
      <c r="IXV40" s="471"/>
      <c r="IXW40" s="471"/>
      <c r="IXX40" s="471"/>
      <c r="IXY40" s="471"/>
      <c r="IXZ40" s="471"/>
      <c r="IYA40" s="471"/>
      <c r="IYB40" s="471"/>
      <c r="IYC40" s="471"/>
      <c r="IYD40" s="471"/>
      <c r="IYE40" s="471"/>
      <c r="IYF40" s="471"/>
      <c r="IYG40" s="471"/>
      <c r="IYH40" s="471"/>
      <c r="IYI40" s="471"/>
      <c r="IYJ40" s="471"/>
      <c r="IYK40" s="471"/>
      <c r="IYL40" s="471"/>
      <c r="IYM40" s="471"/>
      <c r="IYN40" s="471"/>
      <c r="IYO40" s="471"/>
      <c r="IYP40" s="471"/>
      <c r="IYQ40" s="471"/>
      <c r="IYR40" s="471"/>
      <c r="IYS40" s="471"/>
      <c r="IYT40" s="471"/>
      <c r="IYU40" s="471"/>
      <c r="IYV40" s="471"/>
      <c r="IYW40" s="471"/>
      <c r="IYX40" s="471"/>
      <c r="IYY40" s="471"/>
      <c r="IYZ40" s="471"/>
      <c r="IZA40" s="471"/>
      <c r="IZB40" s="471"/>
      <c r="IZC40" s="471"/>
      <c r="IZD40" s="471"/>
      <c r="IZE40" s="471"/>
      <c r="IZF40" s="471"/>
      <c r="IZG40" s="471"/>
      <c r="IZH40" s="471"/>
      <c r="IZI40" s="471"/>
      <c r="IZJ40" s="471"/>
      <c r="IZK40" s="471"/>
      <c r="IZL40" s="471"/>
      <c r="IZM40" s="471"/>
      <c r="IZN40" s="471"/>
      <c r="IZO40" s="471"/>
      <c r="IZP40" s="471"/>
      <c r="IZQ40" s="471"/>
      <c r="IZR40" s="471"/>
      <c r="IZS40" s="471"/>
      <c r="IZT40" s="471"/>
      <c r="IZU40" s="471"/>
      <c r="IZV40" s="471"/>
      <c r="IZW40" s="471"/>
      <c r="IZX40" s="471"/>
      <c r="IZY40" s="471"/>
      <c r="IZZ40" s="471"/>
      <c r="JAA40" s="471"/>
      <c r="JAB40" s="471"/>
      <c r="JAC40" s="471"/>
      <c r="JAD40" s="471"/>
      <c r="JAE40" s="471"/>
      <c r="JAF40" s="471"/>
      <c r="JAG40" s="471"/>
      <c r="JAH40" s="471"/>
      <c r="JAI40" s="471"/>
      <c r="JAJ40" s="471"/>
      <c r="JAK40" s="471"/>
      <c r="JAL40" s="471"/>
      <c r="JAM40" s="471"/>
      <c r="JAN40" s="471"/>
      <c r="JAO40" s="471"/>
      <c r="JAP40" s="471"/>
      <c r="JAQ40" s="471"/>
      <c r="JAR40" s="471"/>
      <c r="JAS40" s="471"/>
      <c r="JAT40" s="471"/>
      <c r="JAU40" s="471"/>
      <c r="JAV40" s="471"/>
      <c r="JAW40" s="471"/>
      <c r="JAX40" s="471"/>
      <c r="JAY40" s="471"/>
      <c r="JAZ40" s="471"/>
      <c r="JBA40" s="471"/>
      <c r="JBB40" s="471"/>
      <c r="JBC40" s="471"/>
      <c r="JBD40" s="471"/>
      <c r="JBE40" s="471"/>
      <c r="JBF40" s="471"/>
      <c r="JBG40" s="471"/>
      <c r="JBH40" s="471"/>
      <c r="JBI40" s="471"/>
      <c r="JBJ40" s="471"/>
      <c r="JBK40" s="471"/>
      <c r="JBL40" s="471"/>
      <c r="JBM40" s="471"/>
      <c r="JBN40" s="471"/>
      <c r="JBO40" s="471"/>
      <c r="JBP40" s="471"/>
      <c r="JBQ40" s="471"/>
      <c r="JBR40" s="471"/>
      <c r="JBS40" s="471"/>
      <c r="JBT40" s="471"/>
      <c r="JBU40" s="471"/>
      <c r="JBV40" s="471"/>
      <c r="JBW40" s="471"/>
      <c r="JBX40" s="471"/>
      <c r="JBY40" s="471"/>
      <c r="JBZ40" s="471"/>
      <c r="JCA40" s="471"/>
      <c r="JCB40" s="471"/>
      <c r="JCC40" s="471"/>
      <c r="JCD40" s="471"/>
      <c r="JCE40" s="471"/>
      <c r="JCF40" s="471"/>
      <c r="JCG40" s="471"/>
      <c r="JCH40" s="471"/>
      <c r="JCI40" s="471"/>
      <c r="JCJ40" s="471"/>
      <c r="JCK40" s="471"/>
      <c r="JCL40" s="471"/>
      <c r="JCM40" s="471"/>
      <c r="JCN40" s="471"/>
      <c r="JCO40" s="471"/>
      <c r="JCP40" s="471"/>
      <c r="JCQ40" s="471"/>
      <c r="JCR40" s="471"/>
      <c r="JCS40" s="471"/>
      <c r="JCT40" s="471"/>
      <c r="JCU40" s="471"/>
      <c r="JCV40" s="471"/>
      <c r="JCW40" s="471"/>
      <c r="JCX40" s="471"/>
      <c r="JCY40" s="471"/>
      <c r="JCZ40" s="471"/>
      <c r="JDA40" s="471"/>
      <c r="JDB40" s="471"/>
      <c r="JDC40" s="471"/>
      <c r="JDD40" s="471"/>
      <c r="JDE40" s="471"/>
      <c r="JDF40" s="471"/>
      <c r="JDG40" s="471"/>
      <c r="JDH40" s="471"/>
      <c r="JDI40" s="471"/>
      <c r="JDJ40" s="471"/>
      <c r="JDK40" s="471"/>
      <c r="JDL40" s="471"/>
      <c r="JDM40" s="471"/>
      <c r="JDN40" s="471"/>
      <c r="JDO40" s="471"/>
      <c r="JDP40" s="471"/>
      <c r="JDQ40" s="471"/>
      <c r="JDR40" s="471"/>
      <c r="JDS40" s="471"/>
      <c r="JDT40" s="471"/>
      <c r="JDU40" s="471"/>
      <c r="JDV40" s="471"/>
      <c r="JDW40" s="471"/>
      <c r="JDX40" s="471"/>
      <c r="JDY40" s="471"/>
      <c r="JDZ40" s="471"/>
      <c r="JEA40" s="471"/>
      <c r="JEB40" s="471"/>
      <c r="JEC40" s="471"/>
      <c r="JED40" s="471"/>
      <c r="JEE40" s="471"/>
      <c r="JEF40" s="471"/>
      <c r="JEG40" s="471"/>
      <c r="JEH40" s="471"/>
      <c r="JEI40" s="471"/>
      <c r="JEJ40" s="471"/>
      <c r="JEK40" s="471"/>
      <c r="JEL40" s="471"/>
      <c r="JEM40" s="471"/>
      <c r="JEN40" s="471"/>
      <c r="JEO40" s="471"/>
      <c r="JEP40" s="471"/>
      <c r="JEQ40" s="471"/>
      <c r="JER40" s="471"/>
      <c r="JES40" s="471"/>
      <c r="JET40" s="471"/>
      <c r="JEU40" s="471"/>
      <c r="JEV40" s="471"/>
      <c r="JEW40" s="471"/>
      <c r="JEX40" s="471"/>
      <c r="JEY40" s="471"/>
      <c r="JEZ40" s="471"/>
      <c r="JFA40" s="471"/>
      <c r="JFB40" s="471"/>
      <c r="JFC40" s="471"/>
      <c r="JFD40" s="471"/>
      <c r="JFE40" s="471"/>
      <c r="JFF40" s="471"/>
      <c r="JFG40" s="471"/>
      <c r="JFH40" s="471"/>
      <c r="JFI40" s="471"/>
      <c r="JFJ40" s="471"/>
      <c r="JFK40" s="471"/>
      <c r="JFL40" s="471"/>
      <c r="JFM40" s="471"/>
      <c r="JFN40" s="471"/>
      <c r="JFO40" s="471"/>
      <c r="JFP40" s="471"/>
      <c r="JFQ40" s="471"/>
      <c r="JFR40" s="471"/>
      <c r="JFS40" s="471"/>
      <c r="JFT40" s="471"/>
      <c r="JFU40" s="471"/>
      <c r="JFV40" s="471"/>
      <c r="JFW40" s="471"/>
      <c r="JFX40" s="471"/>
      <c r="JFY40" s="471"/>
      <c r="JFZ40" s="471"/>
      <c r="JGA40" s="471"/>
      <c r="JGB40" s="471"/>
      <c r="JGC40" s="471"/>
      <c r="JGD40" s="471"/>
      <c r="JGE40" s="471"/>
      <c r="JGF40" s="471"/>
      <c r="JGG40" s="471"/>
      <c r="JGH40" s="471"/>
      <c r="JGI40" s="471"/>
      <c r="JGJ40" s="471"/>
      <c r="JGK40" s="471"/>
      <c r="JGL40" s="471"/>
      <c r="JGM40" s="471"/>
      <c r="JGN40" s="471"/>
      <c r="JGO40" s="471"/>
      <c r="JGP40" s="471"/>
      <c r="JGQ40" s="471"/>
      <c r="JGR40" s="471"/>
      <c r="JGS40" s="471"/>
      <c r="JGT40" s="471"/>
      <c r="JGU40" s="471"/>
      <c r="JGV40" s="471"/>
      <c r="JGW40" s="471"/>
      <c r="JGX40" s="471"/>
      <c r="JGY40" s="471"/>
      <c r="JGZ40" s="471"/>
      <c r="JHA40" s="471"/>
      <c r="JHB40" s="471"/>
      <c r="JHC40" s="471"/>
      <c r="JHD40" s="471"/>
      <c r="JHE40" s="471"/>
      <c r="JHF40" s="471"/>
      <c r="JHG40" s="471"/>
      <c r="JHH40" s="471"/>
      <c r="JHI40" s="471"/>
      <c r="JHJ40" s="471"/>
      <c r="JHK40" s="471"/>
      <c r="JHL40" s="471"/>
      <c r="JHM40" s="471"/>
      <c r="JHN40" s="471"/>
      <c r="JHO40" s="471"/>
      <c r="JHP40" s="471"/>
      <c r="JHQ40" s="471"/>
      <c r="JHR40" s="471"/>
      <c r="JHS40" s="471"/>
      <c r="JHT40" s="471"/>
      <c r="JHU40" s="471"/>
      <c r="JHV40" s="471"/>
      <c r="JHW40" s="471"/>
      <c r="JHX40" s="471"/>
      <c r="JHY40" s="471"/>
      <c r="JHZ40" s="471"/>
      <c r="JIA40" s="471"/>
      <c r="JIB40" s="471"/>
      <c r="JIC40" s="471"/>
      <c r="JID40" s="471"/>
      <c r="JIE40" s="471"/>
      <c r="JIF40" s="471"/>
      <c r="JIG40" s="471"/>
      <c r="JIH40" s="471"/>
      <c r="JII40" s="471"/>
      <c r="JIJ40" s="471"/>
      <c r="JIK40" s="471"/>
      <c r="JIL40" s="471"/>
      <c r="JIM40" s="471"/>
      <c r="JIN40" s="471"/>
      <c r="JIO40" s="471"/>
      <c r="JIP40" s="471"/>
      <c r="JIQ40" s="471"/>
      <c r="JIR40" s="471"/>
      <c r="JIS40" s="471"/>
      <c r="JIT40" s="471"/>
      <c r="JIU40" s="471"/>
      <c r="JIV40" s="471"/>
      <c r="JIW40" s="471"/>
      <c r="JIX40" s="471"/>
      <c r="JIY40" s="471"/>
      <c r="JIZ40" s="471"/>
      <c r="JJA40" s="471"/>
      <c r="JJB40" s="471"/>
      <c r="JJC40" s="471"/>
      <c r="JJD40" s="471"/>
      <c r="JJE40" s="471"/>
      <c r="JJF40" s="471"/>
      <c r="JJG40" s="471"/>
      <c r="JJH40" s="471"/>
      <c r="JJI40" s="471"/>
      <c r="JJJ40" s="471"/>
      <c r="JJK40" s="471"/>
      <c r="JJL40" s="471"/>
      <c r="JJM40" s="471"/>
      <c r="JJN40" s="471"/>
      <c r="JJO40" s="471"/>
      <c r="JJP40" s="471"/>
      <c r="JJQ40" s="471"/>
      <c r="JJR40" s="471"/>
      <c r="JJS40" s="471"/>
      <c r="JJT40" s="471"/>
      <c r="JJU40" s="471"/>
      <c r="JJV40" s="471"/>
      <c r="JJW40" s="471"/>
      <c r="JJX40" s="471"/>
      <c r="JJY40" s="471"/>
      <c r="JJZ40" s="471"/>
      <c r="JKA40" s="471"/>
      <c r="JKB40" s="471"/>
      <c r="JKC40" s="471"/>
      <c r="JKD40" s="471"/>
      <c r="JKE40" s="471"/>
      <c r="JKF40" s="471"/>
      <c r="JKG40" s="471"/>
      <c r="JKH40" s="471"/>
      <c r="JKI40" s="471"/>
      <c r="JKJ40" s="471"/>
      <c r="JKK40" s="471"/>
      <c r="JKL40" s="471"/>
      <c r="JKM40" s="471"/>
      <c r="JKN40" s="471"/>
      <c r="JKO40" s="471"/>
      <c r="JKP40" s="471"/>
      <c r="JKQ40" s="471"/>
      <c r="JKR40" s="471"/>
      <c r="JKS40" s="471"/>
      <c r="JKT40" s="471"/>
      <c r="JKU40" s="471"/>
      <c r="JKV40" s="471"/>
      <c r="JKW40" s="471"/>
      <c r="JKX40" s="471"/>
      <c r="JKY40" s="471"/>
      <c r="JKZ40" s="471"/>
      <c r="JLA40" s="471"/>
      <c r="JLB40" s="471"/>
      <c r="JLC40" s="471"/>
      <c r="JLD40" s="471"/>
      <c r="JLE40" s="471"/>
      <c r="JLF40" s="471"/>
      <c r="JLG40" s="471"/>
      <c r="JLH40" s="471"/>
      <c r="JLI40" s="471"/>
      <c r="JLJ40" s="471"/>
      <c r="JLK40" s="471"/>
      <c r="JLL40" s="471"/>
      <c r="JLM40" s="471"/>
      <c r="JLN40" s="471"/>
      <c r="JLO40" s="471"/>
      <c r="JLP40" s="471"/>
      <c r="JLQ40" s="471"/>
      <c r="JLR40" s="471"/>
      <c r="JLS40" s="471"/>
      <c r="JLT40" s="471"/>
      <c r="JLU40" s="471"/>
      <c r="JLV40" s="471"/>
      <c r="JLW40" s="471"/>
      <c r="JLX40" s="471"/>
      <c r="JLY40" s="471"/>
      <c r="JLZ40" s="471"/>
      <c r="JMA40" s="471"/>
      <c r="JMB40" s="471"/>
      <c r="JMC40" s="471"/>
      <c r="JMD40" s="471"/>
      <c r="JME40" s="471"/>
      <c r="JMF40" s="471"/>
      <c r="JMG40" s="471"/>
      <c r="JMH40" s="471"/>
      <c r="JMI40" s="471"/>
      <c r="JMJ40" s="471"/>
      <c r="JMK40" s="471"/>
      <c r="JML40" s="471"/>
      <c r="JMM40" s="471"/>
      <c r="JMN40" s="471"/>
      <c r="JMO40" s="471"/>
      <c r="JMP40" s="471"/>
      <c r="JMQ40" s="471"/>
      <c r="JMR40" s="471"/>
      <c r="JMS40" s="471"/>
      <c r="JMT40" s="471"/>
      <c r="JMU40" s="471"/>
      <c r="JMV40" s="471"/>
      <c r="JMW40" s="471"/>
      <c r="JMX40" s="471"/>
      <c r="JMY40" s="471"/>
      <c r="JMZ40" s="471"/>
      <c r="JNA40" s="471"/>
      <c r="JNB40" s="471"/>
      <c r="JNC40" s="471"/>
      <c r="JND40" s="471"/>
      <c r="JNE40" s="471"/>
      <c r="JNF40" s="471"/>
      <c r="JNG40" s="471"/>
      <c r="JNH40" s="471"/>
      <c r="JNI40" s="471"/>
      <c r="JNJ40" s="471"/>
      <c r="JNK40" s="471"/>
      <c r="JNL40" s="471"/>
      <c r="JNM40" s="471"/>
      <c r="JNN40" s="471"/>
      <c r="JNO40" s="471"/>
      <c r="JNP40" s="471"/>
      <c r="JNQ40" s="471"/>
      <c r="JNR40" s="471"/>
      <c r="JNS40" s="471"/>
      <c r="JNT40" s="471"/>
      <c r="JNU40" s="471"/>
      <c r="JNV40" s="471"/>
      <c r="JNW40" s="471"/>
      <c r="JNX40" s="471"/>
      <c r="JNY40" s="471"/>
      <c r="JNZ40" s="471"/>
      <c r="JOA40" s="471"/>
      <c r="JOB40" s="471"/>
      <c r="JOC40" s="471"/>
      <c r="JOD40" s="471"/>
      <c r="JOE40" s="471"/>
      <c r="JOF40" s="471"/>
      <c r="JOG40" s="471"/>
      <c r="JOH40" s="471"/>
      <c r="JOI40" s="471"/>
      <c r="JOJ40" s="471"/>
      <c r="JOK40" s="471"/>
      <c r="JOL40" s="471"/>
      <c r="JOM40" s="471"/>
      <c r="JON40" s="471"/>
      <c r="JOO40" s="471"/>
      <c r="JOP40" s="471"/>
      <c r="JOQ40" s="471"/>
      <c r="JOR40" s="471"/>
      <c r="JOS40" s="471"/>
      <c r="JOT40" s="471"/>
      <c r="JOU40" s="471"/>
      <c r="JOV40" s="471"/>
      <c r="JOW40" s="471"/>
      <c r="JOX40" s="471"/>
      <c r="JOY40" s="471"/>
      <c r="JOZ40" s="471"/>
      <c r="JPA40" s="471"/>
      <c r="JPB40" s="471"/>
      <c r="JPC40" s="471"/>
      <c r="JPD40" s="471"/>
      <c r="JPE40" s="471"/>
      <c r="JPF40" s="471"/>
      <c r="JPG40" s="471"/>
      <c r="JPH40" s="471"/>
      <c r="JPI40" s="471"/>
      <c r="JPJ40" s="471"/>
      <c r="JPK40" s="471"/>
      <c r="JPL40" s="471"/>
      <c r="JPM40" s="471"/>
      <c r="JPN40" s="471"/>
      <c r="JPO40" s="471"/>
      <c r="JPP40" s="471"/>
      <c r="JPQ40" s="471"/>
      <c r="JPR40" s="471"/>
      <c r="JPS40" s="471"/>
      <c r="JPT40" s="471"/>
      <c r="JPU40" s="471"/>
      <c r="JPV40" s="471"/>
      <c r="JPW40" s="471"/>
      <c r="JPX40" s="471"/>
      <c r="JPY40" s="471"/>
      <c r="JPZ40" s="471"/>
      <c r="JQA40" s="471"/>
      <c r="JQB40" s="471"/>
      <c r="JQC40" s="471"/>
      <c r="JQD40" s="471"/>
      <c r="JQE40" s="471"/>
      <c r="JQF40" s="471"/>
      <c r="JQG40" s="471"/>
      <c r="JQH40" s="471"/>
      <c r="JQI40" s="471"/>
      <c r="JQJ40" s="471"/>
      <c r="JQK40" s="471"/>
      <c r="JQL40" s="471"/>
      <c r="JQM40" s="471"/>
      <c r="JQN40" s="471"/>
      <c r="JQO40" s="471"/>
      <c r="JQP40" s="471"/>
      <c r="JQQ40" s="471"/>
      <c r="JQR40" s="471"/>
      <c r="JQS40" s="471"/>
      <c r="JQT40" s="471"/>
      <c r="JQU40" s="471"/>
      <c r="JQV40" s="471"/>
      <c r="JQW40" s="471"/>
      <c r="JQX40" s="471"/>
      <c r="JQY40" s="471"/>
      <c r="JQZ40" s="471"/>
      <c r="JRA40" s="471"/>
      <c r="JRB40" s="471"/>
      <c r="JRC40" s="471"/>
      <c r="JRD40" s="471"/>
      <c r="JRE40" s="471"/>
      <c r="JRF40" s="471"/>
      <c r="JRG40" s="471"/>
      <c r="JRH40" s="471"/>
      <c r="JRI40" s="471"/>
      <c r="JRJ40" s="471"/>
      <c r="JRK40" s="471"/>
      <c r="JRL40" s="471"/>
      <c r="JRM40" s="471"/>
      <c r="JRN40" s="471"/>
      <c r="JRO40" s="471"/>
      <c r="JRP40" s="471"/>
      <c r="JRQ40" s="471"/>
      <c r="JRR40" s="471"/>
      <c r="JRS40" s="471"/>
      <c r="JRT40" s="471"/>
      <c r="JRU40" s="471"/>
      <c r="JRV40" s="471"/>
      <c r="JRW40" s="471"/>
      <c r="JRX40" s="471"/>
      <c r="JRY40" s="471"/>
      <c r="JRZ40" s="471"/>
      <c r="JSA40" s="471"/>
      <c r="JSB40" s="471"/>
      <c r="JSC40" s="471"/>
      <c r="JSD40" s="471"/>
      <c r="JSE40" s="471"/>
      <c r="JSF40" s="471"/>
      <c r="JSG40" s="471"/>
      <c r="JSH40" s="471"/>
      <c r="JSI40" s="471"/>
      <c r="JSJ40" s="471"/>
      <c r="JSK40" s="471"/>
      <c r="JSL40" s="471"/>
      <c r="JSM40" s="471"/>
      <c r="JSN40" s="471"/>
      <c r="JSO40" s="471"/>
      <c r="JSP40" s="471"/>
      <c r="JSQ40" s="471"/>
      <c r="JSR40" s="471"/>
      <c r="JSS40" s="471"/>
      <c r="JST40" s="471"/>
      <c r="JSU40" s="471"/>
      <c r="JSV40" s="471"/>
      <c r="JSW40" s="471"/>
      <c r="JSX40" s="471"/>
      <c r="JSY40" s="471"/>
      <c r="JSZ40" s="471"/>
      <c r="JTA40" s="471"/>
      <c r="JTB40" s="471"/>
      <c r="JTC40" s="471"/>
      <c r="JTD40" s="471"/>
      <c r="JTE40" s="471"/>
      <c r="JTF40" s="471"/>
      <c r="JTG40" s="471"/>
      <c r="JTH40" s="471"/>
      <c r="JTI40" s="471"/>
      <c r="JTJ40" s="471"/>
      <c r="JTK40" s="471"/>
      <c r="JTL40" s="471"/>
      <c r="JTM40" s="471"/>
      <c r="JTN40" s="471"/>
      <c r="JTO40" s="471"/>
      <c r="JTP40" s="471"/>
      <c r="JTQ40" s="471"/>
      <c r="JTR40" s="471"/>
      <c r="JTS40" s="471"/>
      <c r="JTT40" s="471"/>
      <c r="JTU40" s="471"/>
      <c r="JTV40" s="471"/>
      <c r="JTW40" s="471"/>
      <c r="JTX40" s="471"/>
      <c r="JTY40" s="471"/>
      <c r="JTZ40" s="471"/>
      <c r="JUA40" s="471"/>
      <c r="JUB40" s="471"/>
      <c r="JUC40" s="471"/>
      <c r="JUD40" s="471"/>
      <c r="JUE40" s="471"/>
      <c r="JUF40" s="471"/>
      <c r="JUG40" s="471"/>
      <c r="JUH40" s="471"/>
      <c r="JUI40" s="471"/>
      <c r="JUJ40" s="471"/>
      <c r="JUK40" s="471"/>
      <c r="JUL40" s="471"/>
      <c r="JUM40" s="471"/>
      <c r="JUN40" s="471"/>
      <c r="JUO40" s="471"/>
      <c r="JUP40" s="471"/>
      <c r="JUQ40" s="471"/>
      <c r="JUR40" s="471"/>
      <c r="JUS40" s="471"/>
      <c r="JUT40" s="471"/>
      <c r="JUU40" s="471"/>
      <c r="JUV40" s="471"/>
      <c r="JUW40" s="471"/>
      <c r="JUX40" s="471"/>
      <c r="JUY40" s="471"/>
      <c r="JUZ40" s="471"/>
      <c r="JVA40" s="471"/>
      <c r="JVB40" s="471"/>
      <c r="JVC40" s="471"/>
      <c r="JVD40" s="471"/>
      <c r="JVE40" s="471"/>
      <c r="JVF40" s="471"/>
      <c r="JVG40" s="471"/>
      <c r="JVH40" s="471"/>
      <c r="JVI40" s="471"/>
      <c r="JVJ40" s="471"/>
      <c r="JVK40" s="471"/>
      <c r="JVL40" s="471"/>
      <c r="JVM40" s="471"/>
      <c r="JVN40" s="471"/>
      <c r="JVO40" s="471"/>
      <c r="JVP40" s="471"/>
      <c r="JVQ40" s="471"/>
      <c r="JVR40" s="471"/>
      <c r="JVS40" s="471"/>
      <c r="JVT40" s="471"/>
      <c r="JVU40" s="471"/>
      <c r="JVV40" s="471"/>
      <c r="JVW40" s="471"/>
      <c r="JVX40" s="471"/>
      <c r="JVY40" s="471"/>
      <c r="JVZ40" s="471"/>
      <c r="JWA40" s="471"/>
      <c r="JWB40" s="471"/>
      <c r="JWC40" s="471"/>
      <c r="JWD40" s="471"/>
      <c r="JWE40" s="471"/>
      <c r="JWF40" s="471"/>
      <c r="JWG40" s="471"/>
      <c r="JWH40" s="471"/>
      <c r="JWI40" s="471"/>
      <c r="JWJ40" s="471"/>
      <c r="JWK40" s="471"/>
      <c r="JWL40" s="471"/>
      <c r="JWM40" s="471"/>
      <c r="JWN40" s="471"/>
      <c r="JWO40" s="471"/>
      <c r="JWP40" s="471"/>
      <c r="JWQ40" s="471"/>
      <c r="JWR40" s="471"/>
      <c r="JWS40" s="471"/>
      <c r="JWT40" s="471"/>
      <c r="JWU40" s="471"/>
      <c r="JWV40" s="471"/>
      <c r="JWW40" s="471"/>
      <c r="JWX40" s="471"/>
      <c r="JWY40" s="471"/>
      <c r="JWZ40" s="471"/>
      <c r="JXA40" s="471"/>
      <c r="JXB40" s="471"/>
      <c r="JXC40" s="471"/>
      <c r="JXD40" s="471"/>
      <c r="JXE40" s="471"/>
      <c r="JXF40" s="471"/>
      <c r="JXG40" s="471"/>
      <c r="JXH40" s="471"/>
      <c r="JXI40" s="471"/>
      <c r="JXJ40" s="471"/>
      <c r="JXK40" s="471"/>
      <c r="JXL40" s="471"/>
      <c r="JXM40" s="471"/>
      <c r="JXN40" s="471"/>
      <c r="JXO40" s="471"/>
      <c r="JXP40" s="471"/>
      <c r="JXQ40" s="471"/>
      <c r="JXR40" s="471"/>
      <c r="JXS40" s="471"/>
      <c r="JXT40" s="471"/>
      <c r="JXU40" s="471"/>
      <c r="JXV40" s="471"/>
      <c r="JXW40" s="471"/>
      <c r="JXX40" s="471"/>
      <c r="JXY40" s="471"/>
      <c r="JXZ40" s="471"/>
      <c r="JYA40" s="471"/>
      <c r="JYB40" s="471"/>
      <c r="JYC40" s="471"/>
      <c r="JYD40" s="471"/>
      <c r="JYE40" s="471"/>
      <c r="JYF40" s="471"/>
      <c r="JYG40" s="471"/>
      <c r="JYH40" s="471"/>
      <c r="JYI40" s="471"/>
      <c r="JYJ40" s="471"/>
      <c r="JYK40" s="471"/>
      <c r="JYL40" s="471"/>
      <c r="JYM40" s="471"/>
      <c r="JYN40" s="471"/>
      <c r="JYO40" s="471"/>
      <c r="JYP40" s="471"/>
      <c r="JYQ40" s="471"/>
      <c r="JYR40" s="471"/>
      <c r="JYS40" s="471"/>
      <c r="JYT40" s="471"/>
      <c r="JYU40" s="471"/>
      <c r="JYV40" s="471"/>
      <c r="JYW40" s="471"/>
      <c r="JYX40" s="471"/>
      <c r="JYY40" s="471"/>
      <c r="JYZ40" s="471"/>
      <c r="JZA40" s="471"/>
      <c r="JZB40" s="471"/>
      <c r="JZC40" s="471"/>
      <c r="JZD40" s="471"/>
      <c r="JZE40" s="471"/>
      <c r="JZF40" s="471"/>
      <c r="JZG40" s="471"/>
      <c r="JZH40" s="471"/>
      <c r="JZI40" s="471"/>
      <c r="JZJ40" s="471"/>
      <c r="JZK40" s="471"/>
      <c r="JZL40" s="471"/>
      <c r="JZM40" s="471"/>
      <c r="JZN40" s="471"/>
      <c r="JZO40" s="471"/>
      <c r="JZP40" s="471"/>
      <c r="JZQ40" s="471"/>
      <c r="JZR40" s="471"/>
      <c r="JZS40" s="471"/>
      <c r="JZT40" s="471"/>
      <c r="JZU40" s="471"/>
      <c r="JZV40" s="471"/>
      <c r="JZW40" s="471"/>
      <c r="JZX40" s="471"/>
      <c r="JZY40" s="471"/>
      <c r="JZZ40" s="471"/>
      <c r="KAA40" s="471"/>
      <c r="KAB40" s="471"/>
      <c r="KAC40" s="471"/>
      <c r="KAD40" s="471"/>
      <c r="KAE40" s="471"/>
      <c r="KAF40" s="471"/>
      <c r="KAG40" s="471"/>
      <c r="KAH40" s="471"/>
      <c r="KAI40" s="471"/>
      <c r="KAJ40" s="471"/>
      <c r="KAK40" s="471"/>
      <c r="KAL40" s="471"/>
      <c r="KAM40" s="471"/>
      <c r="KAN40" s="471"/>
      <c r="KAO40" s="471"/>
      <c r="KAP40" s="471"/>
      <c r="KAQ40" s="471"/>
      <c r="KAR40" s="471"/>
      <c r="KAS40" s="471"/>
      <c r="KAT40" s="471"/>
      <c r="KAU40" s="471"/>
      <c r="KAV40" s="471"/>
      <c r="KAW40" s="471"/>
      <c r="KAX40" s="471"/>
      <c r="KAY40" s="471"/>
      <c r="KAZ40" s="471"/>
      <c r="KBA40" s="471"/>
      <c r="KBB40" s="471"/>
      <c r="KBC40" s="471"/>
      <c r="KBD40" s="471"/>
      <c r="KBE40" s="471"/>
      <c r="KBF40" s="471"/>
      <c r="KBG40" s="471"/>
      <c r="KBH40" s="471"/>
      <c r="KBI40" s="471"/>
      <c r="KBJ40" s="471"/>
      <c r="KBK40" s="471"/>
      <c r="KBL40" s="471"/>
      <c r="KBM40" s="471"/>
      <c r="KBN40" s="471"/>
      <c r="KBO40" s="471"/>
      <c r="KBP40" s="471"/>
      <c r="KBQ40" s="471"/>
      <c r="KBR40" s="471"/>
      <c r="KBS40" s="471"/>
      <c r="KBT40" s="471"/>
      <c r="KBU40" s="471"/>
      <c r="KBV40" s="471"/>
      <c r="KBW40" s="471"/>
      <c r="KBX40" s="471"/>
      <c r="KBY40" s="471"/>
      <c r="KBZ40" s="471"/>
      <c r="KCA40" s="471"/>
      <c r="KCB40" s="471"/>
      <c r="KCC40" s="471"/>
      <c r="KCD40" s="471"/>
      <c r="KCE40" s="471"/>
      <c r="KCF40" s="471"/>
      <c r="KCG40" s="471"/>
      <c r="KCH40" s="471"/>
      <c r="KCI40" s="471"/>
      <c r="KCJ40" s="471"/>
      <c r="KCK40" s="471"/>
      <c r="KCL40" s="471"/>
      <c r="KCM40" s="471"/>
      <c r="KCN40" s="471"/>
      <c r="KCO40" s="471"/>
      <c r="KCP40" s="471"/>
      <c r="KCQ40" s="471"/>
      <c r="KCR40" s="471"/>
      <c r="KCS40" s="471"/>
      <c r="KCT40" s="471"/>
      <c r="KCU40" s="471"/>
      <c r="KCV40" s="471"/>
      <c r="KCW40" s="471"/>
      <c r="KCX40" s="471"/>
      <c r="KCY40" s="471"/>
      <c r="KCZ40" s="471"/>
      <c r="KDA40" s="471"/>
      <c r="KDB40" s="471"/>
      <c r="KDC40" s="471"/>
      <c r="KDD40" s="471"/>
      <c r="KDE40" s="471"/>
      <c r="KDF40" s="471"/>
      <c r="KDG40" s="471"/>
      <c r="KDH40" s="471"/>
      <c r="KDI40" s="471"/>
      <c r="KDJ40" s="471"/>
      <c r="KDK40" s="471"/>
      <c r="KDL40" s="471"/>
      <c r="KDM40" s="471"/>
      <c r="KDN40" s="471"/>
      <c r="KDO40" s="471"/>
      <c r="KDP40" s="471"/>
      <c r="KDQ40" s="471"/>
      <c r="KDR40" s="471"/>
      <c r="KDS40" s="471"/>
      <c r="KDT40" s="471"/>
      <c r="KDU40" s="471"/>
      <c r="KDV40" s="471"/>
      <c r="KDW40" s="471"/>
      <c r="KDX40" s="471"/>
      <c r="KDY40" s="471"/>
      <c r="KDZ40" s="471"/>
      <c r="KEA40" s="471"/>
      <c r="KEB40" s="471"/>
      <c r="KEC40" s="471"/>
      <c r="KED40" s="471"/>
      <c r="KEE40" s="471"/>
      <c r="KEF40" s="471"/>
      <c r="KEG40" s="471"/>
      <c r="KEH40" s="471"/>
      <c r="KEI40" s="471"/>
      <c r="KEJ40" s="471"/>
      <c r="KEK40" s="471"/>
      <c r="KEL40" s="471"/>
      <c r="KEM40" s="471"/>
      <c r="KEN40" s="471"/>
      <c r="KEO40" s="471"/>
      <c r="KEP40" s="471"/>
      <c r="KEQ40" s="471"/>
      <c r="KER40" s="471"/>
      <c r="KES40" s="471"/>
      <c r="KET40" s="471"/>
      <c r="KEU40" s="471"/>
      <c r="KEV40" s="471"/>
      <c r="KEW40" s="471"/>
      <c r="KEX40" s="471"/>
      <c r="KEY40" s="471"/>
      <c r="KEZ40" s="471"/>
      <c r="KFA40" s="471"/>
      <c r="KFB40" s="471"/>
      <c r="KFC40" s="471"/>
      <c r="KFD40" s="471"/>
      <c r="KFE40" s="471"/>
      <c r="KFF40" s="471"/>
      <c r="KFG40" s="471"/>
      <c r="KFH40" s="471"/>
      <c r="KFI40" s="471"/>
      <c r="KFJ40" s="471"/>
      <c r="KFK40" s="471"/>
      <c r="KFL40" s="471"/>
      <c r="KFM40" s="471"/>
      <c r="KFN40" s="471"/>
      <c r="KFO40" s="471"/>
      <c r="KFP40" s="471"/>
      <c r="KFQ40" s="471"/>
      <c r="KFR40" s="471"/>
      <c r="KFS40" s="471"/>
      <c r="KFT40" s="471"/>
      <c r="KFU40" s="471"/>
      <c r="KFV40" s="471"/>
      <c r="KFW40" s="471"/>
      <c r="KFX40" s="471"/>
      <c r="KFY40" s="471"/>
      <c r="KFZ40" s="471"/>
      <c r="KGA40" s="471"/>
      <c r="KGB40" s="471"/>
      <c r="KGC40" s="471"/>
      <c r="KGD40" s="471"/>
      <c r="KGE40" s="471"/>
      <c r="KGF40" s="471"/>
      <c r="KGG40" s="471"/>
      <c r="KGH40" s="471"/>
      <c r="KGI40" s="471"/>
      <c r="KGJ40" s="471"/>
      <c r="KGK40" s="471"/>
      <c r="KGL40" s="471"/>
      <c r="KGM40" s="471"/>
      <c r="KGN40" s="471"/>
      <c r="KGO40" s="471"/>
      <c r="KGP40" s="471"/>
      <c r="KGQ40" s="471"/>
      <c r="KGR40" s="471"/>
      <c r="KGS40" s="471"/>
      <c r="KGT40" s="471"/>
      <c r="KGU40" s="471"/>
      <c r="KGV40" s="471"/>
      <c r="KGW40" s="471"/>
      <c r="KGX40" s="471"/>
      <c r="KGY40" s="471"/>
      <c r="KGZ40" s="471"/>
      <c r="KHA40" s="471"/>
      <c r="KHB40" s="471"/>
      <c r="KHC40" s="471"/>
      <c r="KHD40" s="471"/>
      <c r="KHE40" s="471"/>
      <c r="KHF40" s="471"/>
      <c r="KHG40" s="471"/>
      <c r="KHH40" s="471"/>
      <c r="KHI40" s="471"/>
      <c r="KHJ40" s="471"/>
      <c r="KHK40" s="471"/>
      <c r="KHL40" s="471"/>
      <c r="KHM40" s="471"/>
      <c r="KHN40" s="471"/>
      <c r="KHO40" s="471"/>
      <c r="KHP40" s="471"/>
      <c r="KHQ40" s="471"/>
      <c r="KHR40" s="471"/>
      <c r="KHS40" s="471"/>
      <c r="KHT40" s="471"/>
      <c r="KHU40" s="471"/>
      <c r="KHV40" s="471"/>
      <c r="KHW40" s="471"/>
      <c r="KHX40" s="471"/>
      <c r="KHY40" s="471"/>
      <c r="KHZ40" s="471"/>
      <c r="KIA40" s="471"/>
      <c r="KIB40" s="471"/>
      <c r="KIC40" s="471"/>
      <c r="KID40" s="471"/>
      <c r="KIE40" s="471"/>
      <c r="KIF40" s="471"/>
      <c r="KIG40" s="471"/>
      <c r="KIH40" s="471"/>
      <c r="KII40" s="471"/>
      <c r="KIJ40" s="471"/>
      <c r="KIK40" s="471"/>
      <c r="KIL40" s="471"/>
      <c r="KIM40" s="471"/>
      <c r="KIN40" s="471"/>
      <c r="KIO40" s="471"/>
      <c r="KIP40" s="471"/>
      <c r="KIQ40" s="471"/>
      <c r="KIR40" s="471"/>
      <c r="KIS40" s="471"/>
      <c r="KIT40" s="471"/>
      <c r="KIU40" s="471"/>
      <c r="KIV40" s="471"/>
      <c r="KIW40" s="471"/>
      <c r="KIX40" s="471"/>
      <c r="KIY40" s="471"/>
      <c r="KIZ40" s="471"/>
      <c r="KJA40" s="471"/>
      <c r="KJB40" s="471"/>
      <c r="KJC40" s="471"/>
      <c r="KJD40" s="471"/>
      <c r="KJE40" s="471"/>
      <c r="KJF40" s="471"/>
      <c r="KJG40" s="471"/>
      <c r="KJH40" s="471"/>
      <c r="KJI40" s="471"/>
      <c r="KJJ40" s="471"/>
      <c r="KJK40" s="471"/>
      <c r="KJL40" s="471"/>
      <c r="KJM40" s="471"/>
      <c r="KJN40" s="471"/>
      <c r="KJO40" s="471"/>
      <c r="KJP40" s="471"/>
      <c r="KJQ40" s="471"/>
      <c r="KJR40" s="471"/>
      <c r="KJS40" s="471"/>
      <c r="KJT40" s="471"/>
      <c r="KJU40" s="471"/>
      <c r="KJV40" s="471"/>
      <c r="KJW40" s="471"/>
      <c r="KJX40" s="471"/>
      <c r="KJY40" s="471"/>
      <c r="KJZ40" s="471"/>
      <c r="KKA40" s="471"/>
      <c r="KKB40" s="471"/>
      <c r="KKC40" s="471"/>
      <c r="KKD40" s="471"/>
      <c r="KKE40" s="471"/>
      <c r="KKF40" s="471"/>
      <c r="KKG40" s="471"/>
      <c r="KKH40" s="471"/>
      <c r="KKI40" s="471"/>
      <c r="KKJ40" s="471"/>
      <c r="KKK40" s="471"/>
      <c r="KKL40" s="471"/>
      <c r="KKM40" s="471"/>
      <c r="KKN40" s="471"/>
      <c r="KKO40" s="471"/>
      <c r="KKP40" s="471"/>
      <c r="KKQ40" s="471"/>
      <c r="KKR40" s="471"/>
      <c r="KKS40" s="471"/>
      <c r="KKT40" s="471"/>
      <c r="KKU40" s="471"/>
      <c r="KKV40" s="471"/>
      <c r="KKW40" s="471"/>
      <c r="KKX40" s="471"/>
      <c r="KKY40" s="471"/>
      <c r="KKZ40" s="471"/>
      <c r="KLA40" s="471"/>
      <c r="KLB40" s="471"/>
      <c r="KLC40" s="471"/>
      <c r="KLD40" s="471"/>
      <c r="KLE40" s="471"/>
      <c r="KLF40" s="471"/>
      <c r="KLG40" s="471"/>
      <c r="KLH40" s="471"/>
      <c r="KLI40" s="471"/>
      <c r="KLJ40" s="471"/>
      <c r="KLK40" s="471"/>
      <c r="KLL40" s="471"/>
      <c r="KLM40" s="471"/>
      <c r="KLN40" s="471"/>
      <c r="KLO40" s="471"/>
      <c r="KLP40" s="471"/>
      <c r="KLQ40" s="471"/>
      <c r="KLR40" s="471"/>
      <c r="KLS40" s="471"/>
      <c r="KLT40" s="471"/>
      <c r="KLU40" s="471"/>
      <c r="KLV40" s="471"/>
      <c r="KLW40" s="471"/>
      <c r="KLX40" s="471"/>
      <c r="KLY40" s="471"/>
      <c r="KLZ40" s="471"/>
      <c r="KMA40" s="471"/>
      <c r="KMB40" s="471"/>
      <c r="KMC40" s="471"/>
      <c r="KMD40" s="471"/>
      <c r="KME40" s="471"/>
      <c r="KMF40" s="471"/>
      <c r="KMG40" s="471"/>
      <c r="KMH40" s="471"/>
      <c r="KMI40" s="471"/>
      <c r="KMJ40" s="471"/>
      <c r="KMK40" s="471"/>
      <c r="KML40" s="471"/>
      <c r="KMM40" s="471"/>
      <c r="KMN40" s="471"/>
      <c r="KMO40" s="471"/>
      <c r="KMP40" s="471"/>
      <c r="KMQ40" s="471"/>
      <c r="KMR40" s="471"/>
      <c r="KMS40" s="471"/>
      <c r="KMT40" s="471"/>
      <c r="KMU40" s="471"/>
      <c r="KMV40" s="471"/>
      <c r="KMW40" s="471"/>
      <c r="KMX40" s="471"/>
      <c r="KMY40" s="471"/>
      <c r="KMZ40" s="471"/>
      <c r="KNA40" s="471"/>
      <c r="KNB40" s="471"/>
      <c r="KNC40" s="471"/>
      <c r="KND40" s="471"/>
      <c r="KNE40" s="471"/>
      <c r="KNF40" s="471"/>
      <c r="KNG40" s="471"/>
      <c r="KNH40" s="471"/>
      <c r="KNI40" s="471"/>
      <c r="KNJ40" s="471"/>
      <c r="KNK40" s="471"/>
      <c r="KNL40" s="471"/>
      <c r="KNM40" s="471"/>
      <c r="KNN40" s="471"/>
      <c r="KNO40" s="471"/>
      <c r="KNP40" s="471"/>
      <c r="KNQ40" s="471"/>
      <c r="KNR40" s="471"/>
      <c r="KNS40" s="471"/>
      <c r="KNT40" s="471"/>
      <c r="KNU40" s="471"/>
      <c r="KNV40" s="471"/>
      <c r="KNW40" s="471"/>
      <c r="KNX40" s="471"/>
      <c r="KNY40" s="471"/>
      <c r="KNZ40" s="471"/>
      <c r="KOA40" s="471"/>
      <c r="KOB40" s="471"/>
      <c r="KOC40" s="471"/>
      <c r="KOD40" s="471"/>
      <c r="KOE40" s="471"/>
      <c r="KOF40" s="471"/>
      <c r="KOG40" s="471"/>
      <c r="KOH40" s="471"/>
      <c r="KOI40" s="471"/>
      <c r="KOJ40" s="471"/>
      <c r="KOK40" s="471"/>
      <c r="KOL40" s="471"/>
      <c r="KOM40" s="471"/>
      <c r="KON40" s="471"/>
      <c r="KOO40" s="471"/>
      <c r="KOP40" s="471"/>
      <c r="KOQ40" s="471"/>
      <c r="KOR40" s="471"/>
      <c r="KOS40" s="471"/>
      <c r="KOT40" s="471"/>
      <c r="KOU40" s="471"/>
      <c r="KOV40" s="471"/>
      <c r="KOW40" s="471"/>
      <c r="KOX40" s="471"/>
      <c r="KOY40" s="471"/>
      <c r="KOZ40" s="471"/>
      <c r="KPA40" s="471"/>
      <c r="KPB40" s="471"/>
      <c r="KPC40" s="471"/>
      <c r="KPD40" s="471"/>
      <c r="KPE40" s="471"/>
      <c r="KPF40" s="471"/>
      <c r="KPG40" s="471"/>
      <c r="KPH40" s="471"/>
      <c r="KPI40" s="471"/>
      <c r="KPJ40" s="471"/>
      <c r="KPK40" s="471"/>
      <c r="KPL40" s="471"/>
      <c r="KPM40" s="471"/>
      <c r="KPN40" s="471"/>
      <c r="KPO40" s="471"/>
      <c r="KPP40" s="471"/>
      <c r="KPQ40" s="471"/>
      <c r="KPR40" s="471"/>
      <c r="KPS40" s="471"/>
      <c r="KPT40" s="471"/>
      <c r="KPU40" s="471"/>
      <c r="KPV40" s="471"/>
      <c r="KPW40" s="471"/>
      <c r="KPX40" s="471"/>
      <c r="KPY40" s="471"/>
      <c r="KPZ40" s="471"/>
      <c r="KQA40" s="471"/>
      <c r="KQB40" s="471"/>
      <c r="KQC40" s="471"/>
      <c r="KQD40" s="471"/>
      <c r="KQE40" s="471"/>
      <c r="KQF40" s="471"/>
      <c r="KQG40" s="471"/>
      <c r="KQH40" s="471"/>
      <c r="KQI40" s="471"/>
      <c r="KQJ40" s="471"/>
      <c r="KQK40" s="471"/>
      <c r="KQL40" s="471"/>
      <c r="KQM40" s="471"/>
      <c r="KQN40" s="471"/>
      <c r="KQO40" s="471"/>
      <c r="KQP40" s="471"/>
      <c r="KQQ40" s="471"/>
      <c r="KQR40" s="471"/>
      <c r="KQS40" s="471"/>
      <c r="KQT40" s="471"/>
      <c r="KQU40" s="471"/>
      <c r="KQV40" s="471"/>
      <c r="KQW40" s="471"/>
      <c r="KQX40" s="471"/>
      <c r="KQY40" s="471"/>
      <c r="KQZ40" s="471"/>
      <c r="KRA40" s="471"/>
      <c r="KRB40" s="471"/>
      <c r="KRC40" s="471"/>
      <c r="KRD40" s="471"/>
      <c r="KRE40" s="471"/>
      <c r="KRF40" s="471"/>
      <c r="KRG40" s="471"/>
      <c r="KRH40" s="471"/>
      <c r="KRI40" s="471"/>
      <c r="KRJ40" s="471"/>
      <c r="KRK40" s="471"/>
      <c r="KRL40" s="471"/>
      <c r="KRM40" s="471"/>
      <c r="KRN40" s="471"/>
      <c r="KRO40" s="471"/>
      <c r="KRP40" s="471"/>
      <c r="KRQ40" s="471"/>
      <c r="KRR40" s="471"/>
      <c r="KRS40" s="471"/>
      <c r="KRT40" s="471"/>
      <c r="KRU40" s="471"/>
      <c r="KRV40" s="471"/>
      <c r="KRW40" s="471"/>
      <c r="KRX40" s="471"/>
      <c r="KRY40" s="471"/>
      <c r="KRZ40" s="471"/>
      <c r="KSA40" s="471"/>
      <c r="KSB40" s="471"/>
      <c r="KSC40" s="471"/>
      <c r="KSD40" s="471"/>
      <c r="KSE40" s="471"/>
      <c r="KSF40" s="471"/>
      <c r="KSG40" s="471"/>
      <c r="KSH40" s="471"/>
      <c r="KSI40" s="471"/>
      <c r="KSJ40" s="471"/>
      <c r="KSK40" s="471"/>
      <c r="KSL40" s="471"/>
      <c r="KSM40" s="471"/>
      <c r="KSN40" s="471"/>
      <c r="KSO40" s="471"/>
      <c r="KSP40" s="471"/>
      <c r="KSQ40" s="471"/>
      <c r="KSR40" s="471"/>
      <c r="KSS40" s="471"/>
      <c r="KST40" s="471"/>
      <c r="KSU40" s="471"/>
      <c r="KSV40" s="471"/>
      <c r="KSW40" s="471"/>
      <c r="KSX40" s="471"/>
      <c r="KSY40" s="471"/>
      <c r="KSZ40" s="471"/>
      <c r="KTA40" s="471"/>
      <c r="KTB40" s="471"/>
      <c r="KTC40" s="471"/>
      <c r="KTD40" s="471"/>
      <c r="KTE40" s="471"/>
      <c r="KTF40" s="471"/>
      <c r="KTG40" s="471"/>
      <c r="KTH40" s="471"/>
      <c r="KTI40" s="471"/>
      <c r="KTJ40" s="471"/>
      <c r="KTK40" s="471"/>
      <c r="KTL40" s="471"/>
      <c r="KTM40" s="471"/>
      <c r="KTN40" s="471"/>
      <c r="KTO40" s="471"/>
      <c r="KTP40" s="471"/>
      <c r="KTQ40" s="471"/>
      <c r="KTR40" s="471"/>
      <c r="KTS40" s="471"/>
      <c r="KTT40" s="471"/>
      <c r="KTU40" s="471"/>
      <c r="KTV40" s="471"/>
      <c r="KTW40" s="471"/>
      <c r="KTX40" s="471"/>
      <c r="KTY40" s="471"/>
      <c r="KTZ40" s="471"/>
      <c r="KUA40" s="471"/>
      <c r="KUB40" s="471"/>
      <c r="KUC40" s="471"/>
      <c r="KUD40" s="471"/>
      <c r="KUE40" s="471"/>
      <c r="KUF40" s="471"/>
      <c r="KUG40" s="471"/>
      <c r="KUH40" s="471"/>
      <c r="KUI40" s="471"/>
      <c r="KUJ40" s="471"/>
      <c r="KUK40" s="471"/>
      <c r="KUL40" s="471"/>
      <c r="KUM40" s="471"/>
      <c r="KUN40" s="471"/>
      <c r="KUO40" s="471"/>
      <c r="KUP40" s="471"/>
      <c r="KUQ40" s="471"/>
      <c r="KUR40" s="471"/>
      <c r="KUS40" s="471"/>
      <c r="KUT40" s="471"/>
      <c r="KUU40" s="471"/>
      <c r="KUV40" s="471"/>
      <c r="KUW40" s="471"/>
      <c r="KUX40" s="471"/>
      <c r="KUY40" s="471"/>
      <c r="KUZ40" s="471"/>
      <c r="KVA40" s="471"/>
      <c r="KVB40" s="471"/>
      <c r="KVC40" s="471"/>
      <c r="KVD40" s="471"/>
      <c r="KVE40" s="471"/>
      <c r="KVF40" s="471"/>
      <c r="KVG40" s="471"/>
      <c r="KVH40" s="471"/>
      <c r="KVI40" s="471"/>
      <c r="KVJ40" s="471"/>
      <c r="KVK40" s="471"/>
      <c r="KVL40" s="471"/>
      <c r="KVM40" s="471"/>
      <c r="KVN40" s="471"/>
      <c r="KVO40" s="471"/>
      <c r="KVP40" s="471"/>
      <c r="KVQ40" s="471"/>
      <c r="KVR40" s="471"/>
      <c r="KVS40" s="471"/>
      <c r="KVT40" s="471"/>
      <c r="KVU40" s="471"/>
      <c r="KVV40" s="471"/>
      <c r="KVW40" s="471"/>
      <c r="KVX40" s="471"/>
      <c r="KVY40" s="471"/>
      <c r="KVZ40" s="471"/>
      <c r="KWA40" s="471"/>
      <c r="KWB40" s="471"/>
      <c r="KWC40" s="471"/>
      <c r="KWD40" s="471"/>
      <c r="KWE40" s="471"/>
      <c r="KWF40" s="471"/>
      <c r="KWG40" s="471"/>
      <c r="KWH40" s="471"/>
      <c r="KWI40" s="471"/>
      <c r="KWJ40" s="471"/>
      <c r="KWK40" s="471"/>
      <c r="KWL40" s="471"/>
      <c r="KWM40" s="471"/>
      <c r="KWN40" s="471"/>
      <c r="KWO40" s="471"/>
      <c r="KWP40" s="471"/>
      <c r="KWQ40" s="471"/>
      <c r="KWR40" s="471"/>
      <c r="KWS40" s="471"/>
      <c r="KWT40" s="471"/>
      <c r="KWU40" s="471"/>
      <c r="KWV40" s="471"/>
      <c r="KWW40" s="471"/>
      <c r="KWX40" s="471"/>
      <c r="KWY40" s="471"/>
      <c r="KWZ40" s="471"/>
      <c r="KXA40" s="471"/>
      <c r="KXB40" s="471"/>
      <c r="KXC40" s="471"/>
      <c r="KXD40" s="471"/>
      <c r="KXE40" s="471"/>
      <c r="KXF40" s="471"/>
      <c r="KXG40" s="471"/>
      <c r="KXH40" s="471"/>
      <c r="KXI40" s="471"/>
      <c r="KXJ40" s="471"/>
      <c r="KXK40" s="471"/>
      <c r="KXL40" s="471"/>
      <c r="KXM40" s="471"/>
      <c r="KXN40" s="471"/>
      <c r="KXO40" s="471"/>
      <c r="KXP40" s="471"/>
      <c r="KXQ40" s="471"/>
      <c r="KXR40" s="471"/>
      <c r="KXS40" s="471"/>
      <c r="KXT40" s="471"/>
      <c r="KXU40" s="471"/>
      <c r="KXV40" s="471"/>
      <c r="KXW40" s="471"/>
      <c r="KXX40" s="471"/>
      <c r="KXY40" s="471"/>
      <c r="KXZ40" s="471"/>
      <c r="KYA40" s="471"/>
      <c r="KYB40" s="471"/>
      <c r="KYC40" s="471"/>
      <c r="KYD40" s="471"/>
      <c r="KYE40" s="471"/>
      <c r="KYF40" s="471"/>
      <c r="KYG40" s="471"/>
      <c r="KYH40" s="471"/>
      <c r="KYI40" s="471"/>
      <c r="KYJ40" s="471"/>
      <c r="KYK40" s="471"/>
      <c r="KYL40" s="471"/>
      <c r="KYM40" s="471"/>
      <c r="KYN40" s="471"/>
      <c r="KYO40" s="471"/>
      <c r="KYP40" s="471"/>
      <c r="KYQ40" s="471"/>
      <c r="KYR40" s="471"/>
      <c r="KYS40" s="471"/>
      <c r="KYT40" s="471"/>
      <c r="KYU40" s="471"/>
      <c r="KYV40" s="471"/>
      <c r="KYW40" s="471"/>
      <c r="KYX40" s="471"/>
      <c r="KYY40" s="471"/>
      <c r="KYZ40" s="471"/>
      <c r="KZA40" s="471"/>
      <c r="KZB40" s="471"/>
      <c r="KZC40" s="471"/>
      <c r="KZD40" s="471"/>
      <c r="KZE40" s="471"/>
      <c r="KZF40" s="471"/>
      <c r="KZG40" s="471"/>
      <c r="KZH40" s="471"/>
      <c r="KZI40" s="471"/>
      <c r="KZJ40" s="471"/>
      <c r="KZK40" s="471"/>
      <c r="KZL40" s="471"/>
      <c r="KZM40" s="471"/>
      <c r="KZN40" s="471"/>
      <c r="KZO40" s="471"/>
      <c r="KZP40" s="471"/>
      <c r="KZQ40" s="471"/>
      <c r="KZR40" s="471"/>
      <c r="KZS40" s="471"/>
      <c r="KZT40" s="471"/>
      <c r="KZU40" s="471"/>
      <c r="KZV40" s="471"/>
      <c r="KZW40" s="471"/>
      <c r="KZX40" s="471"/>
      <c r="KZY40" s="471"/>
      <c r="KZZ40" s="471"/>
      <c r="LAA40" s="471"/>
      <c r="LAB40" s="471"/>
      <c r="LAC40" s="471"/>
      <c r="LAD40" s="471"/>
      <c r="LAE40" s="471"/>
      <c r="LAF40" s="471"/>
      <c r="LAG40" s="471"/>
      <c r="LAH40" s="471"/>
      <c r="LAI40" s="471"/>
      <c r="LAJ40" s="471"/>
      <c r="LAK40" s="471"/>
      <c r="LAL40" s="471"/>
      <c r="LAM40" s="471"/>
      <c r="LAN40" s="471"/>
      <c r="LAO40" s="471"/>
      <c r="LAP40" s="471"/>
      <c r="LAQ40" s="471"/>
      <c r="LAR40" s="471"/>
      <c r="LAS40" s="471"/>
      <c r="LAT40" s="471"/>
      <c r="LAU40" s="471"/>
      <c r="LAV40" s="471"/>
      <c r="LAW40" s="471"/>
      <c r="LAX40" s="471"/>
      <c r="LAY40" s="471"/>
      <c r="LAZ40" s="471"/>
      <c r="LBA40" s="471"/>
      <c r="LBB40" s="471"/>
      <c r="LBC40" s="471"/>
      <c r="LBD40" s="471"/>
      <c r="LBE40" s="471"/>
      <c r="LBF40" s="471"/>
      <c r="LBG40" s="471"/>
      <c r="LBH40" s="471"/>
      <c r="LBI40" s="471"/>
      <c r="LBJ40" s="471"/>
      <c r="LBK40" s="471"/>
      <c r="LBL40" s="471"/>
      <c r="LBM40" s="471"/>
      <c r="LBN40" s="471"/>
      <c r="LBO40" s="471"/>
      <c r="LBP40" s="471"/>
      <c r="LBQ40" s="471"/>
      <c r="LBR40" s="471"/>
      <c r="LBS40" s="471"/>
      <c r="LBT40" s="471"/>
      <c r="LBU40" s="471"/>
      <c r="LBV40" s="471"/>
      <c r="LBW40" s="471"/>
      <c r="LBX40" s="471"/>
      <c r="LBY40" s="471"/>
      <c r="LBZ40" s="471"/>
      <c r="LCA40" s="471"/>
      <c r="LCB40" s="471"/>
      <c r="LCC40" s="471"/>
      <c r="LCD40" s="471"/>
      <c r="LCE40" s="471"/>
      <c r="LCF40" s="471"/>
      <c r="LCG40" s="471"/>
      <c r="LCH40" s="471"/>
      <c r="LCI40" s="471"/>
      <c r="LCJ40" s="471"/>
      <c r="LCK40" s="471"/>
      <c r="LCL40" s="471"/>
      <c r="LCM40" s="471"/>
      <c r="LCN40" s="471"/>
      <c r="LCO40" s="471"/>
      <c r="LCP40" s="471"/>
      <c r="LCQ40" s="471"/>
      <c r="LCR40" s="471"/>
      <c r="LCS40" s="471"/>
      <c r="LCT40" s="471"/>
      <c r="LCU40" s="471"/>
      <c r="LCV40" s="471"/>
      <c r="LCW40" s="471"/>
      <c r="LCX40" s="471"/>
      <c r="LCY40" s="471"/>
      <c r="LCZ40" s="471"/>
      <c r="LDA40" s="471"/>
      <c r="LDB40" s="471"/>
      <c r="LDC40" s="471"/>
      <c r="LDD40" s="471"/>
      <c r="LDE40" s="471"/>
      <c r="LDF40" s="471"/>
      <c r="LDG40" s="471"/>
      <c r="LDH40" s="471"/>
      <c r="LDI40" s="471"/>
      <c r="LDJ40" s="471"/>
      <c r="LDK40" s="471"/>
      <c r="LDL40" s="471"/>
      <c r="LDM40" s="471"/>
      <c r="LDN40" s="471"/>
      <c r="LDO40" s="471"/>
      <c r="LDP40" s="471"/>
      <c r="LDQ40" s="471"/>
      <c r="LDR40" s="471"/>
      <c r="LDS40" s="471"/>
      <c r="LDT40" s="471"/>
      <c r="LDU40" s="471"/>
      <c r="LDV40" s="471"/>
      <c r="LDW40" s="471"/>
      <c r="LDX40" s="471"/>
      <c r="LDY40" s="471"/>
      <c r="LDZ40" s="471"/>
      <c r="LEA40" s="471"/>
      <c r="LEB40" s="471"/>
      <c r="LEC40" s="471"/>
      <c r="LED40" s="471"/>
      <c r="LEE40" s="471"/>
      <c r="LEF40" s="471"/>
      <c r="LEG40" s="471"/>
      <c r="LEH40" s="471"/>
      <c r="LEI40" s="471"/>
      <c r="LEJ40" s="471"/>
      <c r="LEK40" s="471"/>
      <c r="LEL40" s="471"/>
      <c r="LEM40" s="471"/>
      <c r="LEN40" s="471"/>
      <c r="LEO40" s="471"/>
      <c r="LEP40" s="471"/>
      <c r="LEQ40" s="471"/>
      <c r="LER40" s="471"/>
      <c r="LES40" s="471"/>
      <c r="LET40" s="471"/>
      <c r="LEU40" s="471"/>
      <c r="LEV40" s="471"/>
      <c r="LEW40" s="471"/>
      <c r="LEX40" s="471"/>
      <c r="LEY40" s="471"/>
      <c r="LEZ40" s="471"/>
      <c r="LFA40" s="471"/>
      <c r="LFB40" s="471"/>
      <c r="LFC40" s="471"/>
      <c r="LFD40" s="471"/>
      <c r="LFE40" s="471"/>
      <c r="LFF40" s="471"/>
      <c r="LFG40" s="471"/>
      <c r="LFH40" s="471"/>
      <c r="LFI40" s="471"/>
      <c r="LFJ40" s="471"/>
      <c r="LFK40" s="471"/>
      <c r="LFL40" s="471"/>
      <c r="LFM40" s="471"/>
      <c r="LFN40" s="471"/>
      <c r="LFO40" s="471"/>
      <c r="LFP40" s="471"/>
      <c r="LFQ40" s="471"/>
      <c r="LFR40" s="471"/>
      <c r="LFS40" s="471"/>
      <c r="LFT40" s="471"/>
      <c r="LFU40" s="471"/>
      <c r="LFV40" s="471"/>
      <c r="LFW40" s="471"/>
      <c r="LFX40" s="471"/>
      <c r="LFY40" s="471"/>
      <c r="LFZ40" s="471"/>
      <c r="LGA40" s="471"/>
      <c r="LGB40" s="471"/>
      <c r="LGC40" s="471"/>
      <c r="LGD40" s="471"/>
      <c r="LGE40" s="471"/>
      <c r="LGF40" s="471"/>
      <c r="LGG40" s="471"/>
      <c r="LGH40" s="471"/>
      <c r="LGI40" s="471"/>
      <c r="LGJ40" s="471"/>
      <c r="LGK40" s="471"/>
      <c r="LGL40" s="471"/>
      <c r="LGM40" s="471"/>
      <c r="LGN40" s="471"/>
      <c r="LGO40" s="471"/>
      <c r="LGP40" s="471"/>
      <c r="LGQ40" s="471"/>
      <c r="LGR40" s="471"/>
      <c r="LGS40" s="471"/>
      <c r="LGT40" s="471"/>
      <c r="LGU40" s="471"/>
      <c r="LGV40" s="471"/>
      <c r="LGW40" s="471"/>
      <c r="LGX40" s="471"/>
      <c r="LGY40" s="471"/>
      <c r="LGZ40" s="471"/>
      <c r="LHA40" s="471"/>
      <c r="LHB40" s="471"/>
      <c r="LHC40" s="471"/>
      <c r="LHD40" s="471"/>
      <c r="LHE40" s="471"/>
      <c r="LHF40" s="471"/>
      <c r="LHG40" s="471"/>
      <c r="LHH40" s="471"/>
      <c r="LHI40" s="471"/>
      <c r="LHJ40" s="471"/>
      <c r="LHK40" s="471"/>
      <c r="LHL40" s="471"/>
      <c r="LHM40" s="471"/>
      <c r="LHN40" s="471"/>
      <c r="LHO40" s="471"/>
      <c r="LHP40" s="471"/>
      <c r="LHQ40" s="471"/>
      <c r="LHR40" s="471"/>
      <c r="LHS40" s="471"/>
      <c r="LHT40" s="471"/>
      <c r="LHU40" s="471"/>
      <c r="LHV40" s="471"/>
      <c r="LHW40" s="471"/>
      <c r="LHX40" s="471"/>
      <c r="LHY40" s="471"/>
      <c r="LHZ40" s="471"/>
      <c r="LIA40" s="471"/>
      <c r="LIB40" s="471"/>
      <c r="LIC40" s="471"/>
      <c r="LID40" s="471"/>
      <c r="LIE40" s="471"/>
      <c r="LIF40" s="471"/>
      <c r="LIG40" s="471"/>
      <c r="LIH40" s="471"/>
      <c r="LII40" s="471"/>
      <c r="LIJ40" s="471"/>
      <c r="LIK40" s="471"/>
      <c r="LIL40" s="471"/>
      <c r="LIM40" s="471"/>
      <c r="LIN40" s="471"/>
      <c r="LIO40" s="471"/>
      <c r="LIP40" s="471"/>
      <c r="LIQ40" s="471"/>
      <c r="LIR40" s="471"/>
      <c r="LIS40" s="471"/>
      <c r="LIT40" s="471"/>
      <c r="LIU40" s="471"/>
      <c r="LIV40" s="471"/>
      <c r="LIW40" s="471"/>
      <c r="LIX40" s="471"/>
      <c r="LIY40" s="471"/>
      <c r="LIZ40" s="471"/>
      <c r="LJA40" s="471"/>
      <c r="LJB40" s="471"/>
      <c r="LJC40" s="471"/>
      <c r="LJD40" s="471"/>
      <c r="LJE40" s="471"/>
      <c r="LJF40" s="471"/>
      <c r="LJG40" s="471"/>
      <c r="LJH40" s="471"/>
      <c r="LJI40" s="471"/>
      <c r="LJJ40" s="471"/>
      <c r="LJK40" s="471"/>
      <c r="LJL40" s="471"/>
      <c r="LJM40" s="471"/>
      <c r="LJN40" s="471"/>
      <c r="LJO40" s="471"/>
      <c r="LJP40" s="471"/>
      <c r="LJQ40" s="471"/>
      <c r="LJR40" s="471"/>
      <c r="LJS40" s="471"/>
      <c r="LJT40" s="471"/>
      <c r="LJU40" s="471"/>
      <c r="LJV40" s="471"/>
      <c r="LJW40" s="471"/>
      <c r="LJX40" s="471"/>
      <c r="LJY40" s="471"/>
      <c r="LJZ40" s="471"/>
      <c r="LKA40" s="471"/>
      <c r="LKB40" s="471"/>
      <c r="LKC40" s="471"/>
      <c r="LKD40" s="471"/>
      <c r="LKE40" s="471"/>
      <c r="LKF40" s="471"/>
      <c r="LKG40" s="471"/>
      <c r="LKH40" s="471"/>
      <c r="LKI40" s="471"/>
      <c r="LKJ40" s="471"/>
      <c r="LKK40" s="471"/>
      <c r="LKL40" s="471"/>
      <c r="LKM40" s="471"/>
      <c r="LKN40" s="471"/>
      <c r="LKO40" s="471"/>
      <c r="LKP40" s="471"/>
      <c r="LKQ40" s="471"/>
      <c r="LKR40" s="471"/>
      <c r="LKS40" s="471"/>
      <c r="LKT40" s="471"/>
      <c r="LKU40" s="471"/>
      <c r="LKV40" s="471"/>
      <c r="LKW40" s="471"/>
      <c r="LKX40" s="471"/>
      <c r="LKY40" s="471"/>
      <c r="LKZ40" s="471"/>
      <c r="LLA40" s="471"/>
      <c r="LLB40" s="471"/>
      <c r="LLC40" s="471"/>
      <c r="LLD40" s="471"/>
      <c r="LLE40" s="471"/>
      <c r="LLF40" s="471"/>
      <c r="LLG40" s="471"/>
      <c r="LLH40" s="471"/>
      <c r="LLI40" s="471"/>
      <c r="LLJ40" s="471"/>
      <c r="LLK40" s="471"/>
      <c r="LLL40" s="471"/>
      <c r="LLM40" s="471"/>
      <c r="LLN40" s="471"/>
      <c r="LLO40" s="471"/>
      <c r="LLP40" s="471"/>
      <c r="LLQ40" s="471"/>
      <c r="LLR40" s="471"/>
      <c r="LLS40" s="471"/>
      <c r="LLT40" s="471"/>
      <c r="LLU40" s="471"/>
      <c r="LLV40" s="471"/>
      <c r="LLW40" s="471"/>
      <c r="LLX40" s="471"/>
      <c r="LLY40" s="471"/>
      <c r="LLZ40" s="471"/>
      <c r="LMA40" s="471"/>
      <c r="LMB40" s="471"/>
      <c r="LMC40" s="471"/>
      <c r="LMD40" s="471"/>
      <c r="LME40" s="471"/>
      <c r="LMF40" s="471"/>
      <c r="LMG40" s="471"/>
      <c r="LMH40" s="471"/>
      <c r="LMI40" s="471"/>
      <c r="LMJ40" s="471"/>
      <c r="LMK40" s="471"/>
      <c r="LML40" s="471"/>
      <c r="LMM40" s="471"/>
      <c r="LMN40" s="471"/>
      <c r="LMO40" s="471"/>
      <c r="LMP40" s="471"/>
      <c r="LMQ40" s="471"/>
      <c r="LMR40" s="471"/>
      <c r="LMS40" s="471"/>
      <c r="LMT40" s="471"/>
      <c r="LMU40" s="471"/>
      <c r="LMV40" s="471"/>
      <c r="LMW40" s="471"/>
      <c r="LMX40" s="471"/>
      <c r="LMY40" s="471"/>
      <c r="LMZ40" s="471"/>
      <c r="LNA40" s="471"/>
      <c r="LNB40" s="471"/>
      <c r="LNC40" s="471"/>
      <c r="LND40" s="471"/>
      <c r="LNE40" s="471"/>
      <c r="LNF40" s="471"/>
      <c r="LNG40" s="471"/>
      <c r="LNH40" s="471"/>
      <c r="LNI40" s="471"/>
      <c r="LNJ40" s="471"/>
      <c r="LNK40" s="471"/>
      <c r="LNL40" s="471"/>
      <c r="LNM40" s="471"/>
      <c r="LNN40" s="471"/>
      <c r="LNO40" s="471"/>
      <c r="LNP40" s="471"/>
      <c r="LNQ40" s="471"/>
      <c r="LNR40" s="471"/>
      <c r="LNS40" s="471"/>
      <c r="LNT40" s="471"/>
      <c r="LNU40" s="471"/>
      <c r="LNV40" s="471"/>
      <c r="LNW40" s="471"/>
      <c r="LNX40" s="471"/>
      <c r="LNY40" s="471"/>
      <c r="LNZ40" s="471"/>
      <c r="LOA40" s="471"/>
      <c r="LOB40" s="471"/>
      <c r="LOC40" s="471"/>
      <c r="LOD40" s="471"/>
      <c r="LOE40" s="471"/>
      <c r="LOF40" s="471"/>
      <c r="LOG40" s="471"/>
      <c r="LOH40" s="471"/>
      <c r="LOI40" s="471"/>
      <c r="LOJ40" s="471"/>
      <c r="LOK40" s="471"/>
      <c r="LOL40" s="471"/>
      <c r="LOM40" s="471"/>
      <c r="LON40" s="471"/>
      <c r="LOO40" s="471"/>
      <c r="LOP40" s="471"/>
      <c r="LOQ40" s="471"/>
      <c r="LOR40" s="471"/>
      <c r="LOS40" s="471"/>
      <c r="LOT40" s="471"/>
      <c r="LOU40" s="471"/>
      <c r="LOV40" s="471"/>
      <c r="LOW40" s="471"/>
      <c r="LOX40" s="471"/>
      <c r="LOY40" s="471"/>
      <c r="LOZ40" s="471"/>
      <c r="LPA40" s="471"/>
      <c r="LPB40" s="471"/>
      <c r="LPC40" s="471"/>
      <c r="LPD40" s="471"/>
      <c r="LPE40" s="471"/>
      <c r="LPF40" s="471"/>
      <c r="LPG40" s="471"/>
      <c r="LPH40" s="471"/>
      <c r="LPI40" s="471"/>
      <c r="LPJ40" s="471"/>
      <c r="LPK40" s="471"/>
      <c r="LPL40" s="471"/>
      <c r="LPM40" s="471"/>
      <c r="LPN40" s="471"/>
      <c r="LPO40" s="471"/>
      <c r="LPP40" s="471"/>
      <c r="LPQ40" s="471"/>
      <c r="LPR40" s="471"/>
      <c r="LPS40" s="471"/>
      <c r="LPT40" s="471"/>
      <c r="LPU40" s="471"/>
      <c r="LPV40" s="471"/>
      <c r="LPW40" s="471"/>
      <c r="LPX40" s="471"/>
      <c r="LPY40" s="471"/>
      <c r="LPZ40" s="471"/>
      <c r="LQA40" s="471"/>
      <c r="LQB40" s="471"/>
      <c r="LQC40" s="471"/>
      <c r="LQD40" s="471"/>
      <c r="LQE40" s="471"/>
      <c r="LQF40" s="471"/>
      <c r="LQG40" s="471"/>
      <c r="LQH40" s="471"/>
      <c r="LQI40" s="471"/>
      <c r="LQJ40" s="471"/>
      <c r="LQK40" s="471"/>
      <c r="LQL40" s="471"/>
      <c r="LQM40" s="471"/>
      <c r="LQN40" s="471"/>
      <c r="LQO40" s="471"/>
      <c r="LQP40" s="471"/>
      <c r="LQQ40" s="471"/>
      <c r="LQR40" s="471"/>
      <c r="LQS40" s="471"/>
      <c r="LQT40" s="471"/>
      <c r="LQU40" s="471"/>
      <c r="LQV40" s="471"/>
      <c r="LQW40" s="471"/>
      <c r="LQX40" s="471"/>
      <c r="LQY40" s="471"/>
      <c r="LQZ40" s="471"/>
      <c r="LRA40" s="471"/>
      <c r="LRB40" s="471"/>
      <c r="LRC40" s="471"/>
      <c r="LRD40" s="471"/>
      <c r="LRE40" s="471"/>
      <c r="LRF40" s="471"/>
      <c r="LRG40" s="471"/>
      <c r="LRH40" s="471"/>
      <c r="LRI40" s="471"/>
      <c r="LRJ40" s="471"/>
      <c r="LRK40" s="471"/>
      <c r="LRL40" s="471"/>
      <c r="LRM40" s="471"/>
      <c r="LRN40" s="471"/>
      <c r="LRO40" s="471"/>
      <c r="LRP40" s="471"/>
      <c r="LRQ40" s="471"/>
      <c r="LRR40" s="471"/>
      <c r="LRS40" s="471"/>
      <c r="LRT40" s="471"/>
      <c r="LRU40" s="471"/>
      <c r="LRV40" s="471"/>
      <c r="LRW40" s="471"/>
      <c r="LRX40" s="471"/>
      <c r="LRY40" s="471"/>
      <c r="LRZ40" s="471"/>
      <c r="LSA40" s="471"/>
      <c r="LSB40" s="471"/>
      <c r="LSC40" s="471"/>
      <c r="LSD40" s="471"/>
      <c r="LSE40" s="471"/>
      <c r="LSF40" s="471"/>
      <c r="LSG40" s="471"/>
      <c r="LSH40" s="471"/>
      <c r="LSI40" s="471"/>
      <c r="LSJ40" s="471"/>
      <c r="LSK40" s="471"/>
      <c r="LSL40" s="471"/>
      <c r="LSM40" s="471"/>
      <c r="LSN40" s="471"/>
      <c r="LSO40" s="471"/>
      <c r="LSP40" s="471"/>
      <c r="LSQ40" s="471"/>
      <c r="LSR40" s="471"/>
      <c r="LSS40" s="471"/>
      <c r="LST40" s="471"/>
      <c r="LSU40" s="471"/>
      <c r="LSV40" s="471"/>
      <c r="LSW40" s="471"/>
      <c r="LSX40" s="471"/>
      <c r="LSY40" s="471"/>
      <c r="LSZ40" s="471"/>
      <c r="LTA40" s="471"/>
      <c r="LTB40" s="471"/>
      <c r="LTC40" s="471"/>
      <c r="LTD40" s="471"/>
      <c r="LTE40" s="471"/>
      <c r="LTF40" s="471"/>
      <c r="LTG40" s="471"/>
      <c r="LTH40" s="471"/>
      <c r="LTI40" s="471"/>
      <c r="LTJ40" s="471"/>
      <c r="LTK40" s="471"/>
      <c r="LTL40" s="471"/>
      <c r="LTM40" s="471"/>
      <c r="LTN40" s="471"/>
      <c r="LTO40" s="471"/>
      <c r="LTP40" s="471"/>
      <c r="LTQ40" s="471"/>
      <c r="LTR40" s="471"/>
      <c r="LTS40" s="471"/>
      <c r="LTT40" s="471"/>
      <c r="LTU40" s="471"/>
      <c r="LTV40" s="471"/>
      <c r="LTW40" s="471"/>
      <c r="LTX40" s="471"/>
      <c r="LTY40" s="471"/>
      <c r="LTZ40" s="471"/>
      <c r="LUA40" s="471"/>
      <c r="LUB40" s="471"/>
      <c r="LUC40" s="471"/>
      <c r="LUD40" s="471"/>
      <c r="LUE40" s="471"/>
      <c r="LUF40" s="471"/>
      <c r="LUG40" s="471"/>
      <c r="LUH40" s="471"/>
      <c r="LUI40" s="471"/>
      <c r="LUJ40" s="471"/>
      <c r="LUK40" s="471"/>
      <c r="LUL40" s="471"/>
      <c r="LUM40" s="471"/>
      <c r="LUN40" s="471"/>
      <c r="LUO40" s="471"/>
      <c r="LUP40" s="471"/>
      <c r="LUQ40" s="471"/>
      <c r="LUR40" s="471"/>
      <c r="LUS40" s="471"/>
      <c r="LUT40" s="471"/>
      <c r="LUU40" s="471"/>
      <c r="LUV40" s="471"/>
      <c r="LUW40" s="471"/>
      <c r="LUX40" s="471"/>
      <c r="LUY40" s="471"/>
      <c r="LUZ40" s="471"/>
      <c r="LVA40" s="471"/>
      <c r="LVB40" s="471"/>
      <c r="LVC40" s="471"/>
      <c r="LVD40" s="471"/>
      <c r="LVE40" s="471"/>
      <c r="LVF40" s="471"/>
      <c r="LVG40" s="471"/>
      <c r="LVH40" s="471"/>
      <c r="LVI40" s="471"/>
      <c r="LVJ40" s="471"/>
      <c r="LVK40" s="471"/>
      <c r="LVL40" s="471"/>
      <c r="LVM40" s="471"/>
      <c r="LVN40" s="471"/>
      <c r="LVO40" s="471"/>
      <c r="LVP40" s="471"/>
      <c r="LVQ40" s="471"/>
      <c r="LVR40" s="471"/>
      <c r="LVS40" s="471"/>
      <c r="LVT40" s="471"/>
      <c r="LVU40" s="471"/>
      <c r="LVV40" s="471"/>
      <c r="LVW40" s="471"/>
      <c r="LVX40" s="471"/>
      <c r="LVY40" s="471"/>
      <c r="LVZ40" s="471"/>
      <c r="LWA40" s="471"/>
      <c r="LWB40" s="471"/>
      <c r="LWC40" s="471"/>
      <c r="LWD40" s="471"/>
      <c r="LWE40" s="471"/>
      <c r="LWF40" s="471"/>
      <c r="LWG40" s="471"/>
      <c r="LWH40" s="471"/>
      <c r="LWI40" s="471"/>
      <c r="LWJ40" s="471"/>
      <c r="LWK40" s="471"/>
      <c r="LWL40" s="471"/>
      <c r="LWM40" s="471"/>
      <c r="LWN40" s="471"/>
      <c r="LWO40" s="471"/>
      <c r="LWP40" s="471"/>
      <c r="LWQ40" s="471"/>
      <c r="LWR40" s="471"/>
      <c r="LWS40" s="471"/>
      <c r="LWT40" s="471"/>
      <c r="LWU40" s="471"/>
      <c r="LWV40" s="471"/>
      <c r="LWW40" s="471"/>
      <c r="LWX40" s="471"/>
      <c r="LWY40" s="471"/>
      <c r="LWZ40" s="471"/>
      <c r="LXA40" s="471"/>
      <c r="LXB40" s="471"/>
      <c r="LXC40" s="471"/>
      <c r="LXD40" s="471"/>
      <c r="LXE40" s="471"/>
      <c r="LXF40" s="471"/>
      <c r="LXG40" s="471"/>
      <c r="LXH40" s="471"/>
      <c r="LXI40" s="471"/>
      <c r="LXJ40" s="471"/>
      <c r="LXK40" s="471"/>
      <c r="LXL40" s="471"/>
      <c r="LXM40" s="471"/>
      <c r="LXN40" s="471"/>
      <c r="LXO40" s="471"/>
      <c r="LXP40" s="471"/>
      <c r="LXQ40" s="471"/>
      <c r="LXR40" s="471"/>
      <c r="LXS40" s="471"/>
      <c r="LXT40" s="471"/>
      <c r="LXU40" s="471"/>
      <c r="LXV40" s="471"/>
      <c r="LXW40" s="471"/>
      <c r="LXX40" s="471"/>
      <c r="LXY40" s="471"/>
      <c r="LXZ40" s="471"/>
      <c r="LYA40" s="471"/>
      <c r="LYB40" s="471"/>
      <c r="LYC40" s="471"/>
      <c r="LYD40" s="471"/>
      <c r="LYE40" s="471"/>
      <c r="LYF40" s="471"/>
      <c r="LYG40" s="471"/>
      <c r="LYH40" s="471"/>
      <c r="LYI40" s="471"/>
      <c r="LYJ40" s="471"/>
      <c r="LYK40" s="471"/>
      <c r="LYL40" s="471"/>
      <c r="LYM40" s="471"/>
      <c r="LYN40" s="471"/>
      <c r="LYO40" s="471"/>
      <c r="LYP40" s="471"/>
      <c r="LYQ40" s="471"/>
      <c r="LYR40" s="471"/>
      <c r="LYS40" s="471"/>
      <c r="LYT40" s="471"/>
      <c r="LYU40" s="471"/>
      <c r="LYV40" s="471"/>
      <c r="LYW40" s="471"/>
      <c r="LYX40" s="471"/>
      <c r="LYY40" s="471"/>
      <c r="LYZ40" s="471"/>
      <c r="LZA40" s="471"/>
      <c r="LZB40" s="471"/>
      <c r="LZC40" s="471"/>
      <c r="LZD40" s="471"/>
      <c r="LZE40" s="471"/>
      <c r="LZF40" s="471"/>
      <c r="LZG40" s="471"/>
      <c r="LZH40" s="471"/>
      <c r="LZI40" s="471"/>
      <c r="LZJ40" s="471"/>
      <c r="LZK40" s="471"/>
      <c r="LZL40" s="471"/>
      <c r="LZM40" s="471"/>
      <c r="LZN40" s="471"/>
      <c r="LZO40" s="471"/>
      <c r="LZP40" s="471"/>
      <c r="LZQ40" s="471"/>
      <c r="LZR40" s="471"/>
      <c r="LZS40" s="471"/>
      <c r="LZT40" s="471"/>
      <c r="LZU40" s="471"/>
      <c r="LZV40" s="471"/>
      <c r="LZW40" s="471"/>
      <c r="LZX40" s="471"/>
      <c r="LZY40" s="471"/>
      <c r="LZZ40" s="471"/>
      <c r="MAA40" s="471"/>
      <c r="MAB40" s="471"/>
      <c r="MAC40" s="471"/>
      <c r="MAD40" s="471"/>
      <c r="MAE40" s="471"/>
      <c r="MAF40" s="471"/>
      <c r="MAG40" s="471"/>
      <c r="MAH40" s="471"/>
      <c r="MAI40" s="471"/>
      <c r="MAJ40" s="471"/>
      <c r="MAK40" s="471"/>
      <c r="MAL40" s="471"/>
      <c r="MAM40" s="471"/>
      <c r="MAN40" s="471"/>
      <c r="MAO40" s="471"/>
      <c r="MAP40" s="471"/>
      <c r="MAQ40" s="471"/>
      <c r="MAR40" s="471"/>
      <c r="MAS40" s="471"/>
      <c r="MAT40" s="471"/>
      <c r="MAU40" s="471"/>
      <c r="MAV40" s="471"/>
      <c r="MAW40" s="471"/>
      <c r="MAX40" s="471"/>
      <c r="MAY40" s="471"/>
      <c r="MAZ40" s="471"/>
      <c r="MBA40" s="471"/>
      <c r="MBB40" s="471"/>
      <c r="MBC40" s="471"/>
      <c r="MBD40" s="471"/>
      <c r="MBE40" s="471"/>
      <c r="MBF40" s="471"/>
      <c r="MBG40" s="471"/>
      <c r="MBH40" s="471"/>
      <c r="MBI40" s="471"/>
      <c r="MBJ40" s="471"/>
      <c r="MBK40" s="471"/>
      <c r="MBL40" s="471"/>
      <c r="MBM40" s="471"/>
      <c r="MBN40" s="471"/>
      <c r="MBO40" s="471"/>
      <c r="MBP40" s="471"/>
      <c r="MBQ40" s="471"/>
      <c r="MBR40" s="471"/>
      <c r="MBS40" s="471"/>
      <c r="MBT40" s="471"/>
      <c r="MBU40" s="471"/>
      <c r="MBV40" s="471"/>
      <c r="MBW40" s="471"/>
      <c r="MBX40" s="471"/>
      <c r="MBY40" s="471"/>
      <c r="MBZ40" s="471"/>
      <c r="MCA40" s="471"/>
      <c r="MCB40" s="471"/>
      <c r="MCC40" s="471"/>
      <c r="MCD40" s="471"/>
      <c r="MCE40" s="471"/>
      <c r="MCF40" s="471"/>
      <c r="MCG40" s="471"/>
      <c r="MCH40" s="471"/>
      <c r="MCI40" s="471"/>
      <c r="MCJ40" s="471"/>
      <c r="MCK40" s="471"/>
      <c r="MCL40" s="471"/>
      <c r="MCM40" s="471"/>
      <c r="MCN40" s="471"/>
      <c r="MCO40" s="471"/>
      <c r="MCP40" s="471"/>
      <c r="MCQ40" s="471"/>
      <c r="MCR40" s="471"/>
      <c r="MCS40" s="471"/>
      <c r="MCT40" s="471"/>
      <c r="MCU40" s="471"/>
      <c r="MCV40" s="471"/>
      <c r="MCW40" s="471"/>
      <c r="MCX40" s="471"/>
      <c r="MCY40" s="471"/>
      <c r="MCZ40" s="471"/>
      <c r="MDA40" s="471"/>
      <c r="MDB40" s="471"/>
      <c r="MDC40" s="471"/>
      <c r="MDD40" s="471"/>
      <c r="MDE40" s="471"/>
      <c r="MDF40" s="471"/>
      <c r="MDG40" s="471"/>
      <c r="MDH40" s="471"/>
      <c r="MDI40" s="471"/>
      <c r="MDJ40" s="471"/>
      <c r="MDK40" s="471"/>
      <c r="MDL40" s="471"/>
      <c r="MDM40" s="471"/>
      <c r="MDN40" s="471"/>
      <c r="MDO40" s="471"/>
      <c r="MDP40" s="471"/>
      <c r="MDQ40" s="471"/>
      <c r="MDR40" s="471"/>
      <c r="MDS40" s="471"/>
      <c r="MDT40" s="471"/>
      <c r="MDU40" s="471"/>
      <c r="MDV40" s="471"/>
      <c r="MDW40" s="471"/>
      <c r="MDX40" s="471"/>
      <c r="MDY40" s="471"/>
      <c r="MDZ40" s="471"/>
      <c r="MEA40" s="471"/>
      <c r="MEB40" s="471"/>
      <c r="MEC40" s="471"/>
      <c r="MED40" s="471"/>
      <c r="MEE40" s="471"/>
      <c r="MEF40" s="471"/>
      <c r="MEG40" s="471"/>
      <c r="MEH40" s="471"/>
      <c r="MEI40" s="471"/>
      <c r="MEJ40" s="471"/>
      <c r="MEK40" s="471"/>
      <c r="MEL40" s="471"/>
      <c r="MEM40" s="471"/>
      <c r="MEN40" s="471"/>
      <c r="MEO40" s="471"/>
      <c r="MEP40" s="471"/>
      <c r="MEQ40" s="471"/>
      <c r="MER40" s="471"/>
      <c r="MES40" s="471"/>
      <c r="MET40" s="471"/>
      <c r="MEU40" s="471"/>
      <c r="MEV40" s="471"/>
      <c r="MEW40" s="471"/>
      <c r="MEX40" s="471"/>
      <c r="MEY40" s="471"/>
      <c r="MEZ40" s="471"/>
      <c r="MFA40" s="471"/>
      <c r="MFB40" s="471"/>
      <c r="MFC40" s="471"/>
      <c r="MFD40" s="471"/>
      <c r="MFE40" s="471"/>
      <c r="MFF40" s="471"/>
      <c r="MFG40" s="471"/>
      <c r="MFH40" s="471"/>
      <c r="MFI40" s="471"/>
      <c r="MFJ40" s="471"/>
      <c r="MFK40" s="471"/>
      <c r="MFL40" s="471"/>
      <c r="MFM40" s="471"/>
      <c r="MFN40" s="471"/>
      <c r="MFO40" s="471"/>
      <c r="MFP40" s="471"/>
      <c r="MFQ40" s="471"/>
      <c r="MFR40" s="471"/>
      <c r="MFS40" s="471"/>
      <c r="MFT40" s="471"/>
      <c r="MFU40" s="471"/>
      <c r="MFV40" s="471"/>
      <c r="MFW40" s="471"/>
      <c r="MFX40" s="471"/>
      <c r="MFY40" s="471"/>
      <c r="MFZ40" s="471"/>
      <c r="MGA40" s="471"/>
      <c r="MGB40" s="471"/>
      <c r="MGC40" s="471"/>
      <c r="MGD40" s="471"/>
      <c r="MGE40" s="471"/>
      <c r="MGF40" s="471"/>
      <c r="MGG40" s="471"/>
      <c r="MGH40" s="471"/>
      <c r="MGI40" s="471"/>
      <c r="MGJ40" s="471"/>
      <c r="MGK40" s="471"/>
      <c r="MGL40" s="471"/>
      <c r="MGM40" s="471"/>
      <c r="MGN40" s="471"/>
      <c r="MGO40" s="471"/>
      <c r="MGP40" s="471"/>
      <c r="MGQ40" s="471"/>
      <c r="MGR40" s="471"/>
      <c r="MGS40" s="471"/>
      <c r="MGT40" s="471"/>
      <c r="MGU40" s="471"/>
      <c r="MGV40" s="471"/>
      <c r="MGW40" s="471"/>
      <c r="MGX40" s="471"/>
      <c r="MGY40" s="471"/>
      <c r="MGZ40" s="471"/>
      <c r="MHA40" s="471"/>
      <c r="MHB40" s="471"/>
      <c r="MHC40" s="471"/>
      <c r="MHD40" s="471"/>
      <c r="MHE40" s="471"/>
      <c r="MHF40" s="471"/>
      <c r="MHG40" s="471"/>
      <c r="MHH40" s="471"/>
      <c r="MHI40" s="471"/>
      <c r="MHJ40" s="471"/>
      <c r="MHK40" s="471"/>
      <c r="MHL40" s="471"/>
      <c r="MHM40" s="471"/>
      <c r="MHN40" s="471"/>
      <c r="MHO40" s="471"/>
      <c r="MHP40" s="471"/>
      <c r="MHQ40" s="471"/>
      <c r="MHR40" s="471"/>
      <c r="MHS40" s="471"/>
      <c r="MHT40" s="471"/>
      <c r="MHU40" s="471"/>
      <c r="MHV40" s="471"/>
      <c r="MHW40" s="471"/>
      <c r="MHX40" s="471"/>
      <c r="MHY40" s="471"/>
      <c r="MHZ40" s="471"/>
      <c r="MIA40" s="471"/>
      <c r="MIB40" s="471"/>
      <c r="MIC40" s="471"/>
      <c r="MID40" s="471"/>
      <c r="MIE40" s="471"/>
      <c r="MIF40" s="471"/>
      <c r="MIG40" s="471"/>
      <c r="MIH40" s="471"/>
      <c r="MII40" s="471"/>
      <c r="MIJ40" s="471"/>
      <c r="MIK40" s="471"/>
      <c r="MIL40" s="471"/>
      <c r="MIM40" s="471"/>
      <c r="MIN40" s="471"/>
      <c r="MIO40" s="471"/>
      <c r="MIP40" s="471"/>
      <c r="MIQ40" s="471"/>
      <c r="MIR40" s="471"/>
      <c r="MIS40" s="471"/>
      <c r="MIT40" s="471"/>
      <c r="MIU40" s="471"/>
      <c r="MIV40" s="471"/>
      <c r="MIW40" s="471"/>
      <c r="MIX40" s="471"/>
      <c r="MIY40" s="471"/>
      <c r="MIZ40" s="471"/>
      <c r="MJA40" s="471"/>
      <c r="MJB40" s="471"/>
      <c r="MJC40" s="471"/>
      <c r="MJD40" s="471"/>
      <c r="MJE40" s="471"/>
      <c r="MJF40" s="471"/>
      <c r="MJG40" s="471"/>
      <c r="MJH40" s="471"/>
      <c r="MJI40" s="471"/>
      <c r="MJJ40" s="471"/>
      <c r="MJK40" s="471"/>
      <c r="MJL40" s="471"/>
      <c r="MJM40" s="471"/>
      <c r="MJN40" s="471"/>
      <c r="MJO40" s="471"/>
      <c r="MJP40" s="471"/>
      <c r="MJQ40" s="471"/>
      <c r="MJR40" s="471"/>
      <c r="MJS40" s="471"/>
      <c r="MJT40" s="471"/>
      <c r="MJU40" s="471"/>
      <c r="MJV40" s="471"/>
      <c r="MJW40" s="471"/>
      <c r="MJX40" s="471"/>
      <c r="MJY40" s="471"/>
      <c r="MJZ40" s="471"/>
      <c r="MKA40" s="471"/>
      <c r="MKB40" s="471"/>
      <c r="MKC40" s="471"/>
      <c r="MKD40" s="471"/>
      <c r="MKE40" s="471"/>
      <c r="MKF40" s="471"/>
      <c r="MKG40" s="471"/>
      <c r="MKH40" s="471"/>
      <c r="MKI40" s="471"/>
      <c r="MKJ40" s="471"/>
      <c r="MKK40" s="471"/>
      <c r="MKL40" s="471"/>
      <c r="MKM40" s="471"/>
      <c r="MKN40" s="471"/>
      <c r="MKO40" s="471"/>
      <c r="MKP40" s="471"/>
      <c r="MKQ40" s="471"/>
      <c r="MKR40" s="471"/>
      <c r="MKS40" s="471"/>
      <c r="MKT40" s="471"/>
      <c r="MKU40" s="471"/>
      <c r="MKV40" s="471"/>
      <c r="MKW40" s="471"/>
      <c r="MKX40" s="471"/>
      <c r="MKY40" s="471"/>
      <c r="MKZ40" s="471"/>
      <c r="MLA40" s="471"/>
      <c r="MLB40" s="471"/>
      <c r="MLC40" s="471"/>
      <c r="MLD40" s="471"/>
      <c r="MLE40" s="471"/>
      <c r="MLF40" s="471"/>
      <c r="MLG40" s="471"/>
      <c r="MLH40" s="471"/>
      <c r="MLI40" s="471"/>
      <c r="MLJ40" s="471"/>
      <c r="MLK40" s="471"/>
      <c r="MLL40" s="471"/>
      <c r="MLM40" s="471"/>
      <c r="MLN40" s="471"/>
      <c r="MLO40" s="471"/>
      <c r="MLP40" s="471"/>
      <c r="MLQ40" s="471"/>
      <c r="MLR40" s="471"/>
      <c r="MLS40" s="471"/>
      <c r="MLT40" s="471"/>
      <c r="MLU40" s="471"/>
      <c r="MLV40" s="471"/>
      <c r="MLW40" s="471"/>
      <c r="MLX40" s="471"/>
      <c r="MLY40" s="471"/>
      <c r="MLZ40" s="471"/>
      <c r="MMA40" s="471"/>
      <c r="MMB40" s="471"/>
      <c r="MMC40" s="471"/>
      <c r="MMD40" s="471"/>
      <c r="MME40" s="471"/>
      <c r="MMF40" s="471"/>
      <c r="MMG40" s="471"/>
      <c r="MMH40" s="471"/>
      <c r="MMI40" s="471"/>
      <c r="MMJ40" s="471"/>
      <c r="MMK40" s="471"/>
      <c r="MML40" s="471"/>
      <c r="MMM40" s="471"/>
      <c r="MMN40" s="471"/>
      <c r="MMO40" s="471"/>
      <c r="MMP40" s="471"/>
      <c r="MMQ40" s="471"/>
      <c r="MMR40" s="471"/>
      <c r="MMS40" s="471"/>
      <c r="MMT40" s="471"/>
      <c r="MMU40" s="471"/>
      <c r="MMV40" s="471"/>
      <c r="MMW40" s="471"/>
      <c r="MMX40" s="471"/>
      <c r="MMY40" s="471"/>
      <c r="MMZ40" s="471"/>
      <c r="MNA40" s="471"/>
      <c r="MNB40" s="471"/>
      <c r="MNC40" s="471"/>
      <c r="MND40" s="471"/>
      <c r="MNE40" s="471"/>
      <c r="MNF40" s="471"/>
      <c r="MNG40" s="471"/>
      <c r="MNH40" s="471"/>
      <c r="MNI40" s="471"/>
      <c r="MNJ40" s="471"/>
      <c r="MNK40" s="471"/>
      <c r="MNL40" s="471"/>
      <c r="MNM40" s="471"/>
      <c r="MNN40" s="471"/>
      <c r="MNO40" s="471"/>
      <c r="MNP40" s="471"/>
      <c r="MNQ40" s="471"/>
      <c r="MNR40" s="471"/>
      <c r="MNS40" s="471"/>
      <c r="MNT40" s="471"/>
      <c r="MNU40" s="471"/>
      <c r="MNV40" s="471"/>
      <c r="MNW40" s="471"/>
      <c r="MNX40" s="471"/>
      <c r="MNY40" s="471"/>
      <c r="MNZ40" s="471"/>
      <c r="MOA40" s="471"/>
      <c r="MOB40" s="471"/>
      <c r="MOC40" s="471"/>
      <c r="MOD40" s="471"/>
      <c r="MOE40" s="471"/>
      <c r="MOF40" s="471"/>
      <c r="MOG40" s="471"/>
      <c r="MOH40" s="471"/>
      <c r="MOI40" s="471"/>
      <c r="MOJ40" s="471"/>
      <c r="MOK40" s="471"/>
      <c r="MOL40" s="471"/>
      <c r="MOM40" s="471"/>
      <c r="MON40" s="471"/>
      <c r="MOO40" s="471"/>
      <c r="MOP40" s="471"/>
      <c r="MOQ40" s="471"/>
      <c r="MOR40" s="471"/>
      <c r="MOS40" s="471"/>
      <c r="MOT40" s="471"/>
      <c r="MOU40" s="471"/>
      <c r="MOV40" s="471"/>
      <c r="MOW40" s="471"/>
      <c r="MOX40" s="471"/>
      <c r="MOY40" s="471"/>
      <c r="MOZ40" s="471"/>
      <c r="MPA40" s="471"/>
      <c r="MPB40" s="471"/>
      <c r="MPC40" s="471"/>
      <c r="MPD40" s="471"/>
      <c r="MPE40" s="471"/>
      <c r="MPF40" s="471"/>
      <c r="MPG40" s="471"/>
      <c r="MPH40" s="471"/>
      <c r="MPI40" s="471"/>
      <c r="MPJ40" s="471"/>
      <c r="MPK40" s="471"/>
      <c r="MPL40" s="471"/>
      <c r="MPM40" s="471"/>
      <c r="MPN40" s="471"/>
      <c r="MPO40" s="471"/>
      <c r="MPP40" s="471"/>
      <c r="MPQ40" s="471"/>
      <c r="MPR40" s="471"/>
      <c r="MPS40" s="471"/>
      <c r="MPT40" s="471"/>
      <c r="MPU40" s="471"/>
      <c r="MPV40" s="471"/>
      <c r="MPW40" s="471"/>
      <c r="MPX40" s="471"/>
      <c r="MPY40" s="471"/>
      <c r="MPZ40" s="471"/>
      <c r="MQA40" s="471"/>
      <c r="MQB40" s="471"/>
      <c r="MQC40" s="471"/>
      <c r="MQD40" s="471"/>
      <c r="MQE40" s="471"/>
      <c r="MQF40" s="471"/>
      <c r="MQG40" s="471"/>
      <c r="MQH40" s="471"/>
      <c r="MQI40" s="471"/>
      <c r="MQJ40" s="471"/>
      <c r="MQK40" s="471"/>
      <c r="MQL40" s="471"/>
      <c r="MQM40" s="471"/>
      <c r="MQN40" s="471"/>
      <c r="MQO40" s="471"/>
      <c r="MQP40" s="471"/>
      <c r="MQQ40" s="471"/>
      <c r="MQR40" s="471"/>
      <c r="MQS40" s="471"/>
      <c r="MQT40" s="471"/>
      <c r="MQU40" s="471"/>
      <c r="MQV40" s="471"/>
      <c r="MQW40" s="471"/>
      <c r="MQX40" s="471"/>
      <c r="MQY40" s="471"/>
      <c r="MQZ40" s="471"/>
      <c r="MRA40" s="471"/>
      <c r="MRB40" s="471"/>
      <c r="MRC40" s="471"/>
      <c r="MRD40" s="471"/>
      <c r="MRE40" s="471"/>
      <c r="MRF40" s="471"/>
      <c r="MRG40" s="471"/>
      <c r="MRH40" s="471"/>
      <c r="MRI40" s="471"/>
      <c r="MRJ40" s="471"/>
      <c r="MRK40" s="471"/>
      <c r="MRL40" s="471"/>
      <c r="MRM40" s="471"/>
      <c r="MRN40" s="471"/>
      <c r="MRO40" s="471"/>
      <c r="MRP40" s="471"/>
      <c r="MRQ40" s="471"/>
      <c r="MRR40" s="471"/>
      <c r="MRS40" s="471"/>
      <c r="MRT40" s="471"/>
      <c r="MRU40" s="471"/>
      <c r="MRV40" s="471"/>
      <c r="MRW40" s="471"/>
      <c r="MRX40" s="471"/>
      <c r="MRY40" s="471"/>
      <c r="MRZ40" s="471"/>
      <c r="MSA40" s="471"/>
      <c r="MSB40" s="471"/>
      <c r="MSC40" s="471"/>
      <c r="MSD40" s="471"/>
      <c r="MSE40" s="471"/>
      <c r="MSF40" s="471"/>
      <c r="MSG40" s="471"/>
      <c r="MSH40" s="471"/>
      <c r="MSI40" s="471"/>
      <c r="MSJ40" s="471"/>
      <c r="MSK40" s="471"/>
      <c r="MSL40" s="471"/>
      <c r="MSM40" s="471"/>
      <c r="MSN40" s="471"/>
      <c r="MSO40" s="471"/>
      <c r="MSP40" s="471"/>
      <c r="MSQ40" s="471"/>
      <c r="MSR40" s="471"/>
      <c r="MSS40" s="471"/>
      <c r="MST40" s="471"/>
      <c r="MSU40" s="471"/>
      <c r="MSV40" s="471"/>
      <c r="MSW40" s="471"/>
      <c r="MSX40" s="471"/>
      <c r="MSY40" s="471"/>
      <c r="MSZ40" s="471"/>
      <c r="MTA40" s="471"/>
      <c r="MTB40" s="471"/>
      <c r="MTC40" s="471"/>
      <c r="MTD40" s="471"/>
      <c r="MTE40" s="471"/>
      <c r="MTF40" s="471"/>
      <c r="MTG40" s="471"/>
      <c r="MTH40" s="471"/>
      <c r="MTI40" s="471"/>
      <c r="MTJ40" s="471"/>
      <c r="MTK40" s="471"/>
      <c r="MTL40" s="471"/>
      <c r="MTM40" s="471"/>
      <c r="MTN40" s="471"/>
      <c r="MTO40" s="471"/>
      <c r="MTP40" s="471"/>
      <c r="MTQ40" s="471"/>
      <c r="MTR40" s="471"/>
      <c r="MTS40" s="471"/>
      <c r="MTT40" s="471"/>
      <c r="MTU40" s="471"/>
      <c r="MTV40" s="471"/>
      <c r="MTW40" s="471"/>
      <c r="MTX40" s="471"/>
      <c r="MTY40" s="471"/>
      <c r="MTZ40" s="471"/>
      <c r="MUA40" s="471"/>
      <c r="MUB40" s="471"/>
      <c r="MUC40" s="471"/>
      <c r="MUD40" s="471"/>
      <c r="MUE40" s="471"/>
      <c r="MUF40" s="471"/>
      <c r="MUG40" s="471"/>
      <c r="MUH40" s="471"/>
      <c r="MUI40" s="471"/>
      <c r="MUJ40" s="471"/>
      <c r="MUK40" s="471"/>
      <c r="MUL40" s="471"/>
      <c r="MUM40" s="471"/>
      <c r="MUN40" s="471"/>
      <c r="MUO40" s="471"/>
      <c r="MUP40" s="471"/>
      <c r="MUQ40" s="471"/>
      <c r="MUR40" s="471"/>
      <c r="MUS40" s="471"/>
      <c r="MUT40" s="471"/>
      <c r="MUU40" s="471"/>
      <c r="MUV40" s="471"/>
      <c r="MUW40" s="471"/>
      <c r="MUX40" s="471"/>
      <c r="MUY40" s="471"/>
      <c r="MUZ40" s="471"/>
      <c r="MVA40" s="471"/>
      <c r="MVB40" s="471"/>
      <c r="MVC40" s="471"/>
      <c r="MVD40" s="471"/>
      <c r="MVE40" s="471"/>
      <c r="MVF40" s="471"/>
      <c r="MVG40" s="471"/>
      <c r="MVH40" s="471"/>
      <c r="MVI40" s="471"/>
      <c r="MVJ40" s="471"/>
      <c r="MVK40" s="471"/>
      <c r="MVL40" s="471"/>
      <c r="MVM40" s="471"/>
      <c r="MVN40" s="471"/>
      <c r="MVO40" s="471"/>
      <c r="MVP40" s="471"/>
      <c r="MVQ40" s="471"/>
      <c r="MVR40" s="471"/>
      <c r="MVS40" s="471"/>
      <c r="MVT40" s="471"/>
      <c r="MVU40" s="471"/>
      <c r="MVV40" s="471"/>
      <c r="MVW40" s="471"/>
      <c r="MVX40" s="471"/>
      <c r="MVY40" s="471"/>
      <c r="MVZ40" s="471"/>
      <c r="MWA40" s="471"/>
      <c r="MWB40" s="471"/>
      <c r="MWC40" s="471"/>
      <c r="MWD40" s="471"/>
      <c r="MWE40" s="471"/>
      <c r="MWF40" s="471"/>
      <c r="MWG40" s="471"/>
      <c r="MWH40" s="471"/>
      <c r="MWI40" s="471"/>
      <c r="MWJ40" s="471"/>
      <c r="MWK40" s="471"/>
      <c r="MWL40" s="471"/>
      <c r="MWM40" s="471"/>
      <c r="MWN40" s="471"/>
      <c r="MWO40" s="471"/>
      <c r="MWP40" s="471"/>
      <c r="MWQ40" s="471"/>
      <c r="MWR40" s="471"/>
      <c r="MWS40" s="471"/>
      <c r="MWT40" s="471"/>
      <c r="MWU40" s="471"/>
      <c r="MWV40" s="471"/>
      <c r="MWW40" s="471"/>
      <c r="MWX40" s="471"/>
      <c r="MWY40" s="471"/>
      <c r="MWZ40" s="471"/>
      <c r="MXA40" s="471"/>
      <c r="MXB40" s="471"/>
      <c r="MXC40" s="471"/>
      <c r="MXD40" s="471"/>
      <c r="MXE40" s="471"/>
      <c r="MXF40" s="471"/>
      <c r="MXG40" s="471"/>
      <c r="MXH40" s="471"/>
      <c r="MXI40" s="471"/>
      <c r="MXJ40" s="471"/>
      <c r="MXK40" s="471"/>
      <c r="MXL40" s="471"/>
      <c r="MXM40" s="471"/>
      <c r="MXN40" s="471"/>
      <c r="MXO40" s="471"/>
      <c r="MXP40" s="471"/>
      <c r="MXQ40" s="471"/>
      <c r="MXR40" s="471"/>
      <c r="MXS40" s="471"/>
      <c r="MXT40" s="471"/>
      <c r="MXU40" s="471"/>
      <c r="MXV40" s="471"/>
      <c r="MXW40" s="471"/>
      <c r="MXX40" s="471"/>
      <c r="MXY40" s="471"/>
      <c r="MXZ40" s="471"/>
      <c r="MYA40" s="471"/>
      <c r="MYB40" s="471"/>
      <c r="MYC40" s="471"/>
      <c r="MYD40" s="471"/>
      <c r="MYE40" s="471"/>
      <c r="MYF40" s="471"/>
      <c r="MYG40" s="471"/>
      <c r="MYH40" s="471"/>
      <c r="MYI40" s="471"/>
      <c r="MYJ40" s="471"/>
      <c r="MYK40" s="471"/>
      <c r="MYL40" s="471"/>
      <c r="MYM40" s="471"/>
      <c r="MYN40" s="471"/>
      <c r="MYO40" s="471"/>
      <c r="MYP40" s="471"/>
      <c r="MYQ40" s="471"/>
      <c r="MYR40" s="471"/>
      <c r="MYS40" s="471"/>
      <c r="MYT40" s="471"/>
      <c r="MYU40" s="471"/>
      <c r="MYV40" s="471"/>
      <c r="MYW40" s="471"/>
      <c r="MYX40" s="471"/>
      <c r="MYY40" s="471"/>
      <c r="MYZ40" s="471"/>
      <c r="MZA40" s="471"/>
      <c r="MZB40" s="471"/>
      <c r="MZC40" s="471"/>
      <c r="MZD40" s="471"/>
      <c r="MZE40" s="471"/>
      <c r="MZF40" s="471"/>
      <c r="MZG40" s="471"/>
      <c r="MZH40" s="471"/>
      <c r="MZI40" s="471"/>
      <c r="MZJ40" s="471"/>
      <c r="MZK40" s="471"/>
      <c r="MZL40" s="471"/>
      <c r="MZM40" s="471"/>
      <c r="MZN40" s="471"/>
      <c r="MZO40" s="471"/>
      <c r="MZP40" s="471"/>
      <c r="MZQ40" s="471"/>
      <c r="MZR40" s="471"/>
      <c r="MZS40" s="471"/>
      <c r="MZT40" s="471"/>
      <c r="MZU40" s="471"/>
      <c r="MZV40" s="471"/>
      <c r="MZW40" s="471"/>
      <c r="MZX40" s="471"/>
      <c r="MZY40" s="471"/>
      <c r="MZZ40" s="471"/>
      <c r="NAA40" s="471"/>
      <c r="NAB40" s="471"/>
      <c r="NAC40" s="471"/>
      <c r="NAD40" s="471"/>
      <c r="NAE40" s="471"/>
      <c r="NAF40" s="471"/>
      <c r="NAG40" s="471"/>
      <c r="NAH40" s="471"/>
      <c r="NAI40" s="471"/>
      <c r="NAJ40" s="471"/>
      <c r="NAK40" s="471"/>
      <c r="NAL40" s="471"/>
      <c r="NAM40" s="471"/>
      <c r="NAN40" s="471"/>
      <c r="NAO40" s="471"/>
      <c r="NAP40" s="471"/>
      <c r="NAQ40" s="471"/>
      <c r="NAR40" s="471"/>
      <c r="NAS40" s="471"/>
      <c r="NAT40" s="471"/>
      <c r="NAU40" s="471"/>
      <c r="NAV40" s="471"/>
      <c r="NAW40" s="471"/>
      <c r="NAX40" s="471"/>
      <c r="NAY40" s="471"/>
      <c r="NAZ40" s="471"/>
      <c r="NBA40" s="471"/>
      <c r="NBB40" s="471"/>
      <c r="NBC40" s="471"/>
      <c r="NBD40" s="471"/>
      <c r="NBE40" s="471"/>
      <c r="NBF40" s="471"/>
      <c r="NBG40" s="471"/>
      <c r="NBH40" s="471"/>
      <c r="NBI40" s="471"/>
      <c r="NBJ40" s="471"/>
      <c r="NBK40" s="471"/>
      <c r="NBL40" s="471"/>
      <c r="NBM40" s="471"/>
      <c r="NBN40" s="471"/>
      <c r="NBO40" s="471"/>
      <c r="NBP40" s="471"/>
      <c r="NBQ40" s="471"/>
      <c r="NBR40" s="471"/>
      <c r="NBS40" s="471"/>
      <c r="NBT40" s="471"/>
      <c r="NBU40" s="471"/>
      <c r="NBV40" s="471"/>
      <c r="NBW40" s="471"/>
      <c r="NBX40" s="471"/>
      <c r="NBY40" s="471"/>
      <c r="NBZ40" s="471"/>
      <c r="NCA40" s="471"/>
      <c r="NCB40" s="471"/>
      <c r="NCC40" s="471"/>
      <c r="NCD40" s="471"/>
      <c r="NCE40" s="471"/>
      <c r="NCF40" s="471"/>
      <c r="NCG40" s="471"/>
      <c r="NCH40" s="471"/>
      <c r="NCI40" s="471"/>
      <c r="NCJ40" s="471"/>
      <c r="NCK40" s="471"/>
      <c r="NCL40" s="471"/>
      <c r="NCM40" s="471"/>
      <c r="NCN40" s="471"/>
      <c r="NCO40" s="471"/>
      <c r="NCP40" s="471"/>
      <c r="NCQ40" s="471"/>
      <c r="NCR40" s="471"/>
      <c r="NCS40" s="471"/>
      <c r="NCT40" s="471"/>
      <c r="NCU40" s="471"/>
      <c r="NCV40" s="471"/>
      <c r="NCW40" s="471"/>
      <c r="NCX40" s="471"/>
      <c r="NCY40" s="471"/>
      <c r="NCZ40" s="471"/>
      <c r="NDA40" s="471"/>
      <c r="NDB40" s="471"/>
      <c r="NDC40" s="471"/>
      <c r="NDD40" s="471"/>
      <c r="NDE40" s="471"/>
      <c r="NDF40" s="471"/>
      <c r="NDG40" s="471"/>
      <c r="NDH40" s="471"/>
      <c r="NDI40" s="471"/>
      <c r="NDJ40" s="471"/>
      <c r="NDK40" s="471"/>
      <c r="NDL40" s="471"/>
      <c r="NDM40" s="471"/>
      <c r="NDN40" s="471"/>
      <c r="NDO40" s="471"/>
      <c r="NDP40" s="471"/>
      <c r="NDQ40" s="471"/>
      <c r="NDR40" s="471"/>
      <c r="NDS40" s="471"/>
      <c r="NDT40" s="471"/>
      <c r="NDU40" s="471"/>
      <c r="NDV40" s="471"/>
      <c r="NDW40" s="471"/>
      <c r="NDX40" s="471"/>
      <c r="NDY40" s="471"/>
      <c r="NDZ40" s="471"/>
      <c r="NEA40" s="471"/>
      <c r="NEB40" s="471"/>
      <c r="NEC40" s="471"/>
      <c r="NED40" s="471"/>
      <c r="NEE40" s="471"/>
      <c r="NEF40" s="471"/>
      <c r="NEG40" s="471"/>
      <c r="NEH40" s="471"/>
      <c r="NEI40" s="471"/>
      <c r="NEJ40" s="471"/>
      <c r="NEK40" s="471"/>
      <c r="NEL40" s="471"/>
      <c r="NEM40" s="471"/>
      <c r="NEN40" s="471"/>
      <c r="NEO40" s="471"/>
      <c r="NEP40" s="471"/>
      <c r="NEQ40" s="471"/>
      <c r="NER40" s="471"/>
      <c r="NES40" s="471"/>
      <c r="NET40" s="471"/>
      <c r="NEU40" s="471"/>
      <c r="NEV40" s="471"/>
      <c r="NEW40" s="471"/>
      <c r="NEX40" s="471"/>
      <c r="NEY40" s="471"/>
      <c r="NEZ40" s="471"/>
      <c r="NFA40" s="471"/>
      <c r="NFB40" s="471"/>
      <c r="NFC40" s="471"/>
      <c r="NFD40" s="471"/>
      <c r="NFE40" s="471"/>
      <c r="NFF40" s="471"/>
      <c r="NFG40" s="471"/>
      <c r="NFH40" s="471"/>
      <c r="NFI40" s="471"/>
      <c r="NFJ40" s="471"/>
      <c r="NFK40" s="471"/>
      <c r="NFL40" s="471"/>
      <c r="NFM40" s="471"/>
      <c r="NFN40" s="471"/>
      <c r="NFO40" s="471"/>
      <c r="NFP40" s="471"/>
      <c r="NFQ40" s="471"/>
      <c r="NFR40" s="471"/>
      <c r="NFS40" s="471"/>
      <c r="NFT40" s="471"/>
      <c r="NFU40" s="471"/>
      <c r="NFV40" s="471"/>
      <c r="NFW40" s="471"/>
      <c r="NFX40" s="471"/>
      <c r="NFY40" s="471"/>
      <c r="NFZ40" s="471"/>
      <c r="NGA40" s="471"/>
      <c r="NGB40" s="471"/>
      <c r="NGC40" s="471"/>
      <c r="NGD40" s="471"/>
      <c r="NGE40" s="471"/>
      <c r="NGF40" s="471"/>
      <c r="NGG40" s="471"/>
      <c r="NGH40" s="471"/>
      <c r="NGI40" s="471"/>
      <c r="NGJ40" s="471"/>
      <c r="NGK40" s="471"/>
      <c r="NGL40" s="471"/>
      <c r="NGM40" s="471"/>
      <c r="NGN40" s="471"/>
      <c r="NGO40" s="471"/>
      <c r="NGP40" s="471"/>
      <c r="NGQ40" s="471"/>
      <c r="NGR40" s="471"/>
      <c r="NGS40" s="471"/>
      <c r="NGT40" s="471"/>
      <c r="NGU40" s="471"/>
      <c r="NGV40" s="471"/>
      <c r="NGW40" s="471"/>
      <c r="NGX40" s="471"/>
      <c r="NGY40" s="471"/>
      <c r="NGZ40" s="471"/>
      <c r="NHA40" s="471"/>
      <c r="NHB40" s="471"/>
      <c r="NHC40" s="471"/>
      <c r="NHD40" s="471"/>
      <c r="NHE40" s="471"/>
      <c r="NHF40" s="471"/>
      <c r="NHG40" s="471"/>
      <c r="NHH40" s="471"/>
      <c r="NHI40" s="471"/>
      <c r="NHJ40" s="471"/>
      <c r="NHK40" s="471"/>
      <c r="NHL40" s="471"/>
      <c r="NHM40" s="471"/>
      <c r="NHN40" s="471"/>
      <c r="NHO40" s="471"/>
      <c r="NHP40" s="471"/>
      <c r="NHQ40" s="471"/>
      <c r="NHR40" s="471"/>
      <c r="NHS40" s="471"/>
      <c r="NHT40" s="471"/>
      <c r="NHU40" s="471"/>
      <c r="NHV40" s="471"/>
      <c r="NHW40" s="471"/>
      <c r="NHX40" s="471"/>
      <c r="NHY40" s="471"/>
      <c r="NHZ40" s="471"/>
      <c r="NIA40" s="471"/>
      <c r="NIB40" s="471"/>
      <c r="NIC40" s="471"/>
      <c r="NID40" s="471"/>
      <c r="NIE40" s="471"/>
      <c r="NIF40" s="471"/>
      <c r="NIG40" s="471"/>
      <c r="NIH40" s="471"/>
      <c r="NII40" s="471"/>
      <c r="NIJ40" s="471"/>
      <c r="NIK40" s="471"/>
      <c r="NIL40" s="471"/>
      <c r="NIM40" s="471"/>
      <c r="NIN40" s="471"/>
      <c r="NIO40" s="471"/>
      <c r="NIP40" s="471"/>
      <c r="NIQ40" s="471"/>
      <c r="NIR40" s="471"/>
      <c r="NIS40" s="471"/>
      <c r="NIT40" s="471"/>
      <c r="NIU40" s="471"/>
      <c r="NIV40" s="471"/>
      <c r="NIW40" s="471"/>
      <c r="NIX40" s="471"/>
      <c r="NIY40" s="471"/>
      <c r="NIZ40" s="471"/>
      <c r="NJA40" s="471"/>
      <c r="NJB40" s="471"/>
      <c r="NJC40" s="471"/>
      <c r="NJD40" s="471"/>
      <c r="NJE40" s="471"/>
      <c r="NJF40" s="471"/>
      <c r="NJG40" s="471"/>
      <c r="NJH40" s="471"/>
      <c r="NJI40" s="471"/>
      <c r="NJJ40" s="471"/>
      <c r="NJK40" s="471"/>
      <c r="NJL40" s="471"/>
      <c r="NJM40" s="471"/>
      <c r="NJN40" s="471"/>
      <c r="NJO40" s="471"/>
      <c r="NJP40" s="471"/>
      <c r="NJQ40" s="471"/>
      <c r="NJR40" s="471"/>
      <c r="NJS40" s="471"/>
      <c r="NJT40" s="471"/>
      <c r="NJU40" s="471"/>
      <c r="NJV40" s="471"/>
      <c r="NJW40" s="471"/>
      <c r="NJX40" s="471"/>
      <c r="NJY40" s="471"/>
      <c r="NJZ40" s="471"/>
      <c r="NKA40" s="471"/>
      <c r="NKB40" s="471"/>
      <c r="NKC40" s="471"/>
      <c r="NKD40" s="471"/>
      <c r="NKE40" s="471"/>
      <c r="NKF40" s="471"/>
      <c r="NKG40" s="471"/>
      <c r="NKH40" s="471"/>
      <c r="NKI40" s="471"/>
      <c r="NKJ40" s="471"/>
      <c r="NKK40" s="471"/>
      <c r="NKL40" s="471"/>
      <c r="NKM40" s="471"/>
      <c r="NKN40" s="471"/>
      <c r="NKO40" s="471"/>
      <c r="NKP40" s="471"/>
      <c r="NKQ40" s="471"/>
      <c r="NKR40" s="471"/>
      <c r="NKS40" s="471"/>
      <c r="NKT40" s="471"/>
      <c r="NKU40" s="471"/>
      <c r="NKV40" s="471"/>
      <c r="NKW40" s="471"/>
      <c r="NKX40" s="471"/>
      <c r="NKY40" s="471"/>
      <c r="NKZ40" s="471"/>
      <c r="NLA40" s="471"/>
      <c r="NLB40" s="471"/>
      <c r="NLC40" s="471"/>
      <c r="NLD40" s="471"/>
      <c r="NLE40" s="471"/>
      <c r="NLF40" s="471"/>
      <c r="NLG40" s="471"/>
      <c r="NLH40" s="471"/>
      <c r="NLI40" s="471"/>
      <c r="NLJ40" s="471"/>
      <c r="NLK40" s="471"/>
      <c r="NLL40" s="471"/>
      <c r="NLM40" s="471"/>
      <c r="NLN40" s="471"/>
      <c r="NLO40" s="471"/>
      <c r="NLP40" s="471"/>
      <c r="NLQ40" s="471"/>
      <c r="NLR40" s="471"/>
      <c r="NLS40" s="471"/>
      <c r="NLT40" s="471"/>
      <c r="NLU40" s="471"/>
      <c r="NLV40" s="471"/>
      <c r="NLW40" s="471"/>
      <c r="NLX40" s="471"/>
      <c r="NLY40" s="471"/>
      <c r="NLZ40" s="471"/>
      <c r="NMA40" s="471"/>
      <c r="NMB40" s="471"/>
      <c r="NMC40" s="471"/>
      <c r="NMD40" s="471"/>
      <c r="NME40" s="471"/>
      <c r="NMF40" s="471"/>
      <c r="NMG40" s="471"/>
      <c r="NMH40" s="471"/>
      <c r="NMI40" s="471"/>
      <c r="NMJ40" s="471"/>
      <c r="NMK40" s="471"/>
      <c r="NML40" s="471"/>
      <c r="NMM40" s="471"/>
      <c r="NMN40" s="471"/>
      <c r="NMO40" s="471"/>
      <c r="NMP40" s="471"/>
      <c r="NMQ40" s="471"/>
      <c r="NMR40" s="471"/>
      <c r="NMS40" s="471"/>
      <c r="NMT40" s="471"/>
      <c r="NMU40" s="471"/>
      <c r="NMV40" s="471"/>
      <c r="NMW40" s="471"/>
      <c r="NMX40" s="471"/>
      <c r="NMY40" s="471"/>
      <c r="NMZ40" s="471"/>
      <c r="NNA40" s="471"/>
      <c r="NNB40" s="471"/>
      <c r="NNC40" s="471"/>
      <c r="NND40" s="471"/>
      <c r="NNE40" s="471"/>
      <c r="NNF40" s="471"/>
      <c r="NNG40" s="471"/>
      <c r="NNH40" s="471"/>
      <c r="NNI40" s="471"/>
      <c r="NNJ40" s="471"/>
      <c r="NNK40" s="471"/>
      <c r="NNL40" s="471"/>
      <c r="NNM40" s="471"/>
      <c r="NNN40" s="471"/>
      <c r="NNO40" s="471"/>
      <c r="NNP40" s="471"/>
      <c r="NNQ40" s="471"/>
      <c r="NNR40" s="471"/>
      <c r="NNS40" s="471"/>
      <c r="NNT40" s="471"/>
      <c r="NNU40" s="471"/>
      <c r="NNV40" s="471"/>
      <c r="NNW40" s="471"/>
      <c r="NNX40" s="471"/>
      <c r="NNY40" s="471"/>
      <c r="NNZ40" s="471"/>
      <c r="NOA40" s="471"/>
      <c r="NOB40" s="471"/>
      <c r="NOC40" s="471"/>
      <c r="NOD40" s="471"/>
      <c r="NOE40" s="471"/>
      <c r="NOF40" s="471"/>
      <c r="NOG40" s="471"/>
      <c r="NOH40" s="471"/>
      <c r="NOI40" s="471"/>
      <c r="NOJ40" s="471"/>
      <c r="NOK40" s="471"/>
      <c r="NOL40" s="471"/>
      <c r="NOM40" s="471"/>
      <c r="NON40" s="471"/>
      <c r="NOO40" s="471"/>
      <c r="NOP40" s="471"/>
      <c r="NOQ40" s="471"/>
      <c r="NOR40" s="471"/>
      <c r="NOS40" s="471"/>
      <c r="NOT40" s="471"/>
      <c r="NOU40" s="471"/>
      <c r="NOV40" s="471"/>
      <c r="NOW40" s="471"/>
      <c r="NOX40" s="471"/>
      <c r="NOY40" s="471"/>
      <c r="NOZ40" s="471"/>
      <c r="NPA40" s="471"/>
      <c r="NPB40" s="471"/>
      <c r="NPC40" s="471"/>
      <c r="NPD40" s="471"/>
      <c r="NPE40" s="471"/>
      <c r="NPF40" s="471"/>
      <c r="NPG40" s="471"/>
      <c r="NPH40" s="471"/>
      <c r="NPI40" s="471"/>
      <c r="NPJ40" s="471"/>
      <c r="NPK40" s="471"/>
      <c r="NPL40" s="471"/>
      <c r="NPM40" s="471"/>
      <c r="NPN40" s="471"/>
      <c r="NPO40" s="471"/>
      <c r="NPP40" s="471"/>
      <c r="NPQ40" s="471"/>
      <c r="NPR40" s="471"/>
      <c r="NPS40" s="471"/>
      <c r="NPT40" s="471"/>
      <c r="NPU40" s="471"/>
      <c r="NPV40" s="471"/>
      <c r="NPW40" s="471"/>
      <c r="NPX40" s="471"/>
      <c r="NPY40" s="471"/>
      <c r="NPZ40" s="471"/>
      <c r="NQA40" s="471"/>
      <c r="NQB40" s="471"/>
      <c r="NQC40" s="471"/>
      <c r="NQD40" s="471"/>
      <c r="NQE40" s="471"/>
      <c r="NQF40" s="471"/>
      <c r="NQG40" s="471"/>
      <c r="NQH40" s="471"/>
      <c r="NQI40" s="471"/>
      <c r="NQJ40" s="471"/>
      <c r="NQK40" s="471"/>
      <c r="NQL40" s="471"/>
      <c r="NQM40" s="471"/>
      <c r="NQN40" s="471"/>
      <c r="NQO40" s="471"/>
      <c r="NQP40" s="471"/>
      <c r="NQQ40" s="471"/>
      <c r="NQR40" s="471"/>
      <c r="NQS40" s="471"/>
      <c r="NQT40" s="471"/>
      <c r="NQU40" s="471"/>
      <c r="NQV40" s="471"/>
      <c r="NQW40" s="471"/>
      <c r="NQX40" s="471"/>
      <c r="NQY40" s="471"/>
      <c r="NQZ40" s="471"/>
      <c r="NRA40" s="471"/>
      <c r="NRB40" s="471"/>
      <c r="NRC40" s="471"/>
      <c r="NRD40" s="471"/>
      <c r="NRE40" s="471"/>
      <c r="NRF40" s="471"/>
      <c r="NRG40" s="471"/>
      <c r="NRH40" s="471"/>
      <c r="NRI40" s="471"/>
      <c r="NRJ40" s="471"/>
      <c r="NRK40" s="471"/>
      <c r="NRL40" s="471"/>
      <c r="NRM40" s="471"/>
      <c r="NRN40" s="471"/>
      <c r="NRO40" s="471"/>
      <c r="NRP40" s="471"/>
      <c r="NRQ40" s="471"/>
      <c r="NRR40" s="471"/>
      <c r="NRS40" s="471"/>
      <c r="NRT40" s="471"/>
      <c r="NRU40" s="471"/>
      <c r="NRV40" s="471"/>
      <c r="NRW40" s="471"/>
      <c r="NRX40" s="471"/>
      <c r="NRY40" s="471"/>
      <c r="NRZ40" s="471"/>
      <c r="NSA40" s="471"/>
      <c r="NSB40" s="471"/>
      <c r="NSC40" s="471"/>
      <c r="NSD40" s="471"/>
      <c r="NSE40" s="471"/>
      <c r="NSF40" s="471"/>
      <c r="NSG40" s="471"/>
      <c r="NSH40" s="471"/>
      <c r="NSI40" s="471"/>
      <c r="NSJ40" s="471"/>
      <c r="NSK40" s="471"/>
      <c r="NSL40" s="471"/>
      <c r="NSM40" s="471"/>
      <c r="NSN40" s="471"/>
      <c r="NSO40" s="471"/>
      <c r="NSP40" s="471"/>
      <c r="NSQ40" s="471"/>
      <c r="NSR40" s="471"/>
      <c r="NSS40" s="471"/>
      <c r="NST40" s="471"/>
      <c r="NSU40" s="471"/>
      <c r="NSV40" s="471"/>
      <c r="NSW40" s="471"/>
      <c r="NSX40" s="471"/>
      <c r="NSY40" s="471"/>
      <c r="NSZ40" s="471"/>
      <c r="NTA40" s="471"/>
      <c r="NTB40" s="471"/>
      <c r="NTC40" s="471"/>
      <c r="NTD40" s="471"/>
      <c r="NTE40" s="471"/>
      <c r="NTF40" s="471"/>
      <c r="NTG40" s="471"/>
      <c r="NTH40" s="471"/>
      <c r="NTI40" s="471"/>
      <c r="NTJ40" s="471"/>
      <c r="NTK40" s="471"/>
      <c r="NTL40" s="471"/>
      <c r="NTM40" s="471"/>
      <c r="NTN40" s="471"/>
      <c r="NTO40" s="471"/>
      <c r="NTP40" s="471"/>
      <c r="NTQ40" s="471"/>
      <c r="NTR40" s="471"/>
      <c r="NTS40" s="471"/>
      <c r="NTT40" s="471"/>
      <c r="NTU40" s="471"/>
      <c r="NTV40" s="471"/>
      <c r="NTW40" s="471"/>
      <c r="NTX40" s="471"/>
      <c r="NTY40" s="471"/>
      <c r="NTZ40" s="471"/>
      <c r="NUA40" s="471"/>
      <c r="NUB40" s="471"/>
      <c r="NUC40" s="471"/>
      <c r="NUD40" s="471"/>
      <c r="NUE40" s="471"/>
      <c r="NUF40" s="471"/>
      <c r="NUG40" s="471"/>
      <c r="NUH40" s="471"/>
      <c r="NUI40" s="471"/>
      <c r="NUJ40" s="471"/>
      <c r="NUK40" s="471"/>
      <c r="NUL40" s="471"/>
      <c r="NUM40" s="471"/>
      <c r="NUN40" s="471"/>
      <c r="NUO40" s="471"/>
      <c r="NUP40" s="471"/>
      <c r="NUQ40" s="471"/>
      <c r="NUR40" s="471"/>
      <c r="NUS40" s="471"/>
      <c r="NUT40" s="471"/>
      <c r="NUU40" s="471"/>
      <c r="NUV40" s="471"/>
      <c r="NUW40" s="471"/>
      <c r="NUX40" s="471"/>
      <c r="NUY40" s="471"/>
      <c r="NUZ40" s="471"/>
      <c r="NVA40" s="471"/>
      <c r="NVB40" s="471"/>
      <c r="NVC40" s="471"/>
      <c r="NVD40" s="471"/>
      <c r="NVE40" s="471"/>
      <c r="NVF40" s="471"/>
      <c r="NVG40" s="471"/>
      <c r="NVH40" s="471"/>
      <c r="NVI40" s="471"/>
      <c r="NVJ40" s="471"/>
      <c r="NVK40" s="471"/>
      <c r="NVL40" s="471"/>
      <c r="NVM40" s="471"/>
      <c r="NVN40" s="471"/>
      <c r="NVO40" s="471"/>
      <c r="NVP40" s="471"/>
      <c r="NVQ40" s="471"/>
      <c r="NVR40" s="471"/>
      <c r="NVS40" s="471"/>
      <c r="NVT40" s="471"/>
      <c r="NVU40" s="471"/>
      <c r="NVV40" s="471"/>
      <c r="NVW40" s="471"/>
      <c r="NVX40" s="471"/>
      <c r="NVY40" s="471"/>
      <c r="NVZ40" s="471"/>
      <c r="NWA40" s="471"/>
      <c r="NWB40" s="471"/>
      <c r="NWC40" s="471"/>
      <c r="NWD40" s="471"/>
      <c r="NWE40" s="471"/>
      <c r="NWF40" s="471"/>
      <c r="NWG40" s="471"/>
      <c r="NWH40" s="471"/>
      <c r="NWI40" s="471"/>
      <c r="NWJ40" s="471"/>
      <c r="NWK40" s="471"/>
      <c r="NWL40" s="471"/>
      <c r="NWM40" s="471"/>
      <c r="NWN40" s="471"/>
      <c r="NWO40" s="471"/>
      <c r="NWP40" s="471"/>
      <c r="NWQ40" s="471"/>
      <c r="NWR40" s="471"/>
      <c r="NWS40" s="471"/>
      <c r="NWT40" s="471"/>
      <c r="NWU40" s="471"/>
      <c r="NWV40" s="471"/>
      <c r="NWW40" s="471"/>
      <c r="NWX40" s="471"/>
      <c r="NWY40" s="471"/>
      <c r="NWZ40" s="471"/>
      <c r="NXA40" s="471"/>
      <c r="NXB40" s="471"/>
      <c r="NXC40" s="471"/>
      <c r="NXD40" s="471"/>
      <c r="NXE40" s="471"/>
      <c r="NXF40" s="471"/>
      <c r="NXG40" s="471"/>
      <c r="NXH40" s="471"/>
      <c r="NXI40" s="471"/>
      <c r="NXJ40" s="471"/>
      <c r="NXK40" s="471"/>
      <c r="NXL40" s="471"/>
      <c r="NXM40" s="471"/>
      <c r="NXN40" s="471"/>
      <c r="NXO40" s="471"/>
      <c r="NXP40" s="471"/>
      <c r="NXQ40" s="471"/>
      <c r="NXR40" s="471"/>
      <c r="NXS40" s="471"/>
      <c r="NXT40" s="471"/>
      <c r="NXU40" s="471"/>
      <c r="NXV40" s="471"/>
      <c r="NXW40" s="471"/>
      <c r="NXX40" s="471"/>
      <c r="NXY40" s="471"/>
      <c r="NXZ40" s="471"/>
      <c r="NYA40" s="471"/>
      <c r="NYB40" s="471"/>
      <c r="NYC40" s="471"/>
      <c r="NYD40" s="471"/>
      <c r="NYE40" s="471"/>
      <c r="NYF40" s="471"/>
      <c r="NYG40" s="471"/>
      <c r="NYH40" s="471"/>
      <c r="NYI40" s="471"/>
      <c r="NYJ40" s="471"/>
      <c r="NYK40" s="471"/>
      <c r="NYL40" s="471"/>
      <c r="NYM40" s="471"/>
      <c r="NYN40" s="471"/>
      <c r="NYO40" s="471"/>
      <c r="NYP40" s="471"/>
      <c r="NYQ40" s="471"/>
      <c r="NYR40" s="471"/>
      <c r="NYS40" s="471"/>
      <c r="NYT40" s="471"/>
      <c r="NYU40" s="471"/>
      <c r="NYV40" s="471"/>
      <c r="NYW40" s="471"/>
      <c r="NYX40" s="471"/>
      <c r="NYY40" s="471"/>
      <c r="NYZ40" s="471"/>
      <c r="NZA40" s="471"/>
      <c r="NZB40" s="471"/>
      <c r="NZC40" s="471"/>
      <c r="NZD40" s="471"/>
      <c r="NZE40" s="471"/>
      <c r="NZF40" s="471"/>
      <c r="NZG40" s="471"/>
      <c r="NZH40" s="471"/>
      <c r="NZI40" s="471"/>
      <c r="NZJ40" s="471"/>
      <c r="NZK40" s="471"/>
      <c r="NZL40" s="471"/>
      <c r="NZM40" s="471"/>
      <c r="NZN40" s="471"/>
      <c r="NZO40" s="471"/>
      <c r="NZP40" s="471"/>
      <c r="NZQ40" s="471"/>
      <c r="NZR40" s="471"/>
      <c r="NZS40" s="471"/>
      <c r="NZT40" s="471"/>
      <c r="NZU40" s="471"/>
      <c r="NZV40" s="471"/>
      <c r="NZW40" s="471"/>
      <c r="NZX40" s="471"/>
      <c r="NZY40" s="471"/>
      <c r="NZZ40" s="471"/>
      <c r="OAA40" s="471"/>
      <c r="OAB40" s="471"/>
      <c r="OAC40" s="471"/>
      <c r="OAD40" s="471"/>
      <c r="OAE40" s="471"/>
      <c r="OAF40" s="471"/>
      <c r="OAG40" s="471"/>
      <c r="OAH40" s="471"/>
      <c r="OAI40" s="471"/>
      <c r="OAJ40" s="471"/>
      <c r="OAK40" s="471"/>
      <c r="OAL40" s="471"/>
      <c r="OAM40" s="471"/>
      <c r="OAN40" s="471"/>
      <c r="OAO40" s="471"/>
      <c r="OAP40" s="471"/>
      <c r="OAQ40" s="471"/>
      <c r="OAR40" s="471"/>
      <c r="OAS40" s="471"/>
      <c r="OAT40" s="471"/>
      <c r="OAU40" s="471"/>
      <c r="OAV40" s="471"/>
      <c r="OAW40" s="471"/>
      <c r="OAX40" s="471"/>
      <c r="OAY40" s="471"/>
      <c r="OAZ40" s="471"/>
      <c r="OBA40" s="471"/>
      <c r="OBB40" s="471"/>
      <c r="OBC40" s="471"/>
      <c r="OBD40" s="471"/>
      <c r="OBE40" s="471"/>
      <c r="OBF40" s="471"/>
      <c r="OBG40" s="471"/>
      <c r="OBH40" s="471"/>
      <c r="OBI40" s="471"/>
      <c r="OBJ40" s="471"/>
      <c r="OBK40" s="471"/>
      <c r="OBL40" s="471"/>
      <c r="OBM40" s="471"/>
      <c r="OBN40" s="471"/>
      <c r="OBO40" s="471"/>
      <c r="OBP40" s="471"/>
      <c r="OBQ40" s="471"/>
      <c r="OBR40" s="471"/>
      <c r="OBS40" s="471"/>
      <c r="OBT40" s="471"/>
      <c r="OBU40" s="471"/>
      <c r="OBV40" s="471"/>
      <c r="OBW40" s="471"/>
      <c r="OBX40" s="471"/>
      <c r="OBY40" s="471"/>
      <c r="OBZ40" s="471"/>
      <c r="OCA40" s="471"/>
      <c r="OCB40" s="471"/>
      <c r="OCC40" s="471"/>
      <c r="OCD40" s="471"/>
      <c r="OCE40" s="471"/>
      <c r="OCF40" s="471"/>
      <c r="OCG40" s="471"/>
      <c r="OCH40" s="471"/>
      <c r="OCI40" s="471"/>
      <c r="OCJ40" s="471"/>
      <c r="OCK40" s="471"/>
      <c r="OCL40" s="471"/>
      <c r="OCM40" s="471"/>
      <c r="OCN40" s="471"/>
      <c r="OCO40" s="471"/>
      <c r="OCP40" s="471"/>
      <c r="OCQ40" s="471"/>
      <c r="OCR40" s="471"/>
      <c r="OCS40" s="471"/>
      <c r="OCT40" s="471"/>
      <c r="OCU40" s="471"/>
      <c r="OCV40" s="471"/>
      <c r="OCW40" s="471"/>
      <c r="OCX40" s="471"/>
      <c r="OCY40" s="471"/>
      <c r="OCZ40" s="471"/>
      <c r="ODA40" s="471"/>
      <c r="ODB40" s="471"/>
      <c r="ODC40" s="471"/>
      <c r="ODD40" s="471"/>
      <c r="ODE40" s="471"/>
      <c r="ODF40" s="471"/>
      <c r="ODG40" s="471"/>
      <c r="ODH40" s="471"/>
      <c r="ODI40" s="471"/>
      <c r="ODJ40" s="471"/>
      <c r="ODK40" s="471"/>
      <c r="ODL40" s="471"/>
      <c r="ODM40" s="471"/>
      <c r="ODN40" s="471"/>
      <c r="ODO40" s="471"/>
      <c r="ODP40" s="471"/>
      <c r="ODQ40" s="471"/>
      <c r="ODR40" s="471"/>
      <c r="ODS40" s="471"/>
      <c r="ODT40" s="471"/>
      <c r="ODU40" s="471"/>
      <c r="ODV40" s="471"/>
      <c r="ODW40" s="471"/>
      <c r="ODX40" s="471"/>
      <c r="ODY40" s="471"/>
      <c r="ODZ40" s="471"/>
      <c r="OEA40" s="471"/>
      <c r="OEB40" s="471"/>
      <c r="OEC40" s="471"/>
      <c r="OED40" s="471"/>
      <c r="OEE40" s="471"/>
      <c r="OEF40" s="471"/>
      <c r="OEG40" s="471"/>
      <c r="OEH40" s="471"/>
      <c r="OEI40" s="471"/>
      <c r="OEJ40" s="471"/>
      <c r="OEK40" s="471"/>
      <c r="OEL40" s="471"/>
      <c r="OEM40" s="471"/>
      <c r="OEN40" s="471"/>
      <c r="OEO40" s="471"/>
      <c r="OEP40" s="471"/>
      <c r="OEQ40" s="471"/>
      <c r="OER40" s="471"/>
      <c r="OES40" s="471"/>
      <c r="OET40" s="471"/>
      <c r="OEU40" s="471"/>
      <c r="OEV40" s="471"/>
      <c r="OEW40" s="471"/>
      <c r="OEX40" s="471"/>
      <c r="OEY40" s="471"/>
      <c r="OEZ40" s="471"/>
      <c r="OFA40" s="471"/>
      <c r="OFB40" s="471"/>
      <c r="OFC40" s="471"/>
      <c r="OFD40" s="471"/>
      <c r="OFE40" s="471"/>
      <c r="OFF40" s="471"/>
      <c r="OFG40" s="471"/>
      <c r="OFH40" s="471"/>
      <c r="OFI40" s="471"/>
      <c r="OFJ40" s="471"/>
      <c r="OFK40" s="471"/>
      <c r="OFL40" s="471"/>
      <c r="OFM40" s="471"/>
      <c r="OFN40" s="471"/>
      <c r="OFO40" s="471"/>
      <c r="OFP40" s="471"/>
      <c r="OFQ40" s="471"/>
      <c r="OFR40" s="471"/>
      <c r="OFS40" s="471"/>
      <c r="OFT40" s="471"/>
      <c r="OFU40" s="471"/>
      <c r="OFV40" s="471"/>
      <c r="OFW40" s="471"/>
      <c r="OFX40" s="471"/>
      <c r="OFY40" s="471"/>
      <c r="OFZ40" s="471"/>
      <c r="OGA40" s="471"/>
      <c r="OGB40" s="471"/>
      <c r="OGC40" s="471"/>
      <c r="OGD40" s="471"/>
      <c r="OGE40" s="471"/>
      <c r="OGF40" s="471"/>
      <c r="OGG40" s="471"/>
      <c r="OGH40" s="471"/>
      <c r="OGI40" s="471"/>
      <c r="OGJ40" s="471"/>
      <c r="OGK40" s="471"/>
      <c r="OGL40" s="471"/>
      <c r="OGM40" s="471"/>
      <c r="OGN40" s="471"/>
      <c r="OGO40" s="471"/>
      <c r="OGP40" s="471"/>
      <c r="OGQ40" s="471"/>
      <c r="OGR40" s="471"/>
      <c r="OGS40" s="471"/>
      <c r="OGT40" s="471"/>
      <c r="OGU40" s="471"/>
      <c r="OGV40" s="471"/>
      <c r="OGW40" s="471"/>
      <c r="OGX40" s="471"/>
      <c r="OGY40" s="471"/>
      <c r="OGZ40" s="471"/>
      <c r="OHA40" s="471"/>
      <c r="OHB40" s="471"/>
      <c r="OHC40" s="471"/>
      <c r="OHD40" s="471"/>
      <c r="OHE40" s="471"/>
      <c r="OHF40" s="471"/>
      <c r="OHG40" s="471"/>
      <c r="OHH40" s="471"/>
      <c r="OHI40" s="471"/>
      <c r="OHJ40" s="471"/>
      <c r="OHK40" s="471"/>
      <c r="OHL40" s="471"/>
      <c r="OHM40" s="471"/>
      <c r="OHN40" s="471"/>
      <c r="OHO40" s="471"/>
      <c r="OHP40" s="471"/>
      <c r="OHQ40" s="471"/>
      <c r="OHR40" s="471"/>
      <c r="OHS40" s="471"/>
      <c r="OHT40" s="471"/>
      <c r="OHU40" s="471"/>
      <c r="OHV40" s="471"/>
      <c r="OHW40" s="471"/>
      <c r="OHX40" s="471"/>
      <c r="OHY40" s="471"/>
      <c r="OHZ40" s="471"/>
      <c r="OIA40" s="471"/>
      <c r="OIB40" s="471"/>
      <c r="OIC40" s="471"/>
      <c r="OID40" s="471"/>
      <c r="OIE40" s="471"/>
      <c r="OIF40" s="471"/>
      <c r="OIG40" s="471"/>
      <c r="OIH40" s="471"/>
      <c r="OII40" s="471"/>
      <c r="OIJ40" s="471"/>
      <c r="OIK40" s="471"/>
      <c r="OIL40" s="471"/>
      <c r="OIM40" s="471"/>
      <c r="OIN40" s="471"/>
      <c r="OIO40" s="471"/>
      <c r="OIP40" s="471"/>
      <c r="OIQ40" s="471"/>
      <c r="OIR40" s="471"/>
      <c r="OIS40" s="471"/>
      <c r="OIT40" s="471"/>
      <c r="OIU40" s="471"/>
      <c r="OIV40" s="471"/>
      <c r="OIW40" s="471"/>
      <c r="OIX40" s="471"/>
      <c r="OIY40" s="471"/>
      <c r="OIZ40" s="471"/>
      <c r="OJA40" s="471"/>
      <c r="OJB40" s="471"/>
      <c r="OJC40" s="471"/>
      <c r="OJD40" s="471"/>
      <c r="OJE40" s="471"/>
      <c r="OJF40" s="471"/>
      <c r="OJG40" s="471"/>
      <c r="OJH40" s="471"/>
      <c r="OJI40" s="471"/>
      <c r="OJJ40" s="471"/>
      <c r="OJK40" s="471"/>
      <c r="OJL40" s="471"/>
      <c r="OJM40" s="471"/>
      <c r="OJN40" s="471"/>
      <c r="OJO40" s="471"/>
      <c r="OJP40" s="471"/>
      <c r="OJQ40" s="471"/>
      <c r="OJR40" s="471"/>
      <c r="OJS40" s="471"/>
      <c r="OJT40" s="471"/>
      <c r="OJU40" s="471"/>
      <c r="OJV40" s="471"/>
      <c r="OJW40" s="471"/>
      <c r="OJX40" s="471"/>
      <c r="OJY40" s="471"/>
      <c r="OJZ40" s="471"/>
      <c r="OKA40" s="471"/>
      <c r="OKB40" s="471"/>
      <c r="OKC40" s="471"/>
      <c r="OKD40" s="471"/>
      <c r="OKE40" s="471"/>
      <c r="OKF40" s="471"/>
      <c r="OKG40" s="471"/>
      <c r="OKH40" s="471"/>
      <c r="OKI40" s="471"/>
      <c r="OKJ40" s="471"/>
      <c r="OKK40" s="471"/>
      <c r="OKL40" s="471"/>
      <c r="OKM40" s="471"/>
      <c r="OKN40" s="471"/>
      <c r="OKO40" s="471"/>
      <c r="OKP40" s="471"/>
      <c r="OKQ40" s="471"/>
      <c r="OKR40" s="471"/>
      <c r="OKS40" s="471"/>
      <c r="OKT40" s="471"/>
      <c r="OKU40" s="471"/>
      <c r="OKV40" s="471"/>
      <c r="OKW40" s="471"/>
      <c r="OKX40" s="471"/>
      <c r="OKY40" s="471"/>
      <c r="OKZ40" s="471"/>
      <c r="OLA40" s="471"/>
      <c r="OLB40" s="471"/>
      <c r="OLC40" s="471"/>
      <c r="OLD40" s="471"/>
      <c r="OLE40" s="471"/>
      <c r="OLF40" s="471"/>
      <c r="OLG40" s="471"/>
      <c r="OLH40" s="471"/>
      <c r="OLI40" s="471"/>
      <c r="OLJ40" s="471"/>
      <c r="OLK40" s="471"/>
      <c r="OLL40" s="471"/>
      <c r="OLM40" s="471"/>
      <c r="OLN40" s="471"/>
      <c r="OLO40" s="471"/>
      <c r="OLP40" s="471"/>
      <c r="OLQ40" s="471"/>
      <c r="OLR40" s="471"/>
      <c r="OLS40" s="471"/>
      <c r="OLT40" s="471"/>
      <c r="OLU40" s="471"/>
      <c r="OLV40" s="471"/>
      <c r="OLW40" s="471"/>
      <c r="OLX40" s="471"/>
      <c r="OLY40" s="471"/>
      <c r="OLZ40" s="471"/>
      <c r="OMA40" s="471"/>
      <c r="OMB40" s="471"/>
      <c r="OMC40" s="471"/>
      <c r="OMD40" s="471"/>
      <c r="OME40" s="471"/>
      <c r="OMF40" s="471"/>
      <c r="OMG40" s="471"/>
      <c r="OMH40" s="471"/>
      <c r="OMI40" s="471"/>
      <c r="OMJ40" s="471"/>
      <c r="OMK40" s="471"/>
      <c r="OML40" s="471"/>
      <c r="OMM40" s="471"/>
      <c r="OMN40" s="471"/>
      <c r="OMO40" s="471"/>
      <c r="OMP40" s="471"/>
      <c r="OMQ40" s="471"/>
      <c r="OMR40" s="471"/>
      <c r="OMS40" s="471"/>
      <c r="OMT40" s="471"/>
      <c r="OMU40" s="471"/>
      <c r="OMV40" s="471"/>
      <c r="OMW40" s="471"/>
      <c r="OMX40" s="471"/>
      <c r="OMY40" s="471"/>
      <c r="OMZ40" s="471"/>
      <c r="ONA40" s="471"/>
      <c r="ONB40" s="471"/>
      <c r="ONC40" s="471"/>
      <c r="OND40" s="471"/>
      <c r="ONE40" s="471"/>
      <c r="ONF40" s="471"/>
      <c r="ONG40" s="471"/>
      <c r="ONH40" s="471"/>
      <c r="ONI40" s="471"/>
      <c r="ONJ40" s="471"/>
      <c r="ONK40" s="471"/>
      <c r="ONL40" s="471"/>
      <c r="ONM40" s="471"/>
      <c r="ONN40" s="471"/>
      <c r="ONO40" s="471"/>
      <c r="ONP40" s="471"/>
      <c r="ONQ40" s="471"/>
      <c r="ONR40" s="471"/>
      <c r="ONS40" s="471"/>
      <c r="ONT40" s="471"/>
      <c r="ONU40" s="471"/>
      <c r="ONV40" s="471"/>
      <c r="ONW40" s="471"/>
      <c r="ONX40" s="471"/>
      <c r="ONY40" s="471"/>
      <c r="ONZ40" s="471"/>
      <c r="OOA40" s="471"/>
      <c r="OOB40" s="471"/>
      <c r="OOC40" s="471"/>
      <c r="OOD40" s="471"/>
      <c r="OOE40" s="471"/>
      <c r="OOF40" s="471"/>
      <c r="OOG40" s="471"/>
      <c r="OOH40" s="471"/>
      <c r="OOI40" s="471"/>
      <c r="OOJ40" s="471"/>
      <c r="OOK40" s="471"/>
      <c r="OOL40" s="471"/>
      <c r="OOM40" s="471"/>
      <c r="OON40" s="471"/>
      <c r="OOO40" s="471"/>
      <c r="OOP40" s="471"/>
      <c r="OOQ40" s="471"/>
      <c r="OOR40" s="471"/>
      <c r="OOS40" s="471"/>
      <c r="OOT40" s="471"/>
      <c r="OOU40" s="471"/>
      <c r="OOV40" s="471"/>
      <c r="OOW40" s="471"/>
      <c r="OOX40" s="471"/>
      <c r="OOY40" s="471"/>
      <c r="OOZ40" s="471"/>
      <c r="OPA40" s="471"/>
      <c r="OPB40" s="471"/>
      <c r="OPC40" s="471"/>
      <c r="OPD40" s="471"/>
      <c r="OPE40" s="471"/>
      <c r="OPF40" s="471"/>
      <c r="OPG40" s="471"/>
      <c r="OPH40" s="471"/>
      <c r="OPI40" s="471"/>
      <c r="OPJ40" s="471"/>
      <c r="OPK40" s="471"/>
      <c r="OPL40" s="471"/>
      <c r="OPM40" s="471"/>
      <c r="OPN40" s="471"/>
      <c r="OPO40" s="471"/>
      <c r="OPP40" s="471"/>
      <c r="OPQ40" s="471"/>
      <c r="OPR40" s="471"/>
      <c r="OPS40" s="471"/>
      <c r="OPT40" s="471"/>
      <c r="OPU40" s="471"/>
      <c r="OPV40" s="471"/>
      <c r="OPW40" s="471"/>
      <c r="OPX40" s="471"/>
      <c r="OPY40" s="471"/>
      <c r="OPZ40" s="471"/>
      <c r="OQA40" s="471"/>
      <c r="OQB40" s="471"/>
      <c r="OQC40" s="471"/>
      <c r="OQD40" s="471"/>
      <c r="OQE40" s="471"/>
      <c r="OQF40" s="471"/>
      <c r="OQG40" s="471"/>
      <c r="OQH40" s="471"/>
      <c r="OQI40" s="471"/>
      <c r="OQJ40" s="471"/>
      <c r="OQK40" s="471"/>
      <c r="OQL40" s="471"/>
      <c r="OQM40" s="471"/>
      <c r="OQN40" s="471"/>
      <c r="OQO40" s="471"/>
      <c r="OQP40" s="471"/>
      <c r="OQQ40" s="471"/>
      <c r="OQR40" s="471"/>
      <c r="OQS40" s="471"/>
      <c r="OQT40" s="471"/>
      <c r="OQU40" s="471"/>
      <c r="OQV40" s="471"/>
      <c r="OQW40" s="471"/>
      <c r="OQX40" s="471"/>
      <c r="OQY40" s="471"/>
      <c r="OQZ40" s="471"/>
      <c r="ORA40" s="471"/>
      <c r="ORB40" s="471"/>
      <c r="ORC40" s="471"/>
      <c r="ORD40" s="471"/>
      <c r="ORE40" s="471"/>
      <c r="ORF40" s="471"/>
      <c r="ORG40" s="471"/>
      <c r="ORH40" s="471"/>
      <c r="ORI40" s="471"/>
      <c r="ORJ40" s="471"/>
      <c r="ORK40" s="471"/>
      <c r="ORL40" s="471"/>
      <c r="ORM40" s="471"/>
      <c r="ORN40" s="471"/>
      <c r="ORO40" s="471"/>
      <c r="ORP40" s="471"/>
      <c r="ORQ40" s="471"/>
      <c r="ORR40" s="471"/>
      <c r="ORS40" s="471"/>
      <c r="ORT40" s="471"/>
      <c r="ORU40" s="471"/>
      <c r="ORV40" s="471"/>
      <c r="ORW40" s="471"/>
      <c r="ORX40" s="471"/>
      <c r="ORY40" s="471"/>
      <c r="ORZ40" s="471"/>
      <c r="OSA40" s="471"/>
      <c r="OSB40" s="471"/>
      <c r="OSC40" s="471"/>
      <c r="OSD40" s="471"/>
      <c r="OSE40" s="471"/>
      <c r="OSF40" s="471"/>
      <c r="OSG40" s="471"/>
      <c r="OSH40" s="471"/>
      <c r="OSI40" s="471"/>
      <c r="OSJ40" s="471"/>
      <c r="OSK40" s="471"/>
      <c r="OSL40" s="471"/>
      <c r="OSM40" s="471"/>
      <c r="OSN40" s="471"/>
      <c r="OSO40" s="471"/>
      <c r="OSP40" s="471"/>
      <c r="OSQ40" s="471"/>
      <c r="OSR40" s="471"/>
      <c r="OSS40" s="471"/>
      <c r="OST40" s="471"/>
      <c r="OSU40" s="471"/>
      <c r="OSV40" s="471"/>
      <c r="OSW40" s="471"/>
      <c r="OSX40" s="471"/>
      <c r="OSY40" s="471"/>
      <c r="OSZ40" s="471"/>
      <c r="OTA40" s="471"/>
      <c r="OTB40" s="471"/>
      <c r="OTC40" s="471"/>
      <c r="OTD40" s="471"/>
      <c r="OTE40" s="471"/>
      <c r="OTF40" s="471"/>
      <c r="OTG40" s="471"/>
      <c r="OTH40" s="471"/>
      <c r="OTI40" s="471"/>
      <c r="OTJ40" s="471"/>
      <c r="OTK40" s="471"/>
      <c r="OTL40" s="471"/>
      <c r="OTM40" s="471"/>
      <c r="OTN40" s="471"/>
      <c r="OTO40" s="471"/>
      <c r="OTP40" s="471"/>
      <c r="OTQ40" s="471"/>
      <c r="OTR40" s="471"/>
      <c r="OTS40" s="471"/>
      <c r="OTT40" s="471"/>
      <c r="OTU40" s="471"/>
      <c r="OTV40" s="471"/>
      <c r="OTW40" s="471"/>
      <c r="OTX40" s="471"/>
      <c r="OTY40" s="471"/>
      <c r="OTZ40" s="471"/>
      <c r="OUA40" s="471"/>
      <c r="OUB40" s="471"/>
      <c r="OUC40" s="471"/>
      <c r="OUD40" s="471"/>
      <c r="OUE40" s="471"/>
      <c r="OUF40" s="471"/>
      <c r="OUG40" s="471"/>
      <c r="OUH40" s="471"/>
      <c r="OUI40" s="471"/>
      <c r="OUJ40" s="471"/>
      <c r="OUK40" s="471"/>
      <c r="OUL40" s="471"/>
      <c r="OUM40" s="471"/>
      <c r="OUN40" s="471"/>
      <c r="OUO40" s="471"/>
      <c r="OUP40" s="471"/>
      <c r="OUQ40" s="471"/>
      <c r="OUR40" s="471"/>
      <c r="OUS40" s="471"/>
      <c r="OUT40" s="471"/>
      <c r="OUU40" s="471"/>
      <c r="OUV40" s="471"/>
      <c r="OUW40" s="471"/>
      <c r="OUX40" s="471"/>
      <c r="OUY40" s="471"/>
      <c r="OUZ40" s="471"/>
      <c r="OVA40" s="471"/>
      <c r="OVB40" s="471"/>
      <c r="OVC40" s="471"/>
      <c r="OVD40" s="471"/>
      <c r="OVE40" s="471"/>
      <c r="OVF40" s="471"/>
      <c r="OVG40" s="471"/>
      <c r="OVH40" s="471"/>
      <c r="OVI40" s="471"/>
      <c r="OVJ40" s="471"/>
      <c r="OVK40" s="471"/>
      <c r="OVL40" s="471"/>
      <c r="OVM40" s="471"/>
      <c r="OVN40" s="471"/>
      <c r="OVO40" s="471"/>
      <c r="OVP40" s="471"/>
      <c r="OVQ40" s="471"/>
      <c r="OVR40" s="471"/>
      <c r="OVS40" s="471"/>
      <c r="OVT40" s="471"/>
      <c r="OVU40" s="471"/>
      <c r="OVV40" s="471"/>
      <c r="OVW40" s="471"/>
      <c r="OVX40" s="471"/>
      <c r="OVY40" s="471"/>
      <c r="OVZ40" s="471"/>
      <c r="OWA40" s="471"/>
      <c r="OWB40" s="471"/>
      <c r="OWC40" s="471"/>
      <c r="OWD40" s="471"/>
      <c r="OWE40" s="471"/>
      <c r="OWF40" s="471"/>
      <c r="OWG40" s="471"/>
      <c r="OWH40" s="471"/>
      <c r="OWI40" s="471"/>
      <c r="OWJ40" s="471"/>
      <c r="OWK40" s="471"/>
      <c r="OWL40" s="471"/>
      <c r="OWM40" s="471"/>
      <c r="OWN40" s="471"/>
      <c r="OWO40" s="471"/>
      <c r="OWP40" s="471"/>
      <c r="OWQ40" s="471"/>
      <c r="OWR40" s="471"/>
      <c r="OWS40" s="471"/>
      <c r="OWT40" s="471"/>
      <c r="OWU40" s="471"/>
      <c r="OWV40" s="471"/>
      <c r="OWW40" s="471"/>
      <c r="OWX40" s="471"/>
      <c r="OWY40" s="471"/>
      <c r="OWZ40" s="471"/>
      <c r="OXA40" s="471"/>
      <c r="OXB40" s="471"/>
      <c r="OXC40" s="471"/>
      <c r="OXD40" s="471"/>
      <c r="OXE40" s="471"/>
      <c r="OXF40" s="471"/>
      <c r="OXG40" s="471"/>
      <c r="OXH40" s="471"/>
      <c r="OXI40" s="471"/>
      <c r="OXJ40" s="471"/>
      <c r="OXK40" s="471"/>
      <c r="OXL40" s="471"/>
      <c r="OXM40" s="471"/>
      <c r="OXN40" s="471"/>
      <c r="OXO40" s="471"/>
      <c r="OXP40" s="471"/>
      <c r="OXQ40" s="471"/>
      <c r="OXR40" s="471"/>
      <c r="OXS40" s="471"/>
      <c r="OXT40" s="471"/>
      <c r="OXU40" s="471"/>
      <c r="OXV40" s="471"/>
      <c r="OXW40" s="471"/>
      <c r="OXX40" s="471"/>
      <c r="OXY40" s="471"/>
      <c r="OXZ40" s="471"/>
      <c r="OYA40" s="471"/>
      <c r="OYB40" s="471"/>
      <c r="OYC40" s="471"/>
      <c r="OYD40" s="471"/>
      <c r="OYE40" s="471"/>
      <c r="OYF40" s="471"/>
      <c r="OYG40" s="471"/>
      <c r="OYH40" s="471"/>
      <c r="OYI40" s="471"/>
      <c r="OYJ40" s="471"/>
      <c r="OYK40" s="471"/>
      <c r="OYL40" s="471"/>
      <c r="OYM40" s="471"/>
      <c r="OYN40" s="471"/>
      <c r="OYO40" s="471"/>
      <c r="OYP40" s="471"/>
      <c r="OYQ40" s="471"/>
      <c r="OYR40" s="471"/>
      <c r="OYS40" s="471"/>
      <c r="OYT40" s="471"/>
      <c r="OYU40" s="471"/>
      <c r="OYV40" s="471"/>
      <c r="OYW40" s="471"/>
      <c r="OYX40" s="471"/>
      <c r="OYY40" s="471"/>
      <c r="OYZ40" s="471"/>
      <c r="OZA40" s="471"/>
      <c r="OZB40" s="471"/>
      <c r="OZC40" s="471"/>
      <c r="OZD40" s="471"/>
      <c r="OZE40" s="471"/>
      <c r="OZF40" s="471"/>
      <c r="OZG40" s="471"/>
      <c r="OZH40" s="471"/>
      <c r="OZI40" s="471"/>
      <c r="OZJ40" s="471"/>
      <c r="OZK40" s="471"/>
      <c r="OZL40" s="471"/>
      <c r="OZM40" s="471"/>
      <c r="OZN40" s="471"/>
      <c r="OZO40" s="471"/>
      <c r="OZP40" s="471"/>
      <c r="OZQ40" s="471"/>
      <c r="OZR40" s="471"/>
      <c r="OZS40" s="471"/>
      <c r="OZT40" s="471"/>
      <c r="OZU40" s="471"/>
      <c r="OZV40" s="471"/>
      <c r="OZW40" s="471"/>
      <c r="OZX40" s="471"/>
      <c r="OZY40" s="471"/>
      <c r="OZZ40" s="471"/>
      <c r="PAA40" s="471"/>
      <c r="PAB40" s="471"/>
      <c r="PAC40" s="471"/>
      <c r="PAD40" s="471"/>
      <c r="PAE40" s="471"/>
      <c r="PAF40" s="471"/>
      <c r="PAG40" s="471"/>
      <c r="PAH40" s="471"/>
      <c r="PAI40" s="471"/>
      <c r="PAJ40" s="471"/>
      <c r="PAK40" s="471"/>
      <c r="PAL40" s="471"/>
      <c r="PAM40" s="471"/>
      <c r="PAN40" s="471"/>
      <c r="PAO40" s="471"/>
      <c r="PAP40" s="471"/>
      <c r="PAQ40" s="471"/>
      <c r="PAR40" s="471"/>
      <c r="PAS40" s="471"/>
      <c r="PAT40" s="471"/>
      <c r="PAU40" s="471"/>
      <c r="PAV40" s="471"/>
      <c r="PAW40" s="471"/>
      <c r="PAX40" s="471"/>
      <c r="PAY40" s="471"/>
      <c r="PAZ40" s="471"/>
      <c r="PBA40" s="471"/>
      <c r="PBB40" s="471"/>
      <c r="PBC40" s="471"/>
      <c r="PBD40" s="471"/>
      <c r="PBE40" s="471"/>
      <c r="PBF40" s="471"/>
      <c r="PBG40" s="471"/>
      <c r="PBH40" s="471"/>
      <c r="PBI40" s="471"/>
      <c r="PBJ40" s="471"/>
      <c r="PBK40" s="471"/>
      <c r="PBL40" s="471"/>
      <c r="PBM40" s="471"/>
      <c r="PBN40" s="471"/>
      <c r="PBO40" s="471"/>
      <c r="PBP40" s="471"/>
      <c r="PBQ40" s="471"/>
      <c r="PBR40" s="471"/>
      <c r="PBS40" s="471"/>
      <c r="PBT40" s="471"/>
      <c r="PBU40" s="471"/>
      <c r="PBV40" s="471"/>
      <c r="PBW40" s="471"/>
      <c r="PBX40" s="471"/>
      <c r="PBY40" s="471"/>
      <c r="PBZ40" s="471"/>
      <c r="PCA40" s="471"/>
      <c r="PCB40" s="471"/>
      <c r="PCC40" s="471"/>
      <c r="PCD40" s="471"/>
      <c r="PCE40" s="471"/>
      <c r="PCF40" s="471"/>
      <c r="PCG40" s="471"/>
      <c r="PCH40" s="471"/>
      <c r="PCI40" s="471"/>
      <c r="PCJ40" s="471"/>
      <c r="PCK40" s="471"/>
      <c r="PCL40" s="471"/>
      <c r="PCM40" s="471"/>
      <c r="PCN40" s="471"/>
      <c r="PCO40" s="471"/>
      <c r="PCP40" s="471"/>
      <c r="PCQ40" s="471"/>
      <c r="PCR40" s="471"/>
      <c r="PCS40" s="471"/>
      <c r="PCT40" s="471"/>
      <c r="PCU40" s="471"/>
      <c r="PCV40" s="471"/>
      <c r="PCW40" s="471"/>
      <c r="PCX40" s="471"/>
      <c r="PCY40" s="471"/>
      <c r="PCZ40" s="471"/>
      <c r="PDA40" s="471"/>
      <c r="PDB40" s="471"/>
      <c r="PDC40" s="471"/>
      <c r="PDD40" s="471"/>
      <c r="PDE40" s="471"/>
      <c r="PDF40" s="471"/>
      <c r="PDG40" s="471"/>
      <c r="PDH40" s="471"/>
      <c r="PDI40" s="471"/>
      <c r="PDJ40" s="471"/>
      <c r="PDK40" s="471"/>
      <c r="PDL40" s="471"/>
      <c r="PDM40" s="471"/>
      <c r="PDN40" s="471"/>
      <c r="PDO40" s="471"/>
      <c r="PDP40" s="471"/>
      <c r="PDQ40" s="471"/>
      <c r="PDR40" s="471"/>
      <c r="PDS40" s="471"/>
      <c r="PDT40" s="471"/>
      <c r="PDU40" s="471"/>
      <c r="PDV40" s="471"/>
      <c r="PDW40" s="471"/>
      <c r="PDX40" s="471"/>
      <c r="PDY40" s="471"/>
      <c r="PDZ40" s="471"/>
      <c r="PEA40" s="471"/>
      <c r="PEB40" s="471"/>
      <c r="PEC40" s="471"/>
      <c r="PED40" s="471"/>
      <c r="PEE40" s="471"/>
      <c r="PEF40" s="471"/>
      <c r="PEG40" s="471"/>
      <c r="PEH40" s="471"/>
      <c r="PEI40" s="471"/>
      <c r="PEJ40" s="471"/>
      <c r="PEK40" s="471"/>
      <c r="PEL40" s="471"/>
      <c r="PEM40" s="471"/>
      <c r="PEN40" s="471"/>
      <c r="PEO40" s="471"/>
      <c r="PEP40" s="471"/>
      <c r="PEQ40" s="471"/>
      <c r="PER40" s="471"/>
      <c r="PES40" s="471"/>
      <c r="PET40" s="471"/>
      <c r="PEU40" s="471"/>
      <c r="PEV40" s="471"/>
      <c r="PEW40" s="471"/>
      <c r="PEX40" s="471"/>
      <c r="PEY40" s="471"/>
      <c r="PEZ40" s="471"/>
      <c r="PFA40" s="471"/>
      <c r="PFB40" s="471"/>
      <c r="PFC40" s="471"/>
      <c r="PFD40" s="471"/>
      <c r="PFE40" s="471"/>
      <c r="PFF40" s="471"/>
      <c r="PFG40" s="471"/>
      <c r="PFH40" s="471"/>
      <c r="PFI40" s="471"/>
      <c r="PFJ40" s="471"/>
      <c r="PFK40" s="471"/>
      <c r="PFL40" s="471"/>
      <c r="PFM40" s="471"/>
      <c r="PFN40" s="471"/>
      <c r="PFO40" s="471"/>
      <c r="PFP40" s="471"/>
      <c r="PFQ40" s="471"/>
      <c r="PFR40" s="471"/>
      <c r="PFS40" s="471"/>
      <c r="PFT40" s="471"/>
      <c r="PFU40" s="471"/>
      <c r="PFV40" s="471"/>
      <c r="PFW40" s="471"/>
      <c r="PFX40" s="471"/>
      <c r="PFY40" s="471"/>
      <c r="PFZ40" s="471"/>
      <c r="PGA40" s="471"/>
      <c r="PGB40" s="471"/>
      <c r="PGC40" s="471"/>
      <c r="PGD40" s="471"/>
      <c r="PGE40" s="471"/>
      <c r="PGF40" s="471"/>
      <c r="PGG40" s="471"/>
      <c r="PGH40" s="471"/>
      <c r="PGI40" s="471"/>
      <c r="PGJ40" s="471"/>
      <c r="PGK40" s="471"/>
      <c r="PGL40" s="471"/>
      <c r="PGM40" s="471"/>
      <c r="PGN40" s="471"/>
      <c r="PGO40" s="471"/>
      <c r="PGP40" s="471"/>
      <c r="PGQ40" s="471"/>
      <c r="PGR40" s="471"/>
      <c r="PGS40" s="471"/>
      <c r="PGT40" s="471"/>
      <c r="PGU40" s="471"/>
      <c r="PGV40" s="471"/>
      <c r="PGW40" s="471"/>
      <c r="PGX40" s="471"/>
      <c r="PGY40" s="471"/>
      <c r="PGZ40" s="471"/>
      <c r="PHA40" s="471"/>
      <c r="PHB40" s="471"/>
      <c r="PHC40" s="471"/>
      <c r="PHD40" s="471"/>
      <c r="PHE40" s="471"/>
      <c r="PHF40" s="471"/>
      <c r="PHG40" s="471"/>
      <c r="PHH40" s="471"/>
      <c r="PHI40" s="471"/>
      <c r="PHJ40" s="471"/>
      <c r="PHK40" s="471"/>
      <c r="PHL40" s="471"/>
      <c r="PHM40" s="471"/>
      <c r="PHN40" s="471"/>
      <c r="PHO40" s="471"/>
      <c r="PHP40" s="471"/>
      <c r="PHQ40" s="471"/>
      <c r="PHR40" s="471"/>
      <c r="PHS40" s="471"/>
      <c r="PHT40" s="471"/>
      <c r="PHU40" s="471"/>
      <c r="PHV40" s="471"/>
      <c r="PHW40" s="471"/>
      <c r="PHX40" s="471"/>
      <c r="PHY40" s="471"/>
      <c r="PHZ40" s="471"/>
      <c r="PIA40" s="471"/>
      <c r="PIB40" s="471"/>
      <c r="PIC40" s="471"/>
      <c r="PID40" s="471"/>
      <c r="PIE40" s="471"/>
      <c r="PIF40" s="471"/>
      <c r="PIG40" s="471"/>
      <c r="PIH40" s="471"/>
      <c r="PII40" s="471"/>
      <c r="PIJ40" s="471"/>
      <c r="PIK40" s="471"/>
      <c r="PIL40" s="471"/>
      <c r="PIM40" s="471"/>
      <c r="PIN40" s="471"/>
      <c r="PIO40" s="471"/>
      <c r="PIP40" s="471"/>
      <c r="PIQ40" s="471"/>
      <c r="PIR40" s="471"/>
      <c r="PIS40" s="471"/>
      <c r="PIT40" s="471"/>
      <c r="PIU40" s="471"/>
      <c r="PIV40" s="471"/>
      <c r="PIW40" s="471"/>
      <c r="PIX40" s="471"/>
      <c r="PIY40" s="471"/>
      <c r="PIZ40" s="471"/>
      <c r="PJA40" s="471"/>
      <c r="PJB40" s="471"/>
      <c r="PJC40" s="471"/>
      <c r="PJD40" s="471"/>
      <c r="PJE40" s="471"/>
      <c r="PJF40" s="471"/>
      <c r="PJG40" s="471"/>
      <c r="PJH40" s="471"/>
      <c r="PJI40" s="471"/>
      <c r="PJJ40" s="471"/>
      <c r="PJK40" s="471"/>
      <c r="PJL40" s="471"/>
      <c r="PJM40" s="471"/>
      <c r="PJN40" s="471"/>
      <c r="PJO40" s="471"/>
      <c r="PJP40" s="471"/>
      <c r="PJQ40" s="471"/>
      <c r="PJR40" s="471"/>
      <c r="PJS40" s="471"/>
      <c r="PJT40" s="471"/>
      <c r="PJU40" s="471"/>
      <c r="PJV40" s="471"/>
      <c r="PJW40" s="471"/>
      <c r="PJX40" s="471"/>
      <c r="PJY40" s="471"/>
      <c r="PJZ40" s="471"/>
      <c r="PKA40" s="471"/>
      <c r="PKB40" s="471"/>
      <c r="PKC40" s="471"/>
      <c r="PKD40" s="471"/>
      <c r="PKE40" s="471"/>
      <c r="PKF40" s="471"/>
      <c r="PKG40" s="471"/>
      <c r="PKH40" s="471"/>
      <c r="PKI40" s="471"/>
      <c r="PKJ40" s="471"/>
      <c r="PKK40" s="471"/>
      <c r="PKL40" s="471"/>
      <c r="PKM40" s="471"/>
      <c r="PKN40" s="471"/>
      <c r="PKO40" s="471"/>
      <c r="PKP40" s="471"/>
      <c r="PKQ40" s="471"/>
      <c r="PKR40" s="471"/>
      <c r="PKS40" s="471"/>
      <c r="PKT40" s="471"/>
      <c r="PKU40" s="471"/>
      <c r="PKV40" s="471"/>
      <c r="PKW40" s="471"/>
      <c r="PKX40" s="471"/>
      <c r="PKY40" s="471"/>
      <c r="PKZ40" s="471"/>
      <c r="PLA40" s="471"/>
      <c r="PLB40" s="471"/>
      <c r="PLC40" s="471"/>
      <c r="PLD40" s="471"/>
      <c r="PLE40" s="471"/>
      <c r="PLF40" s="471"/>
      <c r="PLG40" s="471"/>
      <c r="PLH40" s="471"/>
      <c r="PLI40" s="471"/>
      <c r="PLJ40" s="471"/>
      <c r="PLK40" s="471"/>
      <c r="PLL40" s="471"/>
      <c r="PLM40" s="471"/>
      <c r="PLN40" s="471"/>
      <c r="PLO40" s="471"/>
      <c r="PLP40" s="471"/>
      <c r="PLQ40" s="471"/>
      <c r="PLR40" s="471"/>
      <c r="PLS40" s="471"/>
      <c r="PLT40" s="471"/>
      <c r="PLU40" s="471"/>
      <c r="PLV40" s="471"/>
      <c r="PLW40" s="471"/>
      <c r="PLX40" s="471"/>
      <c r="PLY40" s="471"/>
      <c r="PLZ40" s="471"/>
      <c r="PMA40" s="471"/>
      <c r="PMB40" s="471"/>
      <c r="PMC40" s="471"/>
      <c r="PMD40" s="471"/>
      <c r="PME40" s="471"/>
      <c r="PMF40" s="471"/>
      <c r="PMG40" s="471"/>
      <c r="PMH40" s="471"/>
      <c r="PMI40" s="471"/>
      <c r="PMJ40" s="471"/>
      <c r="PMK40" s="471"/>
      <c r="PML40" s="471"/>
      <c r="PMM40" s="471"/>
      <c r="PMN40" s="471"/>
      <c r="PMO40" s="471"/>
      <c r="PMP40" s="471"/>
      <c r="PMQ40" s="471"/>
      <c r="PMR40" s="471"/>
      <c r="PMS40" s="471"/>
      <c r="PMT40" s="471"/>
      <c r="PMU40" s="471"/>
      <c r="PMV40" s="471"/>
      <c r="PMW40" s="471"/>
      <c r="PMX40" s="471"/>
      <c r="PMY40" s="471"/>
      <c r="PMZ40" s="471"/>
      <c r="PNA40" s="471"/>
      <c r="PNB40" s="471"/>
      <c r="PNC40" s="471"/>
      <c r="PND40" s="471"/>
      <c r="PNE40" s="471"/>
      <c r="PNF40" s="471"/>
      <c r="PNG40" s="471"/>
      <c r="PNH40" s="471"/>
      <c r="PNI40" s="471"/>
      <c r="PNJ40" s="471"/>
      <c r="PNK40" s="471"/>
      <c r="PNL40" s="471"/>
      <c r="PNM40" s="471"/>
      <c r="PNN40" s="471"/>
      <c r="PNO40" s="471"/>
      <c r="PNP40" s="471"/>
      <c r="PNQ40" s="471"/>
      <c r="PNR40" s="471"/>
      <c r="PNS40" s="471"/>
      <c r="PNT40" s="471"/>
      <c r="PNU40" s="471"/>
      <c r="PNV40" s="471"/>
      <c r="PNW40" s="471"/>
      <c r="PNX40" s="471"/>
      <c r="PNY40" s="471"/>
      <c r="PNZ40" s="471"/>
      <c r="POA40" s="471"/>
      <c r="POB40" s="471"/>
      <c r="POC40" s="471"/>
      <c r="POD40" s="471"/>
      <c r="POE40" s="471"/>
      <c r="POF40" s="471"/>
      <c r="POG40" s="471"/>
      <c r="POH40" s="471"/>
      <c r="POI40" s="471"/>
      <c r="POJ40" s="471"/>
      <c r="POK40" s="471"/>
      <c r="POL40" s="471"/>
      <c r="POM40" s="471"/>
      <c r="PON40" s="471"/>
      <c r="POO40" s="471"/>
      <c r="POP40" s="471"/>
      <c r="POQ40" s="471"/>
      <c r="POR40" s="471"/>
      <c r="POS40" s="471"/>
      <c r="POT40" s="471"/>
      <c r="POU40" s="471"/>
      <c r="POV40" s="471"/>
      <c r="POW40" s="471"/>
      <c r="POX40" s="471"/>
      <c r="POY40" s="471"/>
      <c r="POZ40" s="471"/>
      <c r="PPA40" s="471"/>
      <c r="PPB40" s="471"/>
      <c r="PPC40" s="471"/>
      <c r="PPD40" s="471"/>
      <c r="PPE40" s="471"/>
      <c r="PPF40" s="471"/>
      <c r="PPG40" s="471"/>
      <c r="PPH40" s="471"/>
      <c r="PPI40" s="471"/>
      <c r="PPJ40" s="471"/>
      <c r="PPK40" s="471"/>
      <c r="PPL40" s="471"/>
      <c r="PPM40" s="471"/>
      <c r="PPN40" s="471"/>
      <c r="PPO40" s="471"/>
      <c r="PPP40" s="471"/>
      <c r="PPQ40" s="471"/>
      <c r="PPR40" s="471"/>
      <c r="PPS40" s="471"/>
      <c r="PPT40" s="471"/>
      <c r="PPU40" s="471"/>
      <c r="PPV40" s="471"/>
      <c r="PPW40" s="471"/>
      <c r="PPX40" s="471"/>
      <c r="PPY40" s="471"/>
      <c r="PPZ40" s="471"/>
      <c r="PQA40" s="471"/>
      <c r="PQB40" s="471"/>
      <c r="PQC40" s="471"/>
      <c r="PQD40" s="471"/>
      <c r="PQE40" s="471"/>
      <c r="PQF40" s="471"/>
      <c r="PQG40" s="471"/>
      <c r="PQH40" s="471"/>
      <c r="PQI40" s="471"/>
      <c r="PQJ40" s="471"/>
      <c r="PQK40" s="471"/>
      <c r="PQL40" s="471"/>
      <c r="PQM40" s="471"/>
      <c r="PQN40" s="471"/>
      <c r="PQO40" s="471"/>
      <c r="PQP40" s="471"/>
      <c r="PQQ40" s="471"/>
      <c r="PQR40" s="471"/>
      <c r="PQS40" s="471"/>
      <c r="PQT40" s="471"/>
      <c r="PQU40" s="471"/>
      <c r="PQV40" s="471"/>
      <c r="PQW40" s="471"/>
      <c r="PQX40" s="471"/>
      <c r="PQY40" s="471"/>
      <c r="PQZ40" s="471"/>
      <c r="PRA40" s="471"/>
      <c r="PRB40" s="471"/>
      <c r="PRC40" s="471"/>
      <c r="PRD40" s="471"/>
      <c r="PRE40" s="471"/>
      <c r="PRF40" s="471"/>
      <c r="PRG40" s="471"/>
      <c r="PRH40" s="471"/>
      <c r="PRI40" s="471"/>
      <c r="PRJ40" s="471"/>
      <c r="PRK40" s="471"/>
      <c r="PRL40" s="471"/>
      <c r="PRM40" s="471"/>
      <c r="PRN40" s="471"/>
      <c r="PRO40" s="471"/>
      <c r="PRP40" s="471"/>
      <c r="PRQ40" s="471"/>
      <c r="PRR40" s="471"/>
      <c r="PRS40" s="471"/>
      <c r="PRT40" s="471"/>
      <c r="PRU40" s="471"/>
      <c r="PRV40" s="471"/>
      <c r="PRW40" s="471"/>
      <c r="PRX40" s="471"/>
      <c r="PRY40" s="471"/>
      <c r="PRZ40" s="471"/>
      <c r="PSA40" s="471"/>
      <c r="PSB40" s="471"/>
      <c r="PSC40" s="471"/>
      <c r="PSD40" s="471"/>
      <c r="PSE40" s="471"/>
      <c r="PSF40" s="471"/>
      <c r="PSG40" s="471"/>
      <c r="PSH40" s="471"/>
      <c r="PSI40" s="471"/>
      <c r="PSJ40" s="471"/>
      <c r="PSK40" s="471"/>
      <c r="PSL40" s="471"/>
      <c r="PSM40" s="471"/>
      <c r="PSN40" s="471"/>
      <c r="PSO40" s="471"/>
      <c r="PSP40" s="471"/>
      <c r="PSQ40" s="471"/>
      <c r="PSR40" s="471"/>
      <c r="PSS40" s="471"/>
      <c r="PST40" s="471"/>
      <c r="PSU40" s="471"/>
      <c r="PSV40" s="471"/>
      <c r="PSW40" s="471"/>
      <c r="PSX40" s="471"/>
      <c r="PSY40" s="471"/>
      <c r="PSZ40" s="471"/>
      <c r="PTA40" s="471"/>
      <c r="PTB40" s="471"/>
      <c r="PTC40" s="471"/>
      <c r="PTD40" s="471"/>
      <c r="PTE40" s="471"/>
      <c r="PTF40" s="471"/>
      <c r="PTG40" s="471"/>
      <c r="PTH40" s="471"/>
      <c r="PTI40" s="471"/>
      <c r="PTJ40" s="471"/>
      <c r="PTK40" s="471"/>
      <c r="PTL40" s="471"/>
      <c r="PTM40" s="471"/>
      <c r="PTN40" s="471"/>
      <c r="PTO40" s="471"/>
      <c r="PTP40" s="471"/>
      <c r="PTQ40" s="471"/>
      <c r="PTR40" s="471"/>
      <c r="PTS40" s="471"/>
      <c r="PTT40" s="471"/>
      <c r="PTU40" s="471"/>
      <c r="PTV40" s="471"/>
      <c r="PTW40" s="471"/>
      <c r="PTX40" s="471"/>
      <c r="PTY40" s="471"/>
      <c r="PTZ40" s="471"/>
      <c r="PUA40" s="471"/>
      <c r="PUB40" s="471"/>
      <c r="PUC40" s="471"/>
      <c r="PUD40" s="471"/>
      <c r="PUE40" s="471"/>
      <c r="PUF40" s="471"/>
      <c r="PUG40" s="471"/>
      <c r="PUH40" s="471"/>
      <c r="PUI40" s="471"/>
      <c r="PUJ40" s="471"/>
      <c r="PUK40" s="471"/>
      <c r="PUL40" s="471"/>
      <c r="PUM40" s="471"/>
      <c r="PUN40" s="471"/>
      <c r="PUO40" s="471"/>
      <c r="PUP40" s="471"/>
      <c r="PUQ40" s="471"/>
      <c r="PUR40" s="471"/>
      <c r="PUS40" s="471"/>
      <c r="PUT40" s="471"/>
      <c r="PUU40" s="471"/>
      <c r="PUV40" s="471"/>
      <c r="PUW40" s="471"/>
      <c r="PUX40" s="471"/>
      <c r="PUY40" s="471"/>
      <c r="PUZ40" s="471"/>
      <c r="PVA40" s="471"/>
      <c r="PVB40" s="471"/>
      <c r="PVC40" s="471"/>
      <c r="PVD40" s="471"/>
      <c r="PVE40" s="471"/>
      <c r="PVF40" s="471"/>
      <c r="PVG40" s="471"/>
      <c r="PVH40" s="471"/>
      <c r="PVI40" s="471"/>
      <c r="PVJ40" s="471"/>
      <c r="PVK40" s="471"/>
      <c r="PVL40" s="471"/>
      <c r="PVM40" s="471"/>
      <c r="PVN40" s="471"/>
      <c r="PVO40" s="471"/>
      <c r="PVP40" s="471"/>
      <c r="PVQ40" s="471"/>
      <c r="PVR40" s="471"/>
      <c r="PVS40" s="471"/>
      <c r="PVT40" s="471"/>
      <c r="PVU40" s="471"/>
      <c r="PVV40" s="471"/>
      <c r="PVW40" s="471"/>
      <c r="PVX40" s="471"/>
      <c r="PVY40" s="471"/>
      <c r="PVZ40" s="471"/>
      <c r="PWA40" s="471"/>
      <c r="PWB40" s="471"/>
      <c r="PWC40" s="471"/>
      <c r="PWD40" s="471"/>
      <c r="PWE40" s="471"/>
      <c r="PWF40" s="471"/>
      <c r="PWG40" s="471"/>
      <c r="PWH40" s="471"/>
      <c r="PWI40" s="471"/>
      <c r="PWJ40" s="471"/>
      <c r="PWK40" s="471"/>
      <c r="PWL40" s="471"/>
      <c r="PWM40" s="471"/>
      <c r="PWN40" s="471"/>
      <c r="PWO40" s="471"/>
      <c r="PWP40" s="471"/>
      <c r="PWQ40" s="471"/>
      <c r="PWR40" s="471"/>
      <c r="PWS40" s="471"/>
      <c r="PWT40" s="471"/>
      <c r="PWU40" s="471"/>
      <c r="PWV40" s="471"/>
      <c r="PWW40" s="471"/>
      <c r="PWX40" s="471"/>
      <c r="PWY40" s="471"/>
      <c r="PWZ40" s="471"/>
      <c r="PXA40" s="471"/>
      <c r="PXB40" s="471"/>
      <c r="PXC40" s="471"/>
      <c r="PXD40" s="471"/>
      <c r="PXE40" s="471"/>
      <c r="PXF40" s="471"/>
      <c r="PXG40" s="471"/>
      <c r="PXH40" s="471"/>
      <c r="PXI40" s="471"/>
      <c r="PXJ40" s="471"/>
      <c r="PXK40" s="471"/>
      <c r="PXL40" s="471"/>
      <c r="PXM40" s="471"/>
      <c r="PXN40" s="471"/>
      <c r="PXO40" s="471"/>
      <c r="PXP40" s="471"/>
      <c r="PXQ40" s="471"/>
      <c r="PXR40" s="471"/>
      <c r="PXS40" s="471"/>
      <c r="PXT40" s="471"/>
      <c r="PXU40" s="471"/>
      <c r="PXV40" s="471"/>
      <c r="PXW40" s="471"/>
      <c r="PXX40" s="471"/>
      <c r="PXY40" s="471"/>
      <c r="PXZ40" s="471"/>
      <c r="PYA40" s="471"/>
      <c r="PYB40" s="471"/>
      <c r="PYC40" s="471"/>
      <c r="PYD40" s="471"/>
      <c r="PYE40" s="471"/>
      <c r="PYF40" s="471"/>
      <c r="PYG40" s="471"/>
      <c r="PYH40" s="471"/>
      <c r="PYI40" s="471"/>
      <c r="PYJ40" s="471"/>
      <c r="PYK40" s="471"/>
      <c r="PYL40" s="471"/>
      <c r="PYM40" s="471"/>
      <c r="PYN40" s="471"/>
      <c r="PYO40" s="471"/>
      <c r="PYP40" s="471"/>
      <c r="PYQ40" s="471"/>
      <c r="PYR40" s="471"/>
      <c r="PYS40" s="471"/>
      <c r="PYT40" s="471"/>
      <c r="PYU40" s="471"/>
      <c r="PYV40" s="471"/>
      <c r="PYW40" s="471"/>
      <c r="PYX40" s="471"/>
      <c r="PYY40" s="471"/>
      <c r="PYZ40" s="471"/>
      <c r="PZA40" s="471"/>
      <c r="PZB40" s="471"/>
      <c r="PZC40" s="471"/>
      <c r="PZD40" s="471"/>
      <c r="PZE40" s="471"/>
      <c r="PZF40" s="471"/>
      <c r="PZG40" s="471"/>
      <c r="PZH40" s="471"/>
      <c r="PZI40" s="471"/>
      <c r="PZJ40" s="471"/>
      <c r="PZK40" s="471"/>
      <c r="PZL40" s="471"/>
      <c r="PZM40" s="471"/>
      <c r="PZN40" s="471"/>
      <c r="PZO40" s="471"/>
      <c r="PZP40" s="471"/>
      <c r="PZQ40" s="471"/>
      <c r="PZR40" s="471"/>
      <c r="PZS40" s="471"/>
      <c r="PZT40" s="471"/>
      <c r="PZU40" s="471"/>
      <c r="PZV40" s="471"/>
      <c r="PZW40" s="471"/>
      <c r="PZX40" s="471"/>
      <c r="PZY40" s="471"/>
      <c r="PZZ40" s="471"/>
      <c r="QAA40" s="471"/>
      <c r="QAB40" s="471"/>
      <c r="QAC40" s="471"/>
      <c r="QAD40" s="471"/>
      <c r="QAE40" s="471"/>
      <c r="QAF40" s="471"/>
      <c r="QAG40" s="471"/>
      <c r="QAH40" s="471"/>
      <c r="QAI40" s="471"/>
      <c r="QAJ40" s="471"/>
      <c r="QAK40" s="471"/>
      <c r="QAL40" s="471"/>
      <c r="QAM40" s="471"/>
      <c r="QAN40" s="471"/>
      <c r="QAO40" s="471"/>
      <c r="QAP40" s="471"/>
      <c r="QAQ40" s="471"/>
      <c r="QAR40" s="471"/>
      <c r="QAS40" s="471"/>
      <c r="QAT40" s="471"/>
      <c r="QAU40" s="471"/>
      <c r="QAV40" s="471"/>
      <c r="QAW40" s="471"/>
      <c r="QAX40" s="471"/>
      <c r="QAY40" s="471"/>
      <c r="QAZ40" s="471"/>
      <c r="QBA40" s="471"/>
      <c r="QBB40" s="471"/>
      <c r="QBC40" s="471"/>
      <c r="QBD40" s="471"/>
      <c r="QBE40" s="471"/>
      <c r="QBF40" s="471"/>
      <c r="QBG40" s="471"/>
      <c r="QBH40" s="471"/>
      <c r="QBI40" s="471"/>
      <c r="QBJ40" s="471"/>
      <c r="QBK40" s="471"/>
      <c r="QBL40" s="471"/>
      <c r="QBM40" s="471"/>
      <c r="QBN40" s="471"/>
      <c r="QBO40" s="471"/>
      <c r="QBP40" s="471"/>
      <c r="QBQ40" s="471"/>
      <c r="QBR40" s="471"/>
      <c r="QBS40" s="471"/>
      <c r="QBT40" s="471"/>
      <c r="QBU40" s="471"/>
      <c r="QBV40" s="471"/>
      <c r="QBW40" s="471"/>
      <c r="QBX40" s="471"/>
      <c r="QBY40" s="471"/>
      <c r="QBZ40" s="471"/>
      <c r="QCA40" s="471"/>
      <c r="QCB40" s="471"/>
      <c r="QCC40" s="471"/>
      <c r="QCD40" s="471"/>
      <c r="QCE40" s="471"/>
      <c r="QCF40" s="471"/>
      <c r="QCG40" s="471"/>
      <c r="QCH40" s="471"/>
      <c r="QCI40" s="471"/>
      <c r="QCJ40" s="471"/>
      <c r="QCK40" s="471"/>
      <c r="QCL40" s="471"/>
      <c r="QCM40" s="471"/>
      <c r="QCN40" s="471"/>
      <c r="QCO40" s="471"/>
      <c r="QCP40" s="471"/>
      <c r="QCQ40" s="471"/>
      <c r="QCR40" s="471"/>
      <c r="QCS40" s="471"/>
      <c r="QCT40" s="471"/>
      <c r="QCU40" s="471"/>
      <c r="QCV40" s="471"/>
      <c r="QCW40" s="471"/>
      <c r="QCX40" s="471"/>
      <c r="QCY40" s="471"/>
      <c r="QCZ40" s="471"/>
      <c r="QDA40" s="471"/>
      <c r="QDB40" s="471"/>
      <c r="QDC40" s="471"/>
      <c r="QDD40" s="471"/>
      <c r="QDE40" s="471"/>
      <c r="QDF40" s="471"/>
      <c r="QDG40" s="471"/>
      <c r="QDH40" s="471"/>
      <c r="QDI40" s="471"/>
      <c r="QDJ40" s="471"/>
      <c r="QDK40" s="471"/>
      <c r="QDL40" s="471"/>
      <c r="QDM40" s="471"/>
      <c r="QDN40" s="471"/>
      <c r="QDO40" s="471"/>
      <c r="QDP40" s="471"/>
      <c r="QDQ40" s="471"/>
      <c r="QDR40" s="471"/>
      <c r="QDS40" s="471"/>
      <c r="QDT40" s="471"/>
      <c r="QDU40" s="471"/>
      <c r="QDV40" s="471"/>
      <c r="QDW40" s="471"/>
      <c r="QDX40" s="471"/>
      <c r="QDY40" s="471"/>
      <c r="QDZ40" s="471"/>
      <c r="QEA40" s="471"/>
      <c r="QEB40" s="471"/>
      <c r="QEC40" s="471"/>
      <c r="QED40" s="471"/>
      <c r="QEE40" s="471"/>
      <c r="QEF40" s="471"/>
      <c r="QEG40" s="471"/>
      <c r="QEH40" s="471"/>
      <c r="QEI40" s="471"/>
      <c r="QEJ40" s="471"/>
      <c r="QEK40" s="471"/>
      <c r="QEL40" s="471"/>
      <c r="QEM40" s="471"/>
      <c r="QEN40" s="471"/>
      <c r="QEO40" s="471"/>
      <c r="QEP40" s="471"/>
      <c r="QEQ40" s="471"/>
      <c r="QER40" s="471"/>
      <c r="QES40" s="471"/>
      <c r="QET40" s="471"/>
      <c r="QEU40" s="471"/>
      <c r="QEV40" s="471"/>
      <c r="QEW40" s="471"/>
      <c r="QEX40" s="471"/>
      <c r="QEY40" s="471"/>
      <c r="QEZ40" s="471"/>
      <c r="QFA40" s="471"/>
      <c r="QFB40" s="471"/>
      <c r="QFC40" s="471"/>
      <c r="QFD40" s="471"/>
      <c r="QFE40" s="471"/>
      <c r="QFF40" s="471"/>
      <c r="QFG40" s="471"/>
      <c r="QFH40" s="471"/>
      <c r="QFI40" s="471"/>
      <c r="QFJ40" s="471"/>
      <c r="QFK40" s="471"/>
      <c r="QFL40" s="471"/>
      <c r="QFM40" s="471"/>
      <c r="QFN40" s="471"/>
      <c r="QFO40" s="471"/>
      <c r="QFP40" s="471"/>
      <c r="QFQ40" s="471"/>
      <c r="QFR40" s="471"/>
      <c r="QFS40" s="471"/>
      <c r="QFT40" s="471"/>
      <c r="QFU40" s="471"/>
      <c r="QFV40" s="471"/>
      <c r="QFW40" s="471"/>
      <c r="QFX40" s="471"/>
      <c r="QFY40" s="471"/>
      <c r="QFZ40" s="471"/>
      <c r="QGA40" s="471"/>
      <c r="QGB40" s="471"/>
      <c r="QGC40" s="471"/>
      <c r="QGD40" s="471"/>
      <c r="QGE40" s="471"/>
      <c r="QGF40" s="471"/>
      <c r="QGG40" s="471"/>
      <c r="QGH40" s="471"/>
      <c r="QGI40" s="471"/>
      <c r="QGJ40" s="471"/>
      <c r="QGK40" s="471"/>
      <c r="QGL40" s="471"/>
      <c r="QGM40" s="471"/>
      <c r="QGN40" s="471"/>
      <c r="QGO40" s="471"/>
      <c r="QGP40" s="471"/>
      <c r="QGQ40" s="471"/>
      <c r="QGR40" s="471"/>
      <c r="QGS40" s="471"/>
      <c r="QGT40" s="471"/>
      <c r="QGU40" s="471"/>
      <c r="QGV40" s="471"/>
      <c r="QGW40" s="471"/>
      <c r="QGX40" s="471"/>
      <c r="QGY40" s="471"/>
      <c r="QGZ40" s="471"/>
      <c r="QHA40" s="471"/>
      <c r="QHB40" s="471"/>
      <c r="QHC40" s="471"/>
      <c r="QHD40" s="471"/>
      <c r="QHE40" s="471"/>
      <c r="QHF40" s="471"/>
      <c r="QHG40" s="471"/>
      <c r="QHH40" s="471"/>
      <c r="QHI40" s="471"/>
      <c r="QHJ40" s="471"/>
      <c r="QHK40" s="471"/>
      <c r="QHL40" s="471"/>
      <c r="QHM40" s="471"/>
      <c r="QHN40" s="471"/>
      <c r="QHO40" s="471"/>
      <c r="QHP40" s="471"/>
      <c r="QHQ40" s="471"/>
      <c r="QHR40" s="471"/>
      <c r="QHS40" s="471"/>
      <c r="QHT40" s="471"/>
      <c r="QHU40" s="471"/>
      <c r="QHV40" s="471"/>
      <c r="QHW40" s="471"/>
      <c r="QHX40" s="471"/>
      <c r="QHY40" s="471"/>
      <c r="QHZ40" s="471"/>
      <c r="QIA40" s="471"/>
      <c r="QIB40" s="471"/>
      <c r="QIC40" s="471"/>
      <c r="QID40" s="471"/>
      <c r="QIE40" s="471"/>
      <c r="QIF40" s="471"/>
      <c r="QIG40" s="471"/>
      <c r="QIH40" s="471"/>
      <c r="QII40" s="471"/>
      <c r="QIJ40" s="471"/>
      <c r="QIK40" s="471"/>
      <c r="QIL40" s="471"/>
      <c r="QIM40" s="471"/>
      <c r="QIN40" s="471"/>
      <c r="QIO40" s="471"/>
      <c r="QIP40" s="471"/>
      <c r="QIQ40" s="471"/>
      <c r="QIR40" s="471"/>
      <c r="QIS40" s="471"/>
      <c r="QIT40" s="471"/>
      <c r="QIU40" s="471"/>
      <c r="QIV40" s="471"/>
      <c r="QIW40" s="471"/>
      <c r="QIX40" s="471"/>
      <c r="QIY40" s="471"/>
      <c r="QIZ40" s="471"/>
      <c r="QJA40" s="471"/>
      <c r="QJB40" s="471"/>
      <c r="QJC40" s="471"/>
      <c r="QJD40" s="471"/>
      <c r="QJE40" s="471"/>
      <c r="QJF40" s="471"/>
      <c r="QJG40" s="471"/>
      <c r="QJH40" s="471"/>
      <c r="QJI40" s="471"/>
      <c r="QJJ40" s="471"/>
      <c r="QJK40" s="471"/>
      <c r="QJL40" s="471"/>
      <c r="QJM40" s="471"/>
      <c r="QJN40" s="471"/>
      <c r="QJO40" s="471"/>
      <c r="QJP40" s="471"/>
      <c r="QJQ40" s="471"/>
      <c r="QJR40" s="471"/>
      <c r="QJS40" s="471"/>
      <c r="QJT40" s="471"/>
      <c r="QJU40" s="471"/>
      <c r="QJV40" s="471"/>
      <c r="QJW40" s="471"/>
      <c r="QJX40" s="471"/>
      <c r="QJY40" s="471"/>
      <c r="QJZ40" s="471"/>
      <c r="QKA40" s="471"/>
      <c r="QKB40" s="471"/>
      <c r="QKC40" s="471"/>
      <c r="QKD40" s="471"/>
      <c r="QKE40" s="471"/>
      <c r="QKF40" s="471"/>
      <c r="QKG40" s="471"/>
      <c r="QKH40" s="471"/>
      <c r="QKI40" s="471"/>
      <c r="QKJ40" s="471"/>
      <c r="QKK40" s="471"/>
      <c r="QKL40" s="471"/>
      <c r="QKM40" s="471"/>
      <c r="QKN40" s="471"/>
      <c r="QKO40" s="471"/>
      <c r="QKP40" s="471"/>
      <c r="QKQ40" s="471"/>
      <c r="QKR40" s="471"/>
      <c r="QKS40" s="471"/>
      <c r="QKT40" s="471"/>
      <c r="QKU40" s="471"/>
      <c r="QKV40" s="471"/>
      <c r="QKW40" s="471"/>
      <c r="QKX40" s="471"/>
      <c r="QKY40" s="471"/>
      <c r="QKZ40" s="471"/>
      <c r="QLA40" s="471"/>
      <c r="QLB40" s="471"/>
      <c r="QLC40" s="471"/>
      <c r="QLD40" s="471"/>
      <c r="QLE40" s="471"/>
      <c r="QLF40" s="471"/>
      <c r="QLG40" s="471"/>
      <c r="QLH40" s="471"/>
      <c r="QLI40" s="471"/>
      <c r="QLJ40" s="471"/>
      <c r="QLK40" s="471"/>
      <c r="QLL40" s="471"/>
      <c r="QLM40" s="471"/>
      <c r="QLN40" s="471"/>
      <c r="QLO40" s="471"/>
      <c r="QLP40" s="471"/>
      <c r="QLQ40" s="471"/>
      <c r="QLR40" s="471"/>
      <c r="QLS40" s="471"/>
      <c r="QLT40" s="471"/>
      <c r="QLU40" s="471"/>
      <c r="QLV40" s="471"/>
      <c r="QLW40" s="471"/>
      <c r="QLX40" s="471"/>
      <c r="QLY40" s="471"/>
      <c r="QLZ40" s="471"/>
      <c r="QMA40" s="471"/>
      <c r="QMB40" s="471"/>
      <c r="QMC40" s="471"/>
      <c r="QMD40" s="471"/>
      <c r="QME40" s="471"/>
      <c r="QMF40" s="471"/>
      <c r="QMG40" s="471"/>
      <c r="QMH40" s="471"/>
      <c r="QMI40" s="471"/>
      <c r="QMJ40" s="471"/>
      <c r="QMK40" s="471"/>
      <c r="QML40" s="471"/>
      <c r="QMM40" s="471"/>
      <c r="QMN40" s="471"/>
      <c r="QMO40" s="471"/>
      <c r="QMP40" s="471"/>
      <c r="QMQ40" s="471"/>
      <c r="QMR40" s="471"/>
      <c r="QMS40" s="471"/>
      <c r="QMT40" s="471"/>
      <c r="QMU40" s="471"/>
      <c r="QMV40" s="471"/>
      <c r="QMW40" s="471"/>
      <c r="QMX40" s="471"/>
      <c r="QMY40" s="471"/>
      <c r="QMZ40" s="471"/>
      <c r="QNA40" s="471"/>
      <c r="QNB40" s="471"/>
      <c r="QNC40" s="471"/>
      <c r="QND40" s="471"/>
      <c r="QNE40" s="471"/>
      <c r="QNF40" s="471"/>
      <c r="QNG40" s="471"/>
      <c r="QNH40" s="471"/>
      <c r="QNI40" s="471"/>
      <c r="QNJ40" s="471"/>
      <c r="QNK40" s="471"/>
      <c r="QNL40" s="471"/>
      <c r="QNM40" s="471"/>
      <c r="QNN40" s="471"/>
      <c r="QNO40" s="471"/>
      <c r="QNP40" s="471"/>
      <c r="QNQ40" s="471"/>
      <c r="QNR40" s="471"/>
      <c r="QNS40" s="471"/>
      <c r="QNT40" s="471"/>
      <c r="QNU40" s="471"/>
      <c r="QNV40" s="471"/>
      <c r="QNW40" s="471"/>
      <c r="QNX40" s="471"/>
      <c r="QNY40" s="471"/>
      <c r="QNZ40" s="471"/>
      <c r="QOA40" s="471"/>
      <c r="QOB40" s="471"/>
      <c r="QOC40" s="471"/>
      <c r="QOD40" s="471"/>
      <c r="QOE40" s="471"/>
      <c r="QOF40" s="471"/>
      <c r="QOG40" s="471"/>
      <c r="QOH40" s="471"/>
      <c r="QOI40" s="471"/>
      <c r="QOJ40" s="471"/>
      <c r="QOK40" s="471"/>
      <c r="QOL40" s="471"/>
      <c r="QOM40" s="471"/>
      <c r="QON40" s="471"/>
      <c r="QOO40" s="471"/>
      <c r="QOP40" s="471"/>
      <c r="QOQ40" s="471"/>
      <c r="QOR40" s="471"/>
      <c r="QOS40" s="471"/>
      <c r="QOT40" s="471"/>
      <c r="QOU40" s="471"/>
      <c r="QOV40" s="471"/>
      <c r="QOW40" s="471"/>
      <c r="QOX40" s="471"/>
      <c r="QOY40" s="471"/>
      <c r="QOZ40" s="471"/>
      <c r="QPA40" s="471"/>
      <c r="QPB40" s="471"/>
      <c r="QPC40" s="471"/>
      <c r="QPD40" s="471"/>
      <c r="QPE40" s="471"/>
      <c r="QPF40" s="471"/>
      <c r="QPG40" s="471"/>
      <c r="QPH40" s="471"/>
      <c r="QPI40" s="471"/>
      <c r="QPJ40" s="471"/>
      <c r="QPK40" s="471"/>
      <c r="QPL40" s="471"/>
      <c r="QPM40" s="471"/>
      <c r="QPN40" s="471"/>
      <c r="QPO40" s="471"/>
      <c r="QPP40" s="471"/>
      <c r="QPQ40" s="471"/>
      <c r="QPR40" s="471"/>
      <c r="QPS40" s="471"/>
      <c r="QPT40" s="471"/>
      <c r="QPU40" s="471"/>
      <c r="QPV40" s="471"/>
      <c r="QPW40" s="471"/>
      <c r="QPX40" s="471"/>
      <c r="QPY40" s="471"/>
      <c r="QPZ40" s="471"/>
      <c r="QQA40" s="471"/>
      <c r="QQB40" s="471"/>
      <c r="QQC40" s="471"/>
      <c r="QQD40" s="471"/>
      <c r="QQE40" s="471"/>
      <c r="QQF40" s="471"/>
      <c r="QQG40" s="471"/>
      <c r="QQH40" s="471"/>
      <c r="QQI40" s="471"/>
      <c r="QQJ40" s="471"/>
      <c r="QQK40" s="471"/>
      <c r="QQL40" s="471"/>
      <c r="QQM40" s="471"/>
      <c r="QQN40" s="471"/>
      <c r="QQO40" s="471"/>
      <c r="QQP40" s="471"/>
      <c r="QQQ40" s="471"/>
      <c r="QQR40" s="471"/>
      <c r="QQS40" s="471"/>
      <c r="QQT40" s="471"/>
      <c r="QQU40" s="471"/>
      <c r="QQV40" s="471"/>
      <c r="QQW40" s="471"/>
      <c r="QQX40" s="471"/>
      <c r="QQY40" s="471"/>
      <c r="QQZ40" s="471"/>
      <c r="QRA40" s="471"/>
      <c r="QRB40" s="471"/>
      <c r="QRC40" s="471"/>
      <c r="QRD40" s="471"/>
      <c r="QRE40" s="471"/>
      <c r="QRF40" s="471"/>
      <c r="QRG40" s="471"/>
      <c r="QRH40" s="471"/>
      <c r="QRI40" s="471"/>
      <c r="QRJ40" s="471"/>
      <c r="QRK40" s="471"/>
      <c r="QRL40" s="471"/>
      <c r="QRM40" s="471"/>
      <c r="QRN40" s="471"/>
      <c r="QRO40" s="471"/>
      <c r="QRP40" s="471"/>
      <c r="QRQ40" s="471"/>
      <c r="QRR40" s="471"/>
      <c r="QRS40" s="471"/>
      <c r="QRT40" s="471"/>
      <c r="QRU40" s="471"/>
      <c r="QRV40" s="471"/>
      <c r="QRW40" s="471"/>
      <c r="QRX40" s="471"/>
      <c r="QRY40" s="471"/>
      <c r="QRZ40" s="471"/>
      <c r="QSA40" s="471"/>
      <c r="QSB40" s="471"/>
      <c r="QSC40" s="471"/>
      <c r="QSD40" s="471"/>
      <c r="QSE40" s="471"/>
      <c r="QSF40" s="471"/>
      <c r="QSG40" s="471"/>
      <c r="QSH40" s="471"/>
      <c r="QSI40" s="471"/>
      <c r="QSJ40" s="471"/>
      <c r="QSK40" s="471"/>
      <c r="QSL40" s="471"/>
      <c r="QSM40" s="471"/>
      <c r="QSN40" s="471"/>
      <c r="QSO40" s="471"/>
      <c r="QSP40" s="471"/>
      <c r="QSQ40" s="471"/>
      <c r="QSR40" s="471"/>
      <c r="QSS40" s="471"/>
      <c r="QST40" s="471"/>
      <c r="QSU40" s="471"/>
      <c r="QSV40" s="471"/>
      <c r="QSW40" s="471"/>
      <c r="QSX40" s="471"/>
      <c r="QSY40" s="471"/>
      <c r="QSZ40" s="471"/>
      <c r="QTA40" s="471"/>
      <c r="QTB40" s="471"/>
      <c r="QTC40" s="471"/>
      <c r="QTD40" s="471"/>
      <c r="QTE40" s="471"/>
      <c r="QTF40" s="471"/>
      <c r="QTG40" s="471"/>
      <c r="QTH40" s="471"/>
      <c r="QTI40" s="471"/>
      <c r="QTJ40" s="471"/>
      <c r="QTK40" s="471"/>
      <c r="QTL40" s="471"/>
      <c r="QTM40" s="471"/>
      <c r="QTN40" s="471"/>
      <c r="QTO40" s="471"/>
      <c r="QTP40" s="471"/>
      <c r="QTQ40" s="471"/>
      <c r="QTR40" s="471"/>
      <c r="QTS40" s="471"/>
      <c r="QTT40" s="471"/>
      <c r="QTU40" s="471"/>
      <c r="QTV40" s="471"/>
      <c r="QTW40" s="471"/>
      <c r="QTX40" s="471"/>
      <c r="QTY40" s="471"/>
      <c r="QTZ40" s="471"/>
      <c r="QUA40" s="471"/>
      <c r="QUB40" s="471"/>
      <c r="QUC40" s="471"/>
      <c r="QUD40" s="471"/>
      <c r="QUE40" s="471"/>
      <c r="QUF40" s="471"/>
      <c r="QUG40" s="471"/>
      <c r="QUH40" s="471"/>
      <c r="QUI40" s="471"/>
      <c r="QUJ40" s="471"/>
      <c r="QUK40" s="471"/>
      <c r="QUL40" s="471"/>
      <c r="QUM40" s="471"/>
      <c r="QUN40" s="471"/>
      <c r="QUO40" s="471"/>
      <c r="QUP40" s="471"/>
      <c r="QUQ40" s="471"/>
      <c r="QUR40" s="471"/>
      <c r="QUS40" s="471"/>
      <c r="QUT40" s="471"/>
      <c r="QUU40" s="471"/>
      <c r="QUV40" s="471"/>
      <c r="QUW40" s="471"/>
      <c r="QUX40" s="471"/>
      <c r="QUY40" s="471"/>
      <c r="QUZ40" s="471"/>
      <c r="QVA40" s="471"/>
      <c r="QVB40" s="471"/>
      <c r="QVC40" s="471"/>
      <c r="QVD40" s="471"/>
      <c r="QVE40" s="471"/>
      <c r="QVF40" s="471"/>
      <c r="QVG40" s="471"/>
      <c r="QVH40" s="471"/>
      <c r="QVI40" s="471"/>
      <c r="QVJ40" s="471"/>
      <c r="QVK40" s="471"/>
      <c r="QVL40" s="471"/>
      <c r="QVM40" s="471"/>
      <c r="QVN40" s="471"/>
      <c r="QVO40" s="471"/>
      <c r="QVP40" s="471"/>
      <c r="QVQ40" s="471"/>
      <c r="QVR40" s="471"/>
      <c r="QVS40" s="471"/>
      <c r="QVT40" s="471"/>
      <c r="QVU40" s="471"/>
      <c r="QVV40" s="471"/>
      <c r="QVW40" s="471"/>
      <c r="QVX40" s="471"/>
      <c r="QVY40" s="471"/>
      <c r="QVZ40" s="471"/>
      <c r="QWA40" s="471"/>
      <c r="QWB40" s="471"/>
      <c r="QWC40" s="471"/>
      <c r="QWD40" s="471"/>
      <c r="QWE40" s="471"/>
      <c r="QWF40" s="471"/>
      <c r="QWG40" s="471"/>
      <c r="QWH40" s="471"/>
      <c r="QWI40" s="471"/>
      <c r="QWJ40" s="471"/>
      <c r="QWK40" s="471"/>
      <c r="QWL40" s="471"/>
      <c r="QWM40" s="471"/>
      <c r="QWN40" s="471"/>
      <c r="QWO40" s="471"/>
      <c r="QWP40" s="471"/>
      <c r="QWQ40" s="471"/>
      <c r="QWR40" s="471"/>
      <c r="QWS40" s="471"/>
      <c r="QWT40" s="471"/>
      <c r="QWU40" s="471"/>
      <c r="QWV40" s="471"/>
      <c r="QWW40" s="471"/>
      <c r="QWX40" s="471"/>
      <c r="QWY40" s="471"/>
      <c r="QWZ40" s="471"/>
      <c r="QXA40" s="471"/>
      <c r="QXB40" s="471"/>
      <c r="QXC40" s="471"/>
      <c r="QXD40" s="471"/>
      <c r="QXE40" s="471"/>
      <c r="QXF40" s="471"/>
      <c r="QXG40" s="471"/>
      <c r="QXH40" s="471"/>
      <c r="QXI40" s="471"/>
      <c r="QXJ40" s="471"/>
      <c r="QXK40" s="471"/>
      <c r="QXL40" s="471"/>
      <c r="QXM40" s="471"/>
      <c r="QXN40" s="471"/>
      <c r="QXO40" s="471"/>
      <c r="QXP40" s="471"/>
      <c r="QXQ40" s="471"/>
      <c r="QXR40" s="471"/>
      <c r="QXS40" s="471"/>
      <c r="QXT40" s="471"/>
      <c r="QXU40" s="471"/>
      <c r="QXV40" s="471"/>
      <c r="QXW40" s="471"/>
      <c r="QXX40" s="471"/>
      <c r="QXY40" s="471"/>
      <c r="QXZ40" s="471"/>
      <c r="QYA40" s="471"/>
      <c r="QYB40" s="471"/>
      <c r="QYC40" s="471"/>
      <c r="QYD40" s="471"/>
      <c r="QYE40" s="471"/>
      <c r="QYF40" s="471"/>
      <c r="QYG40" s="471"/>
      <c r="QYH40" s="471"/>
      <c r="QYI40" s="471"/>
      <c r="QYJ40" s="471"/>
      <c r="QYK40" s="471"/>
      <c r="QYL40" s="471"/>
      <c r="QYM40" s="471"/>
      <c r="QYN40" s="471"/>
      <c r="QYO40" s="471"/>
      <c r="QYP40" s="471"/>
      <c r="QYQ40" s="471"/>
      <c r="QYR40" s="471"/>
      <c r="QYS40" s="471"/>
      <c r="QYT40" s="471"/>
      <c r="QYU40" s="471"/>
      <c r="QYV40" s="471"/>
      <c r="QYW40" s="471"/>
      <c r="QYX40" s="471"/>
      <c r="QYY40" s="471"/>
      <c r="QYZ40" s="471"/>
      <c r="QZA40" s="471"/>
      <c r="QZB40" s="471"/>
      <c r="QZC40" s="471"/>
      <c r="QZD40" s="471"/>
      <c r="QZE40" s="471"/>
      <c r="QZF40" s="471"/>
      <c r="QZG40" s="471"/>
      <c r="QZH40" s="471"/>
      <c r="QZI40" s="471"/>
      <c r="QZJ40" s="471"/>
      <c r="QZK40" s="471"/>
      <c r="QZL40" s="471"/>
      <c r="QZM40" s="471"/>
      <c r="QZN40" s="471"/>
      <c r="QZO40" s="471"/>
      <c r="QZP40" s="471"/>
      <c r="QZQ40" s="471"/>
      <c r="QZR40" s="471"/>
      <c r="QZS40" s="471"/>
      <c r="QZT40" s="471"/>
      <c r="QZU40" s="471"/>
      <c r="QZV40" s="471"/>
      <c r="QZW40" s="471"/>
      <c r="QZX40" s="471"/>
      <c r="QZY40" s="471"/>
      <c r="QZZ40" s="471"/>
      <c r="RAA40" s="471"/>
      <c r="RAB40" s="471"/>
      <c r="RAC40" s="471"/>
      <c r="RAD40" s="471"/>
      <c r="RAE40" s="471"/>
      <c r="RAF40" s="471"/>
      <c r="RAG40" s="471"/>
      <c r="RAH40" s="471"/>
      <c r="RAI40" s="471"/>
      <c r="RAJ40" s="471"/>
      <c r="RAK40" s="471"/>
      <c r="RAL40" s="471"/>
      <c r="RAM40" s="471"/>
      <c r="RAN40" s="471"/>
      <c r="RAO40" s="471"/>
      <c r="RAP40" s="471"/>
      <c r="RAQ40" s="471"/>
      <c r="RAR40" s="471"/>
      <c r="RAS40" s="471"/>
      <c r="RAT40" s="471"/>
      <c r="RAU40" s="471"/>
      <c r="RAV40" s="471"/>
      <c r="RAW40" s="471"/>
      <c r="RAX40" s="471"/>
      <c r="RAY40" s="471"/>
      <c r="RAZ40" s="471"/>
      <c r="RBA40" s="471"/>
      <c r="RBB40" s="471"/>
      <c r="RBC40" s="471"/>
      <c r="RBD40" s="471"/>
      <c r="RBE40" s="471"/>
      <c r="RBF40" s="471"/>
      <c r="RBG40" s="471"/>
      <c r="RBH40" s="471"/>
      <c r="RBI40" s="471"/>
      <c r="RBJ40" s="471"/>
      <c r="RBK40" s="471"/>
      <c r="RBL40" s="471"/>
      <c r="RBM40" s="471"/>
      <c r="RBN40" s="471"/>
      <c r="RBO40" s="471"/>
      <c r="RBP40" s="471"/>
      <c r="RBQ40" s="471"/>
      <c r="RBR40" s="471"/>
      <c r="RBS40" s="471"/>
      <c r="RBT40" s="471"/>
      <c r="RBU40" s="471"/>
      <c r="RBV40" s="471"/>
      <c r="RBW40" s="471"/>
      <c r="RBX40" s="471"/>
      <c r="RBY40" s="471"/>
      <c r="RBZ40" s="471"/>
      <c r="RCA40" s="471"/>
      <c r="RCB40" s="471"/>
      <c r="RCC40" s="471"/>
      <c r="RCD40" s="471"/>
      <c r="RCE40" s="471"/>
      <c r="RCF40" s="471"/>
      <c r="RCG40" s="471"/>
      <c r="RCH40" s="471"/>
      <c r="RCI40" s="471"/>
      <c r="RCJ40" s="471"/>
      <c r="RCK40" s="471"/>
      <c r="RCL40" s="471"/>
      <c r="RCM40" s="471"/>
      <c r="RCN40" s="471"/>
      <c r="RCO40" s="471"/>
      <c r="RCP40" s="471"/>
      <c r="RCQ40" s="471"/>
      <c r="RCR40" s="471"/>
      <c r="RCS40" s="471"/>
      <c r="RCT40" s="471"/>
      <c r="RCU40" s="471"/>
      <c r="RCV40" s="471"/>
      <c r="RCW40" s="471"/>
      <c r="RCX40" s="471"/>
      <c r="RCY40" s="471"/>
      <c r="RCZ40" s="471"/>
      <c r="RDA40" s="471"/>
      <c r="RDB40" s="471"/>
      <c r="RDC40" s="471"/>
      <c r="RDD40" s="471"/>
      <c r="RDE40" s="471"/>
      <c r="RDF40" s="471"/>
      <c r="RDG40" s="471"/>
      <c r="RDH40" s="471"/>
      <c r="RDI40" s="471"/>
      <c r="RDJ40" s="471"/>
      <c r="RDK40" s="471"/>
      <c r="RDL40" s="471"/>
      <c r="RDM40" s="471"/>
      <c r="RDN40" s="471"/>
      <c r="RDO40" s="471"/>
      <c r="RDP40" s="471"/>
      <c r="RDQ40" s="471"/>
      <c r="RDR40" s="471"/>
      <c r="RDS40" s="471"/>
      <c r="RDT40" s="471"/>
      <c r="RDU40" s="471"/>
      <c r="RDV40" s="471"/>
      <c r="RDW40" s="471"/>
      <c r="RDX40" s="471"/>
      <c r="RDY40" s="471"/>
      <c r="RDZ40" s="471"/>
      <c r="REA40" s="471"/>
      <c r="REB40" s="471"/>
      <c r="REC40" s="471"/>
      <c r="RED40" s="471"/>
      <c r="REE40" s="471"/>
      <c r="REF40" s="471"/>
      <c r="REG40" s="471"/>
      <c r="REH40" s="471"/>
      <c r="REI40" s="471"/>
      <c r="REJ40" s="471"/>
      <c r="REK40" s="471"/>
      <c r="REL40" s="471"/>
      <c r="REM40" s="471"/>
      <c r="REN40" s="471"/>
      <c r="REO40" s="471"/>
      <c r="REP40" s="471"/>
      <c r="REQ40" s="471"/>
      <c r="RER40" s="471"/>
      <c r="RES40" s="471"/>
      <c r="RET40" s="471"/>
      <c r="REU40" s="471"/>
      <c r="REV40" s="471"/>
      <c r="REW40" s="471"/>
      <c r="REX40" s="471"/>
      <c r="REY40" s="471"/>
      <c r="REZ40" s="471"/>
      <c r="RFA40" s="471"/>
      <c r="RFB40" s="471"/>
      <c r="RFC40" s="471"/>
      <c r="RFD40" s="471"/>
      <c r="RFE40" s="471"/>
      <c r="RFF40" s="471"/>
      <c r="RFG40" s="471"/>
      <c r="RFH40" s="471"/>
      <c r="RFI40" s="471"/>
      <c r="RFJ40" s="471"/>
      <c r="RFK40" s="471"/>
      <c r="RFL40" s="471"/>
      <c r="RFM40" s="471"/>
      <c r="RFN40" s="471"/>
      <c r="RFO40" s="471"/>
      <c r="RFP40" s="471"/>
      <c r="RFQ40" s="471"/>
      <c r="RFR40" s="471"/>
      <c r="RFS40" s="471"/>
      <c r="RFT40" s="471"/>
      <c r="RFU40" s="471"/>
      <c r="RFV40" s="471"/>
      <c r="RFW40" s="471"/>
      <c r="RFX40" s="471"/>
      <c r="RFY40" s="471"/>
      <c r="RFZ40" s="471"/>
      <c r="RGA40" s="471"/>
      <c r="RGB40" s="471"/>
      <c r="RGC40" s="471"/>
      <c r="RGD40" s="471"/>
      <c r="RGE40" s="471"/>
      <c r="RGF40" s="471"/>
      <c r="RGG40" s="471"/>
      <c r="RGH40" s="471"/>
      <c r="RGI40" s="471"/>
      <c r="RGJ40" s="471"/>
      <c r="RGK40" s="471"/>
      <c r="RGL40" s="471"/>
      <c r="RGM40" s="471"/>
      <c r="RGN40" s="471"/>
      <c r="RGO40" s="471"/>
      <c r="RGP40" s="471"/>
      <c r="RGQ40" s="471"/>
      <c r="RGR40" s="471"/>
      <c r="RGS40" s="471"/>
      <c r="RGT40" s="471"/>
      <c r="RGU40" s="471"/>
      <c r="RGV40" s="471"/>
      <c r="RGW40" s="471"/>
      <c r="RGX40" s="471"/>
      <c r="RGY40" s="471"/>
      <c r="RGZ40" s="471"/>
      <c r="RHA40" s="471"/>
      <c r="RHB40" s="471"/>
      <c r="RHC40" s="471"/>
      <c r="RHD40" s="471"/>
      <c r="RHE40" s="471"/>
      <c r="RHF40" s="471"/>
      <c r="RHG40" s="471"/>
      <c r="RHH40" s="471"/>
      <c r="RHI40" s="471"/>
      <c r="RHJ40" s="471"/>
      <c r="RHK40" s="471"/>
      <c r="RHL40" s="471"/>
      <c r="RHM40" s="471"/>
      <c r="RHN40" s="471"/>
      <c r="RHO40" s="471"/>
      <c r="RHP40" s="471"/>
      <c r="RHQ40" s="471"/>
      <c r="RHR40" s="471"/>
      <c r="RHS40" s="471"/>
      <c r="RHT40" s="471"/>
      <c r="RHU40" s="471"/>
      <c r="RHV40" s="471"/>
      <c r="RHW40" s="471"/>
      <c r="RHX40" s="471"/>
      <c r="RHY40" s="471"/>
      <c r="RHZ40" s="471"/>
      <c r="RIA40" s="471"/>
      <c r="RIB40" s="471"/>
      <c r="RIC40" s="471"/>
      <c r="RID40" s="471"/>
      <c r="RIE40" s="471"/>
      <c r="RIF40" s="471"/>
      <c r="RIG40" s="471"/>
      <c r="RIH40" s="471"/>
      <c r="RII40" s="471"/>
      <c r="RIJ40" s="471"/>
      <c r="RIK40" s="471"/>
      <c r="RIL40" s="471"/>
      <c r="RIM40" s="471"/>
      <c r="RIN40" s="471"/>
      <c r="RIO40" s="471"/>
      <c r="RIP40" s="471"/>
      <c r="RIQ40" s="471"/>
      <c r="RIR40" s="471"/>
      <c r="RIS40" s="471"/>
      <c r="RIT40" s="471"/>
      <c r="RIU40" s="471"/>
      <c r="RIV40" s="471"/>
      <c r="RIW40" s="471"/>
      <c r="RIX40" s="471"/>
      <c r="RIY40" s="471"/>
      <c r="RIZ40" s="471"/>
      <c r="RJA40" s="471"/>
      <c r="RJB40" s="471"/>
      <c r="RJC40" s="471"/>
      <c r="RJD40" s="471"/>
      <c r="RJE40" s="471"/>
      <c r="RJF40" s="471"/>
      <c r="RJG40" s="471"/>
      <c r="RJH40" s="471"/>
      <c r="RJI40" s="471"/>
      <c r="RJJ40" s="471"/>
      <c r="RJK40" s="471"/>
      <c r="RJL40" s="471"/>
      <c r="RJM40" s="471"/>
      <c r="RJN40" s="471"/>
      <c r="RJO40" s="471"/>
      <c r="RJP40" s="471"/>
      <c r="RJQ40" s="471"/>
      <c r="RJR40" s="471"/>
      <c r="RJS40" s="471"/>
      <c r="RJT40" s="471"/>
      <c r="RJU40" s="471"/>
      <c r="RJV40" s="471"/>
      <c r="RJW40" s="471"/>
      <c r="RJX40" s="471"/>
      <c r="RJY40" s="471"/>
      <c r="RJZ40" s="471"/>
      <c r="RKA40" s="471"/>
      <c r="RKB40" s="471"/>
      <c r="RKC40" s="471"/>
      <c r="RKD40" s="471"/>
      <c r="RKE40" s="471"/>
      <c r="RKF40" s="471"/>
      <c r="RKG40" s="471"/>
      <c r="RKH40" s="471"/>
      <c r="RKI40" s="471"/>
      <c r="RKJ40" s="471"/>
      <c r="RKK40" s="471"/>
      <c r="RKL40" s="471"/>
      <c r="RKM40" s="471"/>
      <c r="RKN40" s="471"/>
      <c r="RKO40" s="471"/>
      <c r="RKP40" s="471"/>
      <c r="RKQ40" s="471"/>
      <c r="RKR40" s="471"/>
      <c r="RKS40" s="471"/>
      <c r="RKT40" s="471"/>
      <c r="RKU40" s="471"/>
      <c r="RKV40" s="471"/>
      <c r="RKW40" s="471"/>
      <c r="RKX40" s="471"/>
      <c r="RKY40" s="471"/>
      <c r="RKZ40" s="471"/>
      <c r="RLA40" s="471"/>
      <c r="RLB40" s="471"/>
      <c r="RLC40" s="471"/>
      <c r="RLD40" s="471"/>
      <c r="RLE40" s="471"/>
      <c r="RLF40" s="471"/>
      <c r="RLG40" s="471"/>
      <c r="RLH40" s="471"/>
      <c r="RLI40" s="471"/>
      <c r="RLJ40" s="471"/>
      <c r="RLK40" s="471"/>
      <c r="RLL40" s="471"/>
      <c r="RLM40" s="471"/>
      <c r="RLN40" s="471"/>
      <c r="RLO40" s="471"/>
      <c r="RLP40" s="471"/>
      <c r="RLQ40" s="471"/>
      <c r="RLR40" s="471"/>
      <c r="RLS40" s="471"/>
      <c r="RLT40" s="471"/>
      <c r="RLU40" s="471"/>
      <c r="RLV40" s="471"/>
      <c r="RLW40" s="471"/>
      <c r="RLX40" s="471"/>
      <c r="RLY40" s="471"/>
      <c r="RLZ40" s="471"/>
      <c r="RMA40" s="471"/>
      <c r="RMB40" s="471"/>
      <c r="RMC40" s="471"/>
      <c r="RMD40" s="471"/>
      <c r="RME40" s="471"/>
      <c r="RMF40" s="471"/>
      <c r="RMG40" s="471"/>
      <c r="RMH40" s="471"/>
      <c r="RMI40" s="471"/>
      <c r="RMJ40" s="471"/>
      <c r="RMK40" s="471"/>
      <c r="RML40" s="471"/>
      <c r="RMM40" s="471"/>
      <c r="RMN40" s="471"/>
      <c r="RMO40" s="471"/>
      <c r="RMP40" s="471"/>
      <c r="RMQ40" s="471"/>
      <c r="RMR40" s="471"/>
      <c r="RMS40" s="471"/>
      <c r="RMT40" s="471"/>
      <c r="RMU40" s="471"/>
      <c r="RMV40" s="471"/>
      <c r="RMW40" s="471"/>
      <c r="RMX40" s="471"/>
      <c r="RMY40" s="471"/>
      <c r="RMZ40" s="471"/>
      <c r="RNA40" s="471"/>
      <c r="RNB40" s="471"/>
      <c r="RNC40" s="471"/>
      <c r="RND40" s="471"/>
      <c r="RNE40" s="471"/>
      <c r="RNF40" s="471"/>
      <c r="RNG40" s="471"/>
      <c r="RNH40" s="471"/>
      <c r="RNI40" s="471"/>
      <c r="RNJ40" s="471"/>
      <c r="RNK40" s="471"/>
      <c r="RNL40" s="471"/>
      <c r="RNM40" s="471"/>
      <c r="RNN40" s="471"/>
      <c r="RNO40" s="471"/>
      <c r="RNP40" s="471"/>
      <c r="RNQ40" s="471"/>
      <c r="RNR40" s="471"/>
      <c r="RNS40" s="471"/>
      <c r="RNT40" s="471"/>
      <c r="RNU40" s="471"/>
      <c r="RNV40" s="471"/>
      <c r="RNW40" s="471"/>
      <c r="RNX40" s="471"/>
      <c r="RNY40" s="471"/>
      <c r="RNZ40" s="471"/>
      <c r="ROA40" s="471"/>
      <c r="ROB40" s="471"/>
      <c r="ROC40" s="471"/>
      <c r="ROD40" s="471"/>
      <c r="ROE40" s="471"/>
      <c r="ROF40" s="471"/>
      <c r="ROG40" s="471"/>
      <c r="ROH40" s="471"/>
      <c r="ROI40" s="471"/>
      <c r="ROJ40" s="471"/>
      <c r="ROK40" s="471"/>
      <c r="ROL40" s="471"/>
      <c r="ROM40" s="471"/>
      <c r="RON40" s="471"/>
      <c r="ROO40" s="471"/>
      <c r="ROP40" s="471"/>
      <c r="ROQ40" s="471"/>
      <c r="ROR40" s="471"/>
      <c r="ROS40" s="471"/>
      <c r="ROT40" s="471"/>
      <c r="ROU40" s="471"/>
      <c r="ROV40" s="471"/>
      <c r="ROW40" s="471"/>
      <c r="ROX40" s="471"/>
      <c r="ROY40" s="471"/>
      <c r="ROZ40" s="471"/>
      <c r="RPA40" s="471"/>
      <c r="RPB40" s="471"/>
      <c r="RPC40" s="471"/>
      <c r="RPD40" s="471"/>
      <c r="RPE40" s="471"/>
      <c r="RPF40" s="471"/>
      <c r="RPG40" s="471"/>
      <c r="RPH40" s="471"/>
      <c r="RPI40" s="471"/>
      <c r="RPJ40" s="471"/>
      <c r="RPK40" s="471"/>
      <c r="RPL40" s="471"/>
      <c r="RPM40" s="471"/>
      <c r="RPN40" s="471"/>
      <c r="RPO40" s="471"/>
      <c r="RPP40" s="471"/>
      <c r="RPQ40" s="471"/>
      <c r="RPR40" s="471"/>
      <c r="RPS40" s="471"/>
      <c r="RPT40" s="471"/>
      <c r="RPU40" s="471"/>
      <c r="RPV40" s="471"/>
      <c r="RPW40" s="471"/>
      <c r="RPX40" s="471"/>
      <c r="RPY40" s="471"/>
      <c r="RPZ40" s="471"/>
      <c r="RQA40" s="471"/>
      <c r="RQB40" s="471"/>
      <c r="RQC40" s="471"/>
      <c r="RQD40" s="471"/>
      <c r="RQE40" s="471"/>
      <c r="RQF40" s="471"/>
      <c r="RQG40" s="471"/>
      <c r="RQH40" s="471"/>
      <c r="RQI40" s="471"/>
      <c r="RQJ40" s="471"/>
      <c r="RQK40" s="471"/>
      <c r="RQL40" s="471"/>
      <c r="RQM40" s="471"/>
      <c r="RQN40" s="471"/>
      <c r="RQO40" s="471"/>
      <c r="RQP40" s="471"/>
      <c r="RQQ40" s="471"/>
      <c r="RQR40" s="471"/>
      <c r="RQS40" s="471"/>
      <c r="RQT40" s="471"/>
      <c r="RQU40" s="471"/>
      <c r="RQV40" s="471"/>
      <c r="RQW40" s="471"/>
      <c r="RQX40" s="471"/>
      <c r="RQY40" s="471"/>
      <c r="RQZ40" s="471"/>
      <c r="RRA40" s="471"/>
      <c r="RRB40" s="471"/>
      <c r="RRC40" s="471"/>
      <c r="RRD40" s="471"/>
      <c r="RRE40" s="471"/>
      <c r="RRF40" s="471"/>
      <c r="RRG40" s="471"/>
      <c r="RRH40" s="471"/>
      <c r="RRI40" s="471"/>
      <c r="RRJ40" s="471"/>
      <c r="RRK40" s="471"/>
      <c r="RRL40" s="471"/>
      <c r="RRM40" s="471"/>
      <c r="RRN40" s="471"/>
      <c r="RRO40" s="471"/>
      <c r="RRP40" s="471"/>
      <c r="RRQ40" s="471"/>
      <c r="RRR40" s="471"/>
      <c r="RRS40" s="471"/>
      <c r="RRT40" s="471"/>
      <c r="RRU40" s="471"/>
      <c r="RRV40" s="471"/>
      <c r="RRW40" s="471"/>
      <c r="RRX40" s="471"/>
      <c r="RRY40" s="471"/>
      <c r="RRZ40" s="471"/>
      <c r="RSA40" s="471"/>
      <c r="RSB40" s="471"/>
      <c r="RSC40" s="471"/>
      <c r="RSD40" s="471"/>
      <c r="RSE40" s="471"/>
      <c r="RSF40" s="471"/>
      <c r="RSG40" s="471"/>
      <c r="RSH40" s="471"/>
      <c r="RSI40" s="471"/>
      <c r="RSJ40" s="471"/>
      <c r="RSK40" s="471"/>
      <c r="RSL40" s="471"/>
      <c r="RSM40" s="471"/>
      <c r="RSN40" s="471"/>
      <c r="RSO40" s="471"/>
      <c r="RSP40" s="471"/>
      <c r="RSQ40" s="471"/>
      <c r="RSR40" s="471"/>
      <c r="RSS40" s="471"/>
      <c r="RST40" s="471"/>
      <c r="RSU40" s="471"/>
      <c r="RSV40" s="471"/>
      <c r="RSW40" s="471"/>
      <c r="RSX40" s="471"/>
      <c r="RSY40" s="471"/>
      <c r="RSZ40" s="471"/>
      <c r="RTA40" s="471"/>
      <c r="RTB40" s="471"/>
      <c r="RTC40" s="471"/>
      <c r="RTD40" s="471"/>
      <c r="RTE40" s="471"/>
      <c r="RTF40" s="471"/>
      <c r="RTG40" s="471"/>
      <c r="RTH40" s="471"/>
      <c r="RTI40" s="471"/>
      <c r="RTJ40" s="471"/>
      <c r="RTK40" s="471"/>
      <c r="RTL40" s="471"/>
      <c r="RTM40" s="471"/>
      <c r="RTN40" s="471"/>
      <c r="RTO40" s="471"/>
      <c r="RTP40" s="471"/>
      <c r="RTQ40" s="471"/>
      <c r="RTR40" s="471"/>
      <c r="RTS40" s="471"/>
      <c r="RTT40" s="471"/>
      <c r="RTU40" s="471"/>
      <c r="RTV40" s="471"/>
      <c r="RTW40" s="471"/>
      <c r="RTX40" s="471"/>
      <c r="RTY40" s="471"/>
      <c r="RTZ40" s="471"/>
      <c r="RUA40" s="471"/>
      <c r="RUB40" s="471"/>
      <c r="RUC40" s="471"/>
      <c r="RUD40" s="471"/>
      <c r="RUE40" s="471"/>
      <c r="RUF40" s="471"/>
      <c r="RUG40" s="471"/>
      <c r="RUH40" s="471"/>
      <c r="RUI40" s="471"/>
      <c r="RUJ40" s="471"/>
      <c r="RUK40" s="471"/>
      <c r="RUL40" s="471"/>
      <c r="RUM40" s="471"/>
      <c r="RUN40" s="471"/>
      <c r="RUO40" s="471"/>
      <c r="RUP40" s="471"/>
      <c r="RUQ40" s="471"/>
      <c r="RUR40" s="471"/>
      <c r="RUS40" s="471"/>
      <c r="RUT40" s="471"/>
      <c r="RUU40" s="471"/>
      <c r="RUV40" s="471"/>
      <c r="RUW40" s="471"/>
      <c r="RUX40" s="471"/>
      <c r="RUY40" s="471"/>
      <c r="RUZ40" s="471"/>
      <c r="RVA40" s="471"/>
      <c r="RVB40" s="471"/>
      <c r="RVC40" s="471"/>
      <c r="RVD40" s="471"/>
      <c r="RVE40" s="471"/>
      <c r="RVF40" s="471"/>
      <c r="RVG40" s="471"/>
      <c r="RVH40" s="471"/>
      <c r="RVI40" s="471"/>
      <c r="RVJ40" s="471"/>
      <c r="RVK40" s="471"/>
      <c r="RVL40" s="471"/>
      <c r="RVM40" s="471"/>
      <c r="RVN40" s="471"/>
      <c r="RVO40" s="471"/>
      <c r="RVP40" s="471"/>
      <c r="RVQ40" s="471"/>
      <c r="RVR40" s="471"/>
      <c r="RVS40" s="471"/>
      <c r="RVT40" s="471"/>
      <c r="RVU40" s="471"/>
      <c r="RVV40" s="471"/>
      <c r="RVW40" s="471"/>
      <c r="RVX40" s="471"/>
      <c r="RVY40" s="471"/>
      <c r="RVZ40" s="471"/>
      <c r="RWA40" s="471"/>
      <c r="RWB40" s="471"/>
      <c r="RWC40" s="471"/>
      <c r="RWD40" s="471"/>
      <c r="RWE40" s="471"/>
      <c r="RWF40" s="471"/>
      <c r="RWG40" s="471"/>
      <c r="RWH40" s="471"/>
      <c r="RWI40" s="471"/>
      <c r="RWJ40" s="471"/>
      <c r="RWK40" s="471"/>
      <c r="RWL40" s="471"/>
      <c r="RWM40" s="471"/>
      <c r="RWN40" s="471"/>
      <c r="RWO40" s="471"/>
      <c r="RWP40" s="471"/>
      <c r="RWQ40" s="471"/>
      <c r="RWR40" s="471"/>
      <c r="RWS40" s="471"/>
      <c r="RWT40" s="471"/>
      <c r="RWU40" s="471"/>
      <c r="RWV40" s="471"/>
      <c r="RWW40" s="471"/>
      <c r="RWX40" s="471"/>
      <c r="RWY40" s="471"/>
      <c r="RWZ40" s="471"/>
      <c r="RXA40" s="471"/>
      <c r="RXB40" s="471"/>
      <c r="RXC40" s="471"/>
      <c r="RXD40" s="471"/>
      <c r="RXE40" s="471"/>
      <c r="RXF40" s="471"/>
      <c r="RXG40" s="471"/>
      <c r="RXH40" s="471"/>
      <c r="RXI40" s="471"/>
      <c r="RXJ40" s="471"/>
      <c r="RXK40" s="471"/>
      <c r="RXL40" s="471"/>
      <c r="RXM40" s="471"/>
      <c r="RXN40" s="471"/>
      <c r="RXO40" s="471"/>
      <c r="RXP40" s="471"/>
      <c r="RXQ40" s="471"/>
      <c r="RXR40" s="471"/>
      <c r="RXS40" s="471"/>
      <c r="RXT40" s="471"/>
      <c r="RXU40" s="471"/>
      <c r="RXV40" s="471"/>
      <c r="RXW40" s="471"/>
      <c r="RXX40" s="471"/>
      <c r="RXY40" s="471"/>
      <c r="RXZ40" s="471"/>
      <c r="RYA40" s="471"/>
      <c r="RYB40" s="471"/>
      <c r="RYC40" s="471"/>
      <c r="RYD40" s="471"/>
      <c r="RYE40" s="471"/>
      <c r="RYF40" s="471"/>
      <c r="RYG40" s="471"/>
      <c r="RYH40" s="471"/>
      <c r="RYI40" s="471"/>
      <c r="RYJ40" s="471"/>
      <c r="RYK40" s="471"/>
      <c r="RYL40" s="471"/>
      <c r="RYM40" s="471"/>
      <c r="RYN40" s="471"/>
      <c r="RYO40" s="471"/>
      <c r="RYP40" s="471"/>
      <c r="RYQ40" s="471"/>
      <c r="RYR40" s="471"/>
      <c r="RYS40" s="471"/>
      <c r="RYT40" s="471"/>
      <c r="RYU40" s="471"/>
      <c r="RYV40" s="471"/>
      <c r="RYW40" s="471"/>
      <c r="RYX40" s="471"/>
      <c r="RYY40" s="471"/>
      <c r="RYZ40" s="471"/>
      <c r="RZA40" s="471"/>
      <c r="RZB40" s="471"/>
      <c r="RZC40" s="471"/>
      <c r="RZD40" s="471"/>
      <c r="RZE40" s="471"/>
      <c r="RZF40" s="471"/>
      <c r="RZG40" s="471"/>
      <c r="RZH40" s="471"/>
      <c r="RZI40" s="471"/>
      <c r="RZJ40" s="471"/>
      <c r="RZK40" s="471"/>
      <c r="RZL40" s="471"/>
      <c r="RZM40" s="471"/>
      <c r="RZN40" s="471"/>
      <c r="RZO40" s="471"/>
      <c r="RZP40" s="471"/>
      <c r="RZQ40" s="471"/>
      <c r="RZR40" s="471"/>
      <c r="RZS40" s="471"/>
      <c r="RZT40" s="471"/>
      <c r="RZU40" s="471"/>
      <c r="RZV40" s="471"/>
      <c r="RZW40" s="471"/>
      <c r="RZX40" s="471"/>
      <c r="RZY40" s="471"/>
      <c r="RZZ40" s="471"/>
      <c r="SAA40" s="471"/>
      <c r="SAB40" s="471"/>
      <c r="SAC40" s="471"/>
      <c r="SAD40" s="471"/>
      <c r="SAE40" s="471"/>
      <c r="SAF40" s="471"/>
      <c r="SAG40" s="471"/>
      <c r="SAH40" s="471"/>
      <c r="SAI40" s="471"/>
      <c r="SAJ40" s="471"/>
      <c r="SAK40" s="471"/>
      <c r="SAL40" s="471"/>
      <c r="SAM40" s="471"/>
      <c r="SAN40" s="471"/>
      <c r="SAO40" s="471"/>
      <c r="SAP40" s="471"/>
      <c r="SAQ40" s="471"/>
      <c r="SAR40" s="471"/>
      <c r="SAS40" s="471"/>
      <c r="SAT40" s="471"/>
      <c r="SAU40" s="471"/>
      <c r="SAV40" s="471"/>
      <c r="SAW40" s="471"/>
      <c r="SAX40" s="471"/>
      <c r="SAY40" s="471"/>
      <c r="SAZ40" s="471"/>
      <c r="SBA40" s="471"/>
      <c r="SBB40" s="471"/>
      <c r="SBC40" s="471"/>
      <c r="SBD40" s="471"/>
      <c r="SBE40" s="471"/>
      <c r="SBF40" s="471"/>
      <c r="SBG40" s="471"/>
      <c r="SBH40" s="471"/>
      <c r="SBI40" s="471"/>
      <c r="SBJ40" s="471"/>
      <c r="SBK40" s="471"/>
      <c r="SBL40" s="471"/>
      <c r="SBM40" s="471"/>
      <c r="SBN40" s="471"/>
      <c r="SBO40" s="471"/>
      <c r="SBP40" s="471"/>
      <c r="SBQ40" s="471"/>
      <c r="SBR40" s="471"/>
      <c r="SBS40" s="471"/>
      <c r="SBT40" s="471"/>
      <c r="SBU40" s="471"/>
      <c r="SBV40" s="471"/>
      <c r="SBW40" s="471"/>
      <c r="SBX40" s="471"/>
      <c r="SBY40" s="471"/>
      <c r="SBZ40" s="471"/>
      <c r="SCA40" s="471"/>
      <c r="SCB40" s="471"/>
      <c r="SCC40" s="471"/>
      <c r="SCD40" s="471"/>
      <c r="SCE40" s="471"/>
      <c r="SCF40" s="471"/>
      <c r="SCG40" s="471"/>
      <c r="SCH40" s="471"/>
      <c r="SCI40" s="471"/>
      <c r="SCJ40" s="471"/>
      <c r="SCK40" s="471"/>
      <c r="SCL40" s="471"/>
      <c r="SCM40" s="471"/>
      <c r="SCN40" s="471"/>
      <c r="SCO40" s="471"/>
      <c r="SCP40" s="471"/>
      <c r="SCQ40" s="471"/>
      <c r="SCR40" s="471"/>
      <c r="SCS40" s="471"/>
      <c r="SCT40" s="471"/>
      <c r="SCU40" s="471"/>
      <c r="SCV40" s="471"/>
      <c r="SCW40" s="471"/>
      <c r="SCX40" s="471"/>
      <c r="SCY40" s="471"/>
      <c r="SCZ40" s="471"/>
      <c r="SDA40" s="471"/>
      <c r="SDB40" s="471"/>
      <c r="SDC40" s="471"/>
      <c r="SDD40" s="471"/>
      <c r="SDE40" s="471"/>
      <c r="SDF40" s="471"/>
      <c r="SDG40" s="471"/>
      <c r="SDH40" s="471"/>
      <c r="SDI40" s="471"/>
      <c r="SDJ40" s="471"/>
      <c r="SDK40" s="471"/>
      <c r="SDL40" s="471"/>
      <c r="SDM40" s="471"/>
      <c r="SDN40" s="471"/>
      <c r="SDO40" s="471"/>
      <c r="SDP40" s="471"/>
      <c r="SDQ40" s="471"/>
      <c r="SDR40" s="471"/>
      <c r="SDS40" s="471"/>
      <c r="SDT40" s="471"/>
      <c r="SDU40" s="471"/>
      <c r="SDV40" s="471"/>
      <c r="SDW40" s="471"/>
      <c r="SDX40" s="471"/>
      <c r="SDY40" s="471"/>
      <c r="SDZ40" s="471"/>
      <c r="SEA40" s="471"/>
      <c r="SEB40" s="471"/>
      <c r="SEC40" s="471"/>
      <c r="SED40" s="471"/>
      <c r="SEE40" s="471"/>
      <c r="SEF40" s="471"/>
      <c r="SEG40" s="471"/>
      <c r="SEH40" s="471"/>
      <c r="SEI40" s="471"/>
      <c r="SEJ40" s="471"/>
      <c r="SEK40" s="471"/>
      <c r="SEL40" s="471"/>
      <c r="SEM40" s="471"/>
      <c r="SEN40" s="471"/>
      <c r="SEO40" s="471"/>
      <c r="SEP40" s="471"/>
      <c r="SEQ40" s="471"/>
      <c r="SER40" s="471"/>
      <c r="SES40" s="471"/>
      <c r="SET40" s="471"/>
      <c r="SEU40" s="471"/>
      <c r="SEV40" s="471"/>
      <c r="SEW40" s="471"/>
      <c r="SEX40" s="471"/>
      <c r="SEY40" s="471"/>
      <c r="SEZ40" s="471"/>
      <c r="SFA40" s="471"/>
      <c r="SFB40" s="471"/>
      <c r="SFC40" s="471"/>
      <c r="SFD40" s="471"/>
      <c r="SFE40" s="471"/>
      <c r="SFF40" s="471"/>
      <c r="SFG40" s="471"/>
      <c r="SFH40" s="471"/>
      <c r="SFI40" s="471"/>
      <c r="SFJ40" s="471"/>
      <c r="SFK40" s="471"/>
      <c r="SFL40" s="471"/>
      <c r="SFM40" s="471"/>
      <c r="SFN40" s="471"/>
      <c r="SFO40" s="471"/>
      <c r="SFP40" s="471"/>
      <c r="SFQ40" s="471"/>
      <c r="SFR40" s="471"/>
      <c r="SFS40" s="471"/>
      <c r="SFT40" s="471"/>
      <c r="SFU40" s="471"/>
      <c r="SFV40" s="471"/>
      <c r="SFW40" s="471"/>
      <c r="SFX40" s="471"/>
      <c r="SFY40" s="471"/>
      <c r="SFZ40" s="471"/>
      <c r="SGA40" s="471"/>
      <c r="SGB40" s="471"/>
      <c r="SGC40" s="471"/>
      <c r="SGD40" s="471"/>
      <c r="SGE40" s="471"/>
      <c r="SGF40" s="471"/>
      <c r="SGG40" s="471"/>
      <c r="SGH40" s="471"/>
      <c r="SGI40" s="471"/>
      <c r="SGJ40" s="471"/>
      <c r="SGK40" s="471"/>
      <c r="SGL40" s="471"/>
      <c r="SGM40" s="471"/>
      <c r="SGN40" s="471"/>
      <c r="SGO40" s="471"/>
      <c r="SGP40" s="471"/>
      <c r="SGQ40" s="471"/>
      <c r="SGR40" s="471"/>
      <c r="SGS40" s="471"/>
      <c r="SGT40" s="471"/>
      <c r="SGU40" s="471"/>
      <c r="SGV40" s="471"/>
      <c r="SGW40" s="471"/>
      <c r="SGX40" s="471"/>
      <c r="SGY40" s="471"/>
      <c r="SGZ40" s="471"/>
      <c r="SHA40" s="471"/>
      <c r="SHB40" s="471"/>
      <c r="SHC40" s="471"/>
      <c r="SHD40" s="471"/>
      <c r="SHE40" s="471"/>
      <c r="SHF40" s="471"/>
      <c r="SHG40" s="471"/>
      <c r="SHH40" s="471"/>
      <c r="SHI40" s="471"/>
      <c r="SHJ40" s="471"/>
      <c r="SHK40" s="471"/>
      <c r="SHL40" s="471"/>
      <c r="SHM40" s="471"/>
      <c r="SHN40" s="471"/>
      <c r="SHO40" s="471"/>
      <c r="SHP40" s="471"/>
      <c r="SHQ40" s="471"/>
      <c r="SHR40" s="471"/>
      <c r="SHS40" s="471"/>
      <c r="SHT40" s="471"/>
      <c r="SHU40" s="471"/>
      <c r="SHV40" s="471"/>
      <c r="SHW40" s="471"/>
      <c r="SHX40" s="471"/>
      <c r="SHY40" s="471"/>
      <c r="SHZ40" s="471"/>
      <c r="SIA40" s="471"/>
      <c r="SIB40" s="471"/>
      <c r="SIC40" s="471"/>
      <c r="SID40" s="471"/>
      <c r="SIE40" s="471"/>
      <c r="SIF40" s="471"/>
      <c r="SIG40" s="471"/>
      <c r="SIH40" s="471"/>
      <c r="SII40" s="471"/>
      <c r="SIJ40" s="471"/>
      <c r="SIK40" s="471"/>
      <c r="SIL40" s="471"/>
      <c r="SIM40" s="471"/>
      <c r="SIN40" s="471"/>
      <c r="SIO40" s="471"/>
      <c r="SIP40" s="471"/>
      <c r="SIQ40" s="471"/>
      <c r="SIR40" s="471"/>
      <c r="SIS40" s="471"/>
      <c r="SIT40" s="471"/>
      <c r="SIU40" s="471"/>
      <c r="SIV40" s="471"/>
      <c r="SIW40" s="471"/>
      <c r="SIX40" s="471"/>
      <c r="SIY40" s="471"/>
      <c r="SIZ40" s="471"/>
      <c r="SJA40" s="471"/>
      <c r="SJB40" s="471"/>
      <c r="SJC40" s="471"/>
      <c r="SJD40" s="471"/>
      <c r="SJE40" s="471"/>
      <c r="SJF40" s="471"/>
      <c r="SJG40" s="471"/>
      <c r="SJH40" s="471"/>
      <c r="SJI40" s="471"/>
      <c r="SJJ40" s="471"/>
      <c r="SJK40" s="471"/>
      <c r="SJL40" s="471"/>
      <c r="SJM40" s="471"/>
      <c r="SJN40" s="471"/>
      <c r="SJO40" s="471"/>
      <c r="SJP40" s="471"/>
      <c r="SJQ40" s="471"/>
      <c r="SJR40" s="471"/>
      <c r="SJS40" s="471"/>
      <c r="SJT40" s="471"/>
      <c r="SJU40" s="471"/>
      <c r="SJV40" s="471"/>
      <c r="SJW40" s="471"/>
      <c r="SJX40" s="471"/>
      <c r="SJY40" s="471"/>
      <c r="SJZ40" s="471"/>
      <c r="SKA40" s="471"/>
      <c r="SKB40" s="471"/>
      <c r="SKC40" s="471"/>
      <c r="SKD40" s="471"/>
      <c r="SKE40" s="471"/>
      <c r="SKF40" s="471"/>
      <c r="SKG40" s="471"/>
      <c r="SKH40" s="471"/>
      <c r="SKI40" s="471"/>
      <c r="SKJ40" s="471"/>
      <c r="SKK40" s="471"/>
      <c r="SKL40" s="471"/>
      <c r="SKM40" s="471"/>
      <c r="SKN40" s="471"/>
      <c r="SKO40" s="471"/>
      <c r="SKP40" s="471"/>
      <c r="SKQ40" s="471"/>
      <c r="SKR40" s="471"/>
      <c r="SKS40" s="471"/>
      <c r="SKT40" s="471"/>
      <c r="SKU40" s="471"/>
      <c r="SKV40" s="471"/>
      <c r="SKW40" s="471"/>
      <c r="SKX40" s="471"/>
      <c r="SKY40" s="471"/>
      <c r="SKZ40" s="471"/>
      <c r="SLA40" s="471"/>
      <c r="SLB40" s="471"/>
      <c r="SLC40" s="471"/>
      <c r="SLD40" s="471"/>
      <c r="SLE40" s="471"/>
      <c r="SLF40" s="471"/>
      <c r="SLG40" s="471"/>
      <c r="SLH40" s="471"/>
      <c r="SLI40" s="471"/>
      <c r="SLJ40" s="471"/>
      <c r="SLK40" s="471"/>
      <c r="SLL40" s="471"/>
      <c r="SLM40" s="471"/>
      <c r="SLN40" s="471"/>
      <c r="SLO40" s="471"/>
      <c r="SLP40" s="471"/>
      <c r="SLQ40" s="471"/>
      <c r="SLR40" s="471"/>
      <c r="SLS40" s="471"/>
      <c r="SLT40" s="471"/>
      <c r="SLU40" s="471"/>
      <c r="SLV40" s="471"/>
      <c r="SLW40" s="471"/>
      <c r="SLX40" s="471"/>
      <c r="SLY40" s="471"/>
      <c r="SLZ40" s="471"/>
      <c r="SMA40" s="471"/>
      <c r="SMB40" s="471"/>
      <c r="SMC40" s="471"/>
      <c r="SMD40" s="471"/>
      <c r="SME40" s="471"/>
      <c r="SMF40" s="471"/>
      <c r="SMG40" s="471"/>
      <c r="SMH40" s="471"/>
      <c r="SMI40" s="471"/>
      <c r="SMJ40" s="471"/>
      <c r="SMK40" s="471"/>
      <c r="SML40" s="471"/>
      <c r="SMM40" s="471"/>
      <c r="SMN40" s="471"/>
      <c r="SMO40" s="471"/>
      <c r="SMP40" s="471"/>
      <c r="SMQ40" s="471"/>
      <c r="SMR40" s="471"/>
      <c r="SMS40" s="471"/>
      <c r="SMT40" s="471"/>
      <c r="SMU40" s="471"/>
      <c r="SMV40" s="471"/>
      <c r="SMW40" s="471"/>
      <c r="SMX40" s="471"/>
      <c r="SMY40" s="471"/>
      <c r="SMZ40" s="471"/>
      <c r="SNA40" s="471"/>
      <c r="SNB40" s="471"/>
      <c r="SNC40" s="471"/>
      <c r="SND40" s="471"/>
      <c r="SNE40" s="471"/>
      <c r="SNF40" s="471"/>
      <c r="SNG40" s="471"/>
      <c r="SNH40" s="471"/>
      <c r="SNI40" s="471"/>
      <c r="SNJ40" s="471"/>
      <c r="SNK40" s="471"/>
      <c r="SNL40" s="471"/>
      <c r="SNM40" s="471"/>
      <c r="SNN40" s="471"/>
      <c r="SNO40" s="471"/>
      <c r="SNP40" s="471"/>
      <c r="SNQ40" s="471"/>
      <c r="SNR40" s="471"/>
      <c r="SNS40" s="471"/>
      <c r="SNT40" s="471"/>
      <c r="SNU40" s="471"/>
      <c r="SNV40" s="471"/>
      <c r="SNW40" s="471"/>
      <c r="SNX40" s="471"/>
      <c r="SNY40" s="471"/>
      <c r="SNZ40" s="471"/>
      <c r="SOA40" s="471"/>
      <c r="SOB40" s="471"/>
      <c r="SOC40" s="471"/>
      <c r="SOD40" s="471"/>
      <c r="SOE40" s="471"/>
      <c r="SOF40" s="471"/>
      <c r="SOG40" s="471"/>
      <c r="SOH40" s="471"/>
      <c r="SOI40" s="471"/>
      <c r="SOJ40" s="471"/>
      <c r="SOK40" s="471"/>
      <c r="SOL40" s="471"/>
      <c r="SOM40" s="471"/>
      <c r="SON40" s="471"/>
      <c r="SOO40" s="471"/>
      <c r="SOP40" s="471"/>
      <c r="SOQ40" s="471"/>
      <c r="SOR40" s="471"/>
      <c r="SOS40" s="471"/>
      <c r="SOT40" s="471"/>
      <c r="SOU40" s="471"/>
      <c r="SOV40" s="471"/>
      <c r="SOW40" s="471"/>
      <c r="SOX40" s="471"/>
      <c r="SOY40" s="471"/>
      <c r="SOZ40" s="471"/>
      <c r="SPA40" s="471"/>
      <c r="SPB40" s="471"/>
      <c r="SPC40" s="471"/>
      <c r="SPD40" s="471"/>
      <c r="SPE40" s="471"/>
      <c r="SPF40" s="471"/>
      <c r="SPG40" s="471"/>
      <c r="SPH40" s="471"/>
      <c r="SPI40" s="471"/>
      <c r="SPJ40" s="471"/>
      <c r="SPK40" s="471"/>
      <c r="SPL40" s="471"/>
      <c r="SPM40" s="471"/>
      <c r="SPN40" s="471"/>
      <c r="SPO40" s="471"/>
      <c r="SPP40" s="471"/>
      <c r="SPQ40" s="471"/>
      <c r="SPR40" s="471"/>
      <c r="SPS40" s="471"/>
      <c r="SPT40" s="471"/>
      <c r="SPU40" s="471"/>
      <c r="SPV40" s="471"/>
      <c r="SPW40" s="471"/>
      <c r="SPX40" s="471"/>
      <c r="SPY40" s="471"/>
      <c r="SPZ40" s="471"/>
      <c r="SQA40" s="471"/>
      <c r="SQB40" s="471"/>
      <c r="SQC40" s="471"/>
      <c r="SQD40" s="471"/>
      <c r="SQE40" s="471"/>
      <c r="SQF40" s="471"/>
      <c r="SQG40" s="471"/>
      <c r="SQH40" s="471"/>
      <c r="SQI40" s="471"/>
      <c r="SQJ40" s="471"/>
      <c r="SQK40" s="471"/>
      <c r="SQL40" s="471"/>
      <c r="SQM40" s="471"/>
      <c r="SQN40" s="471"/>
      <c r="SQO40" s="471"/>
      <c r="SQP40" s="471"/>
      <c r="SQQ40" s="471"/>
      <c r="SQR40" s="471"/>
      <c r="SQS40" s="471"/>
      <c r="SQT40" s="471"/>
      <c r="SQU40" s="471"/>
      <c r="SQV40" s="471"/>
      <c r="SQW40" s="471"/>
      <c r="SQX40" s="471"/>
      <c r="SQY40" s="471"/>
      <c r="SQZ40" s="471"/>
      <c r="SRA40" s="471"/>
      <c r="SRB40" s="471"/>
      <c r="SRC40" s="471"/>
      <c r="SRD40" s="471"/>
      <c r="SRE40" s="471"/>
      <c r="SRF40" s="471"/>
      <c r="SRG40" s="471"/>
      <c r="SRH40" s="471"/>
      <c r="SRI40" s="471"/>
      <c r="SRJ40" s="471"/>
      <c r="SRK40" s="471"/>
      <c r="SRL40" s="471"/>
      <c r="SRM40" s="471"/>
      <c r="SRN40" s="471"/>
      <c r="SRO40" s="471"/>
      <c r="SRP40" s="471"/>
      <c r="SRQ40" s="471"/>
      <c r="SRR40" s="471"/>
      <c r="SRS40" s="471"/>
      <c r="SRT40" s="471"/>
      <c r="SRU40" s="471"/>
      <c r="SRV40" s="471"/>
      <c r="SRW40" s="471"/>
      <c r="SRX40" s="471"/>
      <c r="SRY40" s="471"/>
      <c r="SRZ40" s="471"/>
      <c r="SSA40" s="471"/>
      <c r="SSB40" s="471"/>
      <c r="SSC40" s="471"/>
      <c r="SSD40" s="471"/>
      <c r="SSE40" s="471"/>
      <c r="SSF40" s="471"/>
      <c r="SSG40" s="471"/>
      <c r="SSH40" s="471"/>
      <c r="SSI40" s="471"/>
      <c r="SSJ40" s="471"/>
      <c r="SSK40" s="471"/>
      <c r="SSL40" s="471"/>
      <c r="SSM40" s="471"/>
      <c r="SSN40" s="471"/>
      <c r="SSO40" s="471"/>
      <c r="SSP40" s="471"/>
      <c r="SSQ40" s="471"/>
      <c r="SSR40" s="471"/>
      <c r="SSS40" s="471"/>
      <c r="SST40" s="471"/>
      <c r="SSU40" s="471"/>
      <c r="SSV40" s="471"/>
      <c r="SSW40" s="471"/>
      <c r="SSX40" s="471"/>
      <c r="SSY40" s="471"/>
      <c r="SSZ40" s="471"/>
      <c r="STA40" s="471"/>
      <c r="STB40" s="471"/>
      <c r="STC40" s="471"/>
      <c r="STD40" s="471"/>
      <c r="STE40" s="471"/>
      <c r="STF40" s="471"/>
      <c r="STG40" s="471"/>
      <c r="STH40" s="471"/>
      <c r="STI40" s="471"/>
      <c r="STJ40" s="471"/>
      <c r="STK40" s="471"/>
      <c r="STL40" s="471"/>
      <c r="STM40" s="471"/>
      <c r="STN40" s="471"/>
      <c r="STO40" s="471"/>
      <c r="STP40" s="471"/>
      <c r="STQ40" s="471"/>
      <c r="STR40" s="471"/>
      <c r="STS40" s="471"/>
      <c r="STT40" s="471"/>
      <c r="STU40" s="471"/>
      <c r="STV40" s="471"/>
      <c r="STW40" s="471"/>
      <c r="STX40" s="471"/>
      <c r="STY40" s="471"/>
      <c r="STZ40" s="471"/>
      <c r="SUA40" s="471"/>
      <c r="SUB40" s="471"/>
      <c r="SUC40" s="471"/>
      <c r="SUD40" s="471"/>
      <c r="SUE40" s="471"/>
      <c r="SUF40" s="471"/>
      <c r="SUG40" s="471"/>
      <c r="SUH40" s="471"/>
      <c r="SUI40" s="471"/>
      <c r="SUJ40" s="471"/>
      <c r="SUK40" s="471"/>
      <c r="SUL40" s="471"/>
      <c r="SUM40" s="471"/>
      <c r="SUN40" s="471"/>
      <c r="SUO40" s="471"/>
      <c r="SUP40" s="471"/>
      <c r="SUQ40" s="471"/>
      <c r="SUR40" s="471"/>
      <c r="SUS40" s="471"/>
      <c r="SUT40" s="471"/>
      <c r="SUU40" s="471"/>
      <c r="SUV40" s="471"/>
      <c r="SUW40" s="471"/>
      <c r="SUX40" s="471"/>
      <c r="SUY40" s="471"/>
      <c r="SUZ40" s="471"/>
      <c r="SVA40" s="471"/>
      <c r="SVB40" s="471"/>
      <c r="SVC40" s="471"/>
      <c r="SVD40" s="471"/>
      <c r="SVE40" s="471"/>
      <c r="SVF40" s="471"/>
      <c r="SVG40" s="471"/>
      <c r="SVH40" s="471"/>
      <c r="SVI40" s="471"/>
      <c r="SVJ40" s="471"/>
      <c r="SVK40" s="471"/>
      <c r="SVL40" s="471"/>
      <c r="SVM40" s="471"/>
      <c r="SVN40" s="471"/>
      <c r="SVO40" s="471"/>
      <c r="SVP40" s="471"/>
      <c r="SVQ40" s="471"/>
      <c r="SVR40" s="471"/>
      <c r="SVS40" s="471"/>
      <c r="SVT40" s="471"/>
      <c r="SVU40" s="471"/>
      <c r="SVV40" s="471"/>
      <c r="SVW40" s="471"/>
      <c r="SVX40" s="471"/>
      <c r="SVY40" s="471"/>
      <c r="SVZ40" s="471"/>
      <c r="SWA40" s="471"/>
      <c r="SWB40" s="471"/>
      <c r="SWC40" s="471"/>
      <c r="SWD40" s="471"/>
      <c r="SWE40" s="471"/>
      <c r="SWF40" s="471"/>
      <c r="SWG40" s="471"/>
      <c r="SWH40" s="471"/>
      <c r="SWI40" s="471"/>
      <c r="SWJ40" s="471"/>
      <c r="SWK40" s="471"/>
      <c r="SWL40" s="471"/>
      <c r="SWM40" s="471"/>
      <c r="SWN40" s="471"/>
      <c r="SWO40" s="471"/>
      <c r="SWP40" s="471"/>
      <c r="SWQ40" s="471"/>
      <c r="SWR40" s="471"/>
      <c r="SWS40" s="471"/>
      <c r="SWT40" s="471"/>
      <c r="SWU40" s="471"/>
      <c r="SWV40" s="471"/>
      <c r="SWW40" s="471"/>
      <c r="SWX40" s="471"/>
      <c r="SWY40" s="471"/>
      <c r="SWZ40" s="471"/>
      <c r="SXA40" s="471"/>
      <c r="SXB40" s="471"/>
      <c r="SXC40" s="471"/>
      <c r="SXD40" s="471"/>
      <c r="SXE40" s="471"/>
      <c r="SXF40" s="471"/>
      <c r="SXG40" s="471"/>
      <c r="SXH40" s="471"/>
      <c r="SXI40" s="471"/>
      <c r="SXJ40" s="471"/>
      <c r="SXK40" s="471"/>
      <c r="SXL40" s="471"/>
      <c r="SXM40" s="471"/>
      <c r="SXN40" s="471"/>
      <c r="SXO40" s="471"/>
      <c r="SXP40" s="471"/>
      <c r="SXQ40" s="471"/>
      <c r="SXR40" s="471"/>
      <c r="SXS40" s="471"/>
      <c r="SXT40" s="471"/>
      <c r="SXU40" s="471"/>
      <c r="SXV40" s="471"/>
      <c r="SXW40" s="471"/>
      <c r="SXX40" s="471"/>
      <c r="SXY40" s="471"/>
      <c r="SXZ40" s="471"/>
      <c r="SYA40" s="471"/>
      <c r="SYB40" s="471"/>
      <c r="SYC40" s="471"/>
      <c r="SYD40" s="471"/>
      <c r="SYE40" s="471"/>
      <c r="SYF40" s="471"/>
      <c r="SYG40" s="471"/>
      <c r="SYH40" s="471"/>
      <c r="SYI40" s="471"/>
      <c r="SYJ40" s="471"/>
      <c r="SYK40" s="471"/>
      <c r="SYL40" s="471"/>
      <c r="SYM40" s="471"/>
      <c r="SYN40" s="471"/>
      <c r="SYO40" s="471"/>
      <c r="SYP40" s="471"/>
      <c r="SYQ40" s="471"/>
      <c r="SYR40" s="471"/>
      <c r="SYS40" s="471"/>
      <c r="SYT40" s="471"/>
      <c r="SYU40" s="471"/>
      <c r="SYV40" s="471"/>
      <c r="SYW40" s="471"/>
      <c r="SYX40" s="471"/>
      <c r="SYY40" s="471"/>
      <c r="SYZ40" s="471"/>
      <c r="SZA40" s="471"/>
      <c r="SZB40" s="471"/>
      <c r="SZC40" s="471"/>
      <c r="SZD40" s="471"/>
      <c r="SZE40" s="471"/>
      <c r="SZF40" s="471"/>
      <c r="SZG40" s="471"/>
      <c r="SZH40" s="471"/>
      <c r="SZI40" s="471"/>
      <c r="SZJ40" s="471"/>
      <c r="SZK40" s="471"/>
      <c r="SZL40" s="471"/>
      <c r="SZM40" s="471"/>
      <c r="SZN40" s="471"/>
      <c r="SZO40" s="471"/>
      <c r="SZP40" s="471"/>
      <c r="SZQ40" s="471"/>
      <c r="SZR40" s="471"/>
      <c r="SZS40" s="471"/>
      <c r="SZT40" s="471"/>
      <c r="SZU40" s="471"/>
      <c r="SZV40" s="471"/>
      <c r="SZW40" s="471"/>
      <c r="SZX40" s="471"/>
      <c r="SZY40" s="471"/>
      <c r="SZZ40" s="471"/>
      <c r="TAA40" s="471"/>
      <c r="TAB40" s="471"/>
      <c r="TAC40" s="471"/>
      <c r="TAD40" s="471"/>
      <c r="TAE40" s="471"/>
      <c r="TAF40" s="471"/>
      <c r="TAG40" s="471"/>
      <c r="TAH40" s="471"/>
      <c r="TAI40" s="471"/>
      <c r="TAJ40" s="471"/>
      <c r="TAK40" s="471"/>
      <c r="TAL40" s="471"/>
      <c r="TAM40" s="471"/>
      <c r="TAN40" s="471"/>
      <c r="TAO40" s="471"/>
      <c r="TAP40" s="471"/>
      <c r="TAQ40" s="471"/>
      <c r="TAR40" s="471"/>
      <c r="TAS40" s="471"/>
      <c r="TAT40" s="471"/>
      <c r="TAU40" s="471"/>
      <c r="TAV40" s="471"/>
      <c r="TAW40" s="471"/>
      <c r="TAX40" s="471"/>
      <c r="TAY40" s="471"/>
      <c r="TAZ40" s="471"/>
      <c r="TBA40" s="471"/>
      <c r="TBB40" s="471"/>
      <c r="TBC40" s="471"/>
      <c r="TBD40" s="471"/>
      <c r="TBE40" s="471"/>
      <c r="TBF40" s="471"/>
      <c r="TBG40" s="471"/>
      <c r="TBH40" s="471"/>
      <c r="TBI40" s="471"/>
      <c r="TBJ40" s="471"/>
      <c r="TBK40" s="471"/>
      <c r="TBL40" s="471"/>
      <c r="TBM40" s="471"/>
      <c r="TBN40" s="471"/>
      <c r="TBO40" s="471"/>
      <c r="TBP40" s="471"/>
      <c r="TBQ40" s="471"/>
      <c r="TBR40" s="471"/>
      <c r="TBS40" s="471"/>
      <c r="TBT40" s="471"/>
      <c r="TBU40" s="471"/>
      <c r="TBV40" s="471"/>
      <c r="TBW40" s="471"/>
      <c r="TBX40" s="471"/>
      <c r="TBY40" s="471"/>
      <c r="TBZ40" s="471"/>
      <c r="TCA40" s="471"/>
      <c r="TCB40" s="471"/>
      <c r="TCC40" s="471"/>
      <c r="TCD40" s="471"/>
      <c r="TCE40" s="471"/>
      <c r="TCF40" s="471"/>
      <c r="TCG40" s="471"/>
      <c r="TCH40" s="471"/>
      <c r="TCI40" s="471"/>
      <c r="TCJ40" s="471"/>
      <c r="TCK40" s="471"/>
      <c r="TCL40" s="471"/>
      <c r="TCM40" s="471"/>
      <c r="TCN40" s="471"/>
      <c r="TCO40" s="471"/>
      <c r="TCP40" s="471"/>
      <c r="TCQ40" s="471"/>
      <c r="TCR40" s="471"/>
      <c r="TCS40" s="471"/>
      <c r="TCT40" s="471"/>
      <c r="TCU40" s="471"/>
      <c r="TCV40" s="471"/>
      <c r="TCW40" s="471"/>
      <c r="TCX40" s="471"/>
      <c r="TCY40" s="471"/>
      <c r="TCZ40" s="471"/>
      <c r="TDA40" s="471"/>
      <c r="TDB40" s="471"/>
      <c r="TDC40" s="471"/>
      <c r="TDD40" s="471"/>
      <c r="TDE40" s="471"/>
      <c r="TDF40" s="471"/>
      <c r="TDG40" s="471"/>
      <c r="TDH40" s="471"/>
      <c r="TDI40" s="471"/>
      <c r="TDJ40" s="471"/>
      <c r="TDK40" s="471"/>
      <c r="TDL40" s="471"/>
      <c r="TDM40" s="471"/>
      <c r="TDN40" s="471"/>
      <c r="TDO40" s="471"/>
      <c r="TDP40" s="471"/>
      <c r="TDQ40" s="471"/>
      <c r="TDR40" s="471"/>
      <c r="TDS40" s="471"/>
      <c r="TDT40" s="471"/>
      <c r="TDU40" s="471"/>
      <c r="TDV40" s="471"/>
      <c r="TDW40" s="471"/>
      <c r="TDX40" s="471"/>
      <c r="TDY40" s="471"/>
      <c r="TDZ40" s="471"/>
      <c r="TEA40" s="471"/>
      <c r="TEB40" s="471"/>
      <c r="TEC40" s="471"/>
      <c r="TED40" s="471"/>
      <c r="TEE40" s="471"/>
      <c r="TEF40" s="471"/>
      <c r="TEG40" s="471"/>
      <c r="TEH40" s="471"/>
      <c r="TEI40" s="471"/>
      <c r="TEJ40" s="471"/>
      <c r="TEK40" s="471"/>
      <c r="TEL40" s="471"/>
      <c r="TEM40" s="471"/>
      <c r="TEN40" s="471"/>
      <c r="TEO40" s="471"/>
      <c r="TEP40" s="471"/>
      <c r="TEQ40" s="471"/>
      <c r="TER40" s="471"/>
      <c r="TES40" s="471"/>
      <c r="TET40" s="471"/>
      <c r="TEU40" s="471"/>
      <c r="TEV40" s="471"/>
      <c r="TEW40" s="471"/>
      <c r="TEX40" s="471"/>
      <c r="TEY40" s="471"/>
      <c r="TEZ40" s="471"/>
      <c r="TFA40" s="471"/>
      <c r="TFB40" s="471"/>
      <c r="TFC40" s="471"/>
      <c r="TFD40" s="471"/>
      <c r="TFE40" s="471"/>
      <c r="TFF40" s="471"/>
      <c r="TFG40" s="471"/>
      <c r="TFH40" s="471"/>
      <c r="TFI40" s="471"/>
      <c r="TFJ40" s="471"/>
      <c r="TFK40" s="471"/>
      <c r="TFL40" s="471"/>
      <c r="TFM40" s="471"/>
      <c r="TFN40" s="471"/>
      <c r="TFO40" s="471"/>
      <c r="TFP40" s="471"/>
      <c r="TFQ40" s="471"/>
      <c r="TFR40" s="471"/>
      <c r="TFS40" s="471"/>
      <c r="TFT40" s="471"/>
      <c r="TFU40" s="471"/>
      <c r="TFV40" s="471"/>
      <c r="TFW40" s="471"/>
      <c r="TFX40" s="471"/>
      <c r="TFY40" s="471"/>
      <c r="TFZ40" s="471"/>
      <c r="TGA40" s="471"/>
      <c r="TGB40" s="471"/>
      <c r="TGC40" s="471"/>
      <c r="TGD40" s="471"/>
      <c r="TGE40" s="471"/>
      <c r="TGF40" s="471"/>
      <c r="TGG40" s="471"/>
      <c r="TGH40" s="471"/>
      <c r="TGI40" s="471"/>
      <c r="TGJ40" s="471"/>
      <c r="TGK40" s="471"/>
      <c r="TGL40" s="471"/>
      <c r="TGM40" s="471"/>
      <c r="TGN40" s="471"/>
      <c r="TGO40" s="471"/>
      <c r="TGP40" s="471"/>
      <c r="TGQ40" s="471"/>
      <c r="TGR40" s="471"/>
      <c r="TGS40" s="471"/>
      <c r="TGT40" s="471"/>
      <c r="TGU40" s="471"/>
      <c r="TGV40" s="471"/>
      <c r="TGW40" s="471"/>
      <c r="TGX40" s="471"/>
      <c r="TGY40" s="471"/>
      <c r="TGZ40" s="471"/>
      <c r="THA40" s="471"/>
      <c r="THB40" s="471"/>
      <c r="THC40" s="471"/>
      <c r="THD40" s="471"/>
      <c r="THE40" s="471"/>
      <c r="THF40" s="471"/>
      <c r="THG40" s="471"/>
      <c r="THH40" s="471"/>
      <c r="THI40" s="471"/>
      <c r="THJ40" s="471"/>
      <c r="THK40" s="471"/>
      <c r="THL40" s="471"/>
      <c r="THM40" s="471"/>
      <c r="THN40" s="471"/>
      <c r="THO40" s="471"/>
      <c r="THP40" s="471"/>
      <c r="THQ40" s="471"/>
      <c r="THR40" s="471"/>
      <c r="THS40" s="471"/>
      <c r="THT40" s="471"/>
      <c r="THU40" s="471"/>
      <c r="THV40" s="471"/>
      <c r="THW40" s="471"/>
      <c r="THX40" s="471"/>
      <c r="THY40" s="471"/>
      <c r="THZ40" s="471"/>
      <c r="TIA40" s="471"/>
      <c r="TIB40" s="471"/>
      <c r="TIC40" s="471"/>
      <c r="TID40" s="471"/>
      <c r="TIE40" s="471"/>
      <c r="TIF40" s="471"/>
      <c r="TIG40" s="471"/>
      <c r="TIH40" s="471"/>
      <c r="TII40" s="471"/>
      <c r="TIJ40" s="471"/>
      <c r="TIK40" s="471"/>
      <c r="TIL40" s="471"/>
      <c r="TIM40" s="471"/>
      <c r="TIN40" s="471"/>
      <c r="TIO40" s="471"/>
      <c r="TIP40" s="471"/>
      <c r="TIQ40" s="471"/>
      <c r="TIR40" s="471"/>
      <c r="TIS40" s="471"/>
      <c r="TIT40" s="471"/>
      <c r="TIU40" s="471"/>
      <c r="TIV40" s="471"/>
      <c r="TIW40" s="471"/>
      <c r="TIX40" s="471"/>
      <c r="TIY40" s="471"/>
      <c r="TIZ40" s="471"/>
      <c r="TJA40" s="471"/>
      <c r="TJB40" s="471"/>
      <c r="TJC40" s="471"/>
      <c r="TJD40" s="471"/>
      <c r="TJE40" s="471"/>
      <c r="TJF40" s="471"/>
      <c r="TJG40" s="471"/>
      <c r="TJH40" s="471"/>
      <c r="TJI40" s="471"/>
      <c r="TJJ40" s="471"/>
      <c r="TJK40" s="471"/>
      <c r="TJL40" s="471"/>
      <c r="TJM40" s="471"/>
      <c r="TJN40" s="471"/>
      <c r="TJO40" s="471"/>
      <c r="TJP40" s="471"/>
      <c r="TJQ40" s="471"/>
      <c r="TJR40" s="471"/>
      <c r="TJS40" s="471"/>
      <c r="TJT40" s="471"/>
      <c r="TJU40" s="471"/>
      <c r="TJV40" s="471"/>
      <c r="TJW40" s="471"/>
      <c r="TJX40" s="471"/>
      <c r="TJY40" s="471"/>
      <c r="TJZ40" s="471"/>
      <c r="TKA40" s="471"/>
      <c r="TKB40" s="471"/>
      <c r="TKC40" s="471"/>
      <c r="TKD40" s="471"/>
      <c r="TKE40" s="471"/>
      <c r="TKF40" s="471"/>
      <c r="TKG40" s="471"/>
      <c r="TKH40" s="471"/>
      <c r="TKI40" s="471"/>
      <c r="TKJ40" s="471"/>
      <c r="TKK40" s="471"/>
      <c r="TKL40" s="471"/>
      <c r="TKM40" s="471"/>
      <c r="TKN40" s="471"/>
      <c r="TKO40" s="471"/>
      <c r="TKP40" s="471"/>
      <c r="TKQ40" s="471"/>
      <c r="TKR40" s="471"/>
      <c r="TKS40" s="471"/>
      <c r="TKT40" s="471"/>
      <c r="TKU40" s="471"/>
      <c r="TKV40" s="471"/>
      <c r="TKW40" s="471"/>
      <c r="TKX40" s="471"/>
      <c r="TKY40" s="471"/>
      <c r="TKZ40" s="471"/>
      <c r="TLA40" s="471"/>
      <c r="TLB40" s="471"/>
      <c r="TLC40" s="471"/>
      <c r="TLD40" s="471"/>
      <c r="TLE40" s="471"/>
      <c r="TLF40" s="471"/>
      <c r="TLG40" s="471"/>
      <c r="TLH40" s="471"/>
      <c r="TLI40" s="471"/>
      <c r="TLJ40" s="471"/>
      <c r="TLK40" s="471"/>
      <c r="TLL40" s="471"/>
      <c r="TLM40" s="471"/>
      <c r="TLN40" s="471"/>
      <c r="TLO40" s="471"/>
      <c r="TLP40" s="471"/>
      <c r="TLQ40" s="471"/>
      <c r="TLR40" s="471"/>
      <c r="TLS40" s="471"/>
      <c r="TLT40" s="471"/>
      <c r="TLU40" s="471"/>
      <c r="TLV40" s="471"/>
      <c r="TLW40" s="471"/>
      <c r="TLX40" s="471"/>
      <c r="TLY40" s="471"/>
      <c r="TLZ40" s="471"/>
      <c r="TMA40" s="471"/>
      <c r="TMB40" s="471"/>
      <c r="TMC40" s="471"/>
      <c r="TMD40" s="471"/>
      <c r="TME40" s="471"/>
      <c r="TMF40" s="471"/>
      <c r="TMG40" s="471"/>
      <c r="TMH40" s="471"/>
      <c r="TMI40" s="471"/>
      <c r="TMJ40" s="471"/>
      <c r="TMK40" s="471"/>
      <c r="TML40" s="471"/>
      <c r="TMM40" s="471"/>
      <c r="TMN40" s="471"/>
      <c r="TMO40" s="471"/>
      <c r="TMP40" s="471"/>
      <c r="TMQ40" s="471"/>
      <c r="TMR40" s="471"/>
      <c r="TMS40" s="471"/>
      <c r="TMT40" s="471"/>
      <c r="TMU40" s="471"/>
      <c r="TMV40" s="471"/>
      <c r="TMW40" s="471"/>
      <c r="TMX40" s="471"/>
      <c r="TMY40" s="471"/>
      <c r="TMZ40" s="471"/>
      <c r="TNA40" s="471"/>
      <c r="TNB40" s="471"/>
      <c r="TNC40" s="471"/>
      <c r="TND40" s="471"/>
      <c r="TNE40" s="471"/>
      <c r="TNF40" s="471"/>
      <c r="TNG40" s="471"/>
      <c r="TNH40" s="471"/>
      <c r="TNI40" s="471"/>
      <c r="TNJ40" s="471"/>
      <c r="TNK40" s="471"/>
      <c r="TNL40" s="471"/>
      <c r="TNM40" s="471"/>
      <c r="TNN40" s="471"/>
      <c r="TNO40" s="471"/>
      <c r="TNP40" s="471"/>
      <c r="TNQ40" s="471"/>
      <c r="TNR40" s="471"/>
      <c r="TNS40" s="471"/>
      <c r="TNT40" s="471"/>
      <c r="TNU40" s="471"/>
      <c r="TNV40" s="471"/>
      <c r="TNW40" s="471"/>
      <c r="TNX40" s="471"/>
      <c r="TNY40" s="471"/>
      <c r="TNZ40" s="471"/>
      <c r="TOA40" s="471"/>
      <c r="TOB40" s="471"/>
      <c r="TOC40" s="471"/>
      <c r="TOD40" s="471"/>
      <c r="TOE40" s="471"/>
      <c r="TOF40" s="471"/>
      <c r="TOG40" s="471"/>
      <c r="TOH40" s="471"/>
      <c r="TOI40" s="471"/>
      <c r="TOJ40" s="471"/>
      <c r="TOK40" s="471"/>
      <c r="TOL40" s="471"/>
      <c r="TOM40" s="471"/>
      <c r="TON40" s="471"/>
      <c r="TOO40" s="471"/>
      <c r="TOP40" s="471"/>
      <c r="TOQ40" s="471"/>
      <c r="TOR40" s="471"/>
      <c r="TOS40" s="471"/>
      <c r="TOT40" s="471"/>
      <c r="TOU40" s="471"/>
      <c r="TOV40" s="471"/>
      <c r="TOW40" s="471"/>
      <c r="TOX40" s="471"/>
      <c r="TOY40" s="471"/>
      <c r="TOZ40" s="471"/>
      <c r="TPA40" s="471"/>
      <c r="TPB40" s="471"/>
      <c r="TPC40" s="471"/>
      <c r="TPD40" s="471"/>
      <c r="TPE40" s="471"/>
      <c r="TPF40" s="471"/>
      <c r="TPG40" s="471"/>
      <c r="TPH40" s="471"/>
      <c r="TPI40" s="471"/>
      <c r="TPJ40" s="471"/>
      <c r="TPK40" s="471"/>
      <c r="TPL40" s="471"/>
      <c r="TPM40" s="471"/>
      <c r="TPN40" s="471"/>
      <c r="TPO40" s="471"/>
      <c r="TPP40" s="471"/>
      <c r="TPQ40" s="471"/>
      <c r="TPR40" s="471"/>
      <c r="TPS40" s="471"/>
      <c r="TPT40" s="471"/>
      <c r="TPU40" s="471"/>
      <c r="TPV40" s="471"/>
      <c r="TPW40" s="471"/>
      <c r="TPX40" s="471"/>
      <c r="TPY40" s="471"/>
      <c r="TPZ40" s="471"/>
      <c r="TQA40" s="471"/>
      <c r="TQB40" s="471"/>
      <c r="TQC40" s="471"/>
      <c r="TQD40" s="471"/>
      <c r="TQE40" s="471"/>
      <c r="TQF40" s="471"/>
      <c r="TQG40" s="471"/>
      <c r="TQH40" s="471"/>
      <c r="TQI40" s="471"/>
      <c r="TQJ40" s="471"/>
      <c r="TQK40" s="471"/>
      <c r="TQL40" s="471"/>
      <c r="TQM40" s="471"/>
      <c r="TQN40" s="471"/>
      <c r="TQO40" s="471"/>
      <c r="TQP40" s="471"/>
      <c r="TQQ40" s="471"/>
      <c r="TQR40" s="471"/>
      <c r="TQS40" s="471"/>
      <c r="TQT40" s="471"/>
      <c r="TQU40" s="471"/>
      <c r="TQV40" s="471"/>
      <c r="TQW40" s="471"/>
      <c r="TQX40" s="471"/>
      <c r="TQY40" s="471"/>
      <c r="TQZ40" s="471"/>
      <c r="TRA40" s="471"/>
      <c r="TRB40" s="471"/>
      <c r="TRC40" s="471"/>
      <c r="TRD40" s="471"/>
      <c r="TRE40" s="471"/>
      <c r="TRF40" s="471"/>
      <c r="TRG40" s="471"/>
      <c r="TRH40" s="471"/>
      <c r="TRI40" s="471"/>
      <c r="TRJ40" s="471"/>
      <c r="TRK40" s="471"/>
      <c r="TRL40" s="471"/>
      <c r="TRM40" s="471"/>
      <c r="TRN40" s="471"/>
      <c r="TRO40" s="471"/>
      <c r="TRP40" s="471"/>
      <c r="TRQ40" s="471"/>
      <c r="TRR40" s="471"/>
      <c r="TRS40" s="471"/>
      <c r="TRT40" s="471"/>
      <c r="TRU40" s="471"/>
      <c r="TRV40" s="471"/>
      <c r="TRW40" s="471"/>
      <c r="TRX40" s="471"/>
      <c r="TRY40" s="471"/>
      <c r="TRZ40" s="471"/>
      <c r="TSA40" s="471"/>
      <c r="TSB40" s="471"/>
      <c r="TSC40" s="471"/>
      <c r="TSD40" s="471"/>
      <c r="TSE40" s="471"/>
      <c r="TSF40" s="471"/>
      <c r="TSG40" s="471"/>
      <c r="TSH40" s="471"/>
      <c r="TSI40" s="471"/>
      <c r="TSJ40" s="471"/>
      <c r="TSK40" s="471"/>
      <c r="TSL40" s="471"/>
      <c r="TSM40" s="471"/>
      <c r="TSN40" s="471"/>
      <c r="TSO40" s="471"/>
      <c r="TSP40" s="471"/>
      <c r="TSQ40" s="471"/>
      <c r="TSR40" s="471"/>
      <c r="TSS40" s="471"/>
      <c r="TST40" s="471"/>
      <c r="TSU40" s="471"/>
      <c r="TSV40" s="471"/>
      <c r="TSW40" s="471"/>
      <c r="TSX40" s="471"/>
      <c r="TSY40" s="471"/>
      <c r="TSZ40" s="471"/>
      <c r="TTA40" s="471"/>
      <c r="TTB40" s="471"/>
      <c r="TTC40" s="471"/>
      <c r="TTD40" s="471"/>
      <c r="TTE40" s="471"/>
      <c r="TTF40" s="471"/>
      <c r="TTG40" s="471"/>
      <c r="TTH40" s="471"/>
      <c r="TTI40" s="471"/>
      <c r="TTJ40" s="471"/>
      <c r="TTK40" s="471"/>
      <c r="TTL40" s="471"/>
      <c r="TTM40" s="471"/>
      <c r="TTN40" s="471"/>
      <c r="TTO40" s="471"/>
      <c r="TTP40" s="471"/>
      <c r="TTQ40" s="471"/>
      <c r="TTR40" s="471"/>
      <c r="TTS40" s="471"/>
      <c r="TTT40" s="471"/>
      <c r="TTU40" s="471"/>
      <c r="TTV40" s="471"/>
      <c r="TTW40" s="471"/>
      <c r="TTX40" s="471"/>
      <c r="TTY40" s="471"/>
      <c r="TTZ40" s="471"/>
      <c r="TUA40" s="471"/>
      <c r="TUB40" s="471"/>
      <c r="TUC40" s="471"/>
      <c r="TUD40" s="471"/>
      <c r="TUE40" s="471"/>
      <c r="TUF40" s="471"/>
      <c r="TUG40" s="471"/>
      <c r="TUH40" s="471"/>
      <c r="TUI40" s="471"/>
      <c r="TUJ40" s="471"/>
      <c r="TUK40" s="471"/>
      <c r="TUL40" s="471"/>
      <c r="TUM40" s="471"/>
      <c r="TUN40" s="471"/>
      <c r="TUO40" s="471"/>
      <c r="TUP40" s="471"/>
      <c r="TUQ40" s="471"/>
      <c r="TUR40" s="471"/>
      <c r="TUS40" s="471"/>
      <c r="TUT40" s="471"/>
      <c r="TUU40" s="471"/>
      <c r="TUV40" s="471"/>
      <c r="TUW40" s="471"/>
      <c r="TUX40" s="471"/>
      <c r="TUY40" s="471"/>
      <c r="TUZ40" s="471"/>
      <c r="TVA40" s="471"/>
      <c r="TVB40" s="471"/>
      <c r="TVC40" s="471"/>
      <c r="TVD40" s="471"/>
      <c r="TVE40" s="471"/>
      <c r="TVF40" s="471"/>
      <c r="TVG40" s="471"/>
      <c r="TVH40" s="471"/>
      <c r="TVI40" s="471"/>
      <c r="TVJ40" s="471"/>
      <c r="TVK40" s="471"/>
      <c r="TVL40" s="471"/>
      <c r="TVM40" s="471"/>
      <c r="TVN40" s="471"/>
      <c r="TVO40" s="471"/>
      <c r="TVP40" s="471"/>
      <c r="TVQ40" s="471"/>
      <c r="TVR40" s="471"/>
      <c r="TVS40" s="471"/>
      <c r="TVT40" s="471"/>
      <c r="TVU40" s="471"/>
      <c r="TVV40" s="471"/>
      <c r="TVW40" s="471"/>
      <c r="TVX40" s="471"/>
      <c r="TVY40" s="471"/>
      <c r="TVZ40" s="471"/>
      <c r="TWA40" s="471"/>
      <c r="TWB40" s="471"/>
      <c r="TWC40" s="471"/>
      <c r="TWD40" s="471"/>
      <c r="TWE40" s="471"/>
      <c r="TWF40" s="471"/>
      <c r="TWG40" s="471"/>
      <c r="TWH40" s="471"/>
      <c r="TWI40" s="471"/>
      <c r="TWJ40" s="471"/>
      <c r="TWK40" s="471"/>
      <c r="TWL40" s="471"/>
      <c r="TWM40" s="471"/>
      <c r="TWN40" s="471"/>
      <c r="TWO40" s="471"/>
      <c r="TWP40" s="471"/>
      <c r="TWQ40" s="471"/>
      <c r="TWR40" s="471"/>
      <c r="TWS40" s="471"/>
      <c r="TWT40" s="471"/>
      <c r="TWU40" s="471"/>
      <c r="TWV40" s="471"/>
      <c r="TWW40" s="471"/>
      <c r="TWX40" s="471"/>
      <c r="TWY40" s="471"/>
      <c r="TWZ40" s="471"/>
      <c r="TXA40" s="471"/>
      <c r="TXB40" s="471"/>
      <c r="TXC40" s="471"/>
      <c r="TXD40" s="471"/>
      <c r="TXE40" s="471"/>
      <c r="TXF40" s="471"/>
      <c r="TXG40" s="471"/>
      <c r="TXH40" s="471"/>
      <c r="TXI40" s="471"/>
      <c r="TXJ40" s="471"/>
      <c r="TXK40" s="471"/>
      <c r="TXL40" s="471"/>
      <c r="TXM40" s="471"/>
      <c r="TXN40" s="471"/>
      <c r="TXO40" s="471"/>
      <c r="TXP40" s="471"/>
      <c r="TXQ40" s="471"/>
      <c r="TXR40" s="471"/>
      <c r="TXS40" s="471"/>
      <c r="TXT40" s="471"/>
      <c r="TXU40" s="471"/>
      <c r="TXV40" s="471"/>
      <c r="TXW40" s="471"/>
      <c r="TXX40" s="471"/>
      <c r="TXY40" s="471"/>
      <c r="TXZ40" s="471"/>
      <c r="TYA40" s="471"/>
      <c r="TYB40" s="471"/>
      <c r="TYC40" s="471"/>
      <c r="TYD40" s="471"/>
      <c r="TYE40" s="471"/>
      <c r="TYF40" s="471"/>
      <c r="TYG40" s="471"/>
      <c r="TYH40" s="471"/>
      <c r="TYI40" s="471"/>
      <c r="TYJ40" s="471"/>
      <c r="TYK40" s="471"/>
      <c r="TYL40" s="471"/>
      <c r="TYM40" s="471"/>
      <c r="TYN40" s="471"/>
      <c r="TYO40" s="471"/>
      <c r="TYP40" s="471"/>
      <c r="TYQ40" s="471"/>
      <c r="TYR40" s="471"/>
      <c r="TYS40" s="471"/>
      <c r="TYT40" s="471"/>
      <c r="TYU40" s="471"/>
      <c r="TYV40" s="471"/>
      <c r="TYW40" s="471"/>
      <c r="TYX40" s="471"/>
      <c r="TYY40" s="471"/>
      <c r="TYZ40" s="471"/>
      <c r="TZA40" s="471"/>
      <c r="TZB40" s="471"/>
      <c r="TZC40" s="471"/>
      <c r="TZD40" s="471"/>
      <c r="TZE40" s="471"/>
      <c r="TZF40" s="471"/>
      <c r="TZG40" s="471"/>
      <c r="TZH40" s="471"/>
      <c r="TZI40" s="471"/>
      <c r="TZJ40" s="471"/>
      <c r="TZK40" s="471"/>
      <c r="TZL40" s="471"/>
      <c r="TZM40" s="471"/>
      <c r="TZN40" s="471"/>
      <c r="TZO40" s="471"/>
      <c r="TZP40" s="471"/>
      <c r="TZQ40" s="471"/>
      <c r="TZR40" s="471"/>
      <c r="TZS40" s="471"/>
      <c r="TZT40" s="471"/>
      <c r="TZU40" s="471"/>
      <c r="TZV40" s="471"/>
      <c r="TZW40" s="471"/>
      <c r="TZX40" s="471"/>
      <c r="TZY40" s="471"/>
      <c r="TZZ40" s="471"/>
      <c r="UAA40" s="471"/>
      <c r="UAB40" s="471"/>
      <c r="UAC40" s="471"/>
      <c r="UAD40" s="471"/>
      <c r="UAE40" s="471"/>
      <c r="UAF40" s="471"/>
      <c r="UAG40" s="471"/>
      <c r="UAH40" s="471"/>
      <c r="UAI40" s="471"/>
      <c r="UAJ40" s="471"/>
      <c r="UAK40" s="471"/>
      <c r="UAL40" s="471"/>
      <c r="UAM40" s="471"/>
      <c r="UAN40" s="471"/>
      <c r="UAO40" s="471"/>
      <c r="UAP40" s="471"/>
      <c r="UAQ40" s="471"/>
      <c r="UAR40" s="471"/>
      <c r="UAS40" s="471"/>
      <c r="UAT40" s="471"/>
      <c r="UAU40" s="471"/>
      <c r="UAV40" s="471"/>
      <c r="UAW40" s="471"/>
      <c r="UAX40" s="471"/>
      <c r="UAY40" s="471"/>
      <c r="UAZ40" s="471"/>
      <c r="UBA40" s="471"/>
      <c r="UBB40" s="471"/>
      <c r="UBC40" s="471"/>
      <c r="UBD40" s="471"/>
      <c r="UBE40" s="471"/>
      <c r="UBF40" s="471"/>
      <c r="UBG40" s="471"/>
      <c r="UBH40" s="471"/>
      <c r="UBI40" s="471"/>
      <c r="UBJ40" s="471"/>
      <c r="UBK40" s="471"/>
      <c r="UBL40" s="471"/>
      <c r="UBM40" s="471"/>
      <c r="UBN40" s="471"/>
      <c r="UBO40" s="471"/>
      <c r="UBP40" s="471"/>
      <c r="UBQ40" s="471"/>
      <c r="UBR40" s="471"/>
      <c r="UBS40" s="471"/>
      <c r="UBT40" s="471"/>
      <c r="UBU40" s="471"/>
      <c r="UBV40" s="471"/>
      <c r="UBW40" s="471"/>
      <c r="UBX40" s="471"/>
      <c r="UBY40" s="471"/>
      <c r="UBZ40" s="471"/>
      <c r="UCA40" s="471"/>
      <c r="UCB40" s="471"/>
      <c r="UCC40" s="471"/>
      <c r="UCD40" s="471"/>
      <c r="UCE40" s="471"/>
      <c r="UCF40" s="471"/>
      <c r="UCG40" s="471"/>
      <c r="UCH40" s="471"/>
      <c r="UCI40" s="471"/>
      <c r="UCJ40" s="471"/>
      <c r="UCK40" s="471"/>
      <c r="UCL40" s="471"/>
      <c r="UCM40" s="471"/>
      <c r="UCN40" s="471"/>
      <c r="UCO40" s="471"/>
      <c r="UCP40" s="471"/>
      <c r="UCQ40" s="471"/>
      <c r="UCR40" s="471"/>
      <c r="UCS40" s="471"/>
      <c r="UCT40" s="471"/>
      <c r="UCU40" s="471"/>
      <c r="UCV40" s="471"/>
      <c r="UCW40" s="471"/>
      <c r="UCX40" s="471"/>
      <c r="UCY40" s="471"/>
      <c r="UCZ40" s="471"/>
      <c r="UDA40" s="471"/>
      <c r="UDB40" s="471"/>
      <c r="UDC40" s="471"/>
      <c r="UDD40" s="471"/>
      <c r="UDE40" s="471"/>
      <c r="UDF40" s="471"/>
      <c r="UDG40" s="471"/>
      <c r="UDH40" s="471"/>
      <c r="UDI40" s="471"/>
      <c r="UDJ40" s="471"/>
      <c r="UDK40" s="471"/>
      <c r="UDL40" s="471"/>
      <c r="UDM40" s="471"/>
      <c r="UDN40" s="471"/>
      <c r="UDO40" s="471"/>
      <c r="UDP40" s="471"/>
      <c r="UDQ40" s="471"/>
      <c r="UDR40" s="471"/>
      <c r="UDS40" s="471"/>
      <c r="UDT40" s="471"/>
      <c r="UDU40" s="471"/>
      <c r="UDV40" s="471"/>
      <c r="UDW40" s="471"/>
      <c r="UDX40" s="471"/>
      <c r="UDY40" s="471"/>
      <c r="UDZ40" s="471"/>
      <c r="UEA40" s="471"/>
      <c r="UEB40" s="471"/>
      <c r="UEC40" s="471"/>
      <c r="UED40" s="471"/>
      <c r="UEE40" s="471"/>
      <c r="UEF40" s="471"/>
      <c r="UEG40" s="471"/>
      <c r="UEH40" s="471"/>
      <c r="UEI40" s="471"/>
      <c r="UEJ40" s="471"/>
      <c r="UEK40" s="471"/>
      <c r="UEL40" s="471"/>
      <c r="UEM40" s="471"/>
      <c r="UEN40" s="471"/>
      <c r="UEO40" s="471"/>
      <c r="UEP40" s="471"/>
      <c r="UEQ40" s="471"/>
      <c r="UER40" s="471"/>
      <c r="UES40" s="471"/>
      <c r="UET40" s="471"/>
      <c r="UEU40" s="471"/>
      <c r="UEV40" s="471"/>
      <c r="UEW40" s="471"/>
      <c r="UEX40" s="471"/>
      <c r="UEY40" s="471"/>
      <c r="UEZ40" s="471"/>
      <c r="UFA40" s="471"/>
      <c r="UFB40" s="471"/>
      <c r="UFC40" s="471"/>
      <c r="UFD40" s="471"/>
      <c r="UFE40" s="471"/>
      <c r="UFF40" s="471"/>
      <c r="UFG40" s="471"/>
      <c r="UFH40" s="471"/>
      <c r="UFI40" s="471"/>
      <c r="UFJ40" s="471"/>
      <c r="UFK40" s="471"/>
      <c r="UFL40" s="471"/>
      <c r="UFM40" s="471"/>
      <c r="UFN40" s="471"/>
      <c r="UFO40" s="471"/>
      <c r="UFP40" s="471"/>
      <c r="UFQ40" s="471"/>
      <c r="UFR40" s="471"/>
      <c r="UFS40" s="471"/>
      <c r="UFT40" s="471"/>
      <c r="UFU40" s="471"/>
      <c r="UFV40" s="471"/>
      <c r="UFW40" s="471"/>
      <c r="UFX40" s="471"/>
      <c r="UFY40" s="471"/>
      <c r="UFZ40" s="471"/>
      <c r="UGA40" s="471"/>
      <c r="UGB40" s="471"/>
      <c r="UGC40" s="471"/>
      <c r="UGD40" s="471"/>
      <c r="UGE40" s="471"/>
      <c r="UGF40" s="471"/>
      <c r="UGG40" s="471"/>
      <c r="UGH40" s="471"/>
      <c r="UGI40" s="471"/>
      <c r="UGJ40" s="471"/>
      <c r="UGK40" s="471"/>
      <c r="UGL40" s="471"/>
      <c r="UGM40" s="471"/>
      <c r="UGN40" s="471"/>
      <c r="UGO40" s="471"/>
      <c r="UGP40" s="471"/>
      <c r="UGQ40" s="471"/>
      <c r="UGR40" s="471"/>
      <c r="UGS40" s="471"/>
      <c r="UGT40" s="471"/>
      <c r="UGU40" s="471"/>
      <c r="UGV40" s="471"/>
      <c r="UGW40" s="471"/>
      <c r="UGX40" s="471"/>
      <c r="UGY40" s="471"/>
      <c r="UGZ40" s="471"/>
      <c r="UHA40" s="471"/>
      <c r="UHB40" s="471"/>
      <c r="UHC40" s="471"/>
      <c r="UHD40" s="471"/>
      <c r="UHE40" s="471"/>
      <c r="UHF40" s="471"/>
      <c r="UHG40" s="471"/>
      <c r="UHH40" s="471"/>
      <c r="UHI40" s="471"/>
      <c r="UHJ40" s="471"/>
      <c r="UHK40" s="471"/>
      <c r="UHL40" s="471"/>
      <c r="UHM40" s="471"/>
      <c r="UHN40" s="471"/>
      <c r="UHO40" s="471"/>
      <c r="UHP40" s="471"/>
      <c r="UHQ40" s="471"/>
      <c r="UHR40" s="471"/>
      <c r="UHS40" s="471"/>
      <c r="UHT40" s="471"/>
      <c r="UHU40" s="471"/>
      <c r="UHV40" s="471"/>
      <c r="UHW40" s="471"/>
      <c r="UHX40" s="471"/>
      <c r="UHY40" s="471"/>
      <c r="UHZ40" s="471"/>
      <c r="UIA40" s="471"/>
      <c r="UIB40" s="471"/>
      <c r="UIC40" s="471"/>
      <c r="UID40" s="471"/>
      <c r="UIE40" s="471"/>
      <c r="UIF40" s="471"/>
      <c r="UIG40" s="471"/>
      <c r="UIH40" s="471"/>
      <c r="UII40" s="471"/>
      <c r="UIJ40" s="471"/>
      <c r="UIK40" s="471"/>
      <c r="UIL40" s="471"/>
      <c r="UIM40" s="471"/>
      <c r="UIN40" s="471"/>
      <c r="UIO40" s="471"/>
      <c r="UIP40" s="471"/>
      <c r="UIQ40" s="471"/>
      <c r="UIR40" s="471"/>
      <c r="UIS40" s="471"/>
      <c r="UIT40" s="471"/>
      <c r="UIU40" s="471"/>
      <c r="UIV40" s="471"/>
      <c r="UIW40" s="471"/>
      <c r="UIX40" s="471"/>
      <c r="UIY40" s="471"/>
      <c r="UIZ40" s="471"/>
      <c r="UJA40" s="471"/>
      <c r="UJB40" s="471"/>
      <c r="UJC40" s="471"/>
      <c r="UJD40" s="471"/>
      <c r="UJE40" s="471"/>
      <c r="UJF40" s="471"/>
      <c r="UJG40" s="471"/>
      <c r="UJH40" s="471"/>
      <c r="UJI40" s="471"/>
      <c r="UJJ40" s="471"/>
      <c r="UJK40" s="471"/>
      <c r="UJL40" s="471"/>
      <c r="UJM40" s="471"/>
      <c r="UJN40" s="471"/>
      <c r="UJO40" s="471"/>
      <c r="UJP40" s="471"/>
      <c r="UJQ40" s="471"/>
      <c r="UJR40" s="471"/>
      <c r="UJS40" s="471"/>
      <c r="UJT40" s="471"/>
      <c r="UJU40" s="471"/>
      <c r="UJV40" s="471"/>
      <c r="UJW40" s="471"/>
      <c r="UJX40" s="471"/>
      <c r="UJY40" s="471"/>
      <c r="UJZ40" s="471"/>
      <c r="UKA40" s="471"/>
      <c r="UKB40" s="471"/>
      <c r="UKC40" s="471"/>
      <c r="UKD40" s="471"/>
      <c r="UKE40" s="471"/>
      <c r="UKF40" s="471"/>
      <c r="UKG40" s="471"/>
      <c r="UKH40" s="471"/>
      <c r="UKI40" s="471"/>
      <c r="UKJ40" s="471"/>
      <c r="UKK40" s="471"/>
      <c r="UKL40" s="471"/>
      <c r="UKM40" s="471"/>
      <c r="UKN40" s="471"/>
      <c r="UKO40" s="471"/>
      <c r="UKP40" s="471"/>
      <c r="UKQ40" s="471"/>
      <c r="UKR40" s="471"/>
      <c r="UKS40" s="471"/>
      <c r="UKT40" s="471"/>
      <c r="UKU40" s="471"/>
      <c r="UKV40" s="471"/>
      <c r="UKW40" s="471"/>
      <c r="UKX40" s="471"/>
      <c r="UKY40" s="471"/>
      <c r="UKZ40" s="471"/>
      <c r="ULA40" s="471"/>
      <c r="ULB40" s="471"/>
      <c r="ULC40" s="471"/>
      <c r="ULD40" s="471"/>
      <c r="ULE40" s="471"/>
      <c r="ULF40" s="471"/>
      <c r="ULG40" s="471"/>
      <c r="ULH40" s="471"/>
      <c r="ULI40" s="471"/>
      <c r="ULJ40" s="471"/>
      <c r="ULK40" s="471"/>
      <c r="ULL40" s="471"/>
      <c r="ULM40" s="471"/>
      <c r="ULN40" s="471"/>
      <c r="ULO40" s="471"/>
      <c r="ULP40" s="471"/>
      <c r="ULQ40" s="471"/>
      <c r="ULR40" s="471"/>
      <c r="ULS40" s="471"/>
      <c r="ULT40" s="471"/>
      <c r="ULU40" s="471"/>
      <c r="ULV40" s="471"/>
      <c r="ULW40" s="471"/>
      <c r="ULX40" s="471"/>
      <c r="ULY40" s="471"/>
      <c r="ULZ40" s="471"/>
      <c r="UMA40" s="471"/>
      <c r="UMB40" s="471"/>
      <c r="UMC40" s="471"/>
      <c r="UMD40" s="471"/>
      <c r="UME40" s="471"/>
      <c r="UMF40" s="471"/>
      <c r="UMG40" s="471"/>
      <c r="UMH40" s="471"/>
      <c r="UMI40" s="471"/>
      <c r="UMJ40" s="471"/>
      <c r="UMK40" s="471"/>
      <c r="UML40" s="471"/>
      <c r="UMM40" s="471"/>
      <c r="UMN40" s="471"/>
      <c r="UMO40" s="471"/>
      <c r="UMP40" s="471"/>
      <c r="UMQ40" s="471"/>
      <c r="UMR40" s="471"/>
      <c r="UMS40" s="471"/>
      <c r="UMT40" s="471"/>
      <c r="UMU40" s="471"/>
      <c r="UMV40" s="471"/>
      <c r="UMW40" s="471"/>
      <c r="UMX40" s="471"/>
      <c r="UMY40" s="471"/>
      <c r="UMZ40" s="471"/>
      <c r="UNA40" s="471"/>
      <c r="UNB40" s="471"/>
      <c r="UNC40" s="471"/>
      <c r="UND40" s="471"/>
      <c r="UNE40" s="471"/>
      <c r="UNF40" s="471"/>
      <c r="UNG40" s="471"/>
      <c r="UNH40" s="471"/>
      <c r="UNI40" s="471"/>
      <c r="UNJ40" s="471"/>
      <c r="UNK40" s="471"/>
      <c r="UNL40" s="471"/>
      <c r="UNM40" s="471"/>
      <c r="UNN40" s="471"/>
      <c r="UNO40" s="471"/>
      <c r="UNP40" s="471"/>
      <c r="UNQ40" s="471"/>
      <c r="UNR40" s="471"/>
      <c r="UNS40" s="471"/>
      <c r="UNT40" s="471"/>
      <c r="UNU40" s="471"/>
      <c r="UNV40" s="471"/>
      <c r="UNW40" s="471"/>
      <c r="UNX40" s="471"/>
      <c r="UNY40" s="471"/>
      <c r="UNZ40" s="471"/>
      <c r="UOA40" s="471"/>
      <c r="UOB40" s="471"/>
      <c r="UOC40" s="471"/>
      <c r="UOD40" s="471"/>
      <c r="UOE40" s="471"/>
      <c r="UOF40" s="471"/>
      <c r="UOG40" s="471"/>
      <c r="UOH40" s="471"/>
      <c r="UOI40" s="471"/>
      <c r="UOJ40" s="471"/>
      <c r="UOK40" s="471"/>
      <c r="UOL40" s="471"/>
      <c r="UOM40" s="471"/>
      <c r="UON40" s="471"/>
      <c r="UOO40" s="471"/>
      <c r="UOP40" s="471"/>
      <c r="UOQ40" s="471"/>
      <c r="UOR40" s="471"/>
      <c r="UOS40" s="471"/>
      <c r="UOT40" s="471"/>
      <c r="UOU40" s="471"/>
      <c r="UOV40" s="471"/>
      <c r="UOW40" s="471"/>
      <c r="UOX40" s="471"/>
      <c r="UOY40" s="471"/>
      <c r="UOZ40" s="471"/>
      <c r="UPA40" s="471"/>
      <c r="UPB40" s="471"/>
      <c r="UPC40" s="471"/>
      <c r="UPD40" s="471"/>
      <c r="UPE40" s="471"/>
      <c r="UPF40" s="471"/>
      <c r="UPG40" s="471"/>
      <c r="UPH40" s="471"/>
      <c r="UPI40" s="471"/>
      <c r="UPJ40" s="471"/>
      <c r="UPK40" s="471"/>
      <c r="UPL40" s="471"/>
      <c r="UPM40" s="471"/>
      <c r="UPN40" s="471"/>
      <c r="UPO40" s="471"/>
      <c r="UPP40" s="471"/>
      <c r="UPQ40" s="471"/>
      <c r="UPR40" s="471"/>
      <c r="UPS40" s="471"/>
      <c r="UPT40" s="471"/>
      <c r="UPU40" s="471"/>
      <c r="UPV40" s="471"/>
      <c r="UPW40" s="471"/>
      <c r="UPX40" s="471"/>
      <c r="UPY40" s="471"/>
      <c r="UPZ40" s="471"/>
      <c r="UQA40" s="471"/>
      <c r="UQB40" s="471"/>
      <c r="UQC40" s="471"/>
      <c r="UQD40" s="471"/>
      <c r="UQE40" s="471"/>
      <c r="UQF40" s="471"/>
      <c r="UQG40" s="471"/>
      <c r="UQH40" s="471"/>
      <c r="UQI40" s="471"/>
      <c r="UQJ40" s="471"/>
      <c r="UQK40" s="471"/>
      <c r="UQL40" s="471"/>
      <c r="UQM40" s="471"/>
      <c r="UQN40" s="471"/>
      <c r="UQO40" s="471"/>
      <c r="UQP40" s="471"/>
      <c r="UQQ40" s="471"/>
      <c r="UQR40" s="471"/>
      <c r="UQS40" s="471"/>
      <c r="UQT40" s="471"/>
      <c r="UQU40" s="471"/>
      <c r="UQV40" s="471"/>
      <c r="UQW40" s="471"/>
      <c r="UQX40" s="471"/>
      <c r="UQY40" s="471"/>
      <c r="UQZ40" s="471"/>
      <c r="URA40" s="471"/>
      <c r="URB40" s="471"/>
      <c r="URC40" s="471"/>
      <c r="URD40" s="471"/>
      <c r="URE40" s="471"/>
      <c r="URF40" s="471"/>
      <c r="URG40" s="471"/>
      <c r="URH40" s="471"/>
      <c r="URI40" s="471"/>
      <c r="URJ40" s="471"/>
      <c r="URK40" s="471"/>
      <c r="URL40" s="471"/>
      <c r="URM40" s="471"/>
      <c r="URN40" s="471"/>
      <c r="URO40" s="471"/>
      <c r="URP40" s="471"/>
      <c r="URQ40" s="471"/>
      <c r="URR40" s="471"/>
      <c r="URS40" s="471"/>
      <c r="URT40" s="471"/>
      <c r="URU40" s="471"/>
      <c r="URV40" s="471"/>
      <c r="URW40" s="471"/>
      <c r="URX40" s="471"/>
      <c r="URY40" s="471"/>
      <c r="URZ40" s="471"/>
      <c r="USA40" s="471"/>
      <c r="USB40" s="471"/>
      <c r="USC40" s="471"/>
      <c r="USD40" s="471"/>
      <c r="USE40" s="471"/>
      <c r="USF40" s="471"/>
      <c r="USG40" s="471"/>
      <c r="USH40" s="471"/>
      <c r="USI40" s="471"/>
      <c r="USJ40" s="471"/>
      <c r="USK40" s="471"/>
      <c r="USL40" s="471"/>
      <c r="USM40" s="471"/>
      <c r="USN40" s="471"/>
      <c r="USO40" s="471"/>
      <c r="USP40" s="471"/>
      <c r="USQ40" s="471"/>
      <c r="USR40" s="471"/>
      <c r="USS40" s="471"/>
      <c r="UST40" s="471"/>
      <c r="USU40" s="471"/>
      <c r="USV40" s="471"/>
      <c r="USW40" s="471"/>
      <c r="USX40" s="471"/>
      <c r="USY40" s="471"/>
      <c r="USZ40" s="471"/>
      <c r="UTA40" s="471"/>
      <c r="UTB40" s="471"/>
      <c r="UTC40" s="471"/>
      <c r="UTD40" s="471"/>
      <c r="UTE40" s="471"/>
      <c r="UTF40" s="471"/>
      <c r="UTG40" s="471"/>
      <c r="UTH40" s="471"/>
      <c r="UTI40" s="471"/>
      <c r="UTJ40" s="471"/>
      <c r="UTK40" s="471"/>
      <c r="UTL40" s="471"/>
      <c r="UTM40" s="471"/>
      <c r="UTN40" s="471"/>
      <c r="UTO40" s="471"/>
      <c r="UTP40" s="471"/>
      <c r="UTQ40" s="471"/>
      <c r="UTR40" s="471"/>
      <c r="UTS40" s="471"/>
      <c r="UTT40" s="471"/>
      <c r="UTU40" s="471"/>
      <c r="UTV40" s="471"/>
      <c r="UTW40" s="471"/>
      <c r="UTX40" s="471"/>
      <c r="UTY40" s="471"/>
      <c r="UTZ40" s="471"/>
      <c r="UUA40" s="471"/>
      <c r="UUB40" s="471"/>
      <c r="UUC40" s="471"/>
      <c r="UUD40" s="471"/>
      <c r="UUE40" s="471"/>
      <c r="UUF40" s="471"/>
      <c r="UUG40" s="471"/>
      <c r="UUH40" s="471"/>
      <c r="UUI40" s="471"/>
      <c r="UUJ40" s="471"/>
      <c r="UUK40" s="471"/>
      <c r="UUL40" s="471"/>
      <c r="UUM40" s="471"/>
      <c r="UUN40" s="471"/>
      <c r="UUO40" s="471"/>
      <c r="UUP40" s="471"/>
      <c r="UUQ40" s="471"/>
      <c r="UUR40" s="471"/>
      <c r="UUS40" s="471"/>
      <c r="UUT40" s="471"/>
      <c r="UUU40" s="471"/>
      <c r="UUV40" s="471"/>
      <c r="UUW40" s="471"/>
      <c r="UUX40" s="471"/>
      <c r="UUY40" s="471"/>
      <c r="UUZ40" s="471"/>
      <c r="UVA40" s="471"/>
      <c r="UVB40" s="471"/>
      <c r="UVC40" s="471"/>
      <c r="UVD40" s="471"/>
      <c r="UVE40" s="471"/>
      <c r="UVF40" s="471"/>
      <c r="UVG40" s="471"/>
      <c r="UVH40" s="471"/>
      <c r="UVI40" s="471"/>
      <c r="UVJ40" s="471"/>
      <c r="UVK40" s="471"/>
      <c r="UVL40" s="471"/>
      <c r="UVM40" s="471"/>
      <c r="UVN40" s="471"/>
      <c r="UVO40" s="471"/>
      <c r="UVP40" s="471"/>
      <c r="UVQ40" s="471"/>
      <c r="UVR40" s="471"/>
      <c r="UVS40" s="471"/>
      <c r="UVT40" s="471"/>
      <c r="UVU40" s="471"/>
      <c r="UVV40" s="471"/>
      <c r="UVW40" s="471"/>
      <c r="UVX40" s="471"/>
      <c r="UVY40" s="471"/>
      <c r="UVZ40" s="471"/>
      <c r="UWA40" s="471"/>
      <c r="UWB40" s="471"/>
      <c r="UWC40" s="471"/>
      <c r="UWD40" s="471"/>
      <c r="UWE40" s="471"/>
      <c r="UWF40" s="471"/>
      <c r="UWG40" s="471"/>
      <c r="UWH40" s="471"/>
      <c r="UWI40" s="471"/>
      <c r="UWJ40" s="471"/>
      <c r="UWK40" s="471"/>
      <c r="UWL40" s="471"/>
      <c r="UWM40" s="471"/>
      <c r="UWN40" s="471"/>
      <c r="UWO40" s="471"/>
      <c r="UWP40" s="471"/>
      <c r="UWQ40" s="471"/>
      <c r="UWR40" s="471"/>
      <c r="UWS40" s="471"/>
      <c r="UWT40" s="471"/>
      <c r="UWU40" s="471"/>
      <c r="UWV40" s="471"/>
      <c r="UWW40" s="471"/>
      <c r="UWX40" s="471"/>
      <c r="UWY40" s="471"/>
      <c r="UWZ40" s="471"/>
      <c r="UXA40" s="471"/>
      <c r="UXB40" s="471"/>
      <c r="UXC40" s="471"/>
      <c r="UXD40" s="471"/>
      <c r="UXE40" s="471"/>
      <c r="UXF40" s="471"/>
      <c r="UXG40" s="471"/>
      <c r="UXH40" s="471"/>
      <c r="UXI40" s="471"/>
      <c r="UXJ40" s="471"/>
      <c r="UXK40" s="471"/>
      <c r="UXL40" s="471"/>
      <c r="UXM40" s="471"/>
      <c r="UXN40" s="471"/>
      <c r="UXO40" s="471"/>
      <c r="UXP40" s="471"/>
      <c r="UXQ40" s="471"/>
      <c r="UXR40" s="471"/>
      <c r="UXS40" s="471"/>
      <c r="UXT40" s="471"/>
      <c r="UXU40" s="471"/>
      <c r="UXV40" s="471"/>
      <c r="UXW40" s="471"/>
      <c r="UXX40" s="471"/>
      <c r="UXY40" s="471"/>
      <c r="UXZ40" s="471"/>
      <c r="UYA40" s="471"/>
      <c r="UYB40" s="471"/>
      <c r="UYC40" s="471"/>
      <c r="UYD40" s="471"/>
      <c r="UYE40" s="471"/>
      <c r="UYF40" s="471"/>
      <c r="UYG40" s="471"/>
      <c r="UYH40" s="471"/>
      <c r="UYI40" s="471"/>
      <c r="UYJ40" s="471"/>
      <c r="UYK40" s="471"/>
      <c r="UYL40" s="471"/>
      <c r="UYM40" s="471"/>
      <c r="UYN40" s="471"/>
      <c r="UYO40" s="471"/>
      <c r="UYP40" s="471"/>
      <c r="UYQ40" s="471"/>
      <c r="UYR40" s="471"/>
      <c r="UYS40" s="471"/>
      <c r="UYT40" s="471"/>
      <c r="UYU40" s="471"/>
      <c r="UYV40" s="471"/>
      <c r="UYW40" s="471"/>
      <c r="UYX40" s="471"/>
      <c r="UYY40" s="471"/>
      <c r="UYZ40" s="471"/>
      <c r="UZA40" s="471"/>
      <c r="UZB40" s="471"/>
      <c r="UZC40" s="471"/>
      <c r="UZD40" s="471"/>
      <c r="UZE40" s="471"/>
      <c r="UZF40" s="471"/>
      <c r="UZG40" s="471"/>
      <c r="UZH40" s="471"/>
      <c r="UZI40" s="471"/>
      <c r="UZJ40" s="471"/>
      <c r="UZK40" s="471"/>
      <c r="UZL40" s="471"/>
      <c r="UZM40" s="471"/>
      <c r="UZN40" s="471"/>
      <c r="UZO40" s="471"/>
      <c r="UZP40" s="471"/>
      <c r="UZQ40" s="471"/>
      <c r="UZR40" s="471"/>
      <c r="UZS40" s="471"/>
      <c r="UZT40" s="471"/>
      <c r="UZU40" s="471"/>
      <c r="UZV40" s="471"/>
      <c r="UZW40" s="471"/>
      <c r="UZX40" s="471"/>
      <c r="UZY40" s="471"/>
      <c r="UZZ40" s="471"/>
      <c r="VAA40" s="471"/>
      <c r="VAB40" s="471"/>
      <c r="VAC40" s="471"/>
      <c r="VAD40" s="471"/>
      <c r="VAE40" s="471"/>
      <c r="VAF40" s="471"/>
      <c r="VAG40" s="471"/>
      <c r="VAH40" s="471"/>
      <c r="VAI40" s="471"/>
      <c r="VAJ40" s="471"/>
      <c r="VAK40" s="471"/>
      <c r="VAL40" s="471"/>
      <c r="VAM40" s="471"/>
      <c r="VAN40" s="471"/>
      <c r="VAO40" s="471"/>
      <c r="VAP40" s="471"/>
      <c r="VAQ40" s="471"/>
      <c r="VAR40" s="471"/>
      <c r="VAS40" s="471"/>
      <c r="VAT40" s="471"/>
      <c r="VAU40" s="471"/>
      <c r="VAV40" s="471"/>
      <c r="VAW40" s="471"/>
      <c r="VAX40" s="471"/>
      <c r="VAY40" s="471"/>
      <c r="VAZ40" s="471"/>
      <c r="VBA40" s="471"/>
      <c r="VBB40" s="471"/>
      <c r="VBC40" s="471"/>
      <c r="VBD40" s="471"/>
      <c r="VBE40" s="471"/>
      <c r="VBF40" s="471"/>
      <c r="VBG40" s="471"/>
      <c r="VBH40" s="471"/>
      <c r="VBI40" s="471"/>
      <c r="VBJ40" s="471"/>
      <c r="VBK40" s="471"/>
      <c r="VBL40" s="471"/>
      <c r="VBM40" s="471"/>
      <c r="VBN40" s="471"/>
      <c r="VBO40" s="471"/>
      <c r="VBP40" s="471"/>
      <c r="VBQ40" s="471"/>
      <c r="VBR40" s="471"/>
      <c r="VBS40" s="471"/>
      <c r="VBT40" s="471"/>
      <c r="VBU40" s="471"/>
      <c r="VBV40" s="471"/>
      <c r="VBW40" s="471"/>
      <c r="VBX40" s="471"/>
      <c r="VBY40" s="471"/>
      <c r="VBZ40" s="471"/>
      <c r="VCA40" s="471"/>
      <c r="VCB40" s="471"/>
      <c r="VCC40" s="471"/>
      <c r="VCD40" s="471"/>
      <c r="VCE40" s="471"/>
      <c r="VCF40" s="471"/>
      <c r="VCG40" s="471"/>
      <c r="VCH40" s="471"/>
      <c r="VCI40" s="471"/>
      <c r="VCJ40" s="471"/>
      <c r="VCK40" s="471"/>
      <c r="VCL40" s="471"/>
      <c r="VCM40" s="471"/>
      <c r="VCN40" s="471"/>
      <c r="VCO40" s="471"/>
      <c r="VCP40" s="471"/>
      <c r="VCQ40" s="471"/>
      <c r="VCR40" s="471"/>
      <c r="VCS40" s="471"/>
      <c r="VCT40" s="471"/>
      <c r="VCU40" s="471"/>
      <c r="VCV40" s="471"/>
      <c r="VCW40" s="471"/>
      <c r="VCX40" s="471"/>
      <c r="VCY40" s="471"/>
      <c r="VCZ40" s="471"/>
      <c r="VDA40" s="471"/>
      <c r="VDB40" s="471"/>
      <c r="VDC40" s="471"/>
      <c r="VDD40" s="471"/>
      <c r="VDE40" s="471"/>
      <c r="VDF40" s="471"/>
      <c r="VDG40" s="471"/>
      <c r="VDH40" s="471"/>
      <c r="VDI40" s="471"/>
      <c r="VDJ40" s="471"/>
      <c r="VDK40" s="471"/>
      <c r="VDL40" s="471"/>
      <c r="VDM40" s="471"/>
      <c r="VDN40" s="471"/>
      <c r="VDO40" s="471"/>
      <c r="VDP40" s="471"/>
      <c r="VDQ40" s="471"/>
      <c r="VDR40" s="471"/>
      <c r="VDS40" s="471"/>
      <c r="VDT40" s="471"/>
      <c r="VDU40" s="471"/>
      <c r="VDV40" s="471"/>
      <c r="VDW40" s="471"/>
      <c r="VDX40" s="471"/>
      <c r="VDY40" s="471"/>
      <c r="VDZ40" s="471"/>
      <c r="VEA40" s="471"/>
      <c r="VEB40" s="471"/>
      <c r="VEC40" s="471"/>
      <c r="VED40" s="471"/>
      <c r="VEE40" s="471"/>
      <c r="VEF40" s="471"/>
      <c r="VEG40" s="471"/>
      <c r="VEH40" s="471"/>
      <c r="VEI40" s="471"/>
      <c r="VEJ40" s="471"/>
      <c r="VEK40" s="471"/>
      <c r="VEL40" s="471"/>
      <c r="VEM40" s="471"/>
      <c r="VEN40" s="471"/>
      <c r="VEO40" s="471"/>
      <c r="VEP40" s="471"/>
      <c r="VEQ40" s="471"/>
      <c r="VER40" s="471"/>
      <c r="VES40" s="471"/>
      <c r="VET40" s="471"/>
      <c r="VEU40" s="471"/>
      <c r="VEV40" s="471"/>
      <c r="VEW40" s="471"/>
      <c r="VEX40" s="471"/>
      <c r="VEY40" s="471"/>
      <c r="VEZ40" s="471"/>
      <c r="VFA40" s="471"/>
      <c r="VFB40" s="471"/>
      <c r="VFC40" s="471"/>
      <c r="VFD40" s="471"/>
      <c r="VFE40" s="471"/>
      <c r="VFF40" s="471"/>
      <c r="VFG40" s="471"/>
      <c r="VFH40" s="471"/>
      <c r="VFI40" s="471"/>
      <c r="VFJ40" s="471"/>
      <c r="VFK40" s="471"/>
      <c r="VFL40" s="471"/>
      <c r="VFM40" s="471"/>
      <c r="VFN40" s="471"/>
      <c r="VFO40" s="471"/>
      <c r="VFP40" s="471"/>
      <c r="VFQ40" s="471"/>
      <c r="VFR40" s="471"/>
      <c r="VFS40" s="471"/>
      <c r="VFT40" s="471"/>
      <c r="VFU40" s="471"/>
      <c r="VFV40" s="471"/>
      <c r="VFW40" s="471"/>
      <c r="VFX40" s="471"/>
      <c r="VFY40" s="471"/>
      <c r="VFZ40" s="471"/>
      <c r="VGA40" s="471"/>
      <c r="VGB40" s="471"/>
      <c r="VGC40" s="471"/>
      <c r="VGD40" s="471"/>
      <c r="VGE40" s="471"/>
      <c r="VGF40" s="471"/>
      <c r="VGG40" s="471"/>
      <c r="VGH40" s="471"/>
      <c r="VGI40" s="471"/>
      <c r="VGJ40" s="471"/>
      <c r="VGK40" s="471"/>
      <c r="VGL40" s="471"/>
      <c r="VGM40" s="471"/>
      <c r="VGN40" s="471"/>
      <c r="VGO40" s="471"/>
      <c r="VGP40" s="471"/>
      <c r="VGQ40" s="471"/>
      <c r="VGR40" s="471"/>
      <c r="VGS40" s="471"/>
      <c r="VGT40" s="471"/>
      <c r="VGU40" s="471"/>
      <c r="VGV40" s="471"/>
      <c r="VGW40" s="471"/>
      <c r="VGX40" s="471"/>
      <c r="VGY40" s="471"/>
      <c r="VGZ40" s="471"/>
      <c r="VHA40" s="471"/>
      <c r="VHB40" s="471"/>
      <c r="VHC40" s="471"/>
      <c r="VHD40" s="471"/>
      <c r="VHE40" s="471"/>
      <c r="VHF40" s="471"/>
      <c r="VHG40" s="471"/>
      <c r="VHH40" s="471"/>
      <c r="VHI40" s="471"/>
      <c r="VHJ40" s="471"/>
      <c r="VHK40" s="471"/>
      <c r="VHL40" s="471"/>
      <c r="VHM40" s="471"/>
      <c r="VHN40" s="471"/>
      <c r="VHO40" s="471"/>
      <c r="VHP40" s="471"/>
      <c r="VHQ40" s="471"/>
      <c r="VHR40" s="471"/>
      <c r="VHS40" s="471"/>
      <c r="VHT40" s="471"/>
      <c r="VHU40" s="471"/>
      <c r="VHV40" s="471"/>
      <c r="VHW40" s="471"/>
      <c r="VHX40" s="471"/>
      <c r="VHY40" s="471"/>
      <c r="VHZ40" s="471"/>
      <c r="VIA40" s="471"/>
      <c r="VIB40" s="471"/>
      <c r="VIC40" s="471"/>
      <c r="VID40" s="471"/>
      <c r="VIE40" s="471"/>
      <c r="VIF40" s="471"/>
      <c r="VIG40" s="471"/>
      <c r="VIH40" s="471"/>
      <c r="VII40" s="471"/>
      <c r="VIJ40" s="471"/>
      <c r="VIK40" s="471"/>
      <c r="VIL40" s="471"/>
      <c r="VIM40" s="471"/>
      <c r="VIN40" s="471"/>
      <c r="VIO40" s="471"/>
      <c r="VIP40" s="471"/>
      <c r="VIQ40" s="471"/>
      <c r="VIR40" s="471"/>
      <c r="VIS40" s="471"/>
      <c r="VIT40" s="471"/>
      <c r="VIU40" s="471"/>
      <c r="VIV40" s="471"/>
      <c r="VIW40" s="471"/>
      <c r="VIX40" s="471"/>
      <c r="VIY40" s="471"/>
      <c r="VIZ40" s="471"/>
      <c r="VJA40" s="471"/>
      <c r="VJB40" s="471"/>
      <c r="VJC40" s="471"/>
      <c r="VJD40" s="471"/>
      <c r="VJE40" s="471"/>
      <c r="VJF40" s="471"/>
      <c r="VJG40" s="471"/>
      <c r="VJH40" s="471"/>
      <c r="VJI40" s="471"/>
      <c r="VJJ40" s="471"/>
      <c r="VJK40" s="471"/>
      <c r="VJL40" s="471"/>
      <c r="VJM40" s="471"/>
      <c r="VJN40" s="471"/>
      <c r="VJO40" s="471"/>
      <c r="VJP40" s="471"/>
      <c r="VJQ40" s="471"/>
      <c r="VJR40" s="471"/>
      <c r="VJS40" s="471"/>
      <c r="VJT40" s="471"/>
      <c r="VJU40" s="471"/>
      <c r="VJV40" s="471"/>
      <c r="VJW40" s="471"/>
      <c r="VJX40" s="471"/>
      <c r="VJY40" s="471"/>
      <c r="VJZ40" s="471"/>
      <c r="VKA40" s="471"/>
      <c r="VKB40" s="471"/>
      <c r="VKC40" s="471"/>
      <c r="VKD40" s="471"/>
      <c r="VKE40" s="471"/>
      <c r="VKF40" s="471"/>
      <c r="VKG40" s="471"/>
      <c r="VKH40" s="471"/>
      <c r="VKI40" s="471"/>
      <c r="VKJ40" s="471"/>
      <c r="VKK40" s="471"/>
      <c r="VKL40" s="471"/>
      <c r="VKM40" s="471"/>
      <c r="VKN40" s="471"/>
      <c r="VKO40" s="471"/>
      <c r="VKP40" s="471"/>
      <c r="VKQ40" s="471"/>
      <c r="VKR40" s="471"/>
      <c r="VKS40" s="471"/>
      <c r="VKT40" s="471"/>
      <c r="VKU40" s="471"/>
      <c r="VKV40" s="471"/>
      <c r="VKW40" s="471"/>
      <c r="VKX40" s="471"/>
      <c r="VKY40" s="471"/>
      <c r="VKZ40" s="471"/>
      <c r="VLA40" s="471"/>
      <c r="VLB40" s="471"/>
      <c r="VLC40" s="471"/>
      <c r="VLD40" s="471"/>
      <c r="VLE40" s="471"/>
      <c r="VLF40" s="471"/>
      <c r="VLG40" s="471"/>
      <c r="VLH40" s="471"/>
      <c r="VLI40" s="471"/>
      <c r="VLJ40" s="471"/>
      <c r="VLK40" s="471"/>
      <c r="VLL40" s="471"/>
      <c r="VLM40" s="471"/>
      <c r="VLN40" s="471"/>
      <c r="VLO40" s="471"/>
      <c r="VLP40" s="471"/>
      <c r="VLQ40" s="471"/>
      <c r="VLR40" s="471"/>
      <c r="VLS40" s="471"/>
      <c r="VLT40" s="471"/>
      <c r="VLU40" s="471"/>
      <c r="VLV40" s="471"/>
      <c r="VLW40" s="471"/>
      <c r="VLX40" s="471"/>
      <c r="VLY40" s="471"/>
      <c r="VLZ40" s="471"/>
      <c r="VMA40" s="471"/>
      <c r="VMB40" s="471"/>
      <c r="VMC40" s="471"/>
      <c r="VMD40" s="471"/>
      <c r="VME40" s="471"/>
      <c r="VMF40" s="471"/>
      <c r="VMG40" s="471"/>
      <c r="VMH40" s="471"/>
      <c r="VMI40" s="471"/>
      <c r="VMJ40" s="471"/>
      <c r="VMK40" s="471"/>
      <c r="VML40" s="471"/>
      <c r="VMM40" s="471"/>
      <c r="VMN40" s="471"/>
      <c r="VMO40" s="471"/>
      <c r="VMP40" s="471"/>
      <c r="VMQ40" s="471"/>
      <c r="VMR40" s="471"/>
      <c r="VMS40" s="471"/>
      <c r="VMT40" s="471"/>
      <c r="VMU40" s="471"/>
      <c r="VMV40" s="471"/>
      <c r="VMW40" s="471"/>
      <c r="VMX40" s="471"/>
      <c r="VMY40" s="471"/>
      <c r="VMZ40" s="471"/>
      <c r="VNA40" s="471"/>
      <c r="VNB40" s="471"/>
      <c r="VNC40" s="471"/>
      <c r="VND40" s="471"/>
      <c r="VNE40" s="471"/>
      <c r="VNF40" s="471"/>
      <c r="VNG40" s="471"/>
      <c r="VNH40" s="471"/>
      <c r="VNI40" s="471"/>
      <c r="VNJ40" s="471"/>
      <c r="VNK40" s="471"/>
      <c r="VNL40" s="471"/>
      <c r="VNM40" s="471"/>
      <c r="VNN40" s="471"/>
      <c r="VNO40" s="471"/>
      <c r="VNP40" s="471"/>
      <c r="VNQ40" s="471"/>
      <c r="VNR40" s="471"/>
      <c r="VNS40" s="471"/>
      <c r="VNT40" s="471"/>
      <c r="VNU40" s="471"/>
      <c r="VNV40" s="471"/>
      <c r="VNW40" s="471"/>
      <c r="VNX40" s="471"/>
      <c r="VNY40" s="471"/>
      <c r="VNZ40" s="471"/>
      <c r="VOA40" s="471"/>
      <c r="VOB40" s="471"/>
      <c r="VOC40" s="471"/>
      <c r="VOD40" s="471"/>
      <c r="VOE40" s="471"/>
      <c r="VOF40" s="471"/>
      <c r="VOG40" s="471"/>
      <c r="VOH40" s="471"/>
      <c r="VOI40" s="471"/>
      <c r="VOJ40" s="471"/>
      <c r="VOK40" s="471"/>
      <c r="VOL40" s="471"/>
      <c r="VOM40" s="471"/>
      <c r="VON40" s="471"/>
      <c r="VOO40" s="471"/>
      <c r="VOP40" s="471"/>
      <c r="VOQ40" s="471"/>
      <c r="VOR40" s="471"/>
      <c r="VOS40" s="471"/>
      <c r="VOT40" s="471"/>
      <c r="VOU40" s="471"/>
      <c r="VOV40" s="471"/>
      <c r="VOW40" s="471"/>
      <c r="VOX40" s="471"/>
      <c r="VOY40" s="471"/>
      <c r="VOZ40" s="471"/>
      <c r="VPA40" s="471"/>
      <c r="VPB40" s="471"/>
      <c r="VPC40" s="471"/>
      <c r="VPD40" s="471"/>
      <c r="VPE40" s="471"/>
      <c r="VPF40" s="471"/>
      <c r="VPG40" s="471"/>
      <c r="VPH40" s="471"/>
      <c r="VPI40" s="471"/>
      <c r="VPJ40" s="471"/>
      <c r="VPK40" s="471"/>
      <c r="VPL40" s="471"/>
      <c r="VPM40" s="471"/>
      <c r="VPN40" s="471"/>
      <c r="VPO40" s="471"/>
      <c r="VPP40" s="471"/>
      <c r="VPQ40" s="471"/>
      <c r="VPR40" s="471"/>
      <c r="VPS40" s="471"/>
      <c r="VPT40" s="471"/>
      <c r="VPU40" s="471"/>
      <c r="VPV40" s="471"/>
      <c r="VPW40" s="471"/>
      <c r="VPX40" s="471"/>
      <c r="VPY40" s="471"/>
      <c r="VPZ40" s="471"/>
      <c r="VQA40" s="471"/>
      <c r="VQB40" s="471"/>
      <c r="VQC40" s="471"/>
      <c r="VQD40" s="471"/>
      <c r="VQE40" s="471"/>
      <c r="VQF40" s="471"/>
      <c r="VQG40" s="471"/>
      <c r="VQH40" s="471"/>
      <c r="VQI40" s="471"/>
      <c r="VQJ40" s="471"/>
      <c r="VQK40" s="471"/>
      <c r="VQL40" s="471"/>
      <c r="VQM40" s="471"/>
      <c r="VQN40" s="471"/>
      <c r="VQO40" s="471"/>
      <c r="VQP40" s="471"/>
      <c r="VQQ40" s="471"/>
      <c r="VQR40" s="471"/>
      <c r="VQS40" s="471"/>
      <c r="VQT40" s="471"/>
      <c r="VQU40" s="471"/>
      <c r="VQV40" s="471"/>
      <c r="VQW40" s="471"/>
      <c r="VQX40" s="471"/>
      <c r="VQY40" s="471"/>
      <c r="VQZ40" s="471"/>
      <c r="VRA40" s="471"/>
      <c r="VRB40" s="471"/>
      <c r="VRC40" s="471"/>
      <c r="VRD40" s="471"/>
      <c r="VRE40" s="471"/>
      <c r="VRF40" s="471"/>
      <c r="VRG40" s="471"/>
      <c r="VRH40" s="471"/>
      <c r="VRI40" s="471"/>
      <c r="VRJ40" s="471"/>
      <c r="VRK40" s="471"/>
      <c r="VRL40" s="471"/>
      <c r="VRM40" s="471"/>
      <c r="VRN40" s="471"/>
      <c r="VRO40" s="471"/>
      <c r="VRP40" s="471"/>
      <c r="VRQ40" s="471"/>
      <c r="VRR40" s="471"/>
      <c r="VRS40" s="471"/>
      <c r="VRT40" s="471"/>
      <c r="VRU40" s="471"/>
      <c r="VRV40" s="471"/>
      <c r="VRW40" s="471"/>
      <c r="VRX40" s="471"/>
      <c r="VRY40" s="471"/>
      <c r="VRZ40" s="471"/>
      <c r="VSA40" s="471"/>
      <c r="VSB40" s="471"/>
      <c r="VSC40" s="471"/>
      <c r="VSD40" s="471"/>
      <c r="VSE40" s="471"/>
      <c r="VSF40" s="471"/>
      <c r="VSG40" s="471"/>
      <c r="VSH40" s="471"/>
      <c r="VSI40" s="471"/>
      <c r="VSJ40" s="471"/>
      <c r="VSK40" s="471"/>
      <c r="VSL40" s="471"/>
      <c r="VSM40" s="471"/>
      <c r="VSN40" s="471"/>
      <c r="VSO40" s="471"/>
      <c r="VSP40" s="471"/>
      <c r="VSQ40" s="471"/>
      <c r="VSR40" s="471"/>
      <c r="VSS40" s="471"/>
      <c r="VST40" s="471"/>
      <c r="VSU40" s="471"/>
      <c r="VSV40" s="471"/>
      <c r="VSW40" s="471"/>
      <c r="VSX40" s="471"/>
      <c r="VSY40" s="471"/>
      <c r="VSZ40" s="471"/>
      <c r="VTA40" s="471"/>
      <c r="VTB40" s="471"/>
      <c r="VTC40" s="471"/>
      <c r="VTD40" s="471"/>
      <c r="VTE40" s="471"/>
      <c r="VTF40" s="471"/>
      <c r="VTG40" s="471"/>
      <c r="VTH40" s="471"/>
      <c r="VTI40" s="471"/>
      <c r="VTJ40" s="471"/>
      <c r="VTK40" s="471"/>
      <c r="VTL40" s="471"/>
      <c r="VTM40" s="471"/>
      <c r="VTN40" s="471"/>
      <c r="VTO40" s="471"/>
      <c r="VTP40" s="471"/>
      <c r="VTQ40" s="471"/>
      <c r="VTR40" s="471"/>
      <c r="VTS40" s="471"/>
      <c r="VTT40" s="471"/>
      <c r="VTU40" s="471"/>
      <c r="VTV40" s="471"/>
      <c r="VTW40" s="471"/>
      <c r="VTX40" s="471"/>
      <c r="VTY40" s="471"/>
      <c r="VTZ40" s="471"/>
      <c r="VUA40" s="471"/>
      <c r="VUB40" s="471"/>
      <c r="VUC40" s="471"/>
      <c r="VUD40" s="471"/>
      <c r="VUE40" s="471"/>
      <c r="VUF40" s="471"/>
      <c r="VUG40" s="471"/>
      <c r="VUH40" s="471"/>
      <c r="VUI40" s="471"/>
      <c r="VUJ40" s="471"/>
      <c r="VUK40" s="471"/>
      <c r="VUL40" s="471"/>
      <c r="VUM40" s="471"/>
      <c r="VUN40" s="471"/>
      <c r="VUO40" s="471"/>
      <c r="VUP40" s="471"/>
      <c r="VUQ40" s="471"/>
      <c r="VUR40" s="471"/>
      <c r="VUS40" s="471"/>
      <c r="VUT40" s="471"/>
      <c r="VUU40" s="471"/>
      <c r="VUV40" s="471"/>
      <c r="VUW40" s="471"/>
      <c r="VUX40" s="471"/>
      <c r="VUY40" s="471"/>
      <c r="VUZ40" s="471"/>
      <c r="VVA40" s="471"/>
      <c r="VVB40" s="471"/>
      <c r="VVC40" s="471"/>
      <c r="VVD40" s="471"/>
      <c r="VVE40" s="471"/>
      <c r="VVF40" s="471"/>
      <c r="VVG40" s="471"/>
      <c r="VVH40" s="471"/>
      <c r="VVI40" s="471"/>
      <c r="VVJ40" s="471"/>
      <c r="VVK40" s="471"/>
      <c r="VVL40" s="471"/>
      <c r="VVM40" s="471"/>
      <c r="VVN40" s="471"/>
      <c r="VVO40" s="471"/>
      <c r="VVP40" s="471"/>
      <c r="VVQ40" s="471"/>
      <c r="VVR40" s="471"/>
      <c r="VVS40" s="471"/>
      <c r="VVT40" s="471"/>
      <c r="VVU40" s="471"/>
      <c r="VVV40" s="471"/>
      <c r="VVW40" s="471"/>
      <c r="VVX40" s="471"/>
      <c r="VVY40" s="471"/>
      <c r="VVZ40" s="471"/>
      <c r="VWA40" s="471"/>
      <c r="VWB40" s="471"/>
      <c r="VWC40" s="471"/>
      <c r="VWD40" s="471"/>
      <c r="VWE40" s="471"/>
      <c r="VWF40" s="471"/>
      <c r="VWG40" s="471"/>
      <c r="VWH40" s="471"/>
      <c r="VWI40" s="471"/>
      <c r="VWJ40" s="471"/>
      <c r="VWK40" s="471"/>
      <c r="VWL40" s="471"/>
      <c r="VWM40" s="471"/>
      <c r="VWN40" s="471"/>
      <c r="VWO40" s="471"/>
      <c r="VWP40" s="471"/>
      <c r="VWQ40" s="471"/>
      <c r="VWR40" s="471"/>
      <c r="VWS40" s="471"/>
      <c r="VWT40" s="471"/>
      <c r="VWU40" s="471"/>
      <c r="VWV40" s="471"/>
      <c r="VWW40" s="471"/>
      <c r="VWX40" s="471"/>
      <c r="VWY40" s="471"/>
      <c r="VWZ40" s="471"/>
      <c r="VXA40" s="471"/>
      <c r="VXB40" s="471"/>
      <c r="VXC40" s="471"/>
      <c r="VXD40" s="471"/>
      <c r="VXE40" s="471"/>
      <c r="VXF40" s="471"/>
      <c r="VXG40" s="471"/>
      <c r="VXH40" s="471"/>
      <c r="VXI40" s="471"/>
      <c r="VXJ40" s="471"/>
      <c r="VXK40" s="471"/>
      <c r="VXL40" s="471"/>
      <c r="VXM40" s="471"/>
      <c r="VXN40" s="471"/>
      <c r="VXO40" s="471"/>
      <c r="VXP40" s="471"/>
      <c r="VXQ40" s="471"/>
      <c r="VXR40" s="471"/>
      <c r="VXS40" s="471"/>
      <c r="VXT40" s="471"/>
      <c r="VXU40" s="471"/>
      <c r="VXV40" s="471"/>
      <c r="VXW40" s="471"/>
      <c r="VXX40" s="471"/>
      <c r="VXY40" s="471"/>
      <c r="VXZ40" s="471"/>
      <c r="VYA40" s="471"/>
      <c r="VYB40" s="471"/>
      <c r="VYC40" s="471"/>
      <c r="VYD40" s="471"/>
      <c r="VYE40" s="471"/>
      <c r="VYF40" s="471"/>
      <c r="VYG40" s="471"/>
      <c r="VYH40" s="471"/>
      <c r="VYI40" s="471"/>
      <c r="VYJ40" s="471"/>
      <c r="VYK40" s="471"/>
      <c r="VYL40" s="471"/>
      <c r="VYM40" s="471"/>
      <c r="VYN40" s="471"/>
      <c r="VYO40" s="471"/>
      <c r="VYP40" s="471"/>
      <c r="VYQ40" s="471"/>
      <c r="VYR40" s="471"/>
      <c r="VYS40" s="471"/>
      <c r="VYT40" s="471"/>
      <c r="VYU40" s="471"/>
      <c r="VYV40" s="471"/>
      <c r="VYW40" s="471"/>
      <c r="VYX40" s="471"/>
      <c r="VYY40" s="471"/>
      <c r="VYZ40" s="471"/>
      <c r="VZA40" s="471"/>
      <c r="VZB40" s="471"/>
      <c r="VZC40" s="471"/>
      <c r="VZD40" s="471"/>
      <c r="VZE40" s="471"/>
      <c r="VZF40" s="471"/>
      <c r="VZG40" s="471"/>
      <c r="VZH40" s="471"/>
      <c r="VZI40" s="471"/>
      <c r="VZJ40" s="471"/>
      <c r="VZK40" s="471"/>
      <c r="VZL40" s="471"/>
      <c r="VZM40" s="471"/>
      <c r="VZN40" s="471"/>
      <c r="VZO40" s="471"/>
      <c r="VZP40" s="471"/>
      <c r="VZQ40" s="471"/>
      <c r="VZR40" s="471"/>
      <c r="VZS40" s="471"/>
      <c r="VZT40" s="471"/>
      <c r="VZU40" s="471"/>
      <c r="VZV40" s="471"/>
      <c r="VZW40" s="471"/>
      <c r="VZX40" s="471"/>
      <c r="VZY40" s="471"/>
      <c r="VZZ40" s="471"/>
      <c r="WAA40" s="471"/>
      <c r="WAB40" s="471"/>
      <c r="WAC40" s="471"/>
      <c r="WAD40" s="471"/>
      <c r="WAE40" s="471"/>
      <c r="WAF40" s="471"/>
      <c r="WAG40" s="471"/>
      <c r="WAH40" s="471"/>
      <c r="WAI40" s="471"/>
      <c r="WAJ40" s="471"/>
      <c r="WAK40" s="471"/>
      <c r="WAL40" s="471"/>
      <c r="WAM40" s="471"/>
      <c r="WAN40" s="471"/>
      <c r="WAO40" s="471"/>
      <c r="WAP40" s="471"/>
      <c r="WAQ40" s="471"/>
      <c r="WAR40" s="471"/>
      <c r="WAS40" s="471"/>
      <c r="WAT40" s="471"/>
      <c r="WAU40" s="471"/>
      <c r="WAV40" s="471"/>
      <c r="WAW40" s="471"/>
      <c r="WAX40" s="471"/>
      <c r="WAY40" s="471"/>
      <c r="WAZ40" s="471"/>
      <c r="WBA40" s="471"/>
      <c r="WBB40" s="471"/>
      <c r="WBC40" s="471"/>
      <c r="WBD40" s="471"/>
      <c r="WBE40" s="471"/>
      <c r="WBF40" s="471"/>
      <c r="WBG40" s="471"/>
      <c r="WBH40" s="471"/>
      <c r="WBI40" s="471"/>
      <c r="WBJ40" s="471"/>
      <c r="WBK40" s="471"/>
      <c r="WBL40" s="471"/>
      <c r="WBM40" s="471"/>
      <c r="WBN40" s="471"/>
      <c r="WBO40" s="471"/>
      <c r="WBP40" s="471"/>
      <c r="WBQ40" s="471"/>
      <c r="WBR40" s="471"/>
      <c r="WBS40" s="471"/>
      <c r="WBT40" s="471"/>
      <c r="WBU40" s="471"/>
      <c r="WBV40" s="471"/>
      <c r="WBW40" s="471"/>
      <c r="WBX40" s="471"/>
      <c r="WBY40" s="471"/>
      <c r="WBZ40" s="471"/>
      <c r="WCA40" s="471"/>
      <c r="WCB40" s="471"/>
      <c r="WCC40" s="471"/>
      <c r="WCD40" s="471"/>
      <c r="WCE40" s="471"/>
      <c r="WCF40" s="471"/>
      <c r="WCG40" s="471"/>
      <c r="WCH40" s="471"/>
      <c r="WCI40" s="471"/>
      <c r="WCJ40" s="471"/>
      <c r="WCK40" s="471"/>
      <c r="WCL40" s="471"/>
      <c r="WCM40" s="471"/>
      <c r="WCN40" s="471"/>
      <c r="WCO40" s="471"/>
      <c r="WCP40" s="471"/>
      <c r="WCQ40" s="471"/>
      <c r="WCR40" s="471"/>
      <c r="WCS40" s="471"/>
      <c r="WCT40" s="471"/>
      <c r="WCU40" s="471"/>
      <c r="WCV40" s="471"/>
      <c r="WCW40" s="471"/>
      <c r="WCX40" s="471"/>
      <c r="WCY40" s="471"/>
      <c r="WCZ40" s="471"/>
      <c r="WDA40" s="471"/>
      <c r="WDB40" s="471"/>
      <c r="WDC40" s="471"/>
      <c r="WDD40" s="471"/>
      <c r="WDE40" s="471"/>
      <c r="WDF40" s="471"/>
      <c r="WDG40" s="471"/>
      <c r="WDH40" s="471"/>
      <c r="WDI40" s="471"/>
      <c r="WDJ40" s="471"/>
      <c r="WDK40" s="471"/>
      <c r="WDL40" s="471"/>
      <c r="WDM40" s="471"/>
      <c r="WDN40" s="471"/>
      <c r="WDO40" s="471"/>
      <c r="WDP40" s="471"/>
      <c r="WDQ40" s="471"/>
      <c r="WDR40" s="471"/>
      <c r="WDS40" s="471"/>
      <c r="WDT40" s="471"/>
      <c r="WDU40" s="471"/>
      <c r="WDV40" s="471"/>
      <c r="WDW40" s="471"/>
      <c r="WDX40" s="471"/>
      <c r="WDY40" s="471"/>
      <c r="WDZ40" s="471"/>
      <c r="WEA40" s="471"/>
      <c r="WEB40" s="471"/>
      <c r="WEC40" s="471"/>
      <c r="WED40" s="471"/>
      <c r="WEE40" s="471"/>
      <c r="WEF40" s="471"/>
      <c r="WEG40" s="471"/>
      <c r="WEH40" s="471"/>
      <c r="WEI40" s="471"/>
      <c r="WEJ40" s="471"/>
      <c r="WEK40" s="471"/>
      <c r="WEL40" s="471"/>
      <c r="WEM40" s="471"/>
      <c r="WEN40" s="471"/>
      <c r="WEO40" s="471"/>
      <c r="WEP40" s="471"/>
      <c r="WEQ40" s="471"/>
      <c r="WER40" s="471"/>
      <c r="WES40" s="471"/>
      <c r="WET40" s="471"/>
      <c r="WEU40" s="471"/>
      <c r="WEV40" s="471"/>
      <c r="WEW40" s="471"/>
      <c r="WEX40" s="471"/>
      <c r="WEY40" s="471"/>
      <c r="WEZ40" s="471"/>
      <c r="WFA40" s="471"/>
      <c r="WFB40" s="471"/>
      <c r="WFC40" s="471"/>
      <c r="WFD40" s="471"/>
      <c r="WFE40" s="471"/>
      <c r="WFF40" s="471"/>
      <c r="WFG40" s="471"/>
      <c r="WFH40" s="471"/>
      <c r="WFI40" s="471"/>
      <c r="WFJ40" s="471"/>
      <c r="WFK40" s="471"/>
      <c r="WFL40" s="471"/>
      <c r="WFM40" s="471"/>
      <c r="WFN40" s="471"/>
      <c r="WFO40" s="471"/>
      <c r="WFP40" s="471"/>
      <c r="WFQ40" s="471"/>
      <c r="WFR40" s="471"/>
      <c r="WFS40" s="471"/>
      <c r="WFT40" s="471"/>
      <c r="WFU40" s="471"/>
      <c r="WFV40" s="471"/>
      <c r="WFW40" s="471"/>
      <c r="WFX40" s="471"/>
      <c r="WFY40" s="471"/>
      <c r="WFZ40" s="471"/>
      <c r="WGA40" s="471"/>
      <c r="WGB40" s="471"/>
      <c r="WGC40" s="471"/>
      <c r="WGD40" s="471"/>
      <c r="WGE40" s="471"/>
      <c r="WGF40" s="471"/>
      <c r="WGG40" s="471"/>
      <c r="WGH40" s="471"/>
      <c r="WGI40" s="471"/>
      <c r="WGJ40" s="471"/>
      <c r="WGK40" s="471"/>
      <c r="WGL40" s="471"/>
      <c r="WGM40" s="471"/>
      <c r="WGN40" s="471"/>
      <c r="WGO40" s="471"/>
      <c r="WGP40" s="471"/>
      <c r="WGQ40" s="471"/>
      <c r="WGR40" s="471"/>
      <c r="WGS40" s="471"/>
      <c r="WGT40" s="471"/>
      <c r="WGU40" s="471"/>
      <c r="WGV40" s="471"/>
      <c r="WGW40" s="471"/>
      <c r="WGX40" s="471"/>
      <c r="WGY40" s="471"/>
      <c r="WGZ40" s="471"/>
      <c r="WHA40" s="471"/>
      <c r="WHB40" s="471"/>
      <c r="WHC40" s="471"/>
      <c r="WHD40" s="471"/>
      <c r="WHE40" s="471"/>
      <c r="WHF40" s="471"/>
      <c r="WHG40" s="471"/>
      <c r="WHH40" s="471"/>
      <c r="WHI40" s="471"/>
      <c r="WHJ40" s="471"/>
      <c r="WHK40" s="471"/>
      <c r="WHL40" s="471"/>
      <c r="WHM40" s="471"/>
      <c r="WHN40" s="471"/>
      <c r="WHO40" s="471"/>
      <c r="WHP40" s="471"/>
      <c r="WHQ40" s="471"/>
      <c r="WHR40" s="471"/>
      <c r="WHS40" s="471"/>
      <c r="WHT40" s="471"/>
      <c r="WHU40" s="471"/>
      <c r="WHV40" s="471"/>
      <c r="WHW40" s="471"/>
      <c r="WHX40" s="471"/>
      <c r="WHY40" s="471"/>
      <c r="WHZ40" s="471"/>
      <c r="WIA40" s="471"/>
      <c r="WIB40" s="471"/>
      <c r="WIC40" s="471"/>
      <c r="WID40" s="471"/>
      <c r="WIE40" s="471"/>
      <c r="WIF40" s="471"/>
      <c r="WIG40" s="471"/>
      <c r="WIH40" s="471"/>
      <c r="WII40" s="471"/>
      <c r="WIJ40" s="471"/>
      <c r="WIK40" s="471"/>
      <c r="WIL40" s="471"/>
      <c r="WIM40" s="471"/>
      <c r="WIN40" s="471"/>
      <c r="WIO40" s="471"/>
      <c r="WIP40" s="471"/>
      <c r="WIQ40" s="471"/>
      <c r="WIR40" s="471"/>
      <c r="WIS40" s="471"/>
      <c r="WIT40" s="471"/>
      <c r="WIU40" s="471"/>
      <c r="WIV40" s="471"/>
      <c r="WIW40" s="471"/>
      <c r="WIX40" s="471"/>
      <c r="WIY40" s="471"/>
      <c r="WIZ40" s="471"/>
      <c r="WJA40" s="471"/>
      <c r="WJB40" s="471"/>
      <c r="WJC40" s="471"/>
      <c r="WJD40" s="471"/>
      <c r="WJE40" s="471"/>
      <c r="WJF40" s="471"/>
      <c r="WJG40" s="471"/>
      <c r="WJH40" s="471"/>
      <c r="WJI40" s="471"/>
      <c r="WJJ40" s="471"/>
      <c r="WJK40" s="471"/>
      <c r="WJL40" s="471"/>
      <c r="WJM40" s="471"/>
      <c r="WJN40" s="471"/>
      <c r="WJO40" s="471"/>
      <c r="WJP40" s="471"/>
      <c r="WJQ40" s="471"/>
      <c r="WJR40" s="471"/>
      <c r="WJS40" s="471"/>
      <c r="WJT40" s="471"/>
      <c r="WJU40" s="471"/>
      <c r="WJV40" s="471"/>
      <c r="WJW40" s="471"/>
      <c r="WJX40" s="471"/>
      <c r="WJY40" s="471"/>
      <c r="WJZ40" s="471"/>
      <c r="WKA40" s="471"/>
      <c r="WKB40" s="471"/>
      <c r="WKC40" s="471"/>
      <c r="WKD40" s="471"/>
      <c r="WKE40" s="471"/>
      <c r="WKF40" s="471"/>
      <c r="WKG40" s="471"/>
      <c r="WKH40" s="471"/>
      <c r="WKI40" s="471"/>
      <c r="WKJ40" s="471"/>
      <c r="WKK40" s="471"/>
      <c r="WKL40" s="471"/>
      <c r="WKM40" s="471"/>
      <c r="WKN40" s="471"/>
      <c r="WKO40" s="471"/>
      <c r="WKP40" s="471"/>
      <c r="WKQ40" s="471"/>
      <c r="WKR40" s="471"/>
      <c r="WKS40" s="471"/>
      <c r="WKT40" s="471"/>
      <c r="WKU40" s="471"/>
      <c r="WKV40" s="471"/>
      <c r="WKW40" s="471"/>
      <c r="WKX40" s="471"/>
      <c r="WKY40" s="471"/>
      <c r="WKZ40" s="471"/>
      <c r="WLA40" s="471"/>
      <c r="WLB40" s="471"/>
      <c r="WLC40" s="471"/>
      <c r="WLD40" s="471"/>
      <c r="WLE40" s="471"/>
      <c r="WLF40" s="471"/>
      <c r="WLG40" s="471"/>
      <c r="WLH40" s="471"/>
      <c r="WLI40" s="471"/>
      <c r="WLJ40" s="471"/>
      <c r="WLK40" s="471"/>
      <c r="WLL40" s="471"/>
      <c r="WLM40" s="471"/>
      <c r="WLN40" s="471"/>
      <c r="WLO40" s="471"/>
      <c r="WLP40" s="471"/>
      <c r="WLQ40" s="471"/>
      <c r="WLR40" s="471"/>
      <c r="WLS40" s="471"/>
      <c r="WLT40" s="471"/>
      <c r="WLU40" s="471"/>
      <c r="WLV40" s="471"/>
      <c r="WLW40" s="471"/>
      <c r="WLX40" s="471"/>
      <c r="WLY40" s="471"/>
      <c r="WLZ40" s="471"/>
      <c r="WMA40" s="471"/>
      <c r="WMB40" s="471"/>
      <c r="WMC40" s="471"/>
      <c r="WMD40" s="471"/>
      <c r="WME40" s="471"/>
      <c r="WMF40" s="471"/>
      <c r="WMG40" s="471"/>
      <c r="WMH40" s="471"/>
      <c r="WMI40" s="471"/>
      <c r="WMJ40" s="471"/>
      <c r="WMK40" s="471"/>
      <c r="WML40" s="471"/>
      <c r="WMM40" s="471"/>
      <c r="WMN40" s="471"/>
      <c r="WMO40" s="471"/>
      <c r="WMP40" s="471"/>
      <c r="WMQ40" s="471"/>
      <c r="WMR40" s="471"/>
      <c r="WMS40" s="471"/>
      <c r="WMT40" s="471"/>
      <c r="WMU40" s="471"/>
      <c r="WMV40" s="471"/>
      <c r="WMW40" s="471"/>
      <c r="WMX40" s="471"/>
      <c r="WMY40" s="471"/>
      <c r="WMZ40" s="471"/>
      <c r="WNA40" s="471"/>
      <c r="WNB40" s="471"/>
      <c r="WNC40" s="471"/>
      <c r="WND40" s="471"/>
      <c r="WNE40" s="471"/>
      <c r="WNF40" s="471"/>
      <c r="WNG40" s="471"/>
      <c r="WNH40" s="471"/>
      <c r="WNI40" s="471"/>
      <c r="WNJ40" s="471"/>
      <c r="WNK40" s="471"/>
      <c r="WNL40" s="471"/>
      <c r="WNM40" s="471"/>
      <c r="WNN40" s="471"/>
      <c r="WNO40" s="471"/>
      <c r="WNP40" s="471"/>
      <c r="WNQ40" s="471"/>
      <c r="WNR40" s="471"/>
      <c r="WNS40" s="471"/>
      <c r="WNT40" s="471"/>
      <c r="WNU40" s="471"/>
      <c r="WNV40" s="471"/>
      <c r="WNW40" s="471"/>
      <c r="WNX40" s="471"/>
      <c r="WNY40" s="471"/>
      <c r="WNZ40" s="471"/>
      <c r="WOA40" s="471"/>
      <c r="WOB40" s="471"/>
      <c r="WOC40" s="471"/>
      <c r="WOD40" s="471"/>
      <c r="WOE40" s="471"/>
      <c r="WOF40" s="471"/>
      <c r="WOG40" s="471"/>
      <c r="WOH40" s="471"/>
      <c r="WOI40" s="471"/>
      <c r="WOJ40" s="471"/>
      <c r="WOK40" s="471"/>
      <c r="WOL40" s="471"/>
      <c r="WOM40" s="471"/>
      <c r="WON40" s="471"/>
      <c r="WOO40" s="471"/>
      <c r="WOP40" s="471"/>
      <c r="WOQ40" s="471"/>
      <c r="WOR40" s="471"/>
      <c r="WOS40" s="471"/>
      <c r="WOT40" s="471"/>
      <c r="WOU40" s="471"/>
      <c r="WOV40" s="471"/>
      <c r="WOW40" s="471"/>
      <c r="WOX40" s="471"/>
      <c r="WOY40" s="471"/>
      <c r="WOZ40" s="471"/>
      <c r="WPA40" s="471"/>
      <c r="WPB40" s="471"/>
      <c r="WPC40" s="471"/>
      <c r="WPD40" s="471"/>
      <c r="WPE40" s="471"/>
      <c r="WPF40" s="471"/>
      <c r="WPG40" s="471"/>
      <c r="WPH40" s="471"/>
      <c r="WPI40" s="471"/>
      <c r="WPJ40" s="471"/>
      <c r="WPK40" s="471"/>
      <c r="WPL40" s="471"/>
      <c r="WPM40" s="471"/>
      <c r="WPN40" s="471"/>
      <c r="WPO40" s="471"/>
      <c r="WPP40" s="471"/>
      <c r="WPQ40" s="471"/>
      <c r="WPR40" s="471"/>
      <c r="WPS40" s="471"/>
      <c r="WPT40" s="471"/>
      <c r="WPU40" s="471"/>
      <c r="WPV40" s="471"/>
      <c r="WPW40" s="471"/>
      <c r="WPX40" s="471"/>
      <c r="WPY40" s="471"/>
      <c r="WPZ40" s="471"/>
      <c r="WQA40" s="471"/>
      <c r="WQB40" s="471"/>
      <c r="WQC40" s="471"/>
      <c r="WQD40" s="471"/>
      <c r="WQE40" s="471"/>
      <c r="WQF40" s="471"/>
      <c r="WQG40" s="471"/>
      <c r="WQH40" s="471"/>
      <c r="WQI40" s="471"/>
      <c r="WQJ40" s="471"/>
      <c r="WQK40" s="471"/>
      <c r="WQL40" s="471"/>
      <c r="WQM40" s="471"/>
      <c r="WQN40" s="471"/>
      <c r="WQO40" s="471"/>
      <c r="WQP40" s="471"/>
      <c r="WQQ40" s="471"/>
      <c r="WQR40" s="471"/>
      <c r="WQS40" s="471"/>
      <c r="WQT40" s="471"/>
      <c r="WQU40" s="471"/>
      <c r="WQV40" s="471"/>
      <c r="WQW40" s="471"/>
      <c r="WQX40" s="471"/>
      <c r="WQY40" s="471"/>
      <c r="WQZ40" s="471"/>
      <c r="WRA40" s="471"/>
      <c r="WRB40" s="471"/>
      <c r="WRC40" s="471"/>
      <c r="WRD40" s="471"/>
      <c r="WRE40" s="471"/>
      <c r="WRF40" s="471"/>
      <c r="WRG40" s="471"/>
      <c r="WRH40" s="471"/>
      <c r="WRI40" s="471"/>
      <c r="WRJ40" s="471"/>
      <c r="WRK40" s="471"/>
      <c r="WRL40" s="471"/>
      <c r="WRM40" s="471"/>
      <c r="WRN40" s="471"/>
      <c r="WRO40" s="471"/>
      <c r="WRP40" s="471"/>
      <c r="WRQ40" s="471"/>
      <c r="WRR40" s="471"/>
      <c r="WRS40" s="471"/>
      <c r="WRT40" s="471"/>
      <c r="WRU40" s="471"/>
      <c r="WRV40" s="471"/>
      <c r="WRW40" s="471"/>
      <c r="WRX40" s="471"/>
      <c r="WRY40" s="471"/>
      <c r="WRZ40" s="471"/>
      <c r="WSA40" s="471"/>
      <c r="WSB40" s="471"/>
      <c r="WSC40" s="471"/>
      <c r="WSD40" s="471"/>
      <c r="WSE40" s="471"/>
      <c r="WSF40" s="471"/>
      <c r="WSG40" s="471"/>
      <c r="WSH40" s="471"/>
      <c r="WSI40" s="471"/>
      <c r="WSJ40" s="471"/>
      <c r="WSK40" s="471"/>
      <c r="WSL40" s="471"/>
      <c r="WSM40" s="471"/>
      <c r="WSN40" s="471"/>
      <c r="WSO40" s="471"/>
      <c r="WSP40" s="471"/>
      <c r="WSQ40" s="471"/>
      <c r="WSR40" s="471"/>
      <c r="WSS40" s="471"/>
      <c r="WST40" s="471"/>
      <c r="WSU40" s="471"/>
      <c r="WSV40" s="471"/>
      <c r="WSW40" s="471"/>
      <c r="WSX40" s="471"/>
      <c r="WSY40" s="471"/>
      <c r="WSZ40" s="471"/>
      <c r="WTA40" s="471"/>
      <c r="WTB40" s="471"/>
      <c r="WTC40" s="471"/>
      <c r="WTD40" s="471"/>
      <c r="WTE40" s="471"/>
      <c r="WTF40" s="471"/>
      <c r="WTG40" s="471"/>
      <c r="WTH40" s="471"/>
      <c r="WTI40" s="471"/>
      <c r="WTJ40" s="471"/>
      <c r="WTK40" s="471"/>
      <c r="WTL40" s="471"/>
      <c r="WTM40" s="471"/>
      <c r="WTN40" s="471"/>
      <c r="WTO40" s="471"/>
      <c r="WTP40" s="471"/>
      <c r="WTQ40" s="471"/>
      <c r="WTR40" s="471"/>
      <c r="WTS40" s="471"/>
      <c r="WTT40" s="471"/>
      <c r="WTU40" s="471"/>
      <c r="WTV40" s="471"/>
      <c r="WTW40" s="471"/>
      <c r="WTX40" s="471"/>
      <c r="WTY40" s="471"/>
      <c r="WTZ40" s="471"/>
      <c r="WUA40" s="471"/>
      <c r="WUB40" s="471"/>
      <c r="WUC40" s="471"/>
      <c r="WUD40" s="471"/>
      <c r="WUE40" s="471"/>
      <c r="WUF40" s="471"/>
      <c r="WUG40" s="471"/>
      <c r="WUH40" s="471"/>
      <c r="WUI40" s="471"/>
      <c r="WUJ40" s="471"/>
      <c r="WUK40" s="471"/>
      <c r="WUL40" s="471"/>
      <c r="WUM40" s="471"/>
      <c r="WUN40" s="471"/>
      <c r="WUO40" s="471"/>
      <c r="WUP40" s="471"/>
      <c r="WUQ40" s="471"/>
      <c r="WUR40" s="471"/>
      <c r="WUS40" s="471"/>
      <c r="WUT40" s="471"/>
      <c r="WUU40" s="471"/>
      <c r="WUV40" s="471"/>
      <c r="WUW40" s="471"/>
      <c r="WUX40" s="471"/>
      <c r="WUY40" s="471"/>
      <c r="WUZ40" s="471"/>
      <c r="WVA40" s="471"/>
      <c r="WVB40" s="471"/>
      <c r="WVC40" s="471"/>
      <c r="WVD40" s="471"/>
      <c r="WVE40" s="471"/>
      <c r="WVF40" s="471"/>
      <c r="WVG40" s="471"/>
      <c r="WVH40" s="471"/>
      <c r="WVI40" s="471"/>
      <c r="WVJ40" s="471"/>
      <c r="WVK40" s="471"/>
      <c r="WVL40" s="471"/>
      <c r="WVM40" s="471"/>
      <c r="WVN40" s="471"/>
      <c r="WVO40" s="471"/>
      <c r="WVP40" s="471"/>
      <c r="WVQ40" s="471"/>
      <c r="WVR40" s="471"/>
      <c r="WVS40" s="471"/>
      <c r="WVT40" s="471"/>
      <c r="WVU40" s="471"/>
      <c r="WVV40" s="471"/>
      <c r="WVW40" s="471"/>
      <c r="WVX40" s="471"/>
      <c r="WVY40" s="471"/>
      <c r="WVZ40" s="471"/>
      <c r="WWA40" s="471"/>
      <c r="WWB40" s="471"/>
      <c r="WWC40" s="471"/>
      <c r="WWD40" s="471"/>
      <c r="WWE40" s="471"/>
      <c r="WWF40" s="471"/>
      <c r="WWG40" s="471"/>
      <c r="WWH40" s="471"/>
      <c r="WWI40" s="471"/>
      <c r="WWJ40" s="471"/>
      <c r="WWK40" s="471"/>
      <c r="WWL40" s="471"/>
      <c r="WWM40" s="471"/>
      <c r="WWN40" s="471"/>
      <c r="WWO40" s="471"/>
      <c r="WWP40" s="471"/>
      <c r="WWQ40" s="471"/>
      <c r="WWR40" s="471"/>
      <c r="WWS40" s="471"/>
      <c r="WWT40" s="471"/>
      <c r="WWU40" s="471"/>
      <c r="WWV40" s="471"/>
      <c r="WWW40" s="471"/>
      <c r="WWX40" s="471"/>
      <c r="WWY40" s="471"/>
      <c r="WWZ40" s="471"/>
      <c r="WXA40" s="471"/>
      <c r="WXB40" s="471"/>
      <c r="WXC40" s="471"/>
      <c r="WXD40" s="471"/>
      <c r="WXE40" s="471"/>
      <c r="WXF40" s="471"/>
      <c r="WXG40" s="471"/>
      <c r="WXH40" s="471"/>
      <c r="WXI40" s="471"/>
      <c r="WXJ40" s="471"/>
      <c r="WXK40" s="471"/>
      <c r="WXL40" s="471"/>
      <c r="WXM40" s="471"/>
      <c r="WXN40" s="471"/>
      <c r="WXO40" s="471"/>
      <c r="WXP40" s="471"/>
      <c r="WXQ40" s="471"/>
      <c r="WXR40" s="471"/>
      <c r="WXS40" s="471"/>
      <c r="WXT40" s="471"/>
      <c r="WXU40" s="471"/>
      <c r="WXV40" s="471"/>
      <c r="WXW40" s="471"/>
      <c r="WXX40" s="471"/>
      <c r="WXY40" s="471"/>
      <c r="WXZ40" s="471"/>
      <c r="WYA40" s="471"/>
      <c r="WYB40" s="471"/>
      <c r="WYC40" s="471"/>
      <c r="WYD40" s="471"/>
      <c r="WYE40" s="471"/>
      <c r="WYF40" s="471"/>
      <c r="WYG40" s="471"/>
      <c r="WYH40" s="471"/>
      <c r="WYI40" s="471"/>
      <c r="WYJ40" s="471"/>
      <c r="WYK40" s="471"/>
      <c r="WYL40" s="471"/>
      <c r="WYM40" s="471"/>
      <c r="WYN40" s="471"/>
      <c r="WYO40" s="471"/>
      <c r="WYP40" s="471"/>
      <c r="WYQ40" s="471"/>
      <c r="WYR40" s="471"/>
      <c r="WYS40" s="471"/>
      <c r="WYT40" s="471"/>
      <c r="WYU40" s="471"/>
      <c r="WYV40" s="471"/>
      <c r="WYW40" s="471"/>
      <c r="WYX40" s="471"/>
      <c r="WYY40" s="471"/>
      <c r="WYZ40" s="471"/>
      <c r="WZA40" s="471"/>
      <c r="WZB40" s="471"/>
      <c r="WZC40" s="471"/>
      <c r="WZD40" s="471"/>
      <c r="WZE40" s="471"/>
      <c r="WZF40" s="471"/>
      <c r="WZG40" s="471"/>
      <c r="WZH40" s="471"/>
      <c r="WZI40" s="471"/>
      <c r="WZJ40" s="471"/>
      <c r="WZK40" s="471"/>
      <c r="WZL40" s="471"/>
      <c r="WZM40" s="471"/>
      <c r="WZN40" s="471"/>
      <c r="WZO40" s="471"/>
      <c r="WZP40" s="471"/>
      <c r="WZQ40" s="471"/>
      <c r="WZR40" s="471"/>
      <c r="WZS40" s="471"/>
      <c r="WZT40" s="471"/>
      <c r="WZU40" s="471"/>
      <c r="WZV40" s="471"/>
      <c r="WZW40" s="471"/>
      <c r="WZX40" s="471"/>
      <c r="WZY40" s="471"/>
      <c r="WZZ40" s="471"/>
      <c r="XAA40" s="471"/>
      <c r="XAB40" s="471"/>
      <c r="XAC40" s="471"/>
      <c r="XAD40" s="471"/>
      <c r="XAE40" s="471"/>
      <c r="XAF40" s="471"/>
      <c r="XAG40" s="471"/>
      <c r="XAH40" s="471"/>
      <c r="XAI40" s="471"/>
      <c r="XAJ40" s="471"/>
      <c r="XAK40" s="471"/>
      <c r="XAL40" s="471"/>
      <c r="XAM40" s="471"/>
      <c r="XAN40" s="471"/>
      <c r="XAO40" s="471"/>
      <c r="XAP40" s="471"/>
      <c r="XAQ40" s="471"/>
      <c r="XAR40" s="471"/>
      <c r="XAS40" s="471"/>
      <c r="XAT40" s="471"/>
      <c r="XAU40" s="471"/>
      <c r="XAV40" s="471"/>
      <c r="XAW40" s="471"/>
      <c r="XAX40" s="471"/>
      <c r="XAY40" s="471"/>
      <c r="XAZ40" s="471"/>
      <c r="XBA40" s="471"/>
      <c r="XBB40" s="471"/>
      <c r="XBC40" s="471"/>
      <c r="XBD40" s="471"/>
      <c r="XBE40" s="471"/>
      <c r="XBF40" s="471"/>
      <c r="XBG40" s="471"/>
      <c r="XBH40" s="471"/>
      <c r="XBI40" s="471"/>
      <c r="XBJ40" s="471"/>
      <c r="XBK40" s="471"/>
      <c r="XBL40" s="471"/>
      <c r="XBM40" s="471"/>
      <c r="XBN40" s="471"/>
      <c r="XBO40" s="471"/>
      <c r="XBP40" s="471"/>
      <c r="XBQ40" s="471"/>
      <c r="XBR40" s="471"/>
      <c r="XBS40" s="471"/>
      <c r="XBT40" s="471"/>
      <c r="XBU40" s="471"/>
      <c r="XBV40" s="471"/>
      <c r="XBW40" s="471"/>
      <c r="XBX40" s="471"/>
      <c r="XBY40" s="471"/>
      <c r="XBZ40" s="471"/>
      <c r="XCA40" s="471"/>
      <c r="XCB40" s="471"/>
      <c r="XCC40" s="471"/>
      <c r="XCD40" s="471"/>
      <c r="XCE40" s="471"/>
      <c r="XCF40" s="471"/>
      <c r="XCG40" s="471"/>
      <c r="XCH40" s="471"/>
      <c r="XCI40" s="471"/>
      <c r="XCJ40" s="471"/>
      <c r="XCK40" s="471"/>
      <c r="XCL40" s="471"/>
      <c r="XCM40" s="471"/>
      <c r="XCN40" s="471"/>
      <c r="XCO40" s="471"/>
      <c r="XCP40" s="471"/>
      <c r="XCQ40" s="471"/>
      <c r="XCR40" s="471"/>
      <c r="XCS40" s="471"/>
      <c r="XCT40" s="471"/>
      <c r="XCU40" s="471"/>
      <c r="XCV40" s="471"/>
      <c r="XCW40" s="471"/>
      <c r="XCX40" s="471"/>
      <c r="XCY40" s="471"/>
      <c r="XCZ40" s="471"/>
      <c r="XDA40" s="471"/>
      <c r="XDB40" s="471"/>
      <c r="XDC40" s="471"/>
      <c r="XDD40" s="471"/>
      <c r="XDE40" s="471"/>
      <c r="XDF40" s="471"/>
      <c r="XDG40" s="471"/>
      <c r="XDH40" s="471"/>
      <c r="XDI40" s="471"/>
      <c r="XDJ40" s="471"/>
      <c r="XDK40" s="471"/>
      <c r="XDL40" s="471"/>
      <c r="XDM40" s="471"/>
      <c r="XDN40" s="471"/>
      <c r="XDO40" s="471"/>
      <c r="XDP40" s="471"/>
      <c r="XDQ40" s="471"/>
      <c r="XDR40" s="471"/>
      <c r="XDS40" s="471"/>
      <c r="XDT40" s="471"/>
      <c r="XDU40" s="471"/>
      <c r="XDV40" s="471"/>
      <c r="XDW40" s="471"/>
      <c r="XDX40" s="471"/>
      <c r="XDY40" s="471"/>
      <c r="XDZ40" s="471"/>
      <c r="XEA40" s="471"/>
      <c r="XEB40" s="471"/>
      <c r="XEC40" s="471"/>
      <c r="XED40" s="471"/>
      <c r="XEE40" s="471"/>
      <c r="XEF40" s="471"/>
      <c r="XEG40" s="471"/>
      <c r="XEH40" s="471"/>
      <c r="XEI40" s="471"/>
      <c r="XEJ40" s="471"/>
      <c r="XEK40" s="471"/>
      <c r="XEL40" s="471"/>
      <c r="XEM40" s="471"/>
      <c r="XEN40" s="471"/>
      <c r="XEO40" s="471"/>
      <c r="XEP40" s="471"/>
      <c r="XEQ40" s="471"/>
      <c r="XER40" s="471"/>
      <c r="XES40" s="471"/>
      <c r="XET40" s="471"/>
      <c r="XEU40" s="471"/>
      <c r="XEV40" s="471"/>
      <c r="XEW40" s="471"/>
      <c r="XEX40" s="471"/>
      <c r="XEY40" s="471"/>
      <c r="XEZ40" s="471"/>
      <c r="XFA40" s="471"/>
      <c r="XFB40" s="471"/>
      <c r="XFC40" s="471"/>
      <c r="XFD40" s="471"/>
    </row>
    <row r="42" spans="1:16384" x14ac:dyDescent="0.3">
      <c r="B42" s="91"/>
      <c r="C42" s="89"/>
      <c r="D42" s="89"/>
      <c r="E42" s="89"/>
      <c r="F42" s="91"/>
      <c r="G42" s="89"/>
      <c r="H42" s="89"/>
      <c r="I42" s="89"/>
      <c r="J42" s="89"/>
      <c r="K42" s="89"/>
      <c r="L42" s="89"/>
      <c r="M42" s="89"/>
      <c r="N42" s="493" t="str" vm="3">
        <f>CUBEMEMBER("ThisWorkbookDataModel","[EDTN_PQ].[N3].&amp;[1.1 Reparación de expansiones metálicas]")</f>
        <v>1.1 Reparación de expansiones metálicas</v>
      </c>
      <c r="O42" s="494"/>
      <c r="P42" s="494"/>
      <c r="Q42" s="495"/>
    </row>
    <row r="43" spans="1:16384" x14ac:dyDescent="0.3">
      <c r="B43" s="92"/>
      <c r="F43" s="92"/>
      <c r="N43" s="496"/>
      <c r="O43" s="497"/>
      <c r="P43" s="497"/>
      <c r="Q43" s="498"/>
    </row>
    <row r="44" spans="1:16384" x14ac:dyDescent="0.3">
      <c r="B44" s="92"/>
      <c r="F44" s="92"/>
      <c r="N44" s="92"/>
      <c r="Q44" s="88"/>
    </row>
    <row r="45" spans="1:16384" x14ac:dyDescent="0.3">
      <c r="B45" s="92"/>
      <c r="F45" s="92"/>
      <c r="N45" s="92"/>
      <c r="O45" s="116" t="s">
        <v>243</v>
      </c>
      <c r="P45" s="139" vm="104">
        <f>CUBEVALUE("ThisWorkbookDataModel","[Measures].[Avance Plan B39 base 100 Acumulado Semanal]",SegmentaciónDeDatos_Calendario,N42)</f>
        <v>1</v>
      </c>
      <c r="Q45" s="88"/>
    </row>
    <row r="46" spans="1:16384" x14ac:dyDescent="0.3">
      <c r="B46" s="92"/>
      <c r="F46" s="92"/>
      <c r="N46" s="92"/>
      <c r="O46" s="116" t="s">
        <v>244</v>
      </c>
      <c r="P46" s="139" vm="86">
        <f>CUBEVALUE("ThisWorkbookDataModel","[Measures].[Avance Real B39 base 100 Acumulado Semanal]",SegmentaciónDeDatos_Calendario,N42)</f>
        <v>0.90862068965517251</v>
      </c>
      <c r="Q46" s="88"/>
    </row>
    <row r="47" spans="1:16384" x14ac:dyDescent="0.3">
      <c r="B47" s="92"/>
      <c r="F47" s="92"/>
      <c r="N47" s="92"/>
      <c r="O47" s="116" t="s">
        <v>245</v>
      </c>
      <c r="P47" s="139">
        <f>P46-P45</f>
        <v>-9.1379310344827491E-2</v>
      </c>
      <c r="Q47" s="88"/>
    </row>
    <row r="48" spans="1:16384" x14ac:dyDescent="0.3">
      <c r="B48" s="92"/>
      <c r="F48" s="92"/>
      <c r="N48" s="92"/>
      <c r="O48" s="485" t="s">
        <v>246</v>
      </c>
      <c r="P48" s="499" vm="49">
        <f>CUBEVALUE("ThisWorkbookDataModel","[Measures].[Aporte a la Desviación B39]",SegmentaciónDeDatos_Calendario,N42)</f>
        <v>-1.596193818663413E-2</v>
      </c>
      <c r="Q48" s="88"/>
    </row>
    <row r="49" spans="2:17" x14ac:dyDescent="0.3">
      <c r="B49" s="92"/>
      <c r="F49" s="92"/>
      <c r="N49" s="92"/>
      <c r="O49" s="485"/>
      <c r="P49" s="499"/>
      <c r="Q49" s="88"/>
    </row>
    <row r="50" spans="2:17" x14ac:dyDescent="0.3">
      <c r="B50" s="92"/>
      <c r="F50" s="92"/>
      <c r="N50" s="95"/>
      <c r="O50" s="93"/>
      <c r="P50" s="93"/>
      <c r="Q50" s="94"/>
    </row>
    <row r="51" spans="2:17" x14ac:dyDescent="0.3">
      <c r="B51" s="92"/>
      <c r="F51" s="92"/>
      <c r="N51" s="493" t="str" vm="4">
        <f>CUBEMEMBER("ThisWorkbookDataModel","[EDTN_PQ].[N3].&amp;[1.2 Reemplazo de tubos de gas]")</f>
        <v>1.2 Reemplazo de tubos de gas</v>
      </c>
      <c r="O51" s="494"/>
      <c r="P51" s="494"/>
      <c r="Q51" s="495"/>
    </row>
    <row r="52" spans="2:17" x14ac:dyDescent="0.3">
      <c r="B52" s="92"/>
      <c r="C52" s="117" t="s">
        <v>245</v>
      </c>
      <c r="D52" s="39">
        <f>V5</f>
        <v>-0.16208596563131905</v>
      </c>
      <c r="F52" s="92"/>
      <c r="N52" s="496"/>
      <c r="O52" s="497"/>
      <c r="P52" s="497"/>
      <c r="Q52" s="498"/>
    </row>
    <row r="53" spans="2:17" x14ac:dyDescent="0.3">
      <c r="B53" s="92"/>
      <c r="C53" s="117" t="s">
        <v>247</v>
      </c>
      <c r="D53" vm="38">
        <f>CUBEVALUE("ThisWorkbookDataModel","[Measures].[Aporte a la Desviación B39]",S3,SegmentaciónDeDatos_Calendario)</f>
        <v>-0.12526416648603697</v>
      </c>
      <c r="F53" s="92"/>
      <c r="N53" s="92"/>
      <c r="Q53" s="88"/>
    </row>
    <row r="54" spans="2:17" x14ac:dyDescent="0.3">
      <c r="B54" s="92"/>
      <c r="C54" s="117" t="s">
        <v>248</v>
      </c>
      <c r="D54" vm="37">
        <f>CUBEVALUE("ThisWorkbookDataModel","[Measures].[Avance Real B39 Periodo (1 mes)]",SegmentaciónDeDatos_Calendario,S3)</f>
        <v>2.953704908107313E-3</v>
      </c>
      <c r="F54" s="146"/>
      <c r="N54" s="92"/>
      <c r="O54" s="116" t="s">
        <v>243</v>
      </c>
      <c r="P54" s="139" vm="107">
        <f>CUBEVALUE("ThisWorkbookDataModel","[Measures].[Avance Plan B39 base 100 Acumulado Semanal]",SegmentaciónDeDatos_Calendario,N51)</f>
        <v>1</v>
      </c>
      <c r="Q54" s="88"/>
    </row>
    <row r="55" spans="2:17" x14ac:dyDescent="0.3">
      <c r="B55" s="92"/>
      <c r="F55" s="146"/>
      <c r="N55" s="92"/>
      <c r="O55" s="116" t="s">
        <v>244</v>
      </c>
      <c r="P55" s="139" vm="109">
        <f>CUBEVALUE("ThisWorkbookDataModel","[Measures].[Avance Real B39 base 100 Acumulado Semanal]",SegmentaciónDeDatos_Calendario,N51)</f>
        <v>1</v>
      </c>
      <c r="Q55" s="88"/>
    </row>
    <row r="56" spans="2:17" x14ac:dyDescent="0.3">
      <c r="B56" s="92"/>
      <c r="F56" s="92"/>
      <c r="N56" s="92"/>
      <c r="O56" s="116" t="s">
        <v>245</v>
      </c>
      <c r="P56" s="139">
        <f>P55-P54</f>
        <v>0</v>
      </c>
      <c r="Q56" s="88"/>
    </row>
    <row r="57" spans="2:17" x14ac:dyDescent="0.3">
      <c r="B57" s="92"/>
      <c r="F57" s="92"/>
      <c r="N57" s="92"/>
      <c r="O57" s="485" t="s">
        <v>246</v>
      </c>
      <c r="P57" s="499" vm="93">
        <f>CUBEVALUE("ThisWorkbookDataModel","[Measures].[Aporte a la Desviación B39]",SegmentaciónDeDatos_Calendario,N51)</f>
        <v>0</v>
      </c>
      <c r="Q57" s="88"/>
    </row>
    <row r="58" spans="2:17" x14ac:dyDescent="0.3">
      <c r="B58" s="92"/>
      <c r="F58" s="92"/>
      <c r="N58" s="92"/>
      <c r="O58" s="485"/>
      <c r="P58" s="499"/>
      <c r="Q58" s="88"/>
    </row>
    <row r="59" spans="2:17" x14ac:dyDescent="0.3">
      <c r="B59" s="95"/>
      <c r="C59" s="93"/>
      <c r="D59" s="93"/>
      <c r="E59" s="93"/>
      <c r="F59" s="95"/>
      <c r="G59" s="93"/>
      <c r="H59" s="93"/>
      <c r="I59" s="93"/>
      <c r="J59" s="93"/>
      <c r="K59" s="93"/>
      <c r="L59" s="93"/>
      <c r="M59" s="93"/>
      <c r="N59" s="95"/>
      <c r="O59" s="93"/>
      <c r="P59" s="93"/>
      <c r="Q59" s="94"/>
    </row>
    <row r="60" spans="2:17" x14ac:dyDescent="0.3">
      <c r="B60" s="493" t="str" vm="5">
        <f>CUBEMEMBER("ThisWorkbookDataModel","[EDTN_PQ].[N3].&amp;[1.3 Reparación envoltura metálica]")</f>
        <v>1.3 Reparación envoltura metálica</v>
      </c>
      <c r="C60" s="494"/>
      <c r="D60" s="494"/>
      <c r="E60" s="495"/>
      <c r="F60" s="500" t="str" vm="6">
        <f>CUBEMEMBER("ThisWorkbookDataModel","[EDTN_PQ].[N3].&amp;[1.4 Reparación de cámaras muertas]")</f>
        <v>1.4 Reparación de cámaras muertas</v>
      </c>
      <c r="G60" s="501"/>
      <c r="H60" s="501"/>
      <c r="I60" s="502"/>
      <c r="J60" s="493" t="str" vm="7">
        <f>CUBEMEMBER("ThisWorkbookDataModel","[EDTN_PQ].[N3].&amp;[1.5 Reparación ductos de aire y gas]")</f>
        <v>1.5 Reparación ductos de aire y gas</v>
      </c>
      <c r="K60" s="494"/>
      <c r="L60" s="494"/>
      <c r="M60" s="495"/>
      <c r="N60" s="493" t="str" vm="8">
        <f>CUBEMEMBER("ThisWorkbookDataModel","[EDTN_PQ].[N3].&amp;[1.6 Reemplazo de tuberías ácido y soda]")</f>
        <v>1.6 Reemplazo de tuberías ácido y soda</v>
      </c>
      <c r="O60" s="494"/>
      <c r="P60" s="494"/>
      <c r="Q60" s="495"/>
    </row>
    <row r="61" spans="2:17" x14ac:dyDescent="0.3">
      <c r="B61" s="496"/>
      <c r="C61" s="497"/>
      <c r="D61" s="497"/>
      <c r="E61" s="498"/>
      <c r="F61" s="496"/>
      <c r="G61" s="497"/>
      <c r="H61" s="497"/>
      <c r="I61" s="498"/>
      <c r="J61" s="496"/>
      <c r="K61" s="497"/>
      <c r="L61" s="497"/>
      <c r="M61" s="498"/>
      <c r="N61" s="496"/>
      <c r="O61" s="497"/>
      <c r="P61" s="497"/>
      <c r="Q61" s="498"/>
    </row>
    <row r="62" spans="2:17" x14ac:dyDescent="0.3">
      <c r="B62" s="92"/>
      <c r="E62" s="88"/>
      <c r="F62" s="92"/>
      <c r="I62" s="88"/>
      <c r="J62" s="92"/>
      <c r="M62" s="88"/>
      <c r="N62" s="92"/>
      <c r="Q62" s="88"/>
    </row>
    <row r="63" spans="2:17" x14ac:dyDescent="0.3">
      <c r="B63" s="92"/>
      <c r="C63" s="116" t="s">
        <v>243</v>
      </c>
      <c r="D63" s="139" vm="108">
        <f>CUBEVALUE("ThisWorkbookDataModel","[Measures].[Avance Plan B39 base 100 Acumulado Semanal]",SegmentaciónDeDatos_Calendario,B60)</f>
        <v>1</v>
      </c>
      <c r="E63" s="88"/>
      <c r="F63" s="92"/>
      <c r="G63" s="116" t="s">
        <v>243</v>
      </c>
      <c r="H63" s="139" vm="83">
        <f>CUBEVALUE("ThisWorkbookDataModel","[Measures].[Avance Plan B39 base 100 Acumulado Semanal]",SegmentaciónDeDatos_Calendario,F60)</f>
        <v>1</v>
      </c>
      <c r="I63" s="88"/>
      <c r="J63" s="92"/>
      <c r="K63" s="116" t="s">
        <v>243</v>
      </c>
      <c r="L63" s="139" vm="75">
        <f>CUBEVALUE("ThisWorkbookDataModel","[Measures].[Avance Plan B39 base 100 Acumulado Semanal]",SegmentaciónDeDatos_Calendario,J60)</f>
        <v>1</v>
      </c>
      <c r="M63" s="88"/>
      <c r="N63" s="92"/>
      <c r="O63" s="116" t="s">
        <v>243</v>
      </c>
      <c r="P63" s="139" vm="63">
        <f>CUBEVALUE("ThisWorkbookDataModel","[Measures].[Avance Plan B39 base 100 Acumulado Semanal]",SegmentaciónDeDatos_Calendario,N60)</f>
        <v>1</v>
      </c>
      <c r="Q63" s="88"/>
    </row>
    <row r="64" spans="2:17" x14ac:dyDescent="0.3">
      <c r="B64" s="92"/>
      <c r="C64" s="116" t="s">
        <v>244</v>
      </c>
      <c r="D64" s="139" vm="70">
        <f>CUBEVALUE("ThisWorkbookDataModel","[Measures].[Avance Real B39 base 100 Acumulado Semanal]",SegmentaciónDeDatos_Calendario,B60)</f>
        <v>0.84</v>
      </c>
      <c r="E64" s="88"/>
      <c r="F64" s="92"/>
      <c r="G64" s="116" t="s">
        <v>244</v>
      </c>
      <c r="H64" s="139" vm="105">
        <f>CUBEVALUE("ThisWorkbookDataModel","[Measures].[Avance Real B39 base 100 Acumulado Semanal]",SegmentaciónDeDatos_Calendario,F60)</f>
        <v>0.90800000000000014</v>
      </c>
      <c r="I64" s="88"/>
      <c r="J64" s="92"/>
      <c r="K64" s="116" t="s">
        <v>244</v>
      </c>
      <c r="L64" s="139" vm="84">
        <f>CUBEVALUE("ThisWorkbookDataModel","[Measures].[Avance Real B39 base 100 Acumulado Semanal]",SegmentaciónDeDatos_Calendario,J60)</f>
        <v>1</v>
      </c>
      <c r="M64" s="88"/>
      <c r="N64" s="92"/>
      <c r="O64" s="116" t="s">
        <v>244</v>
      </c>
      <c r="P64" s="139" vm="89">
        <f>CUBEVALUE("ThisWorkbookDataModel","[Measures].[Avance Real B39 base 100 Acumulado Semanal]",SegmentaciónDeDatos_Calendario,N60)</f>
        <v>0</v>
      </c>
      <c r="Q64" s="88"/>
    </row>
    <row r="65" spans="2:17" x14ac:dyDescent="0.3">
      <c r="B65" s="92"/>
      <c r="C65" s="116" t="s">
        <v>245</v>
      </c>
      <c r="D65" s="139">
        <f>D64-D63</f>
        <v>-0.16000000000000003</v>
      </c>
      <c r="E65" s="88"/>
      <c r="F65" s="92"/>
      <c r="G65" s="116" t="s">
        <v>245</v>
      </c>
      <c r="H65" s="139">
        <f>H64-H63</f>
        <v>-9.199999999999986E-2</v>
      </c>
      <c r="I65" s="88"/>
      <c r="J65" s="92"/>
      <c r="K65" s="116" t="s">
        <v>245</v>
      </c>
      <c r="L65" s="139">
        <f>L64-L63</f>
        <v>0</v>
      </c>
      <c r="M65" s="88"/>
      <c r="N65" s="92"/>
      <c r="O65" s="116" t="s">
        <v>245</v>
      </c>
      <c r="P65" s="139">
        <f>P64-P63</f>
        <v>-1</v>
      </c>
      <c r="Q65" s="88"/>
    </row>
    <row r="66" spans="2:17" x14ac:dyDescent="0.3">
      <c r="B66" s="92"/>
      <c r="C66" s="485" t="s">
        <v>246</v>
      </c>
      <c r="D66" s="499" vm="111">
        <f>CUBEVALUE("ThisWorkbookDataModel","[Measures].[Aporte a la Desviación B39]",SegmentaciónDeDatos_Calendario,B60)</f>
        <v>-1.7187376604024515E-2</v>
      </c>
      <c r="E66" s="88"/>
      <c r="F66" s="92"/>
      <c r="G66" s="485" t="s">
        <v>246</v>
      </c>
      <c r="H66" s="499" vm="80">
        <f>CUBEVALUE("ThisWorkbookDataModel","[Measures].[Aporte a la Desviación B39]",SegmentaciónDeDatos_Calendario,F60)</f>
        <v>-5.5514094012422809E-3</v>
      </c>
      <c r="I66" s="88"/>
      <c r="J66" s="92"/>
      <c r="K66" s="485" t="s">
        <v>246</v>
      </c>
      <c r="L66" s="499" vm="78">
        <f>CUBEVALUE("ThisWorkbookDataModel","[Measures].[Aporte a la Desviación B39]",SegmentaciónDeDatos_Calendario,J60)</f>
        <v>0</v>
      </c>
      <c r="M66" s="88"/>
      <c r="N66" s="92"/>
      <c r="O66" s="485" t="s">
        <v>246</v>
      </c>
      <c r="P66" s="499" vm="88">
        <f>CUBEVALUE("ThisWorkbookDataModel","[Measures].[Aporte a la Desviación B39]",SegmentaciónDeDatos_Calendario,N60)</f>
        <v>-4.3884828324248823E-2</v>
      </c>
      <c r="Q66" s="88"/>
    </row>
    <row r="67" spans="2:17" x14ac:dyDescent="0.3">
      <c r="B67" s="92"/>
      <c r="C67" s="485"/>
      <c r="D67" s="499"/>
      <c r="E67" s="88"/>
      <c r="F67" s="92"/>
      <c r="G67" s="485"/>
      <c r="H67" s="499"/>
      <c r="I67" s="88"/>
      <c r="J67" s="92"/>
      <c r="K67" s="485"/>
      <c r="L67" s="499"/>
      <c r="M67" s="88"/>
      <c r="N67" s="92"/>
      <c r="O67" s="485"/>
      <c r="P67" s="499"/>
      <c r="Q67" s="88"/>
    </row>
    <row r="68" spans="2:17" x14ac:dyDescent="0.3">
      <c r="B68" s="95"/>
      <c r="C68" s="93"/>
      <c r="D68" s="93"/>
      <c r="E68" s="94"/>
      <c r="F68" s="95"/>
      <c r="G68" s="93"/>
      <c r="H68" s="93"/>
      <c r="I68" s="94"/>
      <c r="J68" s="95"/>
      <c r="K68" s="93"/>
      <c r="L68" s="93"/>
      <c r="M68" s="94"/>
      <c r="N68" s="95"/>
      <c r="O68" s="93"/>
      <c r="P68" s="93"/>
      <c r="Q68" s="94"/>
    </row>
    <row r="69" spans="2:17" x14ac:dyDescent="0.3">
      <c r="B69" s="493" t="str" vm="10">
        <f>CUBEMEMBER("ThisWorkbookDataModel","[EDTN_PQ].[N3].&amp;[1.9 Matenimiento de equipos y sistema de instrumentación]")</f>
        <v>1.9 Matenimiento de equipos y sistema de instrumentación</v>
      </c>
      <c r="C69" s="494"/>
      <c r="D69" s="494"/>
      <c r="E69" s="495"/>
      <c r="F69" s="493" t="str" vm="9">
        <f>CUBEMEMBER("ThisWorkbookDataModel","[EDTN_PQ].[N3].&amp;[1.7 Mantenimiento en los equipos de balance BOP y equipos]")</f>
        <v>1.7 Mantenimiento en los equipos de balance BOP y equipos</v>
      </c>
      <c r="G69" s="494"/>
      <c r="H69" s="494"/>
      <c r="I69" s="495"/>
      <c r="J69" s="493" t="str" vm="11">
        <f>CUBEMEMBER("ThisWorkbookDataModel","[EDTN_PQ].[N3].&amp;[1.10 Mantenimiento compresores de aire]")</f>
        <v>1.10 Mantenimiento compresores de aire</v>
      </c>
      <c r="K69" s="494"/>
      <c r="L69" s="494"/>
      <c r="M69" s="495"/>
      <c r="N69" s="91"/>
      <c r="O69" s="89"/>
      <c r="P69" s="89"/>
      <c r="Q69" s="90"/>
    </row>
    <row r="70" spans="2:17" x14ac:dyDescent="0.3">
      <c r="B70" s="496"/>
      <c r="C70" s="497"/>
      <c r="D70" s="497"/>
      <c r="E70" s="498"/>
      <c r="F70" s="496"/>
      <c r="G70" s="497"/>
      <c r="H70" s="497"/>
      <c r="I70" s="498"/>
      <c r="J70" s="496"/>
      <c r="K70" s="497"/>
      <c r="L70" s="497"/>
      <c r="M70" s="498"/>
      <c r="N70" s="92"/>
      <c r="Q70" s="88"/>
    </row>
    <row r="71" spans="2:17" x14ac:dyDescent="0.3">
      <c r="B71" s="92"/>
      <c r="E71" s="88"/>
      <c r="F71" s="92"/>
      <c r="I71" s="88"/>
      <c r="J71" s="92"/>
      <c r="M71" s="88"/>
      <c r="N71" s="92"/>
      <c r="Q71" s="88"/>
    </row>
    <row r="72" spans="2:17" x14ac:dyDescent="0.3">
      <c r="B72" s="92"/>
      <c r="C72" s="116" t="s">
        <v>243</v>
      </c>
      <c r="D72" s="139" vm="99">
        <f>CUBEVALUE("ThisWorkbookDataModel","[Measures].[Avance Plan B39 base 100 Acumulado Semanal]",SegmentaciónDeDatos_Calendario,B69)</f>
        <v>1</v>
      </c>
      <c r="E72" s="88"/>
      <c r="F72" s="92"/>
      <c r="G72" s="116" t="s">
        <v>243</v>
      </c>
      <c r="H72" s="139" vm="79">
        <f>CUBEVALUE("ThisWorkbookDataModel","[Measures].[Avance Plan B39 base 100 Acumulado Semanal]",SegmentaciónDeDatos_Calendario,F69)</f>
        <v>1</v>
      </c>
      <c r="I72" s="88"/>
      <c r="J72" s="92"/>
      <c r="K72" s="116" t="s">
        <v>243</v>
      </c>
      <c r="L72" s="139" vm="90">
        <f>CUBEVALUE("ThisWorkbookDataModel","[Measures].[Avance Plan B39 base 100 Acumulado Semanal]",SegmentaciónDeDatos_Calendario,J69)</f>
        <v>1</v>
      </c>
      <c r="M72" s="88"/>
      <c r="N72" s="92"/>
      <c r="Q72" s="88"/>
    </row>
    <row r="73" spans="2:17" x14ac:dyDescent="0.3">
      <c r="B73" s="92"/>
      <c r="C73" s="116" t="s">
        <v>244</v>
      </c>
      <c r="D73" s="139" vm="97">
        <f>CUBEVALUE("ThisWorkbookDataModel","[Measures].[Avance Real B39 base 100 Acumulado Semanal]",SegmentaciónDeDatos_Calendario,B69)</f>
        <v>0.98780487804878048</v>
      </c>
      <c r="E73" s="88"/>
      <c r="F73" s="92"/>
      <c r="G73" s="116" t="s">
        <v>244</v>
      </c>
      <c r="H73" s="139" vm="102">
        <f>CUBEVALUE("ThisWorkbookDataModel","[Measures].[Avance Real B39 base 100 Acumulado Semanal]",SegmentaciónDeDatos_Calendario,F69)</f>
        <v>4.9861111111111106E-2</v>
      </c>
      <c r="I73" s="88"/>
      <c r="J73" s="92"/>
      <c r="K73" s="116" t="s">
        <v>244</v>
      </c>
      <c r="L73" s="139" vm="71">
        <f>CUBEVALUE("ThisWorkbookDataModel","[Measures].[Avance Real B39 base 100 Acumulado Semanal]",SegmentaciónDeDatos_Calendario,J69)</f>
        <v>1</v>
      </c>
      <c r="M73" s="88"/>
      <c r="N73" s="92"/>
      <c r="Q73" s="88"/>
    </row>
    <row r="74" spans="2:17" x14ac:dyDescent="0.3">
      <c r="B74" s="92"/>
      <c r="C74" s="116" t="s">
        <v>245</v>
      </c>
      <c r="D74" s="139">
        <f>D73-D72</f>
        <v>-1.2195121951219523E-2</v>
      </c>
      <c r="E74" s="88"/>
      <c r="F74" s="92"/>
      <c r="G74" s="116" t="s">
        <v>245</v>
      </c>
      <c r="H74" s="139">
        <f>H73-H72</f>
        <v>-0.95013888888888887</v>
      </c>
      <c r="I74" s="88"/>
      <c r="J74" s="92"/>
      <c r="K74" s="116" t="s">
        <v>245</v>
      </c>
      <c r="L74" s="139">
        <f>L73-L72</f>
        <v>0</v>
      </c>
      <c r="M74" s="88"/>
      <c r="N74" s="92"/>
      <c r="Q74" s="88"/>
    </row>
    <row r="75" spans="2:17" x14ac:dyDescent="0.3">
      <c r="B75" s="92"/>
      <c r="C75" s="485" t="s">
        <v>246</v>
      </c>
      <c r="D75" s="499" vm="82">
        <f>CUBEVALUE("ThisWorkbookDataModel","[Measures].[Aporte a la Desviación B39]",SegmentaciónDeDatos_Calendario,B69)</f>
        <v>-9.8193194680562621E-4</v>
      </c>
      <c r="E75" s="88"/>
      <c r="F75" s="92"/>
      <c r="G75" s="485" t="s">
        <v>246</v>
      </c>
      <c r="H75" s="499" vm="110">
        <f>CUBEVALUE("ThisWorkbookDataModel","[Measures].[Aporte a la Desviación B39]",SegmentaciónDeDatos_Calendario,F69)</f>
        <v>-4.1696682023081418E-2</v>
      </c>
      <c r="I75" s="88"/>
      <c r="J75" s="92"/>
      <c r="K75" s="485" t="s">
        <v>246</v>
      </c>
      <c r="L75" s="499" vm="81">
        <f>CUBEVALUE("ThisWorkbookDataModel","[Measures].[Aporte a la Desviación B39]",SegmentaciónDeDatos_Calendario,J69)</f>
        <v>0</v>
      </c>
      <c r="M75" s="88"/>
      <c r="N75" s="92"/>
      <c r="Q75" s="88"/>
    </row>
    <row r="76" spans="2:17" x14ac:dyDescent="0.3">
      <c r="B76" s="92"/>
      <c r="C76" s="485"/>
      <c r="D76" s="499"/>
      <c r="E76" s="88"/>
      <c r="F76" s="92"/>
      <c r="G76" s="485"/>
      <c r="H76" s="499"/>
      <c r="I76" s="88"/>
      <c r="J76" s="92"/>
      <c r="K76" s="485"/>
      <c r="L76" s="499"/>
      <c r="M76" s="88"/>
      <c r="N76" s="92"/>
      <c r="Q76" s="88"/>
    </row>
    <row r="77" spans="2:17" x14ac:dyDescent="0.3">
      <c r="B77" s="95"/>
      <c r="C77" s="93"/>
      <c r="D77" s="93"/>
      <c r="E77" s="94"/>
      <c r="F77" s="95"/>
      <c r="G77" s="93"/>
      <c r="H77" s="93"/>
      <c r="I77" s="94"/>
      <c r="J77" s="95"/>
      <c r="K77" s="93"/>
      <c r="L77" s="93"/>
      <c r="M77" s="94"/>
      <c r="N77" s="95"/>
      <c r="O77" s="93"/>
      <c r="P77" s="93"/>
      <c r="Q77" s="94"/>
    </row>
  </sheetData>
  <mergeCells count="714">
    <mergeCell ref="XCX40:XDV40"/>
    <mergeCell ref="XDW40:XEU40"/>
    <mergeCell ref="XEV40:XFD40"/>
    <mergeCell ref="WYC40:WZA40"/>
    <mergeCell ref="WZB40:WZZ40"/>
    <mergeCell ref="XAA40:XAY40"/>
    <mergeCell ref="XAZ40:XBX40"/>
    <mergeCell ref="XBY40:XCW40"/>
    <mergeCell ref="WTH40:WUF40"/>
    <mergeCell ref="WUG40:WVE40"/>
    <mergeCell ref="WVF40:WWD40"/>
    <mergeCell ref="WWE40:WXC40"/>
    <mergeCell ref="WXD40:WYB40"/>
    <mergeCell ref="WOM40:WPK40"/>
    <mergeCell ref="WPL40:WQJ40"/>
    <mergeCell ref="WQK40:WRI40"/>
    <mergeCell ref="WRJ40:WSH40"/>
    <mergeCell ref="WSI40:WTG40"/>
    <mergeCell ref="WJR40:WKP40"/>
    <mergeCell ref="WKQ40:WLO40"/>
    <mergeCell ref="WLP40:WMN40"/>
    <mergeCell ref="WMO40:WNM40"/>
    <mergeCell ref="WNN40:WOL40"/>
    <mergeCell ref="WEW40:WFU40"/>
    <mergeCell ref="WFV40:WGT40"/>
    <mergeCell ref="WGU40:WHS40"/>
    <mergeCell ref="WHT40:WIR40"/>
    <mergeCell ref="WIS40:WJQ40"/>
    <mergeCell ref="WAB40:WAZ40"/>
    <mergeCell ref="WBA40:WBY40"/>
    <mergeCell ref="WBZ40:WCX40"/>
    <mergeCell ref="WCY40:WDW40"/>
    <mergeCell ref="WDX40:WEV40"/>
    <mergeCell ref="VVG40:VWE40"/>
    <mergeCell ref="VWF40:VXD40"/>
    <mergeCell ref="VXE40:VYC40"/>
    <mergeCell ref="VYD40:VZB40"/>
    <mergeCell ref="VZC40:WAA40"/>
    <mergeCell ref="VQL40:VRJ40"/>
    <mergeCell ref="VRK40:VSI40"/>
    <mergeCell ref="VSJ40:VTH40"/>
    <mergeCell ref="VTI40:VUG40"/>
    <mergeCell ref="VUH40:VVF40"/>
    <mergeCell ref="VLQ40:VMO40"/>
    <mergeCell ref="VMP40:VNN40"/>
    <mergeCell ref="VNO40:VOM40"/>
    <mergeCell ref="VON40:VPL40"/>
    <mergeCell ref="VPM40:VQK40"/>
    <mergeCell ref="VGV40:VHT40"/>
    <mergeCell ref="VHU40:VIS40"/>
    <mergeCell ref="VIT40:VJR40"/>
    <mergeCell ref="VJS40:VKQ40"/>
    <mergeCell ref="VKR40:VLP40"/>
    <mergeCell ref="VCA40:VCY40"/>
    <mergeCell ref="VCZ40:VDX40"/>
    <mergeCell ref="VDY40:VEW40"/>
    <mergeCell ref="VEX40:VFV40"/>
    <mergeCell ref="VFW40:VGU40"/>
    <mergeCell ref="UXF40:UYD40"/>
    <mergeCell ref="UYE40:UZC40"/>
    <mergeCell ref="UZD40:VAB40"/>
    <mergeCell ref="VAC40:VBA40"/>
    <mergeCell ref="VBB40:VBZ40"/>
    <mergeCell ref="USK40:UTI40"/>
    <mergeCell ref="UTJ40:UUH40"/>
    <mergeCell ref="UUI40:UVG40"/>
    <mergeCell ref="UVH40:UWF40"/>
    <mergeCell ref="UWG40:UXE40"/>
    <mergeCell ref="UNP40:UON40"/>
    <mergeCell ref="UOO40:UPM40"/>
    <mergeCell ref="UPN40:UQL40"/>
    <mergeCell ref="UQM40:URK40"/>
    <mergeCell ref="URL40:USJ40"/>
    <mergeCell ref="UIU40:UJS40"/>
    <mergeCell ref="UJT40:UKR40"/>
    <mergeCell ref="UKS40:ULQ40"/>
    <mergeCell ref="ULR40:UMP40"/>
    <mergeCell ref="UMQ40:UNO40"/>
    <mergeCell ref="UDZ40:UEX40"/>
    <mergeCell ref="UEY40:UFW40"/>
    <mergeCell ref="UFX40:UGV40"/>
    <mergeCell ref="UGW40:UHU40"/>
    <mergeCell ref="UHV40:UIT40"/>
    <mergeCell ref="TZE40:UAC40"/>
    <mergeCell ref="UAD40:UBB40"/>
    <mergeCell ref="UBC40:UCA40"/>
    <mergeCell ref="UCB40:UCZ40"/>
    <mergeCell ref="UDA40:UDY40"/>
    <mergeCell ref="TUJ40:TVH40"/>
    <mergeCell ref="TVI40:TWG40"/>
    <mergeCell ref="TWH40:TXF40"/>
    <mergeCell ref="TXG40:TYE40"/>
    <mergeCell ref="TYF40:TZD40"/>
    <mergeCell ref="TPO40:TQM40"/>
    <mergeCell ref="TQN40:TRL40"/>
    <mergeCell ref="TRM40:TSK40"/>
    <mergeCell ref="TSL40:TTJ40"/>
    <mergeCell ref="TTK40:TUI40"/>
    <mergeCell ref="TKT40:TLR40"/>
    <mergeCell ref="TLS40:TMQ40"/>
    <mergeCell ref="TMR40:TNP40"/>
    <mergeCell ref="TNQ40:TOO40"/>
    <mergeCell ref="TOP40:TPN40"/>
    <mergeCell ref="TFY40:TGW40"/>
    <mergeCell ref="TGX40:THV40"/>
    <mergeCell ref="THW40:TIU40"/>
    <mergeCell ref="TIV40:TJT40"/>
    <mergeCell ref="TJU40:TKS40"/>
    <mergeCell ref="TBD40:TCB40"/>
    <mergeCell ref="TCC40:TDA40"/>
    <mergeCell ref="TDB40:TDZ40"/>
    <mergeCell ref="TEA40:TEY40"/>
    <mergeCell ref="TEZ40:TFX40"/>
    <mergeCell ref="SWI40:SXG40"/>
    <mergeCell ref="SXH40:SYF40"/>
    <mergeCell ref="SYG40:SZE40"/>
    <mergeCell ref="SZF40:TAD40"/>
    <mergeCell ref="TAE40:TBC40"/>
    <mergeCell ref="SRN40:SSL40"/>
    <mergeCell ref="SSM40:STK40"/>
    <mergeCell ref="STL40:SUJ40"/>
    <mergeCell ref="SUK40:SVI40"/>
    <mergeCell ref="SVJ40:SWH40"/>
    <mergeCell ref="SMS40:SNQ40"/>
    <mergeCell ref="SNR40:SOP40"/>
    <mergeCell ref="SOQ40:SPO40"/>
    <mergeCell ref="SPP40:SQN40"/>
    <mergeCell ref="SQO40:SRM40"/>
    <mergeCell ref="SHX40:SIV40"/>
    <mergeCell ref="SIW40:SJU40"/>
    <mergeCell ref="SJV40:SKT40"/>
    <mergeCell ref="SKU40:SLS40"/>
    <mergeCell ref="SLT40:SMR40"/>
    <mergeCell ref="SDC40:SEA40"/>
    <mergeCell ref="SEB40:SEZ40"/>
    <mergeCell ref="SFA40:SFY40"/>
    <mergeCell ref="SFZ40:SGX40"/>
    <mergeCell ref="SGY40:SHW40"/>
    <mergeCell ref="RYH40:RZF40"/>
    <mergeCell ref="RZG40:SAE40"/>
    <mergeCell ref="SAF40:SBD40"/>
    <mergeCell ref="SBE40:SCC40"/>
    <mergeCell ref="SCD40:SDB40"/>
    <mergeCell ref="RTM40:RUK40"/>
    <mergeCell ref="RUL40:RVJ40"/>
    <mergeCell ref="RVK40:RWI40"/>
    <mergeCell ref="RWJ40:RXH40"/>
    <mergeCell ref="RXI40:RYG40"/>
    <mergeCell ref="ROR40:RPP40"/>
    <mergeCell ref="RPQ40:RQO40"/>
    <mergeCell ref="RQP40:RRN40"/>
    <mergeCell ref="RRO40:RSM40"/>
    <mergeCell ref="RSN40:RTL40"/>
    <mergeCell ref="RJW40:RKU40"/>
    <mergeCell ref="RKV40:RLT40"/>
    <mergeCell ref="RLU40:RMS40"/>
    <mergeCell ref="RMT40:RNR40"/>
    <mergeCell ref="RNS40:ROQ40"/>
    <mergeCell ref="RFB40:RFZ40"/>
    <mergeCell ref="RGA40:RGY40"/>
    <mergeCell ref="RGZ40:RHX40"/>
    <mergeCell ref="RHY40:RIW40"/>
    <mergeCell ref="RIX40:RJV40"/>
    <mergeCell ref="RAG40:RBE40"/>
    <mergeCell ref="RBF40:RCD40"/>
    <mergeCell ref="RCE40:RDC40"/>
    <mergeCell ref="RDD40:REB40"/>
    <mergeCell ref="REC40:RFA40"/>
    <mergeCell ref="QVL40:QWJ40"/>
    <mergeCell ref="QWK40:QXI40"/>
    <mergeCell ref="QXJ40:QYH40"/>
    <mergeCell ref="QYI40:QZG40"/>
    <mergeCell ref="QZH40:RAF40"/>
    <mergeCell ref="QQQ40:QRO40"/>
    <mergeCell ref="QRP40:QSN40"/>
    <mergeCell ref="QSO40:QTM40"/>
    <mergeCell ref="QTN40:QUL40"/>
    <mergeCell ref="QUM40:QVK40"/>
    <mergeCell ref="QLV40:QMT40"/>
    <mergeCell ref="QMU40:QNS40"/>
    <mergeCell ref="QNT40:QOR40"/>
    <mergeCell ref="QOS40:QPQ40"/>
    <mergeCell ref="QPR40:QQP40"/>
    <mergeCell ref="QHA40:QHY40"/>
    <mergeCell ref="QHZ40:QIX40"/>
    <mergeCell ref="QIY40:QJW40"/>
    <mergeCell ref="QJX40:QKV40"/>
    <mergeCell ref="QKW40:QLU40"/>
    <mergeCell ref="QCF40:QDD40"/>
    <mergeCell ref="QDE40:QEC40"/>
    <mergeCell ref="QED40:QFB40"/>
    <mergeCell ref="QFC40:QGA40"/>
    <mergeCell ref="QGB40:QGZ40"/>
    <mergeCell ref="PXK40:PYI40"/>
    <mergeCell ref="PYJ40:PZH40"/>
    <mergeCell ref="PZI40:QAG40"/>
    <mergeCell ref="QAH40:QBF40"/>
    <mergeCell ref="QBG40:QCE40"/>
    <mergeCell ref="PSP40:PTN40"/>
    <mergeCell ref="PTO40:PUM40"/>
    <mergeCell ref="PUN40:PVL40"/>
    <mergeCell ref="PVM40:PWK40"/>
    <mergeCell ref="PWL40:PXJ40"/>
    <mergeCell ref="PNU40:POS40"/>
    <mergeCell ref="POT40:PPR40"/>
    <mergeCell ref="PPS40:PQQ40"/>
    <mergeCell ref="PQR40:PRP40"/>
    <mergeCell ref="PRQ40:PSO40"/>
    <mergeCell ref="PIZ40:PJX40"/>
    <mergeCell ref="PJY40:PKW40"/>
    <mergeCell ref="PKX40:PLV40"/>
    <mergeCell ref="PLW40:PMU40"/>
    <mergeCell ref="PMV40:PNT40"/>
    <mergeCell ref="PEE40:PFC40"/>
    <mergeCell ref="PFD40:PGB40"/>
    <mergeCell ref="PGC40:PHA40"/>
    <mergeCell ref="PHB40:PHZ40"/>
    <mergeCell ref="PIA40:PIY40"/>
    <mergeCell ref="OZJ40:PAH40"/>
    <mergeCell ref="PAI40:PBG40"/>
    <mergeCell ref="PBH40:PCF40"/>
    <mergeCell ref="PCG40:PDE40"/>
    <mergeCell ref="PDF40:PED40"/>
    <mergeCell ref="OUO40:OVM40"/>
    <mergeCell ref="OVN40:OWL40"/>
    <mergeCell ref="OWM40:OXK40"/>
    <mergeCell ref="OXL40:OYJ40"/>
    <mergeCell ref="OYK40:OZI40"/>
    <mergeCell ref="OPT40:OQR40"/>
    <mergeCell ref="OQS40:ORQ40"/>
    <mergeCell ref="ORR40:OSP40"/>
    <mergeCell ref="OSQ40:OTO40"/>
    <mergeCell ref="OTP40:OUN40"/>
    <mergeCell ref="OKY40:OLW40"/>
    <mergeCell ref="OLX40:OMV40"/>
    <mergeCell ref="OMW40:ONU40"/>
    <mergeCell ref="ONV40:OOT40"/>
    <mergeCell ref="OOU40:OPS40"/>
    <mergeCell ref="OGD40:OHB40"/>
    <mergeCell ref="OHC40:OIA40"/>
    <mergeCell ref="OIB40:OIZ40"/>
    <mergeCell ref="OJA40:OJY40"/>
    <mergeCell ref="OJZ40:OKX40"/>
    <mergeCell ref="OBI40:OCG40"/>
    <mergeCell ref="OCH40:ODF40"/>
    <mergeCell ref="ODG40:OEE40"/>
    <mergeCell ref="OEF40:OFD40"/>
    <mergeCell ref="OFE40:OGC40"/>
    <mergeCell ref="NWN40:NXL40"/>
    <mergeCell ref="NXM40:NYK40"/>
    <mergeCell ref="NYL40:NZJ40"/>
    <mergeCell ref="NZK40:OAI40"/>
    <mergeCell ref="OAJ40:OBH40"/>
    <mergeCell ref="NRS40:NSQ40"/>
    <mergeCell ref="NSR40:NTP40"/>
    <mergeCell ref="NTQ40:NUO40"/>
    <mergeCell ref="NUP40:NVN40"/>
    <mergeCell ref="NVO40:NWM40"/>
    <mergeCell ref="NMX40:NNV40"/>
    <mergeCell ref="NNW40:NOU40"/>
    <mergeCell ref="NOV40:NPT40"/>
    <mergeCell ref="NPU40:NQS40"/>
    <mergeCell ref="NQT40:NRR40"/>
    <mergeCell ref="NIC40:NJA40"/>
    <mergeCell ref="NJB40:NJZ40"/>
    <mergeCell ref="NKA40:NKY40"/>
    <mergeCell ref="NKZ40:NLX40"/>
    <mergeCell ref="NLY40:NMW40"/>
    <mergeCell ref="NDH40:NEF40"/>
    <mergeCell ref="NEG40:NFE40"/>
    <mergeCell ref="NFF40:NGD40"/>
    <mergeCell ref="NGE40:NHC40"/>
    <mergeCell ref="NHD40:NIB40"/>
    <mergeCell ref="MYM40:MZK40"/>
    <mergeCell ref="MZL40:NAJ40"/>
    <mergeCell ref="NAK40:NBI40"/>
    <mergeCell ref="NBJ40:NCH40"/>
    <mergeCell ref="NCI40:NDG40"/>
    <mergeCell ref="MTR40:MUP40"/>
    <mergeCell ref="MUQ40:MVO40"/>
    <mergeCell ref="MVP40:MWN40"/>
    <mergeCell ref="MWO40:MXM40"/>
    <mergeCell ref="MXN40:MYL40"/>
    <mergeCell ref="MOW40:MPU40"/>
    <mergeCell ref="MPV40:MQT40"/>
    <mergeCell ref="MQU40:MRS40"/>
    <mergeCell ref="MRT40:MSR40"/>
    <mergeCell ref="MSS40:MTQ40"/>
    <mergeCell ref="MKB40:MKZ40"/>
    <mergeCell ref="MLA40:MLY40"/>
    <mergeCell ref="MLZ40:MMX40"/>
    <mergeCell ref="MMY40:MNW40"/>
    <mergeCell ref="MNX40:MOV40"/>
    <mergeCell ref="MFG40:MGE40"/>
    <mergeCell ref="MGF40:MHD40"/>
    <mergeCell ref="MHE40:MIC40"/>
    <mergeCell ref="MID40:MJB40"/>
    <mergeCell ref="MJC40:MKA40"/>
    <mergeCell ref="MAL40:MBJ40"/>
    <mergeCell ref="MBK40:MCI40"/>
    <mergeCell ref="MCJ40:MDH40"/>
    <mergeCell ref="MDI40:MEG40"/>
    <mergeCell ref="MEH40:MFF40"/>
    <mergeCell ref="LVQ40:LWO40"/>
    <mergeCell ref="LWP40:LXN40"/>
    <mergeCell ref="LXO40:LYM40"/>
    <mergeCell ref="LYN40:LZL40"/>
    <mergeCell ref="LZM40:MAK40"/>
    <mergeCell ref="LQV40:LRT40"/>
    <mergeCell ref="LRU40:LSS40"/>
    <mergeCell ref="LST40:LTR40"/>
    <mergeCell ref="LTS40:LUQ40"/>
    <mergeCell ref="LUR40:LVP40"/>
    <mergeCell ref="LMA40:LMY40"/>
    <mergeCell ref="LMZ40:LNX40"/>
    <mergeCell ref="LNY40:LOW40"/>
    <mergeCell ref="LOX40:LPV40"/>
    <mergeCell ref="LPW40:LQU40"/>
    <mergeCell ref="LHF40:LID40"/>
    <mergeCell ref="LIE40:LJC40"/>
    <mergeCell ref="LJD40:LKB40"/>
    <mergeCell ref="LKC40:LLA40"/>
    <mergeCell ref="LLB40:LLZ40"/>
    <mergeCell ref="LCK40:LDI40"/>
    <mergeCell ref="LDJ40:LEH40"/>
    <mergeCell ref="LEI40:LFG40"/>
    <mergeCell ref="LFH40:LGF40"/>
    <mergeCell ref="LGG40:LHE40"/>
    <mergeCell ref="KXP40:KYN40"/>
    <mergeCell ref="KYO40:KZM40"/>
    <mergeCell ref="KZN40:LAL40"/>
    <mergeCell ref="LAM40:LBK40"/>
    <mergeCell ref="LBL40:LCJ40"/>
    <mergeCell ref="KSU40:KTS40"/>
    <mergeCell ref="KTT40:KUR40"/>
    <mergeCell ref="KUS40:KVQ40"/>
    <mergeCell ref="KVR40:KWP40"/>
    <mergeCell ref="KWQ40:KXO40"/>
    <mergeCell ref="KNZ40:KOX40"/>
    <mergeCell ref="KOY40:KPW40"/>
    <mergeCell ref="KPX40:KQV40"/>
    <mergeCell ref="KQW40:KRU40"/>
    <mergeCell ref="KRV40:KST40"/>
    <mergeCell ref="KJE40:KKC40"/>
    <mergeCell ref="KKD40:KLB40"/>
    <mergeCell ref="KLC40:KMA40"/>
    <mergeCell ref="KMB40:KMZ40"/>
    <mergeCell ref="KNA40:KNY40"/>
    <mergeCell ref="KEJ40:KFH40"/>
    <mergeCell ref="KFI40:KGG40"/>
    <mergeCell ref="KGH40:KHF40"/>
    <mergeCell ref="KHG40:KIE40"/>
    <mergeCell ref="KIF40:KJD40"/>
    <mergeCell ref="JZO40:KAM40"/>
    <mergeCell ref="KAN40:KBL40"/>
    <mergeCell ref="KBM40:KCK40"/>
    <mergeCell ref="KCL40:KDJ40"/>
    <mergeCell ref="KDK40:KEI40"/>
    <mergeCell ref="JUT40:JVR40"/>
    <mergeCell ref="JVS40:JWQ40"/>
    <mergeCell ref="JWR40:JXP40"/>
    <mergeCell ref="JXQ40:JYO40"/>
    <mergeCell ref="JYP40:JZN40"/>
    <mergeCell ref="JPY40:JQW40"/>
    <mergeCell ref="JQX40:JRV40"/>
    <mergeCell ref="JRW40:JSU40"/>
    <mergeCell ref="JSV40:JTT40"/>
    <mergeCell ref="JTU40:JUS40"/>
    <mergeCell ref="JLD40:JMB40"/>
    <mergeCell ref="JMC40:JNA40"/>
    <mergeCell ref="JNB40:JNZ40"/>
    <mergeCell ref="JOA40:JOY40"/>
    <mergeCell ref="JOZ40:JPX40"/>
    <mergeCell ref="JGI40:JHG40"/>
    <mergeCell ref="JHH40:JIF40"/>
    <mergeCell ref="JIG40:JJE40"/>
    <mergeCell ref="JJF40:JKD40"/>
    <mergeCell ref="JKE40:JLC40"/>
    <mergeCell ref="JBN40:JCL40"/>
    <mergeCell ref="JCM40:JDK40"/>
    <mergeCell ref="JDL40:JEJ40"/>
    <mergeCell ref="JEK40:JFI40"/>
    <mergeCell ref="JFJ40:JGH40"/>
    <mergeCell ref="IWS40:IXQ40"/>
    <mergeCell ref="IXR40:IYP40"/>
    <mergeCell ref="IYQ40:IZO40"/>
    <mergeCell ref="IZP40:JAN40"/>
    <mergeCell ref="JAO40:JBM40"/>
    <mergeCell ref="IRX40:ISV40"/>
    <mergeCell ref="ISW40:ITU40"/>
    <mergeCell ref="ITV40:IUT40"/>
    <mergeCell ref="IUU40:IVS40"/>
    <mergeCell ref="IVT40:IWR40"/>
    <mergeCell ref="INC40:IOA40"/>
    <mergeCell ref="IOB40:IOZ40"/>
    <mergeCell ref="IPA40:IPY40"/>
    <mergeCell ref="IPZ40:IQX40"/>
    <mergeCell ref="IQY40:IRW40"/>
    <mergeCell ref="IIH40:IJF40"/>
    <mergeCell ref="IJG40:IKE40"/>
    <mergeCell ref="IKF40:ILD40"/>
    <mergeCell ref="ILE40:IMC40"/>
    <mergeCell ref="IMD40:INB40"/>
    <mergeCell ref="IDM40:IEK40"/>
    <mergeCell ref="IEL40:IFJ40"/>
    <mergeCell ref="IFK40:IGI40"/>
    <mergeCell ref="IGJ40:IHH40"/>
    <mergeCell ref="IHI40:IIG40"/>
    <mergeCell ref="HYR40:HZP40"/>
    <mergeCell ref="HZQ40:IAO40"/>
    <mergeCell ref="IAP40:IBN40"/>
    <mergeCell ref="IBO40:ICM40"/>
    <mergeCell ref="ICN40:IDL40"/>
    <mergeCell ref="HTW40:HUU40"/>
    <mergeCell ref="HUV40:HVT40"/>
    <mergeCell ref="HVU40:HWS40"/>
    <mergeCell ref="HWT40:HXR40"/>
    <mergeCell ref="HXS40:HYQ40"/>
    <mergeCell ref="HPB40:HPZ40"/>
    <mergeCell ref="HQA40:HQY40"/>
    <mergeCell ref="HQZ40:HRX40"/>
    <mergeCell ref="HRY40:HSW40"/>
    <mergeCell ref="HSX40:HTV40"/>
    <mergeCell ref="HKG40:HLE40"/>
    <mergeCell ref="HLF40:HMD40"/>
    <mergeCell ref="HME40:HNC40"/>
    <mergeCell ref="HND40:HOB40"/>
    <mergeCell ref="HOC40:HPA40"/>
    <mergeCell ref="HFL40:HGJ40"/>
    <mergeCell ref="HGK40:HHI40"/>
    <mergeCell ref="HHJ40:HIH40"/>
    <mergeCell ref="HII40:HJG40"/>
    <mergeCell ref="HJH40:HKF40"/>
    <mergeCell ref="HAQ40:HBO40"/>
    <mergeCell ref="HBP40:HCN40"/>
    <mergeCell ref="HCO40:HDM40"/>
    <mergeCell ref="HDN40:HEL40"/>
    <mergeCell ref="HEM40:HFK40"/>
    <mergeCell ref="GVV40:GWT40"/>
    <mergeCell ref="GWU40:GXS40"/>
    <mergeCell ref="GXT40:GYR40"/>
    <mergeCell ref="GYS40:GZQ40"/>
    <mergeCell ref="GZR40:HAP40"/>
    <mergeCell ref="GRA40:GRY40"/>
    <mergeCell ref="GRZ40:GSX40"/>
    <mergeCell ref="GSY40:GTW40"/>
    <mergeCell ref="GTX40:GUV40"/>
    <mergeCell ref="GUW40:GVU40"/>
    <mergeCell ref="GMF40:GND40"/>
    <mergeCell ref="GNE40:GOC40"/>
    <mergeCell ref="GOD40:GPB40"/>
    <mergeCell ref="GPC40:GQA40"/>
    <mergeCell ref="GQB40:GQZ40"/>
    <mergeCell ref="GHK40:GII40"/>
    <mergeCell ref="GIJ40:GJH40"/>
    <mergeCell ref="GJI40:GKG40"/>
    <mergeCell ref="GKH40:GLF40"/>
    <mergeCell ref="GLG40:GME40"/>
    <mergeCell ref="GCP40:GDN40"/>
    <mergeCell ref="GDO40:GEM40"/>
    <mergeCell ref="GEN40:GFL40"/>
    <mergeCell ref="GFM40:GGK40"/>
    <mergeCell ref="GGL40:GHJ40"/>
    <mergeCell ref="FXU40:FYS40"/>
    <mergeCell ref="FYT40:FZR40"/>
    <mergeCell ref="FZS40:GAQ40"/>
    <mergeCell ref="GAR40:GBP40"/>
    <mergeCell ref="GBQ40:GCO40"/>
    <mergeCell ref="FSZ40:FTX40"/>
    <mergeCell ref="FTY40:FUW40"/>
    <mergeCell ref="FUX40:FVV40"/>
    <mergeCell ref="FVW40:FWU40"/>
    <mergeCell ref="FWV40:FXT40"/>
    <mergeCell ref="FOE40:FPC40"/>
    <mergeCell ref="FPD40:FQB40"/>
    <mergeCell ref="FQC40:FRA40"/>
    <mergeCell ref="FRB40:FRZ40"/>
    <mergeCell ref="FSA40:FSY40"/>
    <mergeCell ref="FJJ40:FKH40"/>
    <mergeCell ref="FKI40:FLG40"/>
    <mergeCell ref="FLH40:FMF40"/>
    <mergeCell ref="FMG40:FNE40"/>
    <mergeCell ref="FNF40:FOD40"/>
    <mergeCell ref="FEO40:FFM40"/>
    <mergeCell ref="FFN40:FGL40"/>
    <mergeCell ref="FGM40:FHK40"/>
    <mergeCell ref="FHL40:FIJ40"/>
    <mergeCell ref="FIK40:FJI40"/>
    <mergeCell ref="EZT40:FAR40"/>
    <mergeCell ref="FAS40:FBQ40"/>
    <mergeCell ref="FBR40:FCP40"/>
    <mergeCell ref="FCQ40:FDO40"/>
    <mergeCell ref="FDP40:FEN40"/>
    <mergeCell ref="EUY40:EVW40"/>
    <mergeCell ref="EVX40:EWV40"/>
    <mergeCell ref="EWW40:EXU40"/>
    <mergeCell ref="EXV40:EYT40"/>
    <mergeCell ref="EYU40:EZS40"/>
    <mergeCell ref="EQD40:ERB40"/>
    <mergeCell ref="ERC40:ESA40"/>
    <mergeCell ref="ESB40:ESZ40"/>
    <mergeCell ref="ETA40:ETY40"/>
    <mergeCell ref="ETZ40:EUX40"/>
    <mergeCell ref="ELI40:EMG40"/>
    <mergeCell ref="EMH40:ENF40"/>
    <mergeCell ref="ENG40:EOE40"/>
    <mergeCell ref="EOF40:EPD40"/>
    <mergeCell ref="EPE40:EQC40"/>
    <mergeCell ref="EGN40:EHL40"/>
    <mergeCell ref="EHM40:EIK40"/>
    <mergeCell ref="EIL40:EJJ40"/>
    <mergeCell ref="EJK40:EKI40"/>
    <mergeCell ref="EKJ40:ELH40"/>
    <mergeCell ref="EBS40:ECQ40"/>
    <mergeCell ref="ECR40:EDP40"/>
    <mergeCell ref="EDQ40:EEO40"/>
    <mergeCell ref="EEP40:EFN40"/>
    <mergeCell ref="EFO40:EGM40"/>
    <mergeCell ref="DWX40:DXV40"/>
    <mergeCell ref="DXW40:DYU40"/>
    <mergeCell ref="DYV40:DZT40"/>
    <mergeCell ref="DZU40:EAS40"/>
    <mergeCell ref="EAT40:EBR40"/>
    <mergeCell ref="DSC40:DTA40"/>
    <mergeCell ref="DTB40:DTZ40"/>
    <mergeCell ref="DUA40:DUY40"/>
    <mergeCell ref="DUZ40:DVX40"/>
    <mergeCell ref="DVY40:DWW40"/>
    <mergeCell ref="DNH40:DOF40"/>
    <mergeCell ref="DOG40:DPE40"/>
    <mergeCell ref="DPF40:DQD40"/>
    <mergeCell ref="DQE40:DRC40"/>
    <mergeCell ref="DRD40:DSB40"/>
    <mergeCell ref="DIM40:DJK40"/>
    <mergeCell ref="DJL40:DKJ40"/>
    <mergeCell ref="DKK40:DLI40"/>
    <mergeCell ref="DLJ40:DMH40"/>
    <mergeCell ref="DMI40:DNG40"/>
    <mergeCell ref="DDR40:DEP40"/>
    <mergeCell ref="DEQ40:DFO40"/>
    <mergeCell ref="DFP40:DGN40"/>
    <mergeCell ref="DGO40:DHM40"/>
    <mergeCell ref="DHN40:DIL40"/>
    <mergeCell ref="CYW40:CZU40"/>
    <mergeCell ref="CZV40:DAT40"/>
    <mergeCell ref="DAU40:DBS40"/>
    <mergeCell ref="DBT40:DCR40"/>
    <mergeCell ref="DCS40:DDQ40"/>
    <mergeCell ref="CUB40:CUZ40"/>
    <mergeCell ref="CVA40:CVY40"/>
    <mergeCell ref="CVZ40:CWX40"/>
    <mergeCell ref="CWY40:CXW40"/>
    <mergeCell ref="CXX40:CYV40"/>
    <mergeCell ref="CPG40:CQE40"/>
    <mergeCell ref="CQF40:CRD40"/>
    <mergeCell ref="CRE40:CSC40"/>
    <mergeCell ref="CSD40:CTB40"/>
    <mergeCell ref="CTC40:CUA40"/>
    <mergeCell ref="CKL40:CLJ40"/>
    <mergeCell ref="CLK40:CMI40"/>
    <mergeCell ref="CMJ40:CNH40"/>
    <mergeCell ref="CNI40:COG40"/>
    <mergeCell ref="COH40:CPF40"/>
    <mergeCell ref="CFQ40:CGO40"/>
    <mergeCell ref="CGP40:CHN40"/>
    <mergeCell ref="CHO40:CIM40"/>
    <mergeCell ref="CIN40:CJL40"/>
    <mergeCell ref="CJM40:CKK40"/>
    <mergeCell ref="CAV40:CBT40"/>
    <mergeCell ref="CBU40:CCS40"/>
    <mergeCell ref="CCT40:CDR40"/>
    <mergeCell ref="CDS40:CEQ40"/>
    <mergeCell ref="CER40:CFP40"/>
    <mergeCell ref="BWA40:BWY40"/>
    <mergeCell ref="BWZ40:BXX40"/>
    <mergeCell ref="BXY40:BYW40"/>
    <mergeCell ref="BYX40:BZV40"/>
    <mergeCell ref="BZW40:CAU40"/>
    <mergeCell ref="BRF40:BSD40"/>
    <mergeCell ref="BSE40:BTC40"/>
    <mergeCell ref="BTD40:BUB40"/>
    <mergeCell ref="BUC40:BVA40"/>
    <mergeCell ref="BVB40:BVZ40"/>
    <mergeCell ref="BMK40:BNI40"/>
    <mergeCell ref="BNJ40:BOH40"/>
    <mergeCell ref="BOI40:BPG40"/>
    <mergeCell ref="BPH40:BQF40"/>
    <mergeCell ref="BQG40:BRE40"/>
    <mergeCell ref="BHP40:BIN40"/>
    <mergeCell ref="BIO40:BJM40"/>
    <mergeCell ref="BJN40:BKL40"/>
    <mergeCell ref="BKM40:BLK40"/>
    <mergeCell ref="BLL40:BMJ40"/>
    <mergeCell ref="BCU40:BDS40"/>
    <mergeCell ref="BDT40:BER40"/>
    <mergeCell ref="BES40:BFQ40"/>
    <mergeCell ref="BFR40:BGP40"/>
    <mergeCell ref="BGQ40:BHO40"/>
    <mergeCell ref="AXZ40:AYX40"/>
    <mergeCell ref="AYY40:AZW40"/>
    <mergeCell ref="AZX40:BAV40"/>
    <mergeCell ref="BAW40:BBU40"/>
    <mergeCell ref="BBV40:BCT40"/>
    <mergeCell ref="ATE40:AUC40"/>
    <mergeCell ref="AUD40:AVB40"/>
    <mergeCell ref="AVC40:AWA40"/>
    <mergeCell ref="AWB40:AWZ40"/>
    <mergeCell ref="AXA40:AXY40"/>
    <mergeCell ref="AOJ40:APH40"/>
    <mergeCell ref="API40:AQG40"/>
    <mergeCell ref="AQH40:ARF40"/>
    <mergeCell ref="ARG40:ASE40"/>
    <mergeCell ref="ASF40:ATD40"/>
    <mergeCell ref="AJO40:AKM40"/>
    <mergeCell ref="AKN40:ALL40"/>
    <mergeCell ref="ALM40:AMK40"/>
    <mergeCell ref="AML40:ANJ40"/>
    <mergeCell ref="ANK40:AOI40"/>
    <mergeCell ref="AET40:AFR40"/>
    <mergeCell ref="AFS40:AGQ40"/>
    <mergeCell ref="AGR40:AHP40"/>
    <mergeCell ref="AHQ40:AIO40"/>
    <mergeCell ref="AIP40:AJN40"/>
    <mergeCell ref="ZY40:AAW40"/>
    <mergeCell ref="AAX40:ABV40"/>
    <mergeCell ref="ABW40:ACU40"/>
    <mergeCell ref="ACV40:ADT40"/>
    <mergeCell ref="ADU40:AES40"/>
    <mergeCell ref="VD40:WB40"/>
    <mergeCell ref="WC40:XA40"/>
    <mergeCell ref="XB40:XZ40"/>
    <mergeCell ref="YA40:YY40"/>
    <mergeCell ref="YZ40:ZX40"/>
    <mergeCell ref="QI40:RG40"/>
    <mergeCell ref="RH40:SF40"/>
    <mergeCell ref="SG40:TE40"/>
    <mergeCell ref="TF40:UD40"/>
    <mergeCell ref="UE40:VC40"/>
    <mergeCell ref="LN40:ML40"/>
    <mergeCell ref="MM40:NK40"/>
    <mergeCell ref="NL40:OJ40"/>
    <mergeCell ref="OK40:PI40"/>
    <mergeCell ref="PJ40:QH40"/>
    <mergeCell ref="GS40:HQ40"/>
    <mergeCell ref="HR40:IP40"/>
    <mergeCell ref="IQ40:JO40"/>
    <mergeCell ref="JP40:KN40"/>
    <mergeCell ref="KO40:LM40"/>
    <mergeCell ref="BX40:CV40"/>
    <mergeCell ref="CW40:DU40"/>
    <mergeCell ref="DV40:ET40"/>
    <mergeCell ref="EU40:FS40"/>
    <mergeCell ref="FT40:GR40"/>
    <mergeCell ref="A1:Y1"/>
    <mergeCell ref="A40:Y40"/>
    <mergeCell ref="Z40:AX40"/>
    <mergeCell ref="AY40:BW40"/>
    <mergeCell ref="C75:C76"/>
    <mergeCell ref="D75:D76"/>
    <mergeCell ref="K66:K67"/>
    <mergeCell ref="L66:L67"/>
    <mergeCell ref="O66:O67"/>
    <mergeCell ref="G75:G76"/>
    <mergeCell ref="K75:K76"/>
    <mergeCell ref="L75:L76"/>
    <mergeCell ref="H75:H76"/>
    <mergeCell ref="P36:P37"/>
    <mergeCell ref="J60:M61"/>
    <mergeCell ref="N60:Q61"/>
    <mergeCell ref="F69:I70"/>
    <mergeCell ref="B69:E70"/>
    <mergeCell ref="O48:O49"/>
    <mergeCell ref="P48:P49"/>
    <mergeCell ref="O57:O58"/>
    <mergeCell ref="P57:P58"/>
    <mergeCell ref="C66:C67"/>
    <mergeCell ref="P66:P67"/>
    <mergeCell ref="N3:Q4"/>
    <mergeCell ref="N12:Q13"/>
    <mergeCell ref="B21:E22"/>
    <mergeCell ref="F21:I22"/>
    <mergeCell ref="J21:M22"/>
    <mergeCell ref="O9:O10"/>
    <mergeCell ref="O18:O19"/>
    <mergeCell ref="S3:Y3"/>
    <mergeCell ref="O36:O37"/>
    <mergeCell ref="C36:C37"/>
    <mergeCell ref="F30:I31"/>
    <mergeCell ref="C27:C28"/>
    <mergeCell ref="J30:M31"/>
    <mergeCell ref="P27:P28"/>
    <mergeCell ref="G27:G28"/>
    <mergeCell ref="D27:D28"/>
    <mergeCell ref="H27:H28"/>
    <mergeCell ref="L27:L28"/>
    <mergeCell ref="K27:K28"/>
    <mergeCell ref="J69:M70"/>
    <mergeCell ref="P9:P10"/>
    <mergeCell ref="P18:P19"/>
    <mergeCell ref="N21:Q22"/>
    <mergeCell ref="K36:K37"/>
    <mergeCell ref="L36:L37"/>
    <mergeCell ref="H36:H37"/>
    <mergeCell ref="D36:D37"/>
    <mergeCell ref="G36:G37"/>
    <mergeCell ref="O27:O28"/>
    <mergeCell ref="N42:Q43"/>
    <mergeCell ref="N51:Q52"/>
    <mergeCell ref="B30:E31"/>
    <mergeCell ref="B60:E61"/>
    <mergeCell ref="F60:I61"/>
    <mergeCell ref="D66:D67"/>
    <mergeCell ref="G66:G67"/>
    <mergeCell ref="H66:H67"/>
  </mergeCells>
  <conditionalFormatting sqref="D24">
    <cfRule type="dataBar" priority="72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{AAFF2AC1-6F35-4DBA-9FDF-F03316F1781F}</x14:id>
        </ext>
      </extLst>
    </cfRule>
  </conditionalFormatting>
  <conditionalFormatting sqref="D25">
    <cfRule type="dataBar" priority="7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{54567BD5-DA7E-4164-9C6F-A982A3947A62}</x14:id>
        </ext>
      </extLst>
    </cfRule>
  </conditionalFormatting>
  <conditionalFormatting sqref="D33">
    <cfRule type="dataBar" priority="63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{FF11B14F-74ED-491D-BAAA-00E2DF84B291}</x14:id>
        </ext>
      </extLst>
    </cfRule>
  </conditionalFormatting>
  <conditionalFormatting sqref="D34">
    <cfRule type="dataBar" priority="6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{C99B9BD5-997F-4A7D-BA61-BBFA2E197C77}</x14:id>
        </ext>
      </extLst>
    </cfRule>
  </conditionalFormatting>
  <conditionalFormatting sqref="D63">
    <cfRule type="dataBar" priority="39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{F88358AD-34FA-417F-B7D4-1AD2F2369744}</x14:id>
        </ext>
      </extLst>
    </cfRule>
  </conditionalFormatting>
  <conditionalFormatting sqref="D64"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{DB1DC851-1A18-4D9C-ABF0-2982AEAB7A4A}</x14:id>
        </ext>
      </extLst>
    </cfRule>
  </conditionalFormatting>
  <conditionalFormatting sqref="D72">
    <cfRule type="dataBar" priority="33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{A72F776E-69B1-4174-870F-AB963B996CD0}</x14:id>
        </ext>
      </extLst>
    </cfRule>
  </conditionalFormatting>
  <conditionalFormatting sqref="D73">
    <cfRule type="dataBar" priority="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{FFDA355E-ADBF-4EA2-AAA2-9570482E8313}</x14:id>
        </ext>
      </extLst>
    </cfRule>
  </conditionalFormatting>
  <conditionalFormatting sqref="H24">
    <cfRule type="dataBar" priority="69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{5892DAD4-4B4B-4F11-90AB-FB638E40D6AE}</x14:id>
        </ext>
      </extLst>
    </cfRule>
  </conditionalFormatting>
  <conditionalFormatting sqref="H25">
    <cfRule type="dataBar" priority="6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{4D4F656D-8B72-454D-98B1-DBD284D15FC5}</x14:id>
        </ext>
      </extLst>
    </cfRule>
  </conditionalFormatting>
  <conditionalFormatting sqref="H33">
    <cfRule type="dataBar" priority="66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{0D84B491-197D-4A35-838F-EE00ED35D6B2}</x14:id>
        </ext>
      </extLst>
    </cfRule>
  </conditionalFormatting>
  <conditionalFormatting sqref="H34">
    <cfRule type="dataBar" priority="6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{7E464E6E-C9FD-4539-AC61-A0723CE80F2C}</x14:id>
        </ext>
      </extLst>
    </cfRule>
  </conditionalFormatting>
  <conditionalFormatting sqref="H63">
    <cfRule type="dataBar" priority="36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{F18DCBC4-D959-45B3-B7FA-DD37302222B1}</x14:id>
        </ext>
      </extLst>
    </cfRule>
  </conditionalFormatting>
  <conditionalFormatting sqref="H64"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{9E6A802A-D024-4424-8878-4A2FD2353C04}</x14:id>
        </ext>
      </extLst>
    </cfRule>
  </conditionalFormatting>
  <conditionalFormatting sqref="H72">
    <cfRule type="dataBar" priority="30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{26F6E5C2-4182-4F1E-86F2-B3C56B0AE173}</x14:id>
        </ext>
      </extLst>
    </cfRule>
  </conditionalFormatting>
  <conditionalFormatting sqref="H73"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{823AB9A5-0DE4-498B-B9CA-739BEF110D45}</x14:id>
        </ext>
      </extLst>
    </cfRule>
  </conditionalFormatting>
  <conditionalFormatting sqref="L24">
    <cfRule type="dataBar" priority="57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{EB0323B7-4C49-4C11-87C5-A70D3F378053}</x14:id>
        </ext>
      </extLst>
    </cfRule>
  </conditionalFormatting>
  <conditionalFormatting sqref="L25"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{154D4E0B-1562-4841-93D7-66DDC5C96348}</x14:id>
        </ext>
      </extLst>
    </cfRule>
  </conditionalFormatting>
  <conditionalFormatting sqref="L33">
    <cfRule type="dataBar" priority="10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{DC468A77-4499-4EA3-8DC7-5E83EE08DA1A}</x14:id>
        </ext>
      </extLst>
    </cfRule>
  </conditionalFormatting>
  <conditionalFormatting sqref="L34">
    <cfRule type="dataBar" priority="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{A0EBA19A-5A93-41DB-BEB3-C2A78B6A8875}</x14:id>
        </ext>
      </extLst>
    </cfRule>
  </conditionalFormatting>
  <conditionalFormatting sqref="L63">
    <cfRule type="dataBar" priority="27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{DB2043C1-48AE-428E-8BB7-7D4D081E9429}</x14:id>
        </ext>
      </extLst>
    </cfRule>
  </conditionalFormatting>
  <conditionalFormatting sqref="L64">
    <cfRule type="dataBar" priority="2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{14F6EB78-AF0A-4578-ACFD-8C776C728B42}</x14:id>
        </ext>
      </extLst>
    </cfRule>
  </conditionalFormatting>
  <conditionalFormatting sqref="L72">
    <cfRule type="dataBar" priority="4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{0779092A-8C84-417B-B98D-0F9EF3634307}</x14:id>
        </ext>
      </extLst>
    </cfRule>
  </conditionalFormatting>
  <conditionalFormatting sqref="L73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{BB3CA111-00F0-4EB2-BBF4-40B99006B568}</x14:id>
        </ext>
      </extLst>
    </cfRule>
  </conditionalFormatting>
  <conditionalFormatting sqref="P6">
    <cfRule type="dataBar" priority="78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{A671A461-A765-48C2-B094-AC5ADD97801B}</x14:id>
        </ext>
      </extLst>
    </cfRule>
  </conditionalFormatting>
  <conditionalFormatting sqref="P7"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{22CD300A-91BA-4E21-BBCA-FB5E230778A7}</x14:id>
        </ext>
      </extLst>
    </cfRule>
  </conditionalFormatting>
  <conditionalFormatting sqref="P15">
    <cfRule type="dataBar" priority="7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{2C7152C5-46A8-4F41-B599-450172062F66}</x14:id>
        </ext>
      </extLst>
    </cfRule>
  </conditionalFormatting>
  <conditionalFormatting sqref="P16">
    <cfRule type="dataBar" priority="7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{BE318046-5A37-4FE7-A26C-2FA0D727F538}</x14:id>
        </ext>
      </extLst>
    </cfRule>
  </conditionalFormatting>
  <conditionalFormatting sqref="P24">
    <cfRule type="dataBar" priority="54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{49EB3108-3D94-4F94-B96C-B26D5623F50F}</x14:id>
        </ext>
      </extLst>
    </cfRule>
  </conditionalFormatting>
  <conditionalFormatting sqref="P25"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{12F50864-98CE-49FE-B3FB-A4EFDA4EB0D4}</x14:id>
        </ext>
      </extLst>
    </cfRule>
  </conditionalFormatting>
  <conditionalFormatting sqref="P33">
    <cfRule type="dataBar" priority="13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{98AE582F-2148-4897-924F-3C6D9C5B1744}</x14:id>
        </ext>
      </extLst>
    </cfRule>
  </conditionalFormatting>
  <conditionalFormatting sqref="P34">
    <cfRule type="dataBar" priority="1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{D78CED84-9DB0-4248-8B95-CA7E17096DFC}</x14:id>
        </ext>
      </extLst>
    </cfRule>
  </conditionalFormatting>
  <conditionalFormatting sqref="P45">
    <cfRule type="dataBar" priority="4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{23CA19FA-97D5-438D-8201-387744401CA7}</x14:id>
        </ext>
      </extLst>
    </cfRule>
  </conditionalFormatting>
  <conditionalFormatting sqref="P46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{9C46FA9F-05F9-4677-89E2-8CA31DCB8B6B}</x14:id>
        </ext>
      </extLst>
    </cfRule>
  </conditionalFormatting>
  <conditionalFormatting sqref="P54">
    <cfRule type="dataBar" priority="42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{E9705ECB-2CE5-44F3-8E23-CB10B32ED5A9}</x14:id>
        </ext>
      </extLst>
    </cfRule>
  </conditionalFormatting>
  <conditionalFormatting sqref="P55"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{684D3407-4161-4006-A0E8-B99751A4FD9D}</x14:id>
        </ext>
      </extLst>
    </cfRule>
  </conditionalFormatting>
  <conditionalFormatting sqref="P63">
    <cfRule type="dataBar" priority="24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{9A4B1905-9ABB-4C9F-9306-40DC2E54A025}</x14:id>
        </ext>
      </extLst>
    </cfRule>
  </conditionalFormatting>
  <conditionalFormatting sqref="P64">
    <cfRule type="dataBar" priority="2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{1F58FBCD-A999-4179-A64E-A430C9539C19}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FF2AC1-6F35-4DBA-9FDF-F03316F178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D24</xm:sqref>
        </x14:conditionalFormatting>
        <x14:conditionalFormatting xmlns:xm="http://schemas.microsoft.com/office/excel/2006/main">
          <x14:cfRule type="dataBar" id="{54567BD5-DA7E-4164-9C6F-A982A3947A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D25</xm:sqref>
        </x14:conditionalFormatting>
        <x14:conditionalFormatting xmlns:xm="http://schemas.microsoft.com/office/excel/2006/main">
          <x14:cfRule type="dataBar" id="{FF11B14F-74ED-491D-BAAA-00E2DF84B2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D33</xm:sqref>
        </x14:conditionalFormatting>
        <x14:conditionalFormatting xmlns:xm="http://schemas.microsoft.com/office/excel/2006/main">
          <x14:cfRule type="dataBar" id="{C99B9BD5-997F-4A7D-BA61-BBFA2E197C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D34</xm:sqref>
        </x14:conditionalFormatting>
        <x14:conditionalFormatting xmlns:xm="http://schemas.microsoft.com/office/excel/2006/main">
          <x14:cfRule type="dataBar" id="{F88358AD-34FA-417F-B7D4-1AD2F23697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D63</xm:sqref>
        </x14:conditionalFormatting>
        <x14:conditionalFormatting xmlns:xm="http://schemas.microsoft.com/office/excel/2006/main">
          <x14:cfRule type="dataBar" id="{DB1DC851-1A18-4D9C-ABF0-2982AEAB7A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D64</xm:sqref>
        </x14:conditionalFormatting>
        <x14:conditionalFormatting xmlns:xm="http://schemas.microsoft.com/office/excel/2006/main">
          <x14:cfRule type="dataBar" id="{A72F776E-69B1-4174-870F-AB963B996C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D72</xm:sqref>
        </x14:conditionalFormatting>
        <x14:conditionalFormatting xmlns:xm="http://schemas.microsoft.com/office/excel/2006/main">
          <x14:cfRule type="dataBar" id="{FFDA355E-ADBF-4EA2-AAA2-9570482E83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D73</xm:sqref>
        </x14:conditionalFormatting>
        <x14:conditionalFormatting xmlns:xm="http://schemas.microsoft.com/office/excel/2006/main">
          <x14:cfRule type="dataBar" id="{5892DAD4-4B4B-4F11-90AB-FB638E40D6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4D4F656D-8B72-454D-98B1-DBD284D15F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0D84B491-197D-4A35-838F-EE00ED35D6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H33</xm:sqref>
        </x14:conditionalFormatting>
        <x14:conditionalFormatting xmlns:xm="http://schemas.microsoft.com/office/excel/2006/main">
          <x14:cfRule type="dataBar" id="{7E464E6E-C9FD-4539-AC61-A0723CE80F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H34</xm:sqref>
        </x14:conditionalFormatting>
        <x14:conditionalFormatting xmlns:xm="http://schemas.microsoft.com/office/excel/2006/main">
          <x14:cfRule type="dataBar" id="{F18DCBC4-D959-45B3-B7FA-DD37302222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H63</xm:sqref>
        </x14:conditionalFormatting>
        <x14:conditionalFormatting xmlns:xm="http://schemas.microsoft.com/office/excel/2006/main">
          <x14:cfRule type="dataBar" id="{9E6A802A-D024-4424-8878-4A2FD2353C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H64</xm:sqref>
        </x14:conditionalFormatting>
        <x14:conditionalFormatting xmlns:xm="http://schemas.microsoft.com/office/excel/2006/main">
          <x14:cfRule type="dataBar" id="{26F6E5C2-4182-4F1E-86F2-B3C56B0AE1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H72</xm:sqref>
        </x14:conditionalFormatting>
        <x14:conditionalFormatting xmlns:xm="http://schemas.microsoft.com/office/excel/2006/main">
          <x14:cfRule type="dataBar" id="{823AB9A5-0DE4-498B-B9CA-739BEF110D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H73</xm:sqref>
        </x14:conditionalFormatting>
        <x14:conditionalFormatting xmlns:xm="http://schemas.microsoft.com/office/excel/2006/main">
          <x14:cfRule type="dataBar" id="{EB0323B7-4C49-4C11-87C5-A70D3F3780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54D4E0B-1562-4841-93D7-66DDC5C963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C468A77-4499-4EA3-8DC7-5E83EE08DA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0EBA19A-5A93-41DB-BEB3-C2A78B6A88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DB2043C1-48AE-428E-8BB7-7D4D081E94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L63</xm:sqref>
        </x14:conditionalFormatting>
        <x14:conditionalFormatting xmlns:xm="http://schemas.microsoft.com/office/excel/2006/main">
          <x14:cfRule type="dataBar" id="{14F6EB78-AF0A-4578-ACFD-8C776C728B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L64</xm:sqref>
        </x14:conditionalFormatting>
        <x14:conditionalFormatting xmlns:xm="http://schemas.microsoft.com/office/excel/2006/main">
          <x14:cfRule type="dataBar" id="{0779092A-8C84-417B-B98D-0F9EF36343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L72</xm:sqref>
        </x14:conditionalFormatting>
        <x14:conditionalFormatting xmlns:xm="http://schemas.microsoft.com/office/excel/2006/main">
          <x14:cfRule type="dataBar" id="{BB3CA111-00F0-4EB2-BBF4-40B99006B5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L73</xm:sqref>
        </x14:conditionalFormatting>
        <x14:conditionalFormatting xmlns:xm="http://schemas.microsoft.com/office/excel/2006/main">
          <x14:cfRule type="dataBar" id="{A671A461-A765-48C2-B094-AC5ADD9780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P6</xm:sqref>
        </x14:conditionalFormatting>
        <x14:conditionalFormatting xmlns:xm="http://schemas.microsoft.com/office/excel/2006/main">
          <x14:cfRule type="dataBar" id="{22CD300A-91BA-4E21-BBCA-FB5E230778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P7</xm:sqref>
        </x14:conditionalFormatting>
        <x14:conditionalFormatting xmlns:xm="http://schemas.microsoft.com/office/excel/2006/main">
          <x14:cfRule type="dataBar" id="{2C7152C5-46A8-4F41-B599-450172062F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P15</xm:sqref>
        </x14:conditionalFormatting>
        <x14:conditionalFormatting xmlns:xm="http://schemas.microsoft.com/office/excel/2006/main">
          <x14:cfRule type="dataBar" id="{BE318046-5A37-4FE7-A26C-2FA0D727F5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P16</xm:sqref>
        </x14:conditionalFormatting>
        <x14:conditionalFormatting xmlns:xm="http://schemas.microsoft.com/office/excel/2006/main">
          <x14:cfRule type="dataBar" id="{49EB3108-3D94-4F94-B96C-B26D5623F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12F50864-98CE-49FE-B3FB-A4EFDA4EB0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P25</xm:sqref>
        </x14:conditionalFormatting>
        <x14:conditionalFormatting xmlns:xm="http://schemas.microsoft.com/office/excel/2006/main">
          <x14:cfRule type="dataBar" id="{98AE582F-2148-4897-924F-3C6D9C5B17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P33</xm:sqref>
        </x14:conditionalFormatting>
        <x14:conditionalFormatting xmlns:xm="http://schemas.microsoft.com/office/excel/2006/main">
          <x14:cfRule type="dataBar" id="{D78CED84-9DB0-4248-8B95-CA7E17096D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P34</xm:sqref>
        </x14:conditionalFormatting>
        <x14:conditionalFormatting xmlns:xm="http://schemas.microsoft.com/office/excel/2006/main">
          <x14:cfRule type="dataBar" id="{23CA19FA-97D5-438D-8201-387744401C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P45</xm:sqref>
        </x14:conditionalFormatting>
        <x14:conditionalFormatting xmlns:xm="http://schemas.microsoft.com/office/excel/2006/main">
          <x14:cfRule type="dataBar" id="{9C46FA9F-05F9-4677-89E2-8CA31DCB8B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P46</xm:sqref>
        </x14:conditionalFormatting>
        <x14:conditionalFormatting xmlns:xm="http://schemas.microsoft.com/office/excel/2006/main">
          <x14:cfRule type="dataBar" id="{E9705ECB-2CE5-44F3-8E23-CB10B32ED5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P54</xm:sqref>
        </x14:conditionalFormatting>
        <x14:conditionalFormatting xmlns:xm="http://schemas.microsoft.com/office/excel/2006/main">
          <x14:cfRule type="dataBar" id="{684D3407-4161-4006-A0E8-B99751A4FD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P55</xm:sqref>
        </x14:conditionalFormatting>
        <x14:conditionalFormatting xmlns:xm="http://schemas.microsoft.com/office/excel/2006/main">
          <x14:cfRule type="dataBar" id="{9A4B1905-9ABB-4C9F-9306-40DC2E54A0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P63</xm:sqref>
        </x14:conditionalFormatting>
        <x14:conditionalFormatting xmlns:xm="http://schemas.microsoft.com/office/excel/2006/main">
          <x14:cfRule type="dataBar" id="{1F58FBCD-A999-4179-A64E-A430C9539C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P64</xm:sqref>
        </x14:conditionalFormatting>
        <x14:conditionalFormatting xmlns:xm="http://schemas.microsoft.com/office/excel/2006/main">
          <x14:cfRule type="iconSet" priority="70" id="{42F85DC8-FBFD-4AB0-AAD7-A20832693219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D26</xm:sqref>
        </x14:conditionalFormatting>
        <x14:conditionalFormatting xmlns:xm="http://schemas.microsoft.com/office/excel/2006/main">
          <x14:cfRule type="iconSet" priority="61" id="{097E491A-7B7D-4B73-87CE-C445A1B2BABF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D35</xm:sqref>
        </x14:conditionalFormatting>
        <x14:conditionalFormatting xmlns:xm="http://schemas.microsoft.com/office/excel/2006/main">
          <x14:cfRule type="iconSet" priority="37" id="{64B83658-453F-462E-A8D8-53709E6D0123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D65</xm:sqref>
        </x14:conditionalFormatting>
        <x14:conditionalFormatting xmlns:xm="http://schemas.microsoft.com/office/excel/2006/main">
          <x14:cfRule type="iconSet" priority="31" id="{FD8DF707-759C-4C6E-87A9-1F30A5C358C8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D74</xm:sqref>
        </x14:conditionalFormatting>
        <x14:conditionalFormatting xmlns:xm="http://schemas.microsoft.com/office/excel/2006/main">
          <x14:cfRule type="iconSet" priority="14" id="{3DBF2790-DF7C-4F12-86EA-9C2CFBE6F76F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D52:E52</xm:sqref>
        </x14:conditionalFormatting>
        <x14:conditionalFormatting xmlns:xm="http://schemas.microsoft.com/office/excel/2006/main">
          <x14:cfRule type="iconSet" priority="15" id="{30B6CE66-E362-481A-990A-C419EA036F38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E13:F13 D14</xm:sqref>
        </x14:conditionalFormatting>
        <x14:conditionalFormatting xmlns:xm="http://schemas.microsoft.com/office/excel/2006/main">
          <x14:cfRule type="iconSet" priority="1" id="{9DEE4C99-6B19-4A8D-81B0-6EDCC1D38BAF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F52</xm:sqref>
        </x14:conditionalFormatting>
        <x14:conditionalFormatting xmlns:xm="http://schemas.microsoft.com/office/excel/2006/main">
          <x14:cfRule type="iconSet" priority="67" id="{675326EA-2AAD-4107-A7FF-C50530AE41B4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H26</xm:sqref>
        </x14:conditionalFormatting>
        <x14:conditionalFormatting xmlns:xm="http://schemas.microsoft.com/office/excel/2006/main">
          <x14:cfRule type="iconSet" priority="64" id="{915F5136-DA3E-467E-B2E9-B722215DFCDF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H35</xm:sqref>
        </x14:conditionalFormatting>
        <x14:conditionalFormatting xmlns:xm="http://schemas.microsoft.com/office/excel/2006/main">
          <x14:cfRule type="iconSet" priority="34" id="{E05C8F47-DBAF-44B6-B1A6-7C85EEC07A06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H65</xm:sqref>
        </x14:conditionalFormatting>
        <x14:conditionalFormatting xmlns:xm="http://schemas.microsoft.com/office/excel/2006/main">
          <x14:cfRule type="iconSet" priority="28" id="{A17BE87B-E308-4B1C-857B-949252D52056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H74</xm:sqref>
        </x14:conditionalFormatting>
        <x14:conditionalFormatting xmlns:xm="http://schemas.microsoft.com/office/excel/2006/main">
          <x14:cfRule type="iconSet" priority="55" id="{97313A4C-9B3F-40EF-8071-5CF0F082CE91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L26</xm:sqref>
        </x14:conditionalFormatting>
        <x14:conditionalFormatting xmlns:xm="http://schemas.microsoft.com/office/excel/2006/main">
          <x14:cfRule type="iconSet" priority="8" id="{A6C53536-5A2E-4D23-B436-ACFF617D0FEA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L35</xm:sqref>
        </x14:conditionalFormatting>
        <x14:conditionalFormatting xmlns:xm="http://schemas.microsoft.com/office/excel/2006/main">
          <x14:cfRule type="iconSet" priority="25" id="{96BE6A1A-0C19-411E-9A38-69AF9930B73B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L65</xm:sqref>
        </x14:conditionalFormatting>
        <x14:conditionalFormatting xmlns:xm="http://schemas.microsoft.com/office/excel/2006/main">
          <x14:cfRule type="iconSet" priority="2" id="{07C8E548-3564-401C-AC99-CAC962784BF9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L74</xm:sqref>
        </x14:conditionalFormatting>
        <x14:conditionalFormatting xmlns:xm="http://schemas.microsoft.com/office/excel/2006/main">
          <x14:cfRule type="iconSet" priority="76" id="{AD699940-0831-44BE-9BED-E3B7409701E3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P8</xm:sqref>
        </x14:conditionalFormatting>
        <x14:conditionalFormatting xmlns:xm="http://schemas.microsoft.com/office/excel/2006/main">
          <x14:cfRule type="iconSet" priority="73" id="{62A76D60-ECC8-40AC-BA58-F0276ACC9E4F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P17</xm:sqref>
        </x14:conditionalFormatting>
        <x14:conditionalFormatting xmlns:xm="http://schemas.microsoft.com/office/excel/2006/main">
          <x14:cfRule type="iconSet" priority="52" id="{058015B4-15C4-4F0C-ABDB-D9DD4A6DAD0D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P26</xm:sqref>
        </x14:conditionalFormatting>
        <x14:conditionalFormatting xmlns:xm="http://schemas.microsoft.com/office/excel/2006/main">
          <x14:cfRule type="iconSet" priority="11" id="{7A7E6A16-98F7-41A4-877B-BDE95897F4EF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P35</xm:sqref>
        </x14:conditionalFormatting>
        <x14:conditionalFormatting xmlns:xm="http://schemas.microsoft.com/office/excel/2006/main">
          <x14:cfRule type="iconSet" priority="43" id="{0150A2C1-C117-4FAF-BD24-EF3767F2F37D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P47</xm:sqref>
        </x14:conditionalFormatting>
        <x14:conditionalFormatting xmlns:xm="http://schemas.microsoft.com/office/excel/2006/main">
          <x14:cfRule type="iconSet" priority="40" id="{3B2D8875-3250-4C15-BBBE-90758EF8BCF8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P56</xm:sqref>
        </x14:conditionalFormatting>
        <x14:conditionalFormatting xmlns:xm="http://schemas.microsoft.com/office/excel/2006/main">
          <x14:cfRule type="iconSet" priority="22" id="{2AE24AD8-D1BA-4B43-AC64-9A11798F1A41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P65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36E8-F3CA-48E8-8C59-164E50DB8DD7}">
  <sheetPr>
    <tabColor theme="9" tint="0.79998168889431442"/>
  </sheetPr>
  <dimension ref="A1:XFD78"/>
  <sheetViews>
    <sheetView showGridLines="0" topLeftCell="A2" zoomScale="90" zoomScaleNormal="90" workbookViewId="0">
      <selection activeCell="Q4" sqref="Q4"/>
    </sheetView>
  </sheetViews>
  <sheetFormatPr baseColWidth="10" defaultColWidth="11.5546875" defaultRowHeight="14.4" x14ac:dyDescent="0.3"/>
  <cols>
    <col min="2" max="2" width="2.6640625" customWidth="1"/>
    <col min="3" max="4" width="12.6640625" customWidth="1"/>
    <col min="5" max="6" width="2.6640625" customWidth="1"/>
    <col min="7" max="8" width="12.6640625" customWidth="1"/>
    <col min="9" max="10" width="2.6640625" customWidth="1"/>
    <col min="11" max="12" width="12.6640625" customWidth="1"/>
    <col min="13" max="14" width="2.6640625" customWidth="1"/>
    <col min="15" max="16" width="12.6640625" customWidth="1"/>
    <col min="17" max="18" width="2.6640625" customWidth="1"/>
    <col min="19" max="20" width="12.6640625" customWidth="1"/>
    <col min="21" max="21" width="2.6640625" customWidth="1"/>
    <col min="25" max="25" width="11.5546875" customWidth="1"/>
  </cols>
  <sheetData>
    <row r="1" spans="1:30" ht="14.4" customHeight="1" x14ac:dyDescent="0.3">
      <c r="A1" s="471" t="s">
        <v>233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1"/>
      <c r="W1" s="471"/>
      <c r="X1" s="471"/>
      <c r="Y1" s="471"/>
      <c r="Z1" s="471"/>
      <c r="AA1" s="471"/>
      <c r="AB1" s="471"/>
      <c r="AC1" s="471"/>
      <c r="AD1" s="471"/>
    </row>
    <row r="3" spans="1:30" ht="14.4" customHeight="1" x14ac:dyDescent="0.3">
      <c r="B3" s="91"/>
      <c r="C3" s="89"/>
      <c r="D3" s="89"/>
      <c r="E3" s="89"/>
      <c r="F3" s="91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493" t="str" vm="12">
        <f>CUBEMEMBER("ThisWorkbookDataModel","[EDTN_PQ].[N3].&amp;[0.0 Actividades preliminares]")</f>
        <v>0.0 Actividades preliminares</v>
      </c>
      <c r="S3" s="494"/>
      <c r="T3" s="494"/>
      <c r="U3" s="495"/>
      <c r="W3" s="503" t="str" vm="2">
        <f>CUBEMEMBER("ThisWorkbookDataModel","[EDTN_PQ].[N2].&amp;[Mantenimiento del Turbo Generador y Equipos Auxiliares]")</f>
        <v>Mantenimiento del Turbo Generador y Equipos Auxiliares</v>
      </c>
      <c r="X3" s="504"/>
      <c r="Y3" s="504"/>
      <c r="Z3" s="504"/>
      <c r="AA3" s="504"/>
      <c r="AB3" s="504"/>
    </row>
    <row r="4" spans="1:30" ht="14.4" customHeight="1" x14ac:dyDescent="0.3">
      <c r="B4" s="92"/>
      <c r="F4" s="92"/>
      <c r="R4" s="500"/>
      <c r="S4" s="501"/>
      <c r="T4" s="501"/>
      <c r="U4" s="502"/>
      <c r="W4" s="309" t="s">
        <v>240</v>
      </c>
      <c r="X4" s="309" t="s">
        <v>231</v>
      </c>
      <c r="Y4" s="309" t="s">
        <v>230</v>
      </c>
      <c r="Z4" s="309" t="s">
        <v>229</v>
      </c>
    </row>
    <row r="5" spans="1:30" x14ac:dyDescent="0.3">
      <c r="B5" s="92"/>
      <c r="F5" s="92"/>
      <c r="R5" s="91"/>
      <c r="S5" s="89"/>
      <c r="T5" s="89"/>
      <c r="U5" s="90"/>
      <c r="W5" s="115">
        <v>0</v>
      </c>
      <c r="X5" s="115" vm="44">
        <f>CUBEVALUE("ThisWorkbookDataModel","[Measures].[Avance plan B39 base 100 Acumulado Semanal]",SegmentaciónDeDatos_Calendario,W3)</f>
        <v>1</v>
      </c>
      <c r="Y5" s="115" vm="42">
        <f>CUBEVALUE("ThisWorkbookDataModel","[Measures].[Avance real B39 base 100 Acumulado Semanal]",SegmentaciónDeDatos_Calendario,W3)</f>
        <v>0.60061349807525821</v>
      </c>
      <c r="Z5" s="39">
        <f>Y5-X5</f>
        <v>-0.39938650192474179</v>
      </c>
    </row>
    <row r="6" spans="1:30" x14ac:dyDescent="0.3">
      <c r="B6" s="92"/>
      <c r="F6" s="92"/>
      <c r="R6" s="92"/>
      <c r="S6" s="116" t="s">
        <v>243</v>
      </c>
      <c r="T6" s="139" vm="72">
        <f>CUBEVALUE("ThisWorkbookDataModel","[Measures].[Avance Plan B39 base 100 Acumulado Semanal]",SegmentaciónDeDatos_Calendario,R3)</f>
        <v>1</v>
      </c>
      <c r="U6" s="88"/>
      <c r="W6" s="115" vm="44">
        <f>X5</f>
        <v>1</v>
      </c>
      <c r="X6" s="115">
        <f>X7-X5</f>
        <v>0</v>
      </c>
      <c r="Y6" s="115">
        <f>Y7-Y5</f>
        <v>0.39938650192474179</v>
      </c>
    </row>
    <row r="7" spans="1:30" x14ac:dyDescent="0.3">
      <c r="B7" s="92"/>
      <c r="F7" s="92"/>
      <c r="R7" s="92"/>
      <c r="S7" s="116" t="s">
        <v>244</v>
      </c>
      <c r="T7" s="139" vm="114">
        <f>CUBEVALUE("ThisWorkbookDataModel","[Measures].[Avance Real B39 base 100 Acumulado Semanal]",SegmentaciónDeDatos_Calendario,R3)</f>
        <v>1</v>
      </c>
      <c r="U7" s="88"/>
      <c r="W7" s="115">
        <v>1</v>
      </c>
      <c r="X7" s="115">
        <v>1</v>
      </c>
      <c r="Y7" s="115">
        <v>1</v>
      </c>
    </row>
    <row r="8" spans="1:30" x14ac:dyDescent="0.3">
      <c r="B8" s="92"/>
      <c r="F8" s="92"/>
      <c r="R8" s="92"/>
      <c r="S8" s="116" t="s">
        <v>245</v>
      </c>
      <c r="T8" s="139">
        <f>T7-T6</f>
        <v>0</v>
      </c>
      <c r="U8" s="88"/>
    </row>
    <row r="9" spans="1:30" x14ac:dyDescent="0.3">
      <c r="B9" s="92"/>
      <c r="F9" s="92"/>
      <c r="R9" s="92"/>
      <c r="S9" s="485" t="s">
        <v>246</v>
      </c>
      <c r="T9" s="499" vm="103">
        <f>CUBEVALUE("ThisWorkbookDataModel","[Measures].[Aporte a la Desviación B39]",SegmentaciónDeDatos_Calendario,R3)</f>
        <v>0</v>
      </c>
      <c r="U9" s="88"/>
      <c r="X9" s="310" t="s">
        <v>241</v>
      </c>
      <c r="Y9" s="310" t="s">
        <v>242</v>
      </c>
    </row>
    <row r="10" spans="1:30" x14ac:dyDescent="0.3">
      <c r="B10" s="92"/>
      <c r="F10" s="92"/>
      <c r="R10" s="92"/>
      <c r="S10" s="485"/>
      <c r="T10" s="499"/>
      <c r="U10" s="88"/>
      <c r="W10" s="311">
        <v>1</v>
      </c>
      <c r="X10" s="119">
        <v>0</v>
      </c>
      <c r="Y10" s="119">
        <v>0</v>
      </c>
    </row>
    <row r="11" spans="1:30" x14ac:dyDescent="0.3">
      <c r="B11" s="92"/>
      <c r="F11" s="92"/>
      <c r="R11" s="95"/>
      <c r="S11" s="93"/>
      <c r="T11" s="93"/>
      <c r="U11" s="94"/>
      <c r="W11" s="311">
        <v>2</v>
      </c>
      <c r="X11" s="119">
        <f>-COS(Y5*PI())</f>
        <v>0.31084944856662577</v>
      </c>
      <c r="Y11" s="119">
        <f>SIN(PI()*Y5)</f>
        <v>0.95045916289224375</v>
      </c>
    </row>
    <row r="12" spans="1:30" x14ac:dyDescent="0.3">
      <c r="B12" s="92"/>
      <c r="F12" s="92"/>
      <c r="R12" s="493" t="str" vm="13">
        <f>CUBEMEMBER("ThisWorkbookDataModel","[EDTN_PQ].[N3].&amp;[2.4 Reparación de componentes en talleres]")</f>
        <v>2.4 Reparación de componentes en talleres</v>
      </c>
      <c r="S12" s="494"/>
      <c r="T12" s="494"/>
      <c r="U12" s="495"/>
    </row>
    <row r="13" spans="1:30" x14ac:dyDescent="0.3">
      <c r="B13" s="92"/>
      <c r="F13" s="92"/>
      <c r="R13" s="500"/>
      <c r="S13" s="501"/>
      <c r="T13" s="501"/>
      <c r="U13" s="502"/>
    </row>
    <row r="14" spans="1:30" x14ac:dyDescent="0.3">
      <c r="B14" s="92"/>
      <c r="F14" s="92"/>
      <c r="R14" s="91"/>
      <c r="S14" s="89"/>
      <c r="T14" s="89"/>
      <c r="U14" s="90"/>
    </row>
    <row r="15" spans="1:30" x14ac:dyDescent="0.3">
      <c r="B15" s="92"/>
      <c r="F15" s="92"/>
      <c r="R15" s="92"/>
      <c r="S15" s="116" t="s">
        <v>243</v>
      </c>
      <c r="T15" s="139" vm="67">
        <f>CUBEVALUE("ThisWorkbookDataModel","[Measures].[Avance Plan B39 base 100 Acumulado Semanal]",SegmentaciónDeDatos_Calendario,R12)</f>
        <v>1</v>
      </c>
      <c r="U15" s="88"/>
    </row>
    <row r="16" spans="1:30" x14ac:dyDescent="0.3">
      <c r="B16" s="147"/>
      <c r="C16" s="148" t="s">
        <v>245</v>
      </c>
      <c r="D16" s="149">
        <f>Z5</f>
        <v>-0.39938650192474179</v>
      </c>
      <c r="F16" s="92"/>
      <c r="R16" s="92"/>
      <c r="S16" s="116" t="s">
        <v>244</v>
      </c>
      <c r="T16" s="139" vm="59">
        <f>CUBEVALUE("ThisWorkbookDataModel","[Measures].[Avance Real B39 base 100 Acumulado Semanal]",SegmentaciónDeDatos_Calendario,R12)</f>
        <v>0.91461538461538461</v>
      </c>
      <c r="U16" s="88"/>
    </row>
    <row r="17" spans="2:21" x14ac:dyDescent="0.3">
      <c r="B17" s="147"/>
      <c r="C17" s="148" t="s">
        <v>247</v>
      </c>
      <c r="D17" s="150" vm="51">
        <f>CUBEVALUE("ThisWorkbookDataModel","[Measures].[Aporte a la Desviación B39]",W3,SegmentaciónDeDatos_Calendario)</f>
        <v>-9.0730431212411325E-2</v>
      </c>
      <c r="F17" s="92"/>
      <c r="R17" s="92"/>
      <c r="S17" s="116" t="s">
        <v>245</v>
      </c>
      <c r="T17" s="139">
        <f>T16-T15</f>
        <v>-8.5384615384615392E-2</v>
      </c>
      <c r="U17" s="88"/>
    </row>
    <row r="18" spans="2:21" x14ac:dyDescent="0.3">
      <c r="B18" s="507" t="s">
        <v>248</v>
      </c>
      <c r="C18" s="508"/>
      <c r="D18" s="150" vm="101">
        <f>CUBEVALUE("ThisWorkbookDataModel","[Measures].[Avance Real B39 Periodo (2 sem)]",SegmentaciónDeDatos_Calendario,W3)</f>
        <v>2.546717780917529E-3</v>
      </c>
      <c r="F18" s="92"/>
      <c r="R18" s="92"/>
      <c r="S18" s="485" t="s">
        <v>246</v>
      </c>
      <c r="T18" s="499" vm="100">
        <f>CUBEVALUE("ThisWorkbookDataModel","[Measures].[Aporte a la Desviación B39]",SegmentaciónDeDatos_Calendario,R12)</f>
        <v>-3.5456837076103757E-3</v>
      </c>
      <c r="U18" s="88"/>
    </row>
    <row r="19" spans="2:21" x14ac:dyDescent="0.3">
      <c r="B19" s="92"/>
      <c r="F19" s="92"/>
      <c r="R19" s="92"/>
      <c r="S19" s="485"/>
      <c r="T19" s="499"/>
      <c r="U19" s="88"/>
    </row>
    <row r="20" spans="2:21" x14ac:dyDescent="0.3">
      <c r="B20" s="95"/>
      <c r="C20" s="93"/>
      <c r="D20" s="93"/>
      <c r="E20" s="93"/>
      <c r="F20" s="95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5"/>
      <c r="S20" s="93"/>
      <c r="T20" s="93"/>
      <c r="U20" s="94"/>
    </row>
    <row r="21" spans="2:21" ht="15" customHeight="1" x14ac:dyDescent="0.3">
      <c r="B21" s="493" t="str" vm="14">
        <f>CUBEMEMBER("ThisWorkbookDataModel","[EDTN_PQ].[N3].&amp;[2.6 Pruebas de ensayos no destructivos]")</f>
        <v>2.6 Pruebas de ensayos no destructivos</v>
      </c>
      <c r="C21" s="494"/>
      <c r="D21" s="494"/>
      <c r="E21" s="495"/>
      <c r="F21" s="493" t="str" vm="15">
        <f>CUBEMEMBER("ThisWorkbookDataModel","[EDTN_PQ].[N3].&amp;[2.7 Alineación de la turbina]")</f>
        <v>2.7 Alineación de la turbina</v>
      </c>
      <c r="G21" s="494"/>
      <c r="H21" s="494"/>
      <c r="I21" s="495"/>
      <c r="J21" s="493" t="str" vm="16">
        <f>CUBEMEMBER("ThisWorkbookDataModel","[EDTN_PQ].[N3].&amp;[2.9 Limpieza del sistema de lubricación y control]")</f>
        <v>2.9 Limpieza del sistema de lubricación y control</v>
      </c>
      <c r="K21" s="494"/>
      <c r="L21" s="494"/>
      <c r="M21" s="495"/>
      <c r="N21" s="493" t="str" vm="17">
        <f>CUBEMEMBER("ThisWorkbookDataModel","[EDTN_PQ].[N3].&amp;[2.10 Aislamiento térmico]")</f>
        <v>2.10 Aislamiento térmico</v>
      </c>
      <c r="O21" s="494"/>
      <c r="P21" s="494"/>
      <c r="Q21" s="495"/>
      <c r="R21" s="493" t="str" vm="18">
        <f>CUBEMEMBER("ThisWorkbookDataModel","[EDTN_PQ].[N3].&amp;[2.11 Inspección y pruebas eléctricas del generador]")</f>
        <v>2.11 Inspección y pruebas eléctricas del generador</v>
      </c>
      <c r="S21" s="494"/>
      <c r="T21" s="494"/>
      <c r="U21" s="495"/>
    </row>
    <row r="22" spans="2:21" x14ac:dyDescent="0.3">
      <c r="B22" s="496"/>
      <c r="C22" s="497"/>
      <c r="D22" s="497"/>
      <c r="E22" s="498"/>
      <c r="F22" s="500"/>
      <c r="G22" s="501"/>
      <c r="H22" s="501"/>
      <c r="I22" s="502"/>
      <c r="J22" s="500"/>
      <c r="K22" s="501"/>
      <c r="L22" s="501"/>
      <c r="M22" s="502"/>
      <c r="N22" s="500"/>
      <c r="O22" s="501"/>
      <c r="P22" s="501"/>
      <c r="Q22" s="502"/>
      <c r="R22" s="500"/>
      <c r="S22" s="501"/>
      <c r="T22" s="501"/>
      <c r="U22" s="502"/>
    </row>
    <row r="23" spans="2:21" x14ac:dyDescent="0.3">
      <c r="B23" s="91"/>
      <c r="C23" s="89"/>
      <c r="D23" s="89"/>
      <c r="E23" s="90"/>
      <c r="F23" s="91"/>
      <c r="G23" s="89"/>
      <c r="H23" s="89"/>
      <c r="I23" s="90"/>
      <c r="J23" s="91"/>
      <c r="K23" s="89"/>
      <c r="L23" s="89"/>
      <c r="M23" s="90"/>
      <c r="N23" s="91"/>
      <c r="O23" s="89"/>
      <c r="P23" s="89"/>
      <c r="Q23" s="90"/>
      <c r="R23" s="91"/>
      <c r="S23" s="89"/>
      <c r="T23" s="89"/>
      <c r="U23" s="90"/>
    </row>
    <row r="24" spans="2:21" x14ac:dyDescent="0.3">
      <c r="B24" s="92"/>
      <c r="C24" s="116" t="s">
        <v>243</v>
      </c>
      <c r="D24" s="139" vm="96">
        <f>CUBEVALUE("ThisWorkbookDataModel","[Measures].[Avance Plan B39 base 100 Acumulado Semanal]",SegmentaciónDeDatos_Calendario,B21)</f>
        <v>1</v>
      </c>
      <c r="E24" s="88"/>
      <c r="F24" s="92"/>
      <c r="G24" s="116" t="s">
        <v>243</v>
      </c>
      <c r="H24" s="139" vm="92">
        <f>CUBEVALUE("ThisWorkbookDataModel","[Measures].[Avance Plan B39 base 100 Acumulado Semanal]",SegmentaciónDeDatos_Calendario,F21)</f>
        <v>1</v>
      </c>
      <c r="I24" s="88"/>
      <c r="J24" s="92"/>
      <c r="K24" s="116" t="s">
        <v>243</v>
      </c>
      <c r="L24" s="139" vm="64">
        <f>CUBEVALUE("ThisWorkbookDataModel","[Measures].[Avance Plan B39 base 100 Acumulado Semanal]",SegmentaciónDeDatos_Calendario,J21)</f>
        <v>1</v>
      </c>
      <c r="M24" s="88"/>
      <c r="N24" s="92"/>
      <c r="O24" s="116" t="s">
        <v>243</v>
      </c>
      <c r="P24" s="139" vm="58">
        <f>CUBEVALUE("ThisWorkbookDataModel","[Measures].[Avance Plan B39 base 100 Acumulado Semanal]",SegmentaciónDeDatos_Calendario,N21)</f>
        <v>1</v>
      </c>
      <c r="Q24" s="88"/>
      <c r="R24" s="92"/>
      <c r="S24" s="116" t="s">
        <v>243</v>
      </c>
      <c r="T24" s="139" vm="57">
        <f>CUBEVALUE("ThisWorkbookDataModel","[Measures].[Avance Plan B39 base 100 Acumulado Semanal]",SegmentaciónDeDatos_Calendario,R21)</f>
        <v>1</v>
      </c>
      <c r="U24" s="88"/>
    </row>
    <row r="25" spans="2:21" x14ac:dyDescent="0.3">
      <c r="B25" s="92"/>
      <c r="C25" s="116" t="s">
        <v>244</v>
      </c>
      <c r="D25" s="139" vm="74">
        <f>CUBEVALUE("ThisWorkbookDataModel","[Measures].[Avance Real B39 base 100 Acumulado Semanal]",SegmentaciónDeDatos_Calendario,B21)</f>
        <v>1</v>
      </c>
      <c r="E25" s="88"/>
      <c r="F25" s="92"/>
      <c r="G25" s="116" t="s">
        <v>244</v>
      </c>
      <c r="H25" s="139" vm="62">
        <f>CUBEVALUE("ThisWorkbookDataModel","[Measures].[Avance Real B39 base 100 Acumulado Semanal]",SegmentaciónDeDatos_Calendario,F21)</f>
        <v>0</v>
      </c>
      <c r="I25" s="88"/>
      <c r="J25" s="92"/>
      <c r="K25" s="116" t="s">
        <v>244</v>
      </c>
      <c r="L25" s="139" vm="61">
        <f>CUBEVALUE("ThisWorkbookDataModel","[Measures].[Avance Real B39 base 100 Acumulado Semanal]",SegmentaciónDeDatos_Calendario,J21)</f>
        <v>0.47500000000000003</v>
      </c>
      <c r="M25" s="88"/>
      <c r="N25" s="92"/>
      <c r="O25" s="116" t="s">
        <v>244</v>
      </c>
      <c r="P25" s="139" vm="50">
        <f>CUBEVALUE("ThisWorkbookDataModel","[Measures].[Avance Real B39 base 100 Acumulado Semanal]",SegmentaciónDeDatos_Calendario,N21)</f>
        <v>0.22199999999999998</v>
      </c>
      <c r="Q25" s="88"/>
      <c r="R25" s="92"/>
      <c r="S25" s="116" t="s">
        <v>244</v>
      </c>
      <c r="T25" s="139" vm="106">
        <f>CUBEVALUE("ThisWorkbookDataModel","[Measures].[Avance Real B39 base 100 Acumulado Semanal]",SegmentaciónDeDatos_Calendario,R21)</f>
        <v>0.96681149235422892</v>
      </c>
      <c r="U25" s="88"/>
    </row>
    <row r="26" spans="2:21" x14ac:dyDescent="0.3">
      <c r="B26" s="92"/>
      <c r="C26" s="116" t="s">
        <v>245</v>
      </c>
      <c r="D26" s="139">
        <f>D25-D24</f>
        <v>0</v>
      </c>
      <c r="E26" s="88"/>
      <c r="F26" s="92"/>
      <c r="G26" s="116" t="s">
        <v>245</v>
      </c>
      <c r="H26" s="139">
        <f>H25-H24</f>
        <v>-1</v>
      </c>
      <c r="I26" s="88"/>
      <c r="J26" s="92"/>
      <c r="K26" s="116" t="s">
        <v>245</v>
      </c>
      <c r="L26" s="139">
        <f>L25-L24</f>
        <v>-0.52499999999999991</v>
      </c>
      <c r="M26" s="88"/>
      <c r="N26" s="92"/>
      <c r="O26" s="116" t="s">
        <v>245</v>
      </c>
      <c r="P26" s="139">
        <f>P25-P24</f>
        <v>-0.77800000000000002</v>
      </c>
      <c r="Q26" s="88"/>
      <c r="R26" s="92"/>
      <c r="S26" s="116" t="s">
        <v>245</v>
      </c>
      <c r="T26" s="139">
        <f>T25-T24</f>
        <v>-3.3188507645771081E-2</v>
      </c>
      <c r="U26" s="88"/>
    </row>
    <row r="27" spans="2:21" ht="15" customHeight="1" x14ac:dyDescent="0.3">
      <c r="B27" s="92"/>
      <c r="C27" s="437" t="s">
        <v>246</v>
      </c>
      <c r="D27" s="139" vm="87">
        <f>CUBEVALUE("ThisWorkbookDataModel","[Measures].[Aporte a la Desviación B39]",SegmentaciónDeDatos_Calendario,B21)</f>
        <v>0</v>
      </c>
      <c r="E27" s="88"/>
      <c r="F27" s="92"/>
      <c r="G27" s="485" t="s">
        <v>246</v>
      </c>
      <c r="H27" s="499" vm="53">
        <f>CUBEVALUE("ThisWorkbookDataModel","[Measures].[Aporte a la Desviación B39]",SegmentaciónDeDatos_Calendario,F21)</f>
        <v>-1.1493334856891172E-2</v>
      </c>
      <c r="I27" s="88"/>
      <c r="J27" s="92"/>
      <c r="K27" s="485" t="s">
        <v>246</v>
      </c>
      <c r="L27" s="499" vm="85">
        <f>CUBEVALUE("ThisWorkbookDataModel","[Measures].[Aporte a la Desviación B39]",SegmentaciónDeDatos_Calendario,J21)</f>
        <v>-5.105692984503577E-3</v>
      </c>
      <c r="M27" s="88"/>
      <c r="N27" s="92"/>
      <c r="O27" s="485" t="s">
        <v>246</v>
      </c>
      <c r="P27" s="499" vm="77">
        <f>CUBEVALUE("ThisWorkbookDataModel","[Measures].[Aporte a la Desviación B39]",SegmentaciónDeDatos_Calendario,N21)</f>
        <v>-1.4444469607068305E-2</v>
      </c>
      <c r="Q27" s="88"/>
      <c r="R27" s="92"/>
      <c r="S27" s="485" t="s">
        <v>246</v>
      </c>
      <c r="T27" s="499" vm="69">
        <f>CUBEVALUE("ThisWorkbookDataModel","[Measures].[Aporte a la Desviación B39]",SegmentaciónDeDatos_Calendario,R21)</f>
        <v>-1.8472253958676408E-3</v>
      </c>
      <c r="U27" s="88"/>
    </row>
    <row r="28" spans="2:21" x14ac:dyDescent="0.3">
      <c r="B28" s="92"/>
      <c r="C28" s="437"/>
      <c r="D28" s="139"/>
      <c r="E28" s="88"/>
      <c r="F28" s="92"/>
      <c r="G28" s="485"/>
      <c r="H28" s="499"/>
      <c r="I28" s="88"/>
      <c r="J28" s="92"/>
      <c r="K28" s="485"/>
      <c r="L28" s="499"/>
      <c r="M28" s="88"/>
      <c r="N28" s="92"/>
      <c r="O28" s="485"/>
      <c r="P28" s="499"/>
      <c r="Q28" s="88"/>
      <c r="R28" s="92"/>
      <c r="S28" s="485"/>
      <c r="T28" s="499"/>
      <c r="U28" s="88"/>
    </row>
    <row r="29" spans="2:21" x14ac:dyDescent="0.3">
      <c r="B29" s="95"/>
      <c r="C29" s="93"/>
      <c r="D29" s="93"/>
      <c r="E29" s="94"/>
      <c r="F29" s="95"/>
      <c r="G29" s="93"/>
      <c r="H29" s="93"/>
      <c r="I29" s="94"/>
      <c r="J29" s="95"/>
      <c r="K29" s="93"/>
      <c r="L29" s="93"/>
      <c r="M29" s="94"/>
      <c r="N29" s="95"/>
      <c r="O29" s="93"/>
      <c r="P29" s="93"/>
      <c r="Q29" s="94"/>
      <c r="R29" s="95"/>
      <c r="S29" s="93"/>
      <c r="T29" s="93"/>
      <c r="U29" s="94"/>
    </row>
    <row r="30" spans="2:21" ht="15" customHeight="1" x14ac:dyDescent="0.3">
      <c r="B30" s="493" t="str" vm="19">
        <f>CUBEMEMBER("ThisWorkbookDataModel","[EDTN_PQ].[N3].&amp;[2.12 Preparación de superficie metálica y cubrimiento]")</f>
        <v>2.12 Preparación de superficie metálica y cubrimiento</v>
      </c>
      <c r="C30" s="494"/>
      <c r="D30" s="494"/>
      <c r="E30" s="495"/>
      <c r="F30" s="493" t="str" vm="20">
        <f>CUBEMEMBER("ThisWorkbookDataModel","[EDTN_PQ].[N3].&amp;[2.13 Mantenimiento de válvulas principales]")</f>
        <v>2.13 Mantenimiento de válvulas principales</v>
      </c>
      <c r="G30" s="494"/>
      <c r="H30" s="494"/>
      <c r="I30" s="495"/>
      <c r="J30" s="493" t="str" vm="21">
        <f>CUBEMEMBER("ThisWorkbookDataModel","[EDTN_PQ].[N3].&amp;[2.14 Mantenimiento de equipos auxiliares]")</f>
        <v>2.14 Mantenimiento de equipos auxiliares</v>
      </c>
      <c r="K30" s="494"/>
      <c r="L30" s="494"/>
      <c r="M30" s="495"/>
      <c r="N30" s="493" t="str" vm="22">
        <f>CUBEMEMBER("ThisWorkbookDataModel","[EDTN_PQ].[N3].&amp;[2.15 Desarmado de componentes y mantenimientos]")</f>
        <v>2.15 Desarmado de componentes y mantenimientos</v>
      </c>
      <c r="O30" s="494"/>
      <c r="P30" s="494"/>
      <c r="Q30" s="495"/>
      <c r="R30" s="493" t="str" vm="23">
        <f>CUBEMEMBER("ThisWorkbookDataModel","[EDTN_PQ].[N3].&amp;[2.16 Armado y ajustes]")</f>
        <v>2.16 Armado y ajustes</v>
      </c>
      <c r="S30" s="494"/>
      <c r="T30" s="494"/>
      <c r="U30" s="495"/>
    </row>
    <row r="31" spans="2:21" x14ac:dyDescent="0.3">
      <c r="B31" s="496"/>
      <c r="C31" s="497"/>
      <c r="D31" s="497"/>
      <c r="E31" s="498"/>
      <c r="F31" s="500"/>
      <c r="G31" s="501"/>
      <c r="H31" s="501"/>
      <c r="I31" s="502"/>
      <c r="J31" s="500"/>
      <c r="K31" s="501"/>
      <c r="L31" s="501"/>
      <c r="M31" s="502"/>
      <c r="N31" s="500"/>
      <c r="O31" s="501"/>
      <c r="P31" s="501"/>
      <c r="Q31" s="502"/>
      <c r="R31" s="500"/>
      <c r="S31" s="501"/>
      <c r="T31" s="501"/>
      <c r="U31" s="502"/>
    </row>
    <row r="32" spans="2:21" x14ac:dyDescent="0.3">
      <c r="B32" s="91"/>
      <c r="C32" s="89"/>
      <c r="D32" s="89"/>
      <c r="E32" s="90"/>
      <c r="F32" s="91"/>
      <c r="G32" s="89"/>
      <c r="H32" s="89"/>
      <c r="I32" s="90"/>
      <c r="J32" s="91"/>
      <c r="K32" s="89"/>
      <c r="L32" s="89"/>
      <c r="M32" s="90"/>
      <c r="N32" s="91"/>
      <c r="O32" s="89"/>
      <c r="P32" s="89"/>
      <c r="Q32" s="90"/>
      <c r="R32" s="91"/>
      <c r="S32" s="89"/>
      <c r="T32" s="89"/>
      <c r="U32" s="90"/>
    </row>
    <row r="33" spans="1:16384" x14ac:dyDescent="0.3">
      <c r="B33" s="92"/>
      <c r="C33" s="116" t="s">
        <v>243</v>
      </c>
      <c r="D33" s="139" vm="76">
        <f>CUBEVALUE("ThisWorkbookDataModel","[Measures].[Avance Plan B39 base 100 Acumulado Semanal]",SegmentaciónDeDatos_Calendario,B30)</f>
        <v>1</v>
      </c>
      <c r="E33" s="88"/>
      <c r="F33" s="92"/>
      <c r="G33" s="116" t="s">
        <v>243</v>
      </c>
      <c r="H33" s="139" vm="41">
        <f>CUBEVALUE("ThisWorkbookDataModel","[Measures].[Avance Plan B39 base 100 Acumulado Semanal]",SegmentaciónDeDatos_Calendario,F30)</f>
        <v>1</v>
      </c>
      <c r="I33" s="88"/>
      <c r="J33" s="92"/>
      <c r="K33" s="116" t="s">
        <v>243</v>
      </c>
      <c r="L33" s="139" vm="113">
        <f>CUBEVALUE("ThisWorkbookDataModel","[Measures].[Avance Plan B39 base 100 Acumulado Semanal]",SegmentaciónDeDatos_Calendario,J30)</f>
        <v>1</v>
      </c>
      <c r="M33" s="88"/>
      <c r="N33" s="92"/>
      <c r="O33" s="116" t="s">
        <v>243</v>
      </c>
      <c r="P33" s="139" vm="95">
        <f>CUBEVALUE("ThisWorkbookDataModel","[Measures].[Avance Plan B39 base 100 Acumulado Semanal]",SegmentaciónDeDatos_Calendario,N30)</f>
        <v>1</v>
      </c>
      <c r="Q33" s="88"/>
      <c r="R33" s="92"/>
      <c r="S33" s="116" t="s">
        <v>243</v>
      </c>
      <c r="T33" s="139" vm="48">
        <f>CUBEVALUE("ThisWorkbookDataModel","[Measures].[Avance Plan B39 base 100 Acumulado Semanal]",SegmentaciónDeDatos_Calendario,R30)</f>
        <v>1</v>
      </c>
      <c r="U33" s="88"/>
    </row>
    <row r="34" spans="1:16384" x14ac:dyDescent="0.3">
      <c r="B34" s="92"/>
      <c r="C34" s="116" t="s">
        <v>244</v>
      </c>
      <c r="D34" s="139" vm="56">
        <f>CUBEVALUE("ThisWorkbookDataModel","[Measures].[Avance Real B39 base 100 Acumulado Semanal]",SegmentaciónDeDatos_Calendario,B30)</f>
        <v>0</v>
      </c>
      <c r="E34" s="88"/>
      <c r="F34" s="92"/>
      <c r="G34" s="116" t="s">
        <v>244</v>
      </c>
      <c r="H34" s="139" vm="47">
        <f>CUBEVALUE("ThisWorkbookDataModel","[Measures].[Avance Real B39 base 100 Acumulado Semanal]",SegmentaciónDeDatos_Calendario,F30)</f>
        <v>1</v>
      </c>
      <c r="I34" s="88"/>
      <c r="J34" s="92"/>
      <c r="K34" s="116" t="s">
        <v>244</v>
      </c>
      <c r="L34" s="139" vm="115">
        <f>CUBEVALUE("ThisWorkbookDataModel","[Measures].[Avance Real B39 base 100 Acumulado Semanal]",SegmentaciónDeDatos_Calendario,J30)</f>
        <v>0.11111111111111112</v>
      </c>
      <c r="M34" s="88"/>
      <c r="N34" s="92"/>
      <c r="O34" s="116" t="s">
        <v>244</v>
      </c>
      <c r="P34" s="139" vm="73">
        <f>CUBEVALUE("ThisWorkbookDataModel","[Measures].[Avance Real B39 base 100 Acumulado Semanal]",SegmentaciónDeDatos_Calendario,N30)</f>
        <v>0.17981999999999998</v>
      </c>
      <c r="Q34" s="88"/>
      <c r="R34" s="92"/>
      <c r="S34" s="116" t="s">
        <v>244</v>
      </c>
      <c r="T34" s="139" vm="60">
        <f>CUBEVALUE("ThisWorkbookDataModel","[Measures].[Avance Real B39 base 100 Acumulado Semanal]",SegmentaciónDeDatos_Calendario,R30)</f>
        <v>0.499</v>
      </c>
      <c r="U34" s="88"/>
    </row>
    <row r="35" spans="1:16384" x14ac:dyDescent="0.3">
      <c r="B35" s="92"/>
      <c r="C35" s="116" t="s">
        <v>245</v>
      </c>
      <c r="D35" s="139">
        <f>D34-D33</f>
        <v>-1</v>
      </c>
      <c r="E35" s="88"/>
      <c r="F35" s="92"/>
      <c r="G35" s="116" t="s">
        <v>245</v>
      </c>
      <c r="H35" s="139">
        <f>H34-H33</f>
        <v>0</v>
      </c>
      <c r="I35" s="88"/>
      <c r="J35" s="92"/>
      <c r="K35" s="116" t="s">
        <v>245</v>
      </c>
      <c r="L35" s="139">
        <f>L34-L33</f>
        <v>-0.88888888888888884</v>
      </c>
      <c r="M35" s="88"/>
      <c r="N35" s="92"/>
      <c r="O35" s="116" t="s">
        <v>245</v>
      </c>
      <c r="P35" s="139">
        <f>P34-P33</f>
        <v>-0.82018000000000002</v>
      </c>
      <c r="Q35" s="88"/>
      <c r="R35" s="92"/>
      <c r="S35" s="116" t="s">
        <v>245</v>
      </c>
      <c r="T35" s="139">
        <f>T34-T33</f>
        <v>-0.501</v>
      </c>
      <c r="U35" s="88"/>
    </row>
    <row r="36" spans="1:16384" ht="15" customHeight="1" x14ac:dyDescent="0.3">
      <c r="B36" s="92"/>
      <c r="C36" s="437" t="s">
        <v>246</v>
      </c>
      <c r="D36" s="139" vm="54">
        <f>CUBEVALUE("ThisWorkbookDataModel","[Measures].[Aporte a la Desviación B39]",SegmentaciónDeDatos_Calendario,B30)</f>
        <v>-1.326154021948981E-2</v>
      </c>
      <c r="E36" s="88"/>
      <c r="F36" s="92"/>
      <c r="G36" s="485" t="s">
        <v>246</v>
      </c>
      <c r="H36" s="499" vm="55">
        <f>CUBEVALUE("ThisWorkbookDataModel","[Measures].[Aporte a la Desviación B39]",SegmentaciónDeDatos_Calendario,F30)</f>
        <v>0</v>
      </c>
      <c r="I36" s="88"/>
      <c r="J36" s="92"/>
      <c r="K36" s="485" t="s">
        <v>246</v>
      </c>
      <c r="L36" s="499" vm="46">
        <f>CUBEVALUE("ThisWorkbookDataModel","[Measures].[Aporte a la Desviación B39]",SegmentaciónDeDatos_Calendario,J30)</f>
        <v>-1.6503250050920657E-2</v>
      </c>
      <c r="M36" s="88"/>
      <c r="N36" s="92"/>
      <c r="O36" s="485" t="s">
        <v>246</v>
      </c>
      <c r="P36" s="499" vm="112">
        <f>CUBEVALUE("ThisWorkbookDataModel","[Measures].[Aporte a la Desviación B39]",SegmentaciónDeDatos_Calendario,N30)</f>
        <v>-1.5227590080109621E-2</v>
      </c>
      <c r="Q36" s="88"/>
      <c r="R36" s="92"/>
      <c r="S36" s="485" t="s">
        <v>246</v>
      </c>
      <c r="T36" s="499" vm="52">
        <f>CUBEVALUE("ThisWorkbookDataModel","[Measures].[Aporte a la Desviación B39]",SegmentaciónDeDatos_Calendario,R30)</f>
        <v>-9.3016443099501554E-3</v>
      </c>
      <c r="U36" s="88"/>
    </row>
    <row r="37" spans="1:16384" x14ac:dyDescent="0.3">
      <c r="B37" s="92"/>
      <c r="C37" s="437"/>
      <c r="D37" s="139"/>
      <c r="E37" s="88"/>
      <c r="F37" s="92"/>
      <c r="G37" s="485"/>
      <c r="H37" s="499"/>
      <c r="I37" s="88"/>
      <c r="J37" s="92"/>
      <c r="K37" s="485"/>
      <c r="L37" s="499"/>
      <c r="M37" s="88"/>
      <c r="N37" s="92"/>
      <c r="O37" s="485"/>
      <c r="P37" s="499"/>
      <c r="Q37" s="88"/>
      <c r="R37" s="92"/>
      <c r="S37" s="485"/>
      <c r="T37" s="499"/>
      <c r="U37" s="88"/>
    </row>
    <row r="38" spans="1:16384" x14ac:dyDescent="0.3">
      <c r="B38" s="95"/>
      <c r="C38" s="93"/>
      <c r="D38" s="93"/>
      <c r="E38" s="94"/>
      <c r="F38" s="95"/>
      <c r="G38" s="93"/>
      <c r="H38" s="93"/>
      <c r="I38" s="94"/>
      <c r="J38" s="95"/>
      <c r="K38" s="93"/>
      <c r="L38" s="93"/>
      <c r="M38" s="94"/>
      <c r="N38" s="95"/>
      <c r="O38" s="93"/>
      <c r="P38" s="93"/>
      <c r="Q38" s="94"/>
      <c r="R38" s="95"/>
      <c r="S38" s="93"/>
      <c r="T38" s="93"/>
      <c r="U38" s="94"/>
    </row>
    <row r="40" spans="1:16384" ht="14.4" customHeight="1" x14ac:dyDescent="0.3">
      <c r="A40" s="471" t="s">
        <v>232</v>
      </c>
      <c r="B40" s="471"/>
      <c r="C40" s="471"/>
      <c r="D40" s="471"/>
      <c r="E40" s="471"/>
      <c r="F40" s="471"/>
      <c r="G40" s="471"/>
      <c r="H40" s="471"/>
      <c r="I40" s="471"/>
      <c r="J40" s="471"/>
      <c r="K40" s="471"/>
      <c r="L40" s="471"/>
      <c r="M40" s="471"/>
      <c r="N40" s="471"/>
      <c r="O40" s="471"/>
      <c r="P40" s="471"/>
      <c r="Q40" s="471"/>
      <c r="R40" s="471"/>
      <c r="S40" s="471"/>
      <c r="T40" s="471"/>
      <c r="U40" s="471"/>
      <c r="V40" s="471"/>
      <c r="W40" s="471"/>
      <c r="X40" s="471"/>
      <c r="Y40" s="471"/>
      <c r="Z40" s="471"/>
      <c r="AA40" s="471"/>
      <c r="AB40" s="471"/>
      <c r="AC40" s="471"/>
      <c r="AD40" s="471"/>
      <c r="AE40" s="471"/>
      <c r="AF40" s="471"/>
      <c r="AG40" s="471"/>
      <c r="AH40" s="471"/>
      <c r="AI40" s="471"/>
      <c r="AJ40" s="471"/>
      <c r="AK40" s="471"/>
      <c r="AL40" s="471"/>
      <c r="AM40" s="471"/>
      <c r="AN40" s="471"/>
      <c r="AO40" s="471"/>
      <c r="AP40" s="471"/>
      <c r="AQ40" s="471"/>
      <c r="AR40" s="471"/>
      <c r="AS40" s="471"/>
      <c r="AT40" s="471"/>
      <c r="AU40" s="471"/>
      <c r="AV40" s="471"/>
      <c r="AW40" s="471"/>
      <c r="AX40" s="471"/>
      <c r="AY40" s="471"/>
      <c r="AZ40" s="471"/>
      <c r="BA40" s="471"/>
      <c r="BB40" s="471"/>
      <c r="BC40" s="471"/>
      <c r="BD40" s="471"/>
      <c r="BE40" s="471"/>
      <c r="BF40" s="471"/>
      <c r="BG40" s="471"/>
      <c r="BH40" s="471"/>
      <c r="BI40" s="471"/>
      <c r="BJ40" s="471"/>
      <c r="BK40" s="471"/>
      <c r="BL40" s="471"/>
      <c r="BM40" s="471"/>
      <c r="BN40" s="471"/>
      <c r="BO40" s="471"/>
      <c r="BP40" s="471"/>
      <c r="BQ40" s="471"/>
      <c r="BR40" s="471"/>
      <c r="BS40" s="471"/>
      <c r="BT40" s="471"/>
      <c r="BU40" s="471"/>
      <c r="BV40" s="471"/>
      <c r="BW40" s="471"/>
      <c r="BX40" s="471"/>
      <c r="BY40" s="471"/>
      <c r="BZ40" s="471"/>
      <c r="CA40" s="471"/>
      <c r="CB40" s="471"/>
      <c r="CC40" s="471"/>
      <c r="CD40" s="471"/>
      <c r="CE40" s="471"/>
      <c r="CF40" s="471"/>
      <c r="CG40" s="471"/>
      <c r="CH40" s="471"/>
      <c r="CI40" s="471"/>
      <c r="CJ40" s="471"/>
      <c r="CK40" s="471"/>
      <c r="CL40" s="471"/>
      <c r="CM40" s="471"/>
      <c r="CN40" s="471"/>
      <c r="CO40" s="471"/>
      <c r="CP40" s="471"/>
      <c r="CQ40" s="471"/>
      <c r="CR40" s="471"/>
      <c r="CS40" s="471"/>
      <c r="CT40" s="471"/>
      <c r="CU40" s="471"/>
      <c r="CV40" s="471"/>
      <c r="CW40" s="471"/>
      <c r="CX40" s="471"/>
      <c r="CY40" s="471"/>
      <c r="CZ40" s="471"/>
      <c r="DA40" s="471"/>
      <c r="DB40" s="471"/>
      <c r="DC40" s="471"/>
      <c r="DD40" s="471"/>
      <c r="DE40" s="471"/>
      <c r="DF40" s="471"/>
      <c r="DG40" s="471"/>
      <c r="DH40" s="471"/>
      <c r="DI40" s="471"/>
      <c r="DJ40" s="471"/>
      <c r="DK40" s="471"/>
      <c r="DL40" s="471"/>
      <c r="DM40" s="471"/>
      <c r="DN40" s="471"/>
      <c r="DO40" s="471"/>
      <c r="DP40" s="471"/>
      <c r="DQ40" s="471"/>
      <c r="DR40" s="471"/>
      <c r="DS40" s="471"/>
      <c r="DT40" s="471"/>
      <c r="DU40" s="471"/>
      <c r="DV40" s="471"/>
      <c r="DW40" s="471"/>
      <c r="DX40" s="471"/>
      <c r="DY40" s="471"/>
      <c r="DZ40" s="471"/>
      <c r="EA40" s="471"/>
      <c r="EB40" s="471"/>
      <c r="EC40" s="471"/>
      <c r="ED40" s="471"/>
      <c r="EE40" s="471"/>
      <c r="EF40" s="471"/>
      <c r="EG40" s="471"/>
      <c r="EH40" s="471"/>
      <c r="EI40" s="471"/>
      <c r="EJ40" s="471"/>
      <c r="EK40" s="471"/>
      <c r="EL40" s="471"/>
      <c r="EM40" s="471"/>
      <c r="EN40" s="471"/>
      <c r="EO40" s="471"/>
      <c r="EP40" s="471"/>
      <c r="EQ40" s="471"/>
      <c r="ER40" s="471"/>
      <c r="ES40" s="471"/>
      <c r="ET40" s="471"/>
      <c r="EU40" s="471"/>
      <c r="EV40" s="471"/>
      <c r="EW40" s="471"/>
      <c r="EX40" s="471"/>
      <c r="EY40" s="471"/>
      <c r="EZ40" s="471"/>
      <c r="FA40" s="471"/>
      <c r="FB40" s="471"/>
      <c r="FC40" s="471"/>
      <c r="FD40" s="471"/>
      <c r="FE40" s="471"/>
      <c r="FF40" s="471"/>
      <c r="FG40" s="471"/>
      <c r="FH40" s="471"/>
      <c r="FI40" s="471"/>
      <c r="FJ40" s="471"/>
      <c r="FK40" s="471"/>
      <c r="FL40" s="471"/>
      <c r="FM40" s="471"/>
      <c r="FN40" s="471"/>
      <c r="FO40" s="471"/>
      <c r="FP40" s="471"/>
      <c r="FQ40" s="471"/>
      <c r="FR40" s="471"/>
      <c r="FS40" s="471"/>
      <c r="FT40" s="471"/>
      <c r="FU40" s="471"/>
      <c r="FV40" s="471"/>
      <c r="FW40" s="471"/>
      <c r="FX40" s="471"/>
      <c r="FY40" s="471"/>
      <c r="FZ40" s="471"/>
      <c r="GA40" s="471"/>
      <c r="GB40" s="471"/>
      <c r="GC40" s="471"/>
      <c r="GD40" s="471"/>
      <c r="GE40" s="471"/>
      <c r="GF40" s="471"/>
      <c r="GG40" s="471"/>
      <c r="GH40" s="471"/>
      <c r="GI40" s="471"/>
      <c r="GJ40" s="471"/>
      <c r="GK40" s="471"/>
      <c r="GL40" s="471"/>
      <c r="GM40" s="471"/>
      <c r="GN40" s="471"/>
      <c r="GO40" s="471"/>
      <c r="GP40" s="471"/>
      <c r="GQ40" s="471"/>
      <c r="GR40" s="471"/>
      <c r="GS40" s="471"/>
      <c r="GT40" s="471"/>
      <c r="GU40" s="471"/>
      <c r="GV40" s="471"/>
      <c r="GW40" s="471"/>
      <c r="GX40" s="471"/>
      <c r="GY40" s="471"/>
      <c r="GZ40" s="471"/>
      <c r="HA40" s="471"/>
      <c r="HB40" s="471"/>
      <c r="HC40" s="471"/>
      <c r="HD40" s="471"/>
      <c r="HE40" s="471"/>
      <c r="HF40" s="471"/>
      <c r="HG40" s="471"/>
      <c r="HH40" s="471"/>
      <c r="HI40" s="471"/>
      <c r="HJ40" s="471"/>
      <c r="HK40" s="471"/>
      <c r="HL40" s="471"/>
      <c r="HM40" s="471"/>
      <c r="HN40" s="471"/>
      <c r="HO40" s="471"/>
      <c r="HP40" s="471"/>
      <c r="HQ40" s="471"/>
      <c r="HR40" s="471"/>
      <c r="HS40" s="471"/>
      <c r="HT40" s="471"/>
      <c r="HU40" s="471"/>
      <c r="HV40" s="471"/>
      <c r="HW40" s="471"/>
      <c r="HX40" s="471"/>
      <c r="HY40" s="471"/>
      <c r="HZ40" s="471"/>
      <c r="IA40" s="471"/>
      <c r="IB40" s="471"/>
      <c r="IC40" s="471"/>
      <c r="ID40" s="471"/>
      <c r="IE40" s="471"/>
      <c r="IF40" s="471"/>
      <c r="IG40" s="471"/>
      <c r="IH40" s="471"/>
      <c r="II40" s="471"/>
      <c r="IJ40" s="471"/>
      <c r="IK40" s="471"/>
      <c r="IL40" s="471"/>
      <c r="IM40" s="471"/>
      <c r="IN40" s="471"/>
      <c r="IO40" s="471"/>
      <c r="IP40" s="471"/>
      <c r="IQ40" s="471"/>
      <c r="IR40" s="471"/>
      <c r="IS40" s="471"/>
      <c r="IT40" s="471"/>
      <c r="IU40" s="471"/>
      <c r="IV40" s="471"/>
      <c r="IW40" s="471"/>
      <c r="IX40" s="471"/>
      <c r="IY40" s="471"/>
      <c r="IZ40" s="471"/>
      <c r="JA40" s="471"/>
      <c r="JB40" s="471"/>
      <c r="JC40" s="471"/>
      <c r="JD40" s="471"/>
      <c r="JE40" s="471"/>
      <c r="JF40" s="471"/>
      <c r="JG40" s="471"/>
      <c r="JH40" s="471"/>
      <c r="JI40" s="471"/>
      <c r="JJ40" s="471"/>
      <c r="JK40" s="471"/>
      <c r="JL40" s="471"/>
      <c r="JM40" s="471"/>
      <c r="JN40" s="471"/>
      <c r="JO40" s="471"/>
      <c r="JP40" s="471"/>
      <c r="JQ40" s="471"/>
      <c r="JR40" s="471"/>
      <c r="JS40" s="471"/>
      <c r="JT40" s="471"/>
      <c r="JU40" s="471"/>
      <c r="JV40" s="471"/>
      <c r="JW40" s="471"/>
      <c r="JX40" s="471"/>
      <c r="JY40" s="471"/>
      <c r="JZ40" s="471"/>
      <c r="KA40" s="471"/>
      <c r="KB40" s="471"/>
      <c r="KC40" s="471"/>
      <c r="KD40" s="471"/>
      <c r="KE40" s="471"/>
      <c r="KF40" s="471"/>
      <c r="KG40" s="471"/>
      <c r="KH40" s="471"/>
      <c r="KI40" s="471"/>
      <c r="KJ40" s="471"/>
      <c r="KK40" s="471"/>
      <c r="KL40" s="471"/>
      <c r="KM40" s="471"/>
      <c r="KN40" s="471"/>
      <c r="KO40" s="471"/>
      <c r="KP40" s="471"/>
      <c r="KQ40" s="471"/>
      <c r="KR40" s="471"/>
      <c r="KS40" s="471"/>
      <c r="KT40" s="471"/>
      <c r="KU40" s="471"/>
      <c r="KV40" s="471"/>
      <c r="KW40" s="471"/>
      <c r="KX40" s="471"/>
      <c r="KY40" s="471"/>
      <c r="KZ40" s="471"/>
      <c r="LA40" s="471"/>
      <c r="LB40" s="471"/>
      <c r="LC40" s="471"/>
      <c r="LD40" s="471"/>
      <c r="LE40" s="471"/>
      <c r="LF40" s="471"/>
      <c r="LG40" s="471"/>
      <c r="LH40" s="471"/>
      <c r="LI40" s="471"/>
      <c r="LJ40" s="471"/>
      <c r="LK40" s="471"/>
      <c r="LL40" s="471"/>
      <c r="LM40" s="471"/>
      <c r="LN40" s="471"/>
      <c r="LO40" s="471"/>
      <c r="LP40" s="471"/>
      <c r="LQ40" s="471"/>
      <c r="LR40" s="471"/>
      <c r="LS40" s="471"/>
      <c r="LT40" s="471"/>
      <c r="LU40" s="471"/>
      <c r="LV40" s="471"/>
      <c r="LW40" s="471"/>
      <c r="LX40" s="471"/>
      <c r="LY40" s="471"/>
      <c r="LZ40" s="471"/>
      <c r="MA40" s="471"/>
      <c r="MB40" s="471"/>
      <c r="MC40" s="471"/>
      <c r="MD40" s="471"/>
      <c r="ME40" s="471"/>
      <c r="MF40" s="471"/>
      <c r="MG40" s="471"/>
      <c r="MH40" s="471"/>
      <c r="MI40" s="471"/>
      <c r="MJ40" s="471"/>
      <c r="MK40" s="471"/>
      <c r="ML40" s="471"/>
      <c r="MM40" s="471"/>
      <c r="MN40" s="471"/>
      <c r="MO40" s="471"/>
      <c r="MP40" s="471"/>
      <c r="MQ40" s="471"/>
      <c r="MR40" s="471"/>
      <c r="MS40" s="471"/>
      <c r="MT40" s="471"/>
      <c r="MU40" s="471"/>
      <c r="MV40" s="471"/>
      <c r="MW40" s="471"/>
      <c r="MX40" s="471"/>
      <c r="MY40" s="471"/>
      <c r="MZ40" s="471"/>
      <c r="NA40" s="471"/>
      <c r="NB40" s="471"/>
      <c r="NC40" s="471"/>
      <c r="ND40" s="471"/>
      <c r="NE40" s="471"/>
      <c r="NF40" s="471"/>
      <c r="NG40" s="471"/>
      <c r="NH40" s="471"/>
      <c r="NI40" s="471"/>
      <c r="NJ40" s="471"/>
      <c r="NK40" s="471"/>
      <c r="NL40" s="471"/>
      <c r="NM40" s="471"/>
      <c r="NN40" s="471"/>
      <c r="NO40" s="471"/>
      <c r="NP40" s="471"/>
      <c r="NQ40" s="471"/>
      <c r="NR40" s="471"/>
      <c r="NS40" s="471"/>
      <c r="NT40" s="471"/>
      <c r="NU40" s="471"/>
      <c r="NV40" s="471"/>
      <c r="NW40" s="471"/>
      <c r="NX40" s="471"/>
      <c r="NY40" s="471"/>
      <c r="NZ40" s="471"/>
      <c r="OA40" s="471"/>
      <c r="OB40" s="471"/>
      <c r="OC40" s="471"/>
      <c r="OD40" s="471"/>
      <c r="OE40" s="471"/>
      <c r="OF40" s="471"/>
      <c r="OG40" s="471"/>
      <c r="OH40" s="471"/>
      <c r="OI40" s="471"/>
      <c r="OJ40" s="471"/>
      <c r="OK40" s="471"/>
      <c r="OL40" s="471"/>
      <c r="OM40" s="471"/>
      <c r="ON40" s="471"/>
      <c r="OO40" s="471"/>
      <c r="OP40" s="471"/>
      <c r="OQ40" s="471"/>
      <c r="OR40" s="471"/>
      <c r="OS40" s="471"/>
      <c r="OT40" s="471"/>
      <c r="OU40" s="471"/>
      <c r="OV40" s="471"/>
      <c r="OW40" s="471"/>
      <c r="OX40" s="471"/>
      <c r="OY40" s="471"/>
      <c r="OZ40" s="471"/>
      <c r="PA40" s="471"/>
      <c r="PB40" s="471"/>
      <c r="PC40" s="471"/>
      <c r="PD40" s="471"/>
      <c r="PE40" s="471"/>
      <c r="PF40" s="471"/>
      <c r="PG40" s="471"/>
      <c r="PH40" s="471"/>
      <c r="PI40" s="471"/>
      <c r="PJ40" s="471"/>
      <c r="PK40" s="471"/>
      <c r="PL40" s="471"/>
      <c r="PM40" s="471"/>
      <c r="PN40" s="471"/>
      <c r="PO40" s="471"/>
      <c r="PP40" s="471"/>
      <c r="PQ40" s="471"/>
      <c r="PR40" s="471"/>
      <c r="PS40" s="471"/>
      <c r="PT40" s="471"/>
      <c r="PU40" s="471"/>
      <c r="PV40" s="471"/>
      <c r="PW40" s="471"/>
      <c r="PX40" s="471"/>
      <c r="PY40" s="471"/>
      <c r="PZ40" s="471"/>
      <c r="QA40" s="471"/>
      <c r="QB40" s="471"/>
      <c r="QC40" s="471"/>
      <c r="QD40" s="471"/>
      <c r="QE40" s="471"/>
      <c r="QF40" s="471"/>
      <c r="QG40" s="471"/>
      <c r="QH40" s="471"/>
      <c r="QI40" s="471"/>
      <c r="QJ40" s="471"/>
      <c r="QK40" s="471"/>
      <c r="QL40" s="471"/>
      <c r="QM40" s="471"/>
      <c r="QN40" s="471"/>
      <c r="QO40" s="471"/>
      <c r="QP40" s="471"/>
      <c r="QQ40" s="471"/>
      <c r="QR40" s="471"/>
      <c r="QS40" s="471"/>
      <c r="QT40" s="471"/>
      <c r="QU40" s="471"/>
      <c r="QV40" s="471"/>
      <c r="QW40" s="471"/>
      <c r="QX40" s="471"/>
      <c r="QY40" s="471"/>
      <c r="QZ40" s="471"/>
      <c r="RA40" s="471"/>
      <c r="RB40" s="471"/>
      <c r="RC40" s="471"/>
      <c r="RD40" s="471"/>
      <c r="RE40" s="471"/>
      <c r="RF40" s="471"/>
      <c r="RG40" s="471"/>
      <c r="RH40" s="471"/>
      <c r="RI40" s="471"/>
      <c r="RJ40" s="471"/>
      <c r="RK40" s="471"/>
      <c r="RL40" s="471"/>
      <c r="RM40" s="471"/>
      <c r="RN40" s="471"/>
      <c r="RO40" s="471"/>
      <c r="RP40" s="471"/>
      <c r="RQ40" s="471"/>
      <c r="RR40" s="471"/>
      <c r="RS40" s="471"/>
      <c r="RT40" s="471"/>
      <c r="RU40" s="471"/>
      <c r="RV40" s="471"/>
      <c r="RW40" s="471"/>
      <c r="RX40" s="471"/>
      <c r="RY40" s="471"/>
      <c r="RZ40" s="471"/>
      <c r="SA40" s="471"/>
      <c r="SB40" s="471"/>
      <c r="SC40" s="471"/>
      <c r="SD40" s="471"/>
      <c r="SE40" s="471"/>
      <c r="SF40" s="471"/>
      <c r="SG40" s="471"/>
      <c r="SH40" s="471"/>
      <c r="SI40" s="471"/>
      <c r="SJ40" s="471"/>
      <c r="SK40" s="471"/>
      <c r="SL40" s="471"/>
      <c r="SM40" s="471"/>
      <c r="SN40" s="471"/>
      <c r="SO40" s="471"/>
      <c r="SP40" s="471"/>
      <c r="SQ40" s="471"/>
      <c r="SR40" s="471"/>
      <c r="SS40" s="471"/>
      <c r="ST40" s="471"/>
      <c r="SU40" s="471"/>
      <c r="SV40" s="471"/>
      <c r="SW40" s="471"/>
      <c r="SX40" s="471"/>
      <c r="SY40" s="471"/>
      <c r="SZ40" s="471"/>
      <c r="TA40" s="471"/>
      <c r="TB40" s="471"/>
      <c r="TC40" s="471"/>
      <c r="TD40" s="471"/>
      <c r="TE40" s="471"/>
      <c r="TF40" s="471"/>
      <c r="TG40" s="471"/>
      <c r="TH40" s="471"/>
      <c r="TI40" s="471"/>
      <c r="TJ40" s="471"/>
      <c r="TK40" s="471"/>
      <c r="TL40" s="471"/>
      <c r="TM40" s="471"/>
      <c r="TN40" s="471"/>
      <c r="TO40" s="471"/>
      <c r="TP40" s="471"/>
      <c r="TQ40" s="471"/>
      <c r="TR40" s="471"/>
      <c r="TS40" s="471"/>
      <c r="TT40" s="471"/>
      <c r="TU40" s="471"/>
      <c r="TV40" s="471"/>
      <c r="TW40" s="471"/>
      <c r="TX40" s="471"/>
      <c r="TY40" s="471"/>
      <c r="TZ40" s="471"/>
      <c r="UA40" s="471"/>
      <c r="UB40" s="471"/>
      <c r="UC40" s="471"/>
      <c r="UD40" s="471"/>
      <c r="UE40" s="471"/>
      <c r="UF40" s="471"/>
      <c r="UG40" s="471"/>
      <c r="UH40" s="471"/>
      <c r="UI40" s="471"/>
      <c r="UJ40" s="471"/>
      <c r="UK40" s="471"/>
      <c r="UL40" s="471"/>
      <c r="UM40" s="471"/>
      <c r="UN40" s="471"/>
      <c r="UO40" s="471"/>
      <c r="UP40" s="471"/>
      <c r="UQ40" s="471"/>
      <c r="UR40" s="471"/>
      <c r="US40" s="471"/>
      <c r="UT40" s="471"/>
      <c r="UU40" s="471"/>
      <c r="UV40" s="471"/>
      <c r="UW40" s="471"/>
      <c r="UX40" s="471"/>
      <c r="UY40" s="471"/>
      <c r="UZ40" s="471"/>
      <c r="VA40" s="471"/>
      <c r="VB40" s="471"/>
      <c r="VC40" s="471"/>
      <c r="VD40" s="471"/>
      <c r="VE40" s="471"/>
      <c r="VF40" s="471"/>
      <c r="VG40" s="471"/>
      <c r="VH40" s="471"/>
      <c r="VI40" s="471"/>
      <c r="VJ40" s="471"/>
      <c r="VK40" s="471"/>
      <c r="VL40" s="471"/>
      <c r="VM40" s="471"/>
      <c r="VN40" s="471"/>
      <c r="VO40" s="471"/>
      <c r="VP40" s="471"/>
      <c r="VQ40" s="471"/>
      <c r="VR40" s="471"/>
      <c r="VS40" s="471"/>
      <c r="VT40" s="471"/>
      <c r="VU40" s="471"/>
      <c r="VV40" s="471"/>
      <c r="VW40" s="471"/>
      <c r="VX40" s="471"/>
      <c r="VY40" s="471"/>
      <c r="VZ40" s="471"/>
      <c r="WA40" s="471"/>
      <c r="WB40" s="471"/>
      <c r="WC40" s="471"/>
      <c r="WD40" s="471"/>
      <c r="WE40" s="471"/>
      <c r="WF40" s="471"/>
      <c r="WG40" s="471"/>
      <c r="WH40" s="471"/>
      <c r="WI40" s="471"/>
      <c r="WJ40" s="471"/>
      <c r="WK40" s="471"/>
      <c r="WL40" s="471"/>
      <c r="WM40" s="471"/>
      <c r="WN40" s="471"/>
      <c r="WO40" s="471"/>
      <c r="WP40" s="471"/>
      <c r="WQ40" s="471"/>
      <c r="WR40" s="471"/>
      <c r="WS40" s="471"/>
      <c r="WT40" s="471"/>
      <c r="WU40" s="471"/>
      <c r="WV40" s="471"/>
      <c r="WW40" s="471"/>
      <c r="WX40" s="471"/>
      <c r="WY40" s="471"/>
      <c r="WZ40" s="471"/>
      <c r="XA40" s="471"/>
      <c r="XB40" s="471"/>
      <c r="XC40" s="471"/>
      <c r="XD40" s="471"/>
      <c r="XE40" s="471"/>
      <c r="XF40" s="471"/>
      <c r="XG40" s="471"/>
      <c r="XH40" s="471"/>
      <c r="XI40" s="471"/>
      <c r="XJ40" s="471"/>
      <c r="XK40" s="471"/>
      <c r="XL40" s="471"/>
      <c r="XM40" s="471"/>
      <c r="XN40" s="471"/>
      <c r="XO40" s="471"/>
      <c r="XP40" s="471"/>
      <c r="XQ40" s="471"/>
      <c r="XR40" s="471"/>
      <c r="XS40" s="471"/>
      <c r="XT40" s="471"/>
      <c r="XU40" s="471"/>
      <c r="XV40" s="471"/>
      <c r="XW40" s="471"/>
      <c r="XX40" s="471"/>
      <c r="XY40" s="471"/>
      <c r="XZ40" s="471"/>
      <c r="YA40" s="471"/>
      <c r="YB40" s="471"/>
      <c r="YC40" s="471"/>
      <c r="YD40" s="471"/>
      <c r="YE40" s="471"/>
      <c r="YF40" s="471"/>
      <c r="YG40" s="471"/>
      <c r="YH40" s="471"/>
      <c r="YI40" s="471"/>
      <c r="YJ40" s="471"/>
      <c r="YK40" s="471"/>
      <c r="YL40" s="471"/>
      <c r="YM40" s="471"/>
      <c r="YN40" s="471"/>
      <c r="YO40" s="471"/>
      <c r="YP40" s="471"/>
      <c r="YQ40" s="471"/>
      <c r="YR40" s="471"/>
      <c r="YS40" s="471"/>
      <c r="YT40" s="471"/>
      <c r="YU40" s="471"/>
      <c r="YV40" s="471"/>
      <c r="YW40" s="471"/>
      <c r="YX40" s="471"/>
      <c r="YY40" s="471"/>
      <c r="YZ40" s="471"/>
      <c r="ZA40" s="471"/>
      <c r="ZB40" s="471"/>
      <c r="ZC40" s="471"/>
      <c r="ZD40" s="471"/>
      <c r="ZE40" s="471"/>
      <c r="ZF40" s="471"/>
      <c r="ZG40" s="471"/>
      <c r="ZH40" s="471"/>
      <c r="ZI40" s="471"/>
      <c r="ZJ40" s="471"/>
      <c r="ZK40" s="471"/>
      <c r="ZL40" s="471"/>
      <c r="ZM40" s="471"/>
      <c r="ZN40" s="471"/>
      <c r="ZO40" s="471"/>
      <c r="ZP40" s="471"/>
      <c r="ZQ40" s="471"/>
      <c r="ZR40" s="471"/>
      <c r="ZS40" s="471"/>
      <c r="ZT40" s="471"/>
      <c r="ZU40" s="471"/>
      <c r="ZV40" s="471"/>
      <c r="ZW40" s="471"/>
      <c r="ZX40" s="471"/>
      <c r="ZY40" s="471"/>
      <c r="ZZ40" s="471"/>
      <c r="AAA40" s="471"/>
      <c r="AAB40" s="471"/>
      <c r="AAC40" s="471"/>
      <c r="AAD40" s="471"/>
      <c r="AAE40" s="471"/>
      <c r="AAF40" s="471"/>
      <c r="AAG40" s="471"/>
      <c r="AAH40" s="471"/>
      <c r="AAI40" s="471"/>
      <c r="AAJ40" s="471"/>
      <c r="AAK40" s="471"/>
      <c r="AAL40" s="471"/>
      <c r="AAM40" s="471"/>
      <c r="AAN40" s="471"/>
      <c r="AAO40" s="471"/>
      <c r="AAP40" s="471"/>
      <c r="AAQ40" s="471"/>
      <c r="AAR40" s="471"/>
      <c r="AAS40" s="471"/>
      <c r="AAT40" s="471"/>
      <c r="AAU40" s="471"/>
      <c r="AAV40" s="471"/>
      <c r="AAW40" s="471"/>
      <c r="AAX40" s="471"/>
      <c r="AAY40" s="471"/>
      <c r="AAZ40" s="471"/>
      <c r="ABA40" s="471"/>
      <c r="ABB40" s="471"/>
      <c r="ABC40" s="471"/>
      <c r="ABD40" s="471"/>
      <c r="ABE40" s="471"/>
      <c r="ABF40" s="471"/>
      <c r="ABG40" s="471"/>
      <c r="ABH40" s="471"/>
      <c r="ABI40" s="471"/>
      <c r="ABJ40" s="471"/>
      <c r="ABK40" s="471"/>
      <c r="ABL40" s="471"/>
      <c r="ABM40" s="471"/>
      <c r="ABN40" s="471"/>
      <c r="ABO40" s="471"/>
      <c r="ABP40" s="471"/>
      <c r="ABQ40" s="471"/>
      <c r="ABR40" s="471"/>
      <c r="ABS40" s="471"/>
      <c r="ABT40" s="471"/>
      <c r="ABU40" s="471"/>
      <c r="ABV40" s="471"/>
      <c r="ABW40" s="471"/>
      <c r="ABX40" s="471"/>
      <c r="ABY40" s="471"/>
      <c r="ABZ40" s="471"/>
      <c r="ACA40" s="471"/>
      <c r="ACB40" s="471"/>
      <c r="ACC40" s="471"/>
      <c r="ACD40" s="471"/>
      <c r="ACE40" s="471"/>
      <c r="ACF40" s="471"/>
      <c r="ACG40" s="471"/>
      <c r="ACH40" s="471"/>
      <c r="ACI40" s="471"/>
      <c r="ACJ40" s="471"/>
      <c r="ACK40" s="471"/>
      <c r="ACL40" s="471"/>
      <c r="ACM40" s="471"/>
      <c r="ACN40" s="471"/>
      <c r="ACO40" s="471"/>
      <c r="ACP40" s="471"/>
      <c r="ACQ40" s="471"/>
      <c r="ACR40" s="471"/>
      <c r="ACS40" s="471"/>
      <c r="ACT40" s="471"/>
      <c r="ACU40" s="471"/>
      <c r="ACV40" s="471"/>
      <c r="ACW40" s="471"/>
      <c r="ACX40" s="471"/>
      <c r="ACY40" s="471"/>
      <c r="ACZ40" s="471"/>
      <c r="ADA40" s="471"/>
      <c r="ADB40" s="471"/>
      <c r="ADC40" s="471"/>
      <c r="ADD40" s="471"/>
      <c r="ADE40" s="471"/>
      <c r="ADF40" s="471"/>
      <c r="ADG40" s="471"/>
      <c r="ADH40" s="471"/>
      <c r="ADI40" s="471"/>
      <c r="ADJ40" s="471"/>
      <c r="ADK40" s="471"/>
      <c r="ADL40" s="471"/>
      <c r="ADM40" s="471"/>
      <c r="ADN40" s="471"/>
      <c r="ADO40" s="471"/>
      <c r="ADP40" s="471"/>
      <c r="ADQ40" s="471"/>
      <c r="ADR40" s="471"/>
      <c r="ADS40" s="471"/>
      <c r="ADT40" s="471"/>
      <c r="ADU40" s="471"/>
      <c r="ADV40" s="471"/>
      <c r="ADW40" s="471"/>
      <c r="ADX40" s="471"/>
      <c r="ADY40" s="471"/>
      <c r="ADZ40" s="471"/>
      <c r="AEA40" s="471"/>
      <c r="AEB40" s="471"/>
      <c r="AEC40" s="471"/>
      <c r="AED40" s="471"/>
      <c r="AEE40" s="471"/>
      <c r="AEF40" s="471"/>
      <c r="AEG40" s="471"/>
      <c r="AEH40" s="471"/>
      <c r="AEI40" s="471"/>
      <c r="AEJ40" s="471"/>
      <c r="AEK40" s="471"/>
      <c r="AEL40" s="471"/>
      <c r="AEM40" s="471"/>
      <c r="AEN40" s="471"/>
      <c r="AEO40" s="471"/>
      <c r="AEP40" s="471"/>
      <c r="AEQ40" s="471"/>
      <c r="AER40" s="471"/>
      <c r="AES40" s="471"/>
      <c r="AET40" s="471"/>
      <c r="AEU40" s="471"/>
      <c r="AEV40" s="471"/>
      <c r="AEW40" s="471"/>
      <c r="AEX40" s="471"/>
      <c r="AEY40" s="471"/>
      <c r="AEZ40" s="471"/>
      <c r="AFA40" s="471"/>
      <c r="AFB40" s="471"/>
      <c r="AFC40" s="471"/>
      <c r="AFD40" s="471"/>
      <c r="AFE40" s="471"/>
      <c r="AFF40" s="471"/>
      <c r="AFG40" s="471"/>
      <c r="AFH40" s="471"/>
      <c r="AFI40" s="471"/>
      <c r="AFJ40" s="471"/>
      <c r="AFK40" s="471"/>
      <c r="AFL40" s="471"/>
      <c r="AFM40" s="471"/>
      <c r="AFN40" s="471"/>
      <c r="AFO40" s="471"/>
      <c r="AFP40" s="471"/>
      <c r="AFQ40" s="471"/>
      <c r="AFR40" s="471"/>
      <c r="AFS40" s="471"/>
      <c r="AFT40" s="471"/>
      <c r="AFU40" s="471"/>
      <c r="AFV40" s="471"/>
      <c r="AFW40" s="471"/>
      <c r="AFX40" s="471"/>
      <c r="AFY40" s="471"/>
      <c r="AFZ40" s="471"/>
      <c r="AGA40" s="471"/>
      <c r="AGB40" s="471"/>
      <c r="AGC40" s="471"/>
      <c r="AGD40" s="471"/>
      <c r="AGE40" s="471"/>
      <c r="AGF40" s="471"/>
      <c r="AGG40" s="471"/>
      <c r="AGH40" s="471"/>
      <c r="AGI40" s="471"/>
      <c r="AGJ40" s="471"/>
      <c r="AGK40" s="471"/>
      <c r="AGL40" s="471"/>
      <c r="AGM40" s="471"/>
      <c r="AGN40" s="471"/>
      <c r="AGO40" s="471"/>
      <c r="AGP40" s="471"/>
      <c r="AGQ40" s="471"/>
      <c r="AGR40" s="471"/>
      <c r="AGS40" s="471"/>
      <c r="AGT40" s="471"/>
      <c r="AGU40" s="471"/>
      <c r="AGV40" s="471"/>
      <c r="AGW40" s="471"/>
      <c r="AGX40" s="471"/>
      <c r="AGY40" s="471"/>
      <c r="AGZ40" s="471"/>
      <c r="AHA40" s="471"/>
      <c r="AHB40" s="471"/>
      <c r="AHC40" s="471"/>
      <c r="AHD40" s="471"/>
      <c r="AHE40" s="471"/>
      <c r="AHF40" s="471"/>
      <c r="AHG40" s="471"/>
      <c r="AHH40" s="471"/>
      <c r="AHI40" s="471"/>
      <c r="AHJ40" s="471"/>
      <c r="AHK40" s="471"/>
      <c r="AHL40" s="471"/>
      <c r="AHM40" s="471"/>
      <c r="AHN40" s="471"/>
      <c r="AHO40" s="471"/>
      <c r="AHP40" s="471"/>
      <c r="AHQ40" s="471"/>
      <c r="AHR40" s="471"/>
      <c r="AHS40" s="471"/>
      <c r="AHT40" s="471"/>
      <c r="AHU40" s="471"/>
      <c r="AHV40" s="471"/>
      <c r="AHW40" s="471"/>
      <c r="AHX40" s="471"/>
      <c r="AHY40" s="471"/>
      <c r="AHZ40" s="471"/>
      <c r="AIA40" s="471"/>
      <c r="AIB40" s="471"/>
      <c r="AIC40" s="471"/>
      <c r="AID40" s="471"/>
      <c r="AIE40" s="471"/>
      <c r="AIF40" s="471"/>
      <c r="AIG40" s="471"/>
      <c r="AIH40" s="471"/>
      <c r="AII40" s="471"/>
      <c r="AIJ40" s="471"/>
      <c r="AIK40" s="471"/>
      <c r="AIL40" s="471"/>
      <c r="AIM40" s="471"/>
      <c r="AIN40" s="471"/>
      <c r="AIO40" s="471"/>
      <c r="AIP40" s="471"/>
      <c r="AIQ40" s="471"/>
      <c r="AIR40" s="471"/>
      <c r="AIS40" s="471"/>
      <c r="AIT40" s="471"/>
      <c r="AIU40" s="471"/>
      <c r="AIV40" s="471"/>
      <c r="AIW40" s="471"/>
      <c r="AIX40" s="471"/>
      <c r="AIY40" s="471"/>
      <c r="AIZ40" s="471"/>
      <c r="AJA40" s="471"/>
      <c r="AJB40" s="471"/>
      <c r="AJC40" s="471"/>
      <c r="AJD40" s="471"/>
      <c r="AJE40" s="471"/>
      <c r="AJF40" s="471"/>
      <c r="AJG40" s="471"/>
      <c r="AJH40" s="471"/>
      <c r="AJI40" s="471"/>
      <c r="AJJ40" s="471"/>
      <c r="AJK40" s="471"/>
      <c r="AJL40" s="471"/>
      <c r="AJM40" s="471"/>
      <c r="AJN40" s="471"/>
      <c r="AJO40" s="471"/>
      <c r="AJP40" s="471"/>
      <c r="AJQ40" s="471"/>
      <c r="AJR40" s="471"/>
      <c r="AJS40" s="471"/>
      <c r="AJT40" s="471"/>
      <c r="AJU40" s="471"/>
      <c r="AJV40" s="471"/>
      <c r="AJW40" s="471"/>
      <c r="AJX40" s="471"/>
      <c r="AJY40" s="471"/>
      <c r="AJZ40" s="471"/>
      <c r="AKA40" s="471"/>
      <c r="AKB40" s="471"/>
      <c r="AKC40" s="471"/>
      <c r="AKD40" s="471"/>
      <c r="AKE40" s="471"/>
      <c r="AKF40" s="471"/>
      <c r="AKG40" s="471"/>
      <c r="AKH40" s="471"/>
      <c r="AKI40" s="471"/>
      <c r="AKJ40" s="471"/>
      <c r="AKK40" s="471"/>
      <c r="AKL40" s="471"/>
      <c r="AKM40" s="471"/>
      <c r="AKN40" s="471"/>
      <c r="AKO40" s="471"/>
      <c r="AKP40" s="471"/>
      <c r="AKQ40" s="471"/>
      <c r="AKR40" s="471"/>
      <c r="AKS40" s="471"/>
      <c r="AKT40" s="471"/>
      <c r="AKU40" s="471"/>
      <c r="AKV40" s="471"/>
      <c r="AKW40" s="471"/>
      <c r="AKX40" s="471"/>
      <c r="AKY40" s="471"/>
      <c r="AKZ40" s="471"/>
      <c r="ALA40" s="471"/>
      <c r="ALB40" s="471"/>
      <c r="ALC40" s="471"/>
      <c r="ALD40" s="471"/>
      <c r="ALE40" s="471"/>
      <c r="ALF40" s="471"/>
      <c r="ALG40" s="471"/>
      <c r="ALH40" s="471"/>
      <c r="ALI40" s="471"/>
      <c r="ALJ40" s="471"/>
      <c r="ALK40" s="471"/>
      <c r="ALL40" s="471"/>
      <c r="ALM40" s="471"/>
      <c r="ALN40" s="471"/>
      <c r="ALO40" s="471"/>
      <c r="ALP40" s="471"/>
      <c r="ALQ40" s="471"/>
      <c r="ALR40" s="471"/>
      <c r="ALS40" s="471"/>
      <c r="ALT40" s="471"/>
      <c r="ALU40" s="471"/>
      <c r="ALV40" s="471"/>
      <c r="ALW40" s="471"/>
      <c r="ALX40" s="471"/>
      <c r="ALY40" s="471"/>
      <c r="ALZ40" s="471"/>
      <c r="AMA40" s="471"/>
      <c r="AMB40" s="471"/>
      <c r="AMC40" s="471"/>
      <c r="AMD40" s="471"/>
      <c r="AME40" s="471"/>
      <c r="AMF40" s="471"/>
      <c r="AMG40" s="471"/>
      <c r="AMH40" s="471"/>
      <c r="AMI40" s="471"/>
      <c r="AMJ40" s="471"/>
      <c r="AMK40" s="471"/>
      <c r="AML40" s="471"/>
      <c r="AMM40" s="471"/>
      <c r="AMN40" s="471"/>
      <c r="AMO40" s="471"/>
      <c r="AMP40" s="471"/>
      <c r="AMQ40" s="471"/>
      <c r="AMR40" s="471"/>
      <c r="AMS40" s="471"/>
      <c r="AMT40" s="471"/>
      <c r="AMU40" s="471"/>
      <c r="AMV40" s="471"/>
      <c r="AMW40" s="471"/>
      <c r="AMX40" s="471"/>
      <c r="AMY40" s="471"/>
      <c r="AMZ40" s="471"/>
      <c r="ANA40" s="471"/>
      <c r="ANB40" s="471"/>
      <c r="ANC40" s="471"/>
      <c r="AND40" s="471"/>
      <c r="ANE40" s="471"/>
      <c r="ANF40" s="471"/>
      <c r="ANG40" s="471"/>
      <c r="ANH40" s="471"/>
      <c r="ANI40" s="471"/>
      <c r="ANJ40" s="471"/>
      <c r="ANK40" s="471"/>
      <c r="ANL40" s="471"/>
      <c r="ANM40" s="471"/>
      <c r="ANN40" s="471"/>
      <c r="ANO40" s="471"/>
      <c r="ANP40" s="471"/>
      <c r="ANQ40" s="471"/>
      <c r="ANR40" s="471"/>
      <c r="ANS40" s="471"/>
      <c r="ANT40" s="471"/>
      <c r="ANU40" s="471"/>
      <c r="ANV40" s="471"/>
      <c r="ANW40" s="471"/>
      <c r="ANX40" s="471"/>
      <c r="ANY40" s="471"/>
      <c r="ANZ40" s="471"/>
      <c r="AOA40" s="471"/>
      <c r="AOB40" s="471"/>
      <c r="AOC40" s="471"/>
      <c r="AOD40" s="471"/>
      <c r="AOE40" s="471"/>
      <c r="AOF40" s="471"/>
      <c r="AOG40" s="471"/>
      <c r="AOH40" s="471"/>
      <c r="AOI40" s="471"/>
      <c r="AOJ40" s="471"/>
      <c r="AOK40" s="471"/>
      <c r="AOL40" s="471"/>
      <c r="AOM40" s="471"/>
      <c r="AON40" s="471"/>
      <c r="AOO40" s="471"/>
      <c r="AOP40" s="471"/>
      <c r="AOQ40" s="471"/>
      <c r="AOR40" s="471"/>
      <c r="AOS40" s="471"/>
      <c r="AOT40" s="471"/>
      <c r="AOU40" s="471"/>
      <c r="AOV40" s="471"/>
      <c r="AOW40" s="471"/>
      <c r="AOX40" s="471"/>
      <c r="AOY40" s="471"/>
      <c r="AOZ40" s="471"/>
      <c r="APA40" s="471"/>
      <c r="APB40" s="471"/>
      <c r="APC40" s="471"/>
      <c r="APD40" s="471"/>
      <c r="APE40" s="471"/>
      <c r="APF40" s="471"/>
      <c r="APG40" s="471"/>
      <c r="APH40" s="471"/>
      <c r="API40" s="471"/>
      <c r="APJ40" s="471"/>
      <c r="APK40" s="471"/>
      <c r="APL40" s="471"/>
      <c r="APM40" s="471"/>
      <c r="APN40" s="471"/>
      <c r="APO40" s="471"/>
      <c r="APP40" s="471"/>
      <c r="APQ40" s="471"/>
      <c r="APR40" s="471"/>
      <c r="APS40" s="471"/>
      <c r="APT40" s="471"/>
      <c r="APU40" s="471"/>
      <c r="APV40" s="471"/>
      <c r="APW40" s="471"/>
      <c r="APX40" s="471"/>
      <c r="APY40" s="471"/>
      <c r="APZ40" s="471"/>
      <c r="AQA40" s="471"/>
      <c r="AQB40" s="471"/>
      <c r="AQC40" s="471"/>
      <c r="AQD40" s="471"/>
      <c r="AQE40" s="471"/>
      <c r="AQF40" s="471"/>
      <c r="AQG40" s="471"/>
      <c r="AQH40" s="471"/>
      <c r="AQI40" s="471"/>
      <c r="AQJ40" s="471"/>
      <c r="AQK40" s="471"/>
      <c r="AQL40" s="471"/>
      <c r="AQM40" s="471"/>
      <c r="AQN40" s="471"/>
      <c r="AQO40" s="471"/>
      <c r="AQP40" s="471"/>
      <c r="AQQ40" s="471"/>
      <c r="AQR40" s="471"/>
      <c r="AQS40" s="471"/>
      <c r="AQT40" s="471"/>
      <c r="AQU40" s="471"/>
      <c r="AQV40" s="471"/>
      <c r="AQW40" s="471"/>
      <c r="AQX40" s="471"/>
      <c r="AQY40" s="471"/>
      <c r="AQZ40" s="471"/>
      <c r="ARA40" s="471"/>
      <c r="ARB40" s="471"/>
      <c r="ARC40" s="471"/>
      <c r="ARD40" s="471"/>
      <c r="ARE40" s="471"/>
      <c r="ARF40" s="471"/>
      <c r="ARG40" s="471"/>
      <c r="ARH40" s="471"/>
      <c r="ARI40" s="471"/>
      <c r="ARJ40" s="471"/>
      <c r="ARK40" s="471"/>
      <c r="ARL40" s="471"/>
      <c r="ARM40" s="471"/>
      <c r="ARN40" s="471"/>
      <c r="ARO40" s="471"/>
      <c r="ARP40" s="471"/>
      <c r="ARQ40" s="471"/>
      <c r="ARR40" s="471"/>
      <c r="ARS40" s="471"/>
      <c r="ART40" s="471"/>
      <c r="ARU40" s="471"/>
      <c r="ARV40" s="471"/>
      <c r="ARW40" s="471"/>
      <c r="ARX40" s="471"/>
      <c r="ARY40" s="471"/>
      <c r="ARZ40" s="471"/>
      <c r="ASA40" s="471"/>
      <c r="ASB40" s="471"/>
      <c r="ASC40" s="471"/>
      <c r="ASD40" s="471"/>
      <c r="ASE40" s="471"/>
      <c r="ASF40" s="471"/>
      <c r="ASG40" s="471"/>
      <c r="ASH40" s="471"/>
      <c r="ASI40" s="471"/>
      <c r="ASJ40" s="471"/>
      <c r="ASK40" s="471"/>
      <c r="ASL40" s="471"/>
      <c r="ASM40" s="471"/>
      <c r="ASN40" s="471"/>
      <c r="ASO40" s="471"/>
      <c r="ASP40" s="471"/>
      <c r="ASQ40" s="471"/>
      <c r="ASR40" s="471"/>
      <c r="ASS40" s="471"/>
      <c r="AST40" s="471"/>
      <c r="ASU40" s="471"/>
      <c r="ASV40" s="471"/>
      <c r="ASW40" s="471"/>
      <c r="ASX40" s="471"/>
      <c r="ASY40" s="471"/>
      <c r="ASZ40" s="471"/>
      <c r="ATA40" s="471"/>
      <c r="ATB40" s="471"/>
      <c r="ATC40" s="471"/>
      <c r="ATD40" s="471"/>
      <c r="ATE40" s="471"/>
      <c r="ATF40" s="471"/>
      <c r="ATG40" s="471"/>
      <c r="ATH40" s="471"/>
      <c r="ATI40" s="471"/>
      <c r="ATJ40" s="471"/>
      <c r="ATK40" s="471"/>
      <c r="ATL40" s="471"/>
      <c r="ATM40" s="471"/>
      <c r="ATN40" s="471"/>
      <c r="ATO40" s="471"/>
      <c r="ATP40" s="471"/>
      <c r="ATQ40" s="471"/>
      <c r="ATR40" s="471"/>
      <c r="ATS40" s="471"/>
      <c r="ATT40" s="471"/>
      <c r="ATU40" s="471"/>
      <c r="ATV40" s="471"/>
      <c r="ATW40" s="471"/>
      <c r="ATX40" s="471"/>
      <c r="ATY40" s="471"/>
      <c r="ATZ40" s="471"/>
      <c r="AUA40" s="471"/>
      <c r="AUB40" s="471"/>
      <c r="AUC40" s="471"/>
      <c r="AUD40" s="471"/>
      <c r="AUE40" s="471"/>
      <c r="AUF40" s="471"/>
      <c r="AUG40" s="471"/>
      <c r="AUH40" s="471"/>
      <c r="AUI40" s="471"/>
      <c r="AUJ40" s="471"/>
      <c r="AUK40" s="471"/>
      <c r="AUL40" s="471"/>
      <c r="AUM40" s="471"/>
      <c r="AUN40" s="471"/>
      <c r="AUO40" s="471"/>
      <c r="AUP40" s="471"/>
      <c r="AUQ40" s="471"/>
      <c r="AUR40" s="471"/>
      <c r="AUS40" s="471"/>
      <c r="AUT40" s="471"/>
      <c r="AUU40" s="471"/>
      <c r="AUV40" s="471"/>
      <c r="AUW40" s="471"/>
      <c r="AUX40" s="471"/>
      <c r="AUY40" s="471"/>
      <c r="AUZ40" s="471"/>
      <c r="AVA40" s="471"/>
      <c r="AVB40" s="471"/>
      <c r="AVC40" s="471"/>
      <c r="AVD40" s="471"/>
      <c r="AVE40" s="471"/>
      <c r="AVF40" s="471"/>
      <c r="AVG40" s="471"/>
      <c r="AVH40" s="471"/>
      <c r="AVI40" s="471"/>
      <c r="AVJ40" s="471"/>
      <c r="AVK40" s="471"/>
      <c r="AVL40" s="471"/>
      <c r="AVM40" s="471"/>
      <c r="AVN40" s="471"/>
      <c r="AVO40" s="471"/>
      <c r="AVP40" s="471"/>
      <c r="AVQ40" s="471"/>
      <c r="AVR40" s="471"/>
      <c r="AVS40" s="471"/>
      <c r="AVT40" s="471"/>
      <c r="AVU40" s="471"/>
      <c r="AVV40" s="471"/>
      <c r="AVW40" s="471"/>
      <c r="AVX40" s="471"/>
      <c r="AVY40" s="471"/>
      <c r="AVZ40" s="471"/>
      <c r="AWA40" s="471"/>
      <c r="AWB40" s="471"/>
      <c r="AWC40" s="471"/>
      <c r="AWD40" s="471"/>
      <c r="AWE40" s="471"/>
      <c r="AWF40" s="471"/>
      <c r="AWG40" s="471"/>
      <c r="AWH40" s="471"/>
      <c r="AWI40" s="471"/>
      <c r="AWJ40" s="471"/>
      <c r="AWK40" s="471"/>
      <c r="AWL40" s="471"/>
      <c r="AWM40" s="471"/>
      <c r="AWN40" s="471"/>
      <c r="AWO40" s="471"/>
      <c r="AWP40" s="471"/>
      <c r="AWQ40" s="471"/>
      <c r="AWR40" s="471"/>
      <c r="AWS40" s="471"/>
      <c r="AWT40" s="471"/>
      <c r="AWU40" s="471"/>
      <c r="AWV40" s="471"/>
      <c r="AWW40" s="471"/>
      <c r="AWX40" s="471"/>
      <c r="AWY40" s="471"/>
      <c r="AWZ40" s="471"/>
      <c r="AXA40" s="471"/>
      <c r="AXB40" s="471"/>
      <c r="AXC40" s="471"/>
      <c r="AXD40" s="471"/>
      <c r="AXE40" s="471"/>
      <c r="AXF40" s="471"/>
      <c r="AXG40" s="471"/>
      <c r="AXH40" s="471"/>
      <c r="AXI40" s="471"/>
      <c r="AXJ40" s="471"/>
      <c r="AXK40" s="471"/>
      <c r="AXL40" s="471"/>
      <c r="AXM40" s="471"/>
      <c r="AXN40" s="471"/>
      <c r="AXO40" s="471"/>
      <c r="AXP40" s="471"/>
      <c r="AXQ40" s="471"/>
      <c r="AXR40" s="471"/>
      <c r="AXS40" s="471"/>
      <c r="AXT40" s="471"/>
      <c r="AXU40" s="471"/>
      <c r="AXV40" s="471"/>
      <c r="AXW40" s="471"/>
      <c r="AXX40" s="471"/>
      <c r="AXY40" s="471"/>
      <c r="AXZ40" s="471"/>
      <c r="AYA40" s="471"/>
      <c r="AYB40" s="471"/>
      <c r="AYC40" s="471"/>
      <c r="AYD40" s="471"/>
      <c r="AYE40" s="471"/>
      <c r="AYF40" s="471"/>
      <c r="AYG40" s="471"/>
      <c r="AYH40" s="471"/>
      <c r="AYI40" s="471"/>
      <c r="AYJ40" s="471"/>
      <c r="AYK40" s="471"/>
      <c r="AYL40" s="471"/>
      <c r="AYM40" s="471"/>
      <c r="AYN40" s="471"/>
      <c r="AYO40" s="471"/>
      <c r="AYP40" s="471"/>
      <c r="AYQ40" s="471"/>
      <c r="AYR40" s="471"/>
      <c r="AYS40" s="471"/>
      <c r="AYT40" s="471"/>
      <c r="AYU40" s="471"/>
      <c r="AYV40" s="471"/>
      <c r="AYW40" s="471"/>
      <c r="AYX40" s="471"/>
      <c r="AYY40" s="471"/>
      <c r="AYZ40" s="471"/>
      <c r="AZA40" s="471"/>
      <c r="AZB40" s="471"/>
      <c r="AZC40" s="471"/>
      <c r="AZD40" s="471"/>
      <c r="AZE40" s="471"/>
      <c r="AZF40" s="471"/>
      <c r="AZG40" s="471"/>
      <c r="AZH40" s="471"/>
      <c r="AZI40" s="471"/>
      <c r="AZJ40" s="471"/>
      <c r="AZK40" s="471"/>
      <c r="AZL40" s="471"/>
      <c r="AZM40" s="471"/>
      <c r="AZN40" s="471"/>
      <c r="AZO40" s="471"/>
      <c r="AZP40" s="471"/>
      <c r="AZQ40" s="471"/>
      <c r="AZR40" s="471"/>
      <c r="AZS40" s="471"/>
      <c r="AZT40" s="471"/>
      <c r="AZU40" s="471"/>
      <c r="AZV40" s="471"/>
      <c r="AZW40" s="471"/>
      <c r="AZX40" s="471"/>
      <c r="AZY40" s="471"/>
      <c r="AZZ40" s="471"/>
      <c r="BAA40" s="471"/>
      <c r="BAB40" s="471"/>
      <c r="BAC40" s="471"/>
      <c r="BAD40" s="471"/>
      <c r="BAE40" s="471"/>
      <c r="BAF40" s="471"/>
      <c r="BAG40" s="471"/>
      <c r="BAH40" s="471"/>
      <c r="BAI40" s="471"/>
      <c r="BAJ40" s="471"/>
      <c r="BAK40" s="471"/>
      <c r="BAL40" s="471"/>
      <c r="BAM40" s="471"/>
      <c r="BAN40" s="471"/>
      <c r="BAO40" s="471"/>
      <c r="BAP40" s="471"/>
      <c r="BAQ40" s="471"/>
      <c r="BAR40" s="471"/>
      <c r="BAS40" s="471"/>
      <c r="BAT40" s="471"/>
      <c r="BAU40" s="471"/>
      <c r="BAV40" s="471"/>
      <c r="BAW40" s="471"/>
      <c r="BAX40" s="471"/>
      <c r="BAY40" s="471"/>
      <c r="BAZ40" s="471"/>
      <c r="BBA40" s="471"/>
      <c r="BBB40" s="471"/>
      <c r="BBC40" s="471"/>
      <c r="BBD40" s="471"/>
      <c r="BBE40" s="471"/>
      <c r="BBF40" s="471"/>
      <c r="BBG40" s="471"/>
      <c r="BBH40" s="471"/>
      <c r="BBI40" s="471"/>
      <c r="BBJ40" s="471"/>
      <c r="BBK40" s="471"/>
      <c r="BBL40" s="471"/>
      <c r="BBM40" s="471"/>
      <c r="BBN40" s="471"/>
      <c r="BBO40" s="471"/>
      <c r="BBP40" s="471"/>
      <c r="BBQ40" s="471"/>
      <c r="BBR40" s="471"/>
      <c r="BBS40" s="471"/>
      <c r="BBT40" s="471"/>
      <c r="BBU40" s="471"/>
      <c r="BBV40" s="471"/>
      <c r="BBW40" s="471"/>
      <c r="BBX40" s="471"/>
      <c r="BBY40" s="471"/>
      <c r="BBZ40" s="471"/>
      <c r="BCA40" s="471"/>
      <c r="BCB40" s="471"/>
      <c r="BCC40" s="471"/>
      <c r="BCD40" s="471"/>
      <c r="BCE40" s="471"/>
      <c r="BCF40" s="471"/>
      <c r="BCG40" s="471"/>
      <c r="BCH40" s="471"/>
      <c r="BCI40" s="471"/>
      <c r="BCJ40" s="471"/>
      <c r="BCK40" s="471"/>
      <c r="BCL40" s="471"/>
      <c r="BCM40" s="471"/>
      <c r="BCN40" s="471"/>
      <c r="BCO40" s="471"/>
      <c r="BCP40" s="471"/>
      <c r="BCQ40" s="471"/>
      <c r="BCR40" s="471"/>
      <c r="BCS40" s="471"/>
      <c r="BCT40" s="471"/>
      <c r="BCU40" s="471"/>
      <c r="BCV40" s="471"/>
      <c r="BCW40" s="471"/>
      <c r="BCX40" s="471"/>
      <c r="BCY40" s="471"/>
      <c r="BCZ40" s="471"/>
      <c r="BDA40" s="471"/>
      <c r="BDB40" s="471"/>
      <c r="BDC40" s="471"/>
      <c r="BDD40" s="471"/>
      <c r="BDE40" s="471"/>
      <c r="BDF40" s="471"/>
      <c r="BDG40" s="471"/>
      <c r="BDH40" s="471"/>
      <c r="BDI40" s="471"/>
      <c r="BDJ40" s="471"/>
      <c r="BDK40" s="471"/>
      <c r="BDL40" s="471"/>
      <c r="BDM40" s="471"/>
      <c r="BDN40" s="471"/>
      <c r="BDO40" s="471"/>
      <c r="BDP40" s="471"/>
      <c r="BDQ40" s="471"/>
      <c r="BDR40" s="471"/>
      <c r="BDS40" s="471"/>
      <c r="BDT40" s="471"/>
      <c r="BDU40" s="471"/>
      <c r="BDV40" s="471"/>
      <c r="BDW40" s="471"/>
      <c r="BDX40" s="471"/>
      <c r="BDY40" s="471"/>
      <c r="BDZ40" s="471"/>
      <c r="BEA40" s="471"/>
      <c r="BEB40" s="471"/>
      <c r="BEC40" s="471"/>
      <c r="BED40" s="471"/>
      <c r="BEE40" s="471"/>
      <c r="BEF40" s="471"/>
      <c r="BEG40" s="471"/>
      <c r="BEH40" s="471"/>
      <c r="BEI40" s="471"/>
      <c r="BEJ40" s="471"/>
      <c r="BEK40" s="471"/>
      <c r="BEL40" s="471"/>
      <c r="BEM40" s="471"/>
      <c r="BEN40" s="471"/>
      <c r="BEO40" s="471"/>
      <c r="BEP40" s="471"/>
      <c r="BEQ40" s="471"/>
      <c r="BER40" s="471"/>
      <c r="BES40" s="471"/>
      <c r="BET40" s="471"/>
      <c r="BEU40" s="471"/>
      <c r="BEV40" s="471"/>
      <c r="BEW40" s="471"/>
      <c r="BEX40" s="471"/>
      <c r="BEY40" s="471"/>
      <c r="BEZ40" s="471"/>
      <c r="BFA40" s="471"/>
      <c r="BFB40" s="471"/>
      <c r="BFC40" s="471"/>
      <c r="BFD40" s="471"/>
      <c r="BFE40" s="471"/>
      <c r="BFF40" s="471"/>
      <c r="BFG40" s="471"/>
      <c r="BFH40" s="471"/>
      <c r="BFI40" s="471"/>
      <c r="BFJ40" s="471"/>
      <c r="BFK40" s="471"/>
      <c r="BFL40" s="471"/>
      <c r="BFM40" s="471"/>
      <c r="BFN40" s="471"/>
      <c r="BFO40" s="471"/>
      <c r="BFP40" s="471"/>
      <c r="BFQ40" s="471"/>
      <c r="BFR40" s="471"/>
      <c r="BFS40" s="471"/>
      <c r="BFT40" s="471"/>
      <c r="BFU40" s="471"/>
      <c r="BFV40" s="471"/>
      <c r="BFW40" s="471"/>
      <c r="BFX40" s="471"/>
      <c r="BFY40" s="471"/>
      <c r="BFZ40" s="471"/>
      <c r="BGA40" s="471"/>
      <c r="BGB40" s="471"/>
      <c r="BGC40" s="471"/>
      <c r="BGD40" s="471"/>
      <c r="BGE40" s="471"/>
      <c r="BGF40" s="471"/>
      <c r="BGG40" s="471"/>
      <c r="BGH40" s="471"/>
      <c r="BGI40" s="471"/>
      <c r="BGJ40" s="471"/>
      <c r="BGK40" s="471"/>
      <c r="BGL40" s="471"/>
      <c r="BGM40" s="471"/>
      <c r="BGN40" s="471"/>
      <c r="BGO40" s="471"/>
      <c r="BGP40" s="471"/>
      <c r="BGQ40" s="471"/>
      <c r="BGR40" s="471"/>
      <c r="BGS40" s="471"/>
      <c r="BGT40" s="471"/>
      <c r="BGU40" s="471"/>
      <c r="BGV40" s="471"/>
      <c r="BGW40" s="471"/>
      <c r="BGX40" s="471"/>
      <c r="BGY40" s="471"/>
      <c r="BGZ40" s="471"/>
      <c r="BHA40" s="471"/>
      <c r="BHB40" s="471"/>
      <c r="BHC40" s="471"/>
      <c r="BHD40" s="471"/>
      <c r="BHE40" s="471"/>
      <c r="BHF40" s="471"/>
      <c r="BHG40" s="471"/>
      <c r="BHH40" s="471"/>
      <c r="BHI40" s="471"/>
      <c r="BHJ40" s="471"/>
      <c r="BHK40" s="471"/>
      <c r="BHL40" s="471"/>
      <c r="BHM40" s="471"/>
      <c r="BHN40" s="471"/>
      <c r="BHO40" s="471"/>
      <c r="BHP40" s="471"/>
      <c r="BHQ40" s="471"/>
      <c r="BHR40" s="471"/>
      <c r="BHS40" s="471"/>
      <c r="BHT40" s="471"/>
      <c r="BHU40" s="471"/>
      <c r="BHV40" s="471"/>
      <c r="BHW40" s="471"/>
      <c r="BHX40" s="471"/>
      <c r="BHY40" s="471"/>
      <c r="BHZ40" s="471"/>
      <c r="BIA40" s="471"/>
      <c r="BIB40" s="471"/>
      <c r="BIC40" s="471"/>
      <c r="BID40" s="471"/>
      <c r="BIE40" s="471"/>
      <c r="BIF40" s="471"/>
      <c r="BIG40" s="471"/>
      <c r="BIH40" s="471"/>
      <c r="BII40" s="471"/>
      <c r="BIJ40" s="471"/>
      <c r="BIK40" s="471"/>
      <c r="BIL40" s="471"/>
      <c r="BIM40" s="471"/>
      <c r="BIN40" s="471"/>
      <c r="BIO40" s="471"/>
      <c r="BIP40" s="471"/>
      <c r="BIQ40" s="471"/>
      <c r="BIR40" s="471"/>
      <c r="BIS40" s="471"/>
      <c r="BIT40" s="471"/>
      <c r="BIU40" s="471"/>
      <c r="BIV40" s="471"/>
      <c r="BIW40" s="471"/>
      <c r="BIX40" s="471"/>
      <c r="BIY40" s="471"/>
      <c r="BIZ40" s="471"/>
      <c r="BJA40" s="471"/>
      <c r="BJB40" s="471"/>
      <c r="BJC40" s="471"/>
      <c r="BJD40" s="471"/>
      <c r="BJE40" s="471"/>
      <c r="BJF40" s="471"/>
      <c r="BJG40" s="471"/>
      <c r="BJH40" s="471"/>
      <c r="BJI40" s="471"/>
      <c r="BJJ40" s="471"/>
      <c r="BJK40" s="471"/>
      <c r="BJL40" s="471"/>
      <c r="BJM40" s="471"/>
      <c r="BJN40" s="471"/>
      <c r="BJO40" s="471"/>
      <c r="BJP40" s="471"/>
      <c r="BJQ40" s="471"/>
      <c r="BJR40" s="471"/>
      <c r="BJS40" s="471"/>
      <c r="BJT40" s="471"/>
      <c r="BJU40" s="471"/>
      <c r="BJV40" s="471"/>
      <c r="BJW40" s="471"/>
      <c r="BJX40" s="471"/>
      <c r="BJY40" s="471"/>
      <c r="BJZ40" s="471"/>
      <c r="BKA40" s="471"/>
      <c r="BKB40" s="471"/>
      <c r="BKC40" s="471"/>
      <c r="BKD40" s="471"/>
      <c r="BKE40" s="471"/>
      <c r="BKF40" s="471"/>
      <c r="BKG40" s="471"/>
      <c r="BKH40" s="471"/>
      <c r="BKI40" s="471"/>
      <c r="BKJ40" s="471"/>
      <c r="BKK40" s="471"/>
      <c r="BKL40" s="471"/>
      <c r="BKM40" s="471"/>
      <c r="BKN40" s="471"/>
      <c r="BKO40" s="471"/>
      <c r="BKP40" s="471"/>
      <c r="BKQ40" s="471"/>
      <c r="BKR40" s="471"/>
      <c r="BKS40" s="471"/>
      <c r="BKT40" s="471"/>
      <c r="BKU40" s="471"/>
      <c r="BKV40" s="471"/>
      <c r="BKW40" s="471"/>
      <c r="BKX40" s="471"/>
      <c r="BKY40" s="471"/>
      <c r="BKZ40" s="471"/>
      <c r="BLA40" s="471"/>
      <c r="BLB40" s="471"/>
      <c r="BLC40" s="471"/>
      <c r="BLD40" s="471"/>
      <c r="BLE40" s="471"/>
      <c r="BLF40" s="471"/>
      <c r="BLG40" s="471"/>
      <c r="BLH40" s="471"/>
      <c r="BLI40" s="471"/>
      <c r="BLJ40" s="471"/>
      <c r="BLK40" s="471"/>
      <c r="BLL40" s="471"/>
      <c r="BLM40" s="471"/>
      <c r="BLN40" s="471"/>
      <c r="BLO40" s="471"/>
      <c r="BLP40" s="471"/>
      <c r="BLQ40" s="471"/>
      <c r="BLR40" s="471"/>
      <c r="BLS40" s="471"/>
      <c r="BLT40" s="471"/>
      <c r="BLU40" s="471"/>
      <c r="BLV40" s="471"/>
      <c r="BLW40" s="471"/>
      <c r="BLX40" s="471"/>
      <c r="BLY40" s="471"/>
      <c r="BLZ40" s="471"/>
      <c r="BMA40" s="471"/>
      <c r="BMB40" s="471"/>
      <c r="BMC40" s="471"/>
      <c r="BMD40" s="471"/>
      <c r="BME40" s="471"/>
      <c r="BMF40" s="471"/>
      <c r="BMG40" s="471"/>
      <c r="BMH40" s="471"/>
      <c r="BMI40" s="471"/>
      <c r="BMJ40" s="471"/>
      <c r="BMK40" s="471"/>
      <c r="BML40" s="471"/>
      <c r="BMM40" s="471"/>
      <c r="BMN40" s="471"/>
      <c r="BMO40" s="471"/>
      <c r="BMP40" s="471"/>
      <c r="BMQ40" s="471"/>
      <c r="BMR40" s="471"/>
      <c r="BMS40" s="471"/>
      <c r="BMT40" s="471"/>
      <c r="BMU40" s="471"/>
      <c r="BMV40" s="471"/>
      <c r="BMW40" s="471"/>
      <c r="BMX40" s="471"/>
      <c r="BMY40" s="471"/>
      <c r="BMZ40" s="471"/>
      <c r="BNA40" s="471"/>
      <c r="BNB40" s="471"/>
      <c r="BNC40" s="471"/>
      <c r="BND40" s="471"/>
      <c r="BNE40" s="471"/>
      <c r="BNF40" s="471"/>
      <c r="BNG40" s="471"/>
      <c r="BNH40" s="471"/>
      <c r="BNI40" s="471"/>
      <c r="BNJ40" s="471"/>
      <c r="BNK40" s="471"/>
      <c r="BNL40" s="471"/>
      <c r="BNM40" s="471"/>
      <c r="BNN40" s="471"/>
      <c r="BNO40" s="471"/>
      <c r="BNP40" s="471"/>
      <c r="BNQ40" s="471"/>
      <c r="BNR40" s="471"/>
      <c r="BNS40" s="471"/>
      <c r="BNT40" s="471"/>
      <c r="BNU40" s="471"/>
      <c r="BNV40" s="471"/>
      <c r="BNW40" s="471"/>
      <c r="BNX40" s="471"/>
      <c r="BNY40" s="471"/>
      <c r="BNZ40" s="471"/>
      <c r="BOA40" s="471"/>
      <c r="BOB40" s="471"/>
      <c r="BOC40" s="471"/>
      <c r="BOD40" s="471"/>
      <c r="BOE40" s="471"/>
      <c r="BOF40" s="471"/>
      <c r="BOG40" s="471"/>
      <c r="BOH40" s="471"/>
      <c r="BOI40" s="471"/>
      <c r="BOJ40" s="471"/>
      <c r="BOK40" s="471"/>
      <c r="BOL40" s="471"/>
      <c r="BOM40" s="471"/>
      <c r="BON40" s="471"/>
      <c r="BOO40" s="471"/>
      <c r="BOP40" s="471"/>
      <c r="BOQ40" s="471"/>
      <c r="BOR40" s="471"/>
      <c r="BOS40" s="471"/>
      <c r="BOT40" s="471"/>
      <c r="BOU40" s="471"/>
      <c r="BOV40" s="471"/>
      <c r="BOW40" s="471"/>
      <c r="BOX40" s="471"/>
      <c r="BOY40" s="471"/>
      <c r="BOZ40" s="471"/>
      <c r="BPA40" s="471"/>
      <c r="BPB40" s="471"/>
      <c r="BPC40" s="471"/>
      <c r="BPD40" s="471"/>
      <c r="BPE40" s="471"/>
      <c r="BPF40" s="471"/>
      <c r="BPG40" s="471"/>
      <c r="BPH40" s="471"/>
      <c r="BPI40" s="471"/>
      <c r="BPJ40" s="471"/>
      <c r="BPK40" s="471"/>
      <c r="BPL40" s="471"/>
      <c r="BPM40" s="471"/>
      <c r="BPN40" s="471"/>
      <c r="BPO40" s="471"/>
      <c r="BPP40" s="471"/>
      <c r="BPQ40" s="471"/>
      <c r="BPR40" s="471"/>
      <c r="BPS40" s="471"/>
      <c r="BPT40" s="471"/>
      <c r="BPU40" s="471"/>
      <c r="BPV40" s="471"/>
      <c r="BPW40" s="471"/>
      <c r="BPX40" s="471"/>
      <c r="BPY40" s="471"/>
      <c r="BPZ40" s="471"/>
      <c r="BQA40" s="471"/>
      <c r="BQB40" s="471"/>
      <c r="BQC40" s="471"/>
      <c r="BQD40" s="471"/>
      <c r="BQE40" s="471"/>
      <c r="BQF40" s="471"/>
      <c r="BQG40" s="471"/>
      <c r="BQH40" s="471"/>
      <c r="BQI40" s="471"/>
      <c r="BQJ40" s="471"/>
      <c r="BQK40" s="471"/>
      <c r="BQL40" s="471"/>
      <c r="BQM40" s="471"/>
      <c r="BQN40" s="471"/>
      <c r="BQO40" s="471"/>
      <c r="BQP40" s="471"/>
      <c r="BQQ40" s="471"/>
      <c r="BQR40" s="471"/>
      <c r="BQS40" s="471"/>
      <c r="BQT40" s="471"/>
      <c r="BQU40" s="471"/>
      <c r="BQV40" s="471"/>
      <c r="BQW40" s="471"/>
      <c r="BQX40" s="471"/>
      <c r="BQY40" s="471"/>
      <c r="BQZ40" s="471"/>
      <c r="BRA40" s="471"/>
      <c r="BRB40" s="471"/>
      <c r="BRC40" s="471"/>
      <c r="BRD40" s="471"/>
      <c r="BRE40" s="471"/>
      <c r="BRF40" s="471"/>
      <c r="BRG40" s="471"/>
      <c r="BRH40" s="471"/>
      <c r="BRI40" s="471"/>
      <c r="BRJ40" s="471"/>
      <c r="BRK40" s="471"/>
      <c r="BRL40" s="471"/>
      <c r="BRM40" s="471"/>
      <c r="BRN40" s="471"/>
      <c r="BRO40" s="471"/>
      <c r="BRP40" s="471"/>
      <c r="BRQ40" s="471"/>
      <c r="BRR40" s="471"/>
      <c r="BRS40" s="471"/>
      <c r="BRT40" s="471"/>
      <c r="BRU40" s="471"/>
      <c r="BRV40" s="471"/>
      <c r="BRW40" s="471"/>
      <c r="BRX40" s="471"/>
      <c r="BRY40" s="471"/>
      <c r="BRZ40" s="471"/>
      <c r="BSA40" s="471"/>
      <c r="BSB40" s="471"/>
      <c r="BSC40" s="471"/>
      <c r="BSD40" s="471"/>
      <c r="BSE40" s="471"/>
      <c r="BSF40" s="471"/>
      <c r="BSG40" s="471"/>
      <c r="BSH40" s="471"/>
      <c r="BSI40" s="471"/>
      <c r="BSJ40" s="471"/>
      <c r="BSK40" s="471"/>
      <c r="BSL40" s="471"/>
      <c r="BSM40" s="471"/>
      <c r="BSN40" s="471"/>
      <c r="BSO40" s="471"/>
      <c r="BSP40" s="471"/>
      <c r="BSQ40" s="471"/>
      <c r="BSR40" s="471"/>
      <c r="BSS40" s="471"/>
      <c r="BST40" s="471"/>
      <c r="BSU40" s="471"/>
      <c r="BSV40" s="471"/>
      <c r="BSW40" s="471"/>
      <c r="BSX40" s="471"/>
      <c r="BSY40" s="471"/>
      <c r="BSZ40" s="471"/>
      <c r="BTA40" s="471"/>
      <c r="BTB40" s="471"/>
      <c r="BTC40" s="471"/>
      <c r="BTD40" s="471"/>
      <c r="BTE40" s="471"/>
      <c r="BTF40" s="471"/>
      <c r="BTG40" s="471"/>
      <c r="BTH40" s="471"/>
      <c r="BTI40" s="471"/>
      <c r="BTJ40" s="471"/>
      <c r="BTK40" s="471"/>
      <c r="BTL40" s="471"/>
      <c r="BTM40" s="471"/>
      <c r="BTN40" s="471"/>
      <c r="BTO40" s="471"/>
      <c r="BTP40" s="471"/>
      <c r="BTQ40" s="471"/>
      <c r="BTR40" s="471"/>
      <c r="BTS40" s="471"/>
      <c r="BTT40" s="471"/>
      <c r="BTU40" s="471"/>
      <c r="BTV40" s="471"/>
      <c r="BTW40" s="471"/>
      <c r="BTX40" s="471"/>
      <c r="BTY40" s="471"/>
      <c r="BTZ40" s="471"/>
      <c r="BUA40" s="471"/>
      <c r="BUB40" s="471"/>
      <c r="BUC40" s="471"/>
      <c r="BUD40" s="471"/>
      <c r="BUE40" s="471"/>
      <c r="BUF40" s="471"/>
      <c r="BUG40" s="471"/>
      <c r="BUH40" s="471"/>
      <c r="BUI40" s="471"/>
      <c r="BUJ40" s="471"/>
      <c r="BUK40" s="471"/>
      <c r="BUL40" s="471"/>
      <c r="BUM40" s="471"/>
      <c r="BUN40" s="471"/>
      <c r="BUO40" s="471"/>
      <c r="BUP40" s="471"/>
      <c r="BUQ40" s="471"/>
      <c r="BUR40" s="471"/>
      <c r="BUS40" s="471"/>
      <c r="BUT40" s="471"/>
      <c r="BUU40" s="471"/>
      <c r="BUV40" s="471"/>
      <c r="BUW40" s="471"/>
      <c r="BUX40" s="471"/>
      <c r="BUY40" s="471"/>
      <c r="BUZ40" s="471"/>
      <c r="BVA40" s="471"/>
      <c r="BVB40" s="471"/>
      <c r="BVC40" s="471"/>
      <c r="BVD40" s="471"/>
      <c r="BVE40" s="471"/>
      <c r="BVF40" s="471"/>
      <c r="BVG40" s="471"/>
      <c r="BVH40" s="471"/>
      <c r="BVI40" s="471"/>
      <c r="BVJ40" s="471"/>
      <c r="BVK40" s="471"/>
      <c r="BVL40" s="471"/>
      <c r="BVM40" s="471"/>
      <c r="BVN40" s="471"/>
      <c r="BVO40" s="471"/>
      <c r="BVP40" s="471"/>
      <c r="BVQ40" s="471"/>
      <c r="BVR40" s="471"/>
      <c r="BVS40" s="471"/>
      <c r="BVT40" s="471"/>
      <c r="BVU40" s="471"/>
      <c r="BVV40" s="471"/>
      <c r="BVW40" s="471"/>
      <c r="BVX40" s="471"/>
      <c r="BVY40" s="471"/>
      <c r="BVZ40" s="471"/>
      <c r="BWA40" s="471"/>
      <c r="BWB40" s="471"/>
      <c r="BWC40" s="471"/>
      <c r="BWD40" s="471"/>
      <c r="BWE40" s="471"/>
      <c r="BWF40" s="471"/>
      <c r="BWG40" s="471"/>
      <c r="BWH40" s="471"/>
      <c r="BWI40" s="471"/>
      <c r="BWJ40" s="471"/>
      <c r="BWK40" s="471"/>
      <c r="BWL40" s="471"/>
      <c r="BWM40" s="471"/>
      <c r="BWN40" s="471"/>
      <c r="BWO40" s="471"/>
      <c r="BWP40" s="471"/>
      <c r="BWQ40" s="471"/>
      <c r="BWR40" s="471"/>
      <c r="BWS40" s="471"/>
      <c r="BWT40" s="471"/>
      <c r="BWU40" s="471"/>
      <c r="BWV40" s="471"/>
      <c r="BWW40" s="471"/>
      <c r="BWX40" s="471"/>
      <c r="BWY40" s="471"/>
      <c r="BWZ40" s="471"/>
      <c r="BXA40" s="471"/>
      <c r="BXB40" s="471"/>
      <c r="BXC40" s="471"/>
      <c r="BXD40" s="471"/>
      <c r="BXE40" s="471"/>
      <c r="BXF40" s="471"/>
      <c r="BXG40" s="471"/>
      <c r="BXH40" s="471"/>
      <c r="BXI40" s="471"/>
      <c r="BXJ40" s="471"/>
      <c r="BXK40" s="471"/>
      <c r="BXL40" s="471"/>
      <c r="BXM40" s="471"/>
      <c r="BXN40" s="471"/>
      <c r="BXO40" s="471"/>
      <c r="BXP40" s="471"/>
      <c r="BXQ40" s="471"/>
      <c r="BXR40" s="471"/>
      <c r="BXS40" s="471"/>
      <c r="BXT40" s="471"/>
      <c r="BXU40" s="471"/>
      <c r="BXV40" s="471"/>
      <c r="BXW40" s="471"/>
      <c r="BXX40" s="471"/>
      <c r="BXY40" s="471"/>
      <c r="BXZ40" s="471"/>
      <c r="BYA40" s="471"/>
      <c r="BYB40" s="471"/>
      <c r="BYC40" s="471"/>
      <c r="BYD40" s="471"/>
      <c r="BYE40" s="471"/>
      <c r="BYF40" s="471"/>
      <c r="BYG40" s="471"/>
      <c r="BYH40" s="471"/>
      <c r="BYI40" s="471"/>
      <c r="BYJ40" s="471"/>
      <c r="BYK40" s="471"/>
      <c r="BYL40" s="471"/>
      <c r="BYM40" s="471"/>
      <c r="BYN40" s="471"/>
      <c r="BYO40" s="471"/>
      <c r="BYP40" s="471"/>
      <c r="BYQ40" s="471"/>
      <c r="BYR40" s="471"/>
      <c r="BYS40" s="471"/>
      <c r="BYT40" s="471"/>
      <c r="BYU40" s="471"/>
      <c r="BYV40" s="471"/>
      <c r="BYW40" s="471"/>
      <c r="BYX40" s="471"/>
      <c r="BYY40" s="471"/>
      <c r="BYZ40" s="471"/>
      <c r="BZA40" s="471"/>
      <c r="BZB40" s="471"/>
      <c r="BZC40" s="471"/>
      <c r="BZD40" s="471"/>
      <c r="BZE40" s="471"/>
      <c r="BZF40" s="471"/>
      <c r="BZG40" s="471"/>
      <c r="BZH40" s="471"/>
      <c r="BZI40" s="471"/>
      <c r="BZJ40" s="471"/>
      <c r="BZK40" s="471"/>
      <c r="BZL40" s="471"/>
      <c r="BZM40" s="471"/>
      <c r="BZN40" s="471"/>
      <c r="BZO40" s="471"/>
      <c r="BZP40" s="471"/>
      <c r="BZQ40" s="471"/>
      <c r="BZR40" s="471"/>
      <c r="BZS40" s="471"/>
      <c r="BZT40" s="471"/>
      <c r="BZU40" s="471"/>
      <c r="BZV40" s="471"/>
      <c r="BZW40" s="471"/>
      <c r="BZX40" s="471"/>
      <c r="BZY40" s="471"/>
      <c r="BZZ40" s="471"/>
      <c r="CAA40" s="471"/>
      <c r="CAB40" s="471"/>
      <c r="CAC40" s="471"/>
      <c r="CAD40" s="471"/>
      <c r="CAE40" s="471"/>
      <c r="CAF40" s="471"/>
      <c r="CAG40" s="471"/>
      <c r="CAH40" s="471"/>
      <c r="CAI40" s="471"/>
      <c r="CAJ40" s="471"/>
      <c r="CAK40" s="471"/>
      <c r="CAL40" s="471"/>
      <c r="CAM40" s="471"/>
      <c r="CAN40" s="471"/>
      <c r="CAO40" s="471"/>
      <c r="CAP40" s="471"/>
      <c r="CAQ40" s="471"/>
      <c r="CAR40" s="471"/>
      <c r="CAS40" s="471"/>
      <c r="CAT40" s="471"/>
      <c r="CAU40" s="471"/>
      <c r="CAV40" s="471"/>
      <c r="CAW40" s="471"/>
      <c r="CAX40" s="471"/>
      <c r="CAY40" s="471"/>
      <c r="CAZ40" s="471"/>
      <c r="CBA40" s="471"/>
      <c r="CBB40" s="471"/>
      <c r="CBC40" s="471"/>
      <c r="CBD40" s="471"/>
      <c r="CBE40" s="471"/>
      <c r="CBF40" s="471"/>
      <c r="CBG40" s="471"/>
      <c r="CBH40" s="471"/>
      <c r="CBI40" s="471"/>
      <c r="CBJ40" s="471"/>
      <c r="CBK40" s="471"/>
      <c r="CBL40" s="471"/>
      <c r="CBM40" s="471"/>
      <c r="CBN40" s="471"/>
      <c r="CBO40" s="471"/>
      <c r="CBP40" s="471"/>
      <c r="CBQ40" s="471"/>
      <c r="CBR40" s="471"/>
      <c r="CBS40" s="471"/>
      <c r="CBT40" s="471"/>
      <c r="CBU40" s="471"/>
      <c r="CBV40" s="471"/>
      <c r="CBW40" s="471"/>
      <c r="CBX40" s="471"/>
      <c r="CBY40" s="471"/>
      <c r="CBZ40" s="471"/>
      <c r="CCA40" s="471"/>
      <c r="CCB40" s="471"/>
      <c r="CCC40" s="471"/>
      <c r="CCD40" s="471"/>
      <c r="CCE40" s="471"/>
      <c r="CCF40" s="471"/>
      <c r="CCG40" s="471"/>
      <c r="CCH40" s="471"/>
      <c r="CCI40" s="471"/>
      <c r="CCJ40" s="471"/>
      <c r="CCK40" s="471"/>
      <c r="CCL40" s="471"/>
      <c r="CCM40" s="471"/>
      <c r="CCN40" s="471"/>
      <c r="CCO40" s="471"/>
      <c r="CCP40" s="471"/>
      <c r="CCQ40" s="471"/>
      <c r="CCR40" s="471"/>
      <c r="CCS40" s="471"/>
      <c r="CCT40" s="471"/>
      <c r="CCU40" s="471"/>
      <c r="CCV40" s="471"/>
      <c r="CCW40" s="471"/>
      <c r="CCX40" s="471"/>
      <c r="CCY40" s="471"/>
      <c r="CCZ40" s="471"/>
      <c r="CDA40" s="471"/>
      <c r="CDB40" s="471"/>
      <c r="CDC40" s="471"/>
      <c r="CDD40" s="471"/>
      <c r="CDE40" s="471"/>
      <c r="CDF40" s="471"/>
      <c r="CDG40" s="471"/>
      <c r="CDH40" s="471"/>
      <c r="CDI40" s="471"/>
      <c r="CDJ40" s="471"/>
      <c r="CDK40" s="471"/>
      <c r="CDL40" s="471"/>
      <c r="CDM40" s="471"/>
      <c r="CDN40" s="471"/>
      <c r="CDO40" s="471"/>
      <c r="CDP40" s="471"/>
      <c r="CDQ40" s="471"/>
      <c r="CDR40" s="471"/>
      <c r="CDS40" s="471"/>
      <c r="CDT40" s="471"/>
      <c r="CDU40" s="471"/>
      <c r="CDV40" s="471"/>
      <c r="CDW40" s="471"/>
      <c r="CDX40" s="471"/>
      <c r="CDY40" s="471"/>
      <c r="CDZ40" s="471"/>
      <c r="CEA40" s="471"/>
      <c r="CEB40" s="471"/>
      <c r="CEC40" s="471"/>
      <c r="CED40" s="471"/>
      <c r="CEE40" s="471"/>
      <c r="CEF40" s="471"/>
      <c r="CEG40" s="471"/>
      <c r="CEH40" s="471"/>
      <c r="CEI40" s="471"/>
      <c r="CEJ40" s="471"/>
      <c r="CEK40" s="471"/>
      <c r="CEL40" s="471"/>
      <c r="CEM40" s="471"/>
      <c r="CEN40" s="471"/>
      <c r="CEO40" s="471"/>
      <c r="CEP40" s="471"/>
      <c r="CEQ40" s="471"/>
      <c r="CER40" s="471"/>
      <c r="CES40" s="471"/>
      <c r="CET40" s="471"/>
      <c r="CEU40" s="471"/>
      <c r="CEV40" s="471"/>
      <c r="CEW40" s="471"/>
      <c r="CEX40" s="471"/>
      <c r="CEY40" s="471"/>
      <c r="CEZ40" s="471"/>
      <c r="CFA40" s="471"/>
      <c r="CFB40" s="471"/>
      <c r="CFC40" s="471"/>
      <c r="CFD40" s="471"/>
      <c r="CFE40" s="471"/>
      <c r="CFF40" s="471"/>
      <c r="CFG40" s="471"/>
      <c r="CFH40" s="471"/>
      <c r="CFI40" s="471"/>
      <c r="CFJ40" s="471"/>
      <c r="CFK40" s="471"/>
      <c r="CFL40" s="471"/>
      <c r="CFM40" s="471"/>
      <c r="CFN40" s="471"/>
      <c r="CFO40" s="471"/>
      <c r="CFP40" s="471"/>
      <c r="CFQ40" s="471"/>
      <c r="CFR40" s="471"/>
      <c r="CFS40" s="471"/>
      <c r="CFT40" s="471"/>
      <c r="CFU40" s="471"/>
      <c r="CFV40" s="471"/>
      <c r="CFW40" s="471"/>
      <c r="CFX40" s="471"/>
      <c r="CFY40" s="471"/>
      <c r="CFZ40" s="471"/>
      <c r="CGA40" s="471"/>
      <c r="CGB40" s="471"/>
      <c r="CGC40" s="471"/>
      <c r="CGD40" s="471"/>
      <c r="CGE40" s="471"/>
      <c r="CGF40" s="471"/>
      <c r="CGG40" s="471"/>
      <c r="CGH40" s="471"/>
      <c r="CGI40" s="471"/>
      <c r="CGJ40" s="471"/>
      <c r="CGK40" s="471"/>
      <c r="CGL40" s="471"/>
      <c r="CGM40" s="471"/>
      <c r="CGN40" s="471"/>
      <c r="CGO40" s="471"/>
      <c r="CGP40" s="471"/>
      <c r="CGQ40" s="471"/>
      <c r="CGR40" s="471"/>
      <c r="CGS40" s="471"/>
      <c r="CGT40" s="471"/>
      <c r="CGU40" s="471"/>
      <c r="CGV40" s="471"/>
      <c r="CGW40" s="471"/>
      <c r="CGX40" s="471"/>
      <c r="CGY40" s="471"/>
      <c r="CGZ40" s="471"/>
      <c r="CHA40" s="471"/>
      <c r="CHB40" s="471"/>
      <c r="CHC40" s="471"/>
      <c r="CHD40" s="471"/>
      <c r="CHE40" s="471"/>
      <c r="CHF40" s="471"/>
      <c r="CHG40" s="471"/>
      <c r="CHH40" s="471"/>
      <c r="CHI40" s="471"/>
      <c r="CHJ40" s="471"/>
      <c r="CHK40" s="471"/>
      <c r="CHL40" s="471"/>
      <c r="CHM40" s="471"/>
      <c r="CHN40" s="471"/>
      <c r="CHO40" s="471"/>
      <c r="CHP40" s="471"/>
      <c r="CHQ40" s="471"/>
      <c r="CHR40" s="471"/>
      <c r="CHS40" s="471"/>
      <c r="CHT40" s="471"/>
      <c r="CHU40" s="471"/>
      <c r="CHV40" s="471"/>
      <c r="CHW40" s="471"/>
      <c r="CHX40" s="471"/>
      <c r="CHY40" s="471"/>
      <c r="CHZ40" s="471"/>
      <c r="CIA40" s="471"/>
      <c r="CIB40" s="471"/>
      <c r="CIC40" s="471"/>
      <c r="CID40" s="471"/>
      <c r="CIE40" s="471"/>
      <c r="CIF40" s="471"/>
      <c r="CIG40" s="471"/>
      <c r="CIH40" s="471"/>
      <c r="CII40" s="471"/>
      <c r="CIJ40" s="471"/>
      <c r="CIK40" s="471"/>
      <c r="CIL40" s="471"/>
      <c r="CIM40" s="471"/>
      <c r="CIN40" s="471"/>
      <c r="CIO40" s="471"/>
      <c r="CIP40" s="471"/>
      <c r="CIQ40" s="471"/>
      <c r="CIR40" s="471"/>
      <c r="CIS40" s="471"/>
      <c r="CIT40" s="471"/>
      <c r="CIU40" s="471"/>
      <c r="CIV40" s="471"/>
      <c r="CIW40" s="471"/>
      <c r="CIX40" s="471"/>
      <c r="CIY40" s="471"/>
      <c r="CIZ40" s="471"/>
      <c r="CJA40" s="471"/>
      <c r="CJB40" s="471"/>
      <c r="CJC40" s="471"/>
      <c r="CJD40" s="471"/>
      <c r="CJE40" s="471"/>
      <c r="CJF40" s="471"/>
      <c r="CJG40" s="471"/>
      <c r="CJH40" s="471"/>
      <c r="CJI40" s="471"/>
      <c r="CJJ40" s="471"/>
      <c r="CJK40" s="471"/>
      <c r="CJL40" s="471"/>
      <c r="CJM40" s="471"/>
      <c r="CJN40" s="471"/>
      <c r="CJO40" s="471"/>
      <c r="CJP40" s="471"/>
      <c r="CJQ40" s="471"/>
      <c r="CJR40" s="471"/>
      <c r="CJS40" s="471"/>
      <c r="CJT40" s="471"/>
      <c r="CJU40" s="471"/>
      <c r="CJV40" s="471"/>
      <c r="CJW40" s="471"/>
      <c r="CJX40" s="471"/>
      <c r="CJY40" s="471"/>
      <c r="CJZ40" s="471"/>
      <c r="CKA40" s="471"/>
      <c r="CKB40" s="471"/>
      <c r="CKC40" s="471"/>
      <c r="CKD40" s="471"/>
      <c r="CKE40" s="471"/>
      <c r="CKF40" s="471"/>
      <c r="CKG40" s="471"/>
      <c r="CKH40" s="471"/>
      <c r="CKI40" s="471"/>
      <c r="CKJ40" s="471"/>
      <c r="CKK40" s="471"/>
      <c r="CKL40" s="471"/>
      <c r="CKM40" s="471"/>
      <c r="CKN40" s="471"/>
      <c r="CKO40" s="471"/>
      <c r="CKP40" s="471"/>
      <c r="CKQ40" s="471"/>
      <c r="CKR40" s="471"/>
      <c r="CKS40" s="471"/>
      <c r="CKT40" s="471"/>
      <c r="CKU40" s="471"/>
      <c r="CKV40" s="471"/>
      <c r="CKW40" s="471"/>
      <c r="CKX40" s="471"/>
      <c r="CKY40" s="471"/>
      <c r="CKZ40" s="471"/>
      <c r="CLA40" s="471"/>
      <c r="CLB40" s="471"/>
      <c r="CLC40" s="471"/>
      <c r="CLD40" s="471"/>
      <c r="CLE40" s="471"/>
      <c r="CLF40" s="471"/>
      <c r="CLG40" s="471"/>
      <c r="CLH40" s="471"/>
      <c r="CLI40" s="471"/>
      <c r="CLJ40" s="471"/>
      <c r="CLK40" s="471"/>
      <c r="CLL40" s="471"/>
      <c r="CLM40" s="471"/>
      <c r="CLN40" s="471"/>
      <c r="CLO40" s="471"/>
      <c r="CLP40" s="471"/>
      <c r="CLQ40" s="471"/>
      <c r="CLR40" s="471"/>
      <c r="CLS40" s="471"/>
      <c r="CLT40" s="471"/>
      <c r="CLU40" s="471"/>
      <c r="CLV40" s="471"/>
      <c r="CLW40" s="471"/>
      <c r="CLX40" s="471"/>
      <c r="CLY40" s="471"/>
      <c r="CLZ40" s="471"/>
      <c r="CMA40" s="471"/>
      <c r="CMB40" s="471"/>
      <c r="CMC40" s="471"/>
      <c r="CMD40" s="471"/>
      <c r="CME40" s="471"/>
      <c r="CMF40" s="471"/>
      <c r="CMG40" s="471"/>
      <c r="CMH40" s="471"/>
      <c r="CMI40" s="471"/>
      <c r="CMJ40" s="471"/>
      <c r="CMK40" s="471"/>
      <c r="CML40" s="471"/>
      <c r="CMM40" s="471"/>
      <c r="CMN40" s="471"/>
      <c r="CMO40" s="471"/>
      <c r="CMP40" s="471"/>
      <c r="CMQ40" s="471"/>
      <c r="CMR40" s="471"/>
      <c r="CMS40" s="471"/>
      <c r="CMT40" s="471"/>
      <c r="CMU40" s="471"/>
      <c r="CMV40" s="471"/>
      <c r="CMW40" s="471"/>
      <c r="CMX40" s="471"/>
      <c r="CMY40" s="471"/>
      <c r="CMZ40" s="471"/>
      <c r="CNA40" s="471"/>
      <c r="CNB40" s="471"/>
      <c r="CNC40" s="471"/>
      <c r="CND40" s="471"/>
      <c r="CNE40" s="471"/>
      <c r="CNF40" s="471"/>
      <c r="CNG40" s="471"/>
      <c r="CNH40" s="471"/>
      <c r="CNI40" s="471"/>
      <c r="CNJ40" s="471"/>
      <c r="CNK40" s="471"/>
      <c r="CNL40" s="471"/>
      <c r="CNM40" s="471"/>
      <c r="CNN40" s="471"/>
      <c r="CNO40" s="471"/>
      <c r="CNP40" s="471"/>
      <c r="CNQ40" s="471"/>
      <c r="CNR40" s="471"/>
      <c r="CNS40" s="471"/>
      <c r="CNT40" s="471"/>
      <c r="CNU40" s="471"/>
      <c r="CNV40" s="471"/>
      <c r="CNW40" s="471"/>
      <c r="CNX40" s="471"/>
      <c r="CNY40" s="471"/>
      <c r="CNZ40" s="471"/>
      <c r="COA40" s="471"/>
      <c r="COB40" s="471"/>
      <c r="COC40" s="471"/>
      <c r="COD40" s="471"/>
      <c r="COE40" s="471"/>
      <c r="COF40" s="471"/>
      <c r="COG40" s="471"/>
      <c r="COH40" s="471"/>
      <c r="COI40" s="471"/>
      <c r="COJ40" s="471"/>
      <c r="COK40" s="471"/>
      <c r="COL40" s="471"/>
      <c r="COM40" s="471"/>
      <c r="CON40" s="471"/>
      <c r="COO40" s="471"/>
      <c r="COP40" s="471"/>
      <c r="COQ40" s="471"/>
      <c r="COR40" s="471"/>
      <c r="COS40" s="471"/>
      <c r="COT40" s="471"/>
      <c r="COU40" s="471"/>
      <c r="COV40" s="471"/>
      <c r="COW40" s="471"/>
      <c r="COX40" s="471"/>
      <c r="COY40" s="471"/>
      <c r="COZ40" s="471"/>
      <c r="CPA40" s="471"/>
      <c r="CPB40" s="471"/>
      <c r="CPC40" s="471"/>
      <c r="CPD40" s="471"/>
      <c r="CPE40" s="471"/>
      <c r="CPF40" s="471"/>
      <c r="CPG40" s="471"/>
      <c r="CPH40" s="471"/>
      <c r="CPI40" s="471"/>
      <c r="CPJ40" s="471"/>
      <c r="CPK40" s="471"/>
      <c r="CPL40" s="471"/>
      <c r="CPM40" s="471"/>
      <c r="CPN40" s="471"/>
      <c r="CPO40" s="471"/>
      <c r="CPP40" s="471"/>
      <c r="CPQ40" s="471"/>
      <c r="CPR40" s="471"/>
      <c r="CPS40" s="471"/>
      <c r="CPT40" s="471"/>
      <c r="CPU40" s="471"/>
      <c r="CPV40" s="471"/>
      <c r="CPW40" s="471"/>
      <c r="CPX40" s="471"/>
      <c r="CPY40" s="471"/>
      <c r="CPZ40" s="471"/>
      <c r="CQA40" s="471"/>
      <c r="CQB40" s="471"/>
      <c r="CQC40" s="471"/>
      <c r="CQD40" s="471"/>
      <c r="CQE40" s="471"/>
      <c r="CQF40" s="471"/>
      <c r="CQG40" s="471"/>
      <c r="CQH40" s="471"/>
      <c r="CQI40" s="471"/>
      <c r="CQJ40" s="471"/>
      <c r="CQK40" s="471"/>
      <c r="CQL40" s="471"/>
      <c r="CQM40" s="471"/>
      <c r="CQN40" s="471"/>
      <c r="CQO40" s="471"/>
      <c r="CQP40" s="471"/>
      <c r="CQQ40" s="471"/>
      <c r="CQR40" s="471"/>
      <c r="CQS40" s="471"/>
      <c r="CQT40" s="471"/>
      <c r="CQU40" s="471"/>
      <c r="CQV40" s="471"/>
      <c r="CQW40" s="471"/>
      <c r="CQX40" s="471"/>
      <c r="CQY40" s="471"/>
      <c r="CQZ40" s="471"/>
      <c r="CRA40" s="471"/>
      <c r="CRB40" s="471"/>
      <c r="CRC40" s="471"/>
      <c r="CRD40" s="471"/>
      <c r="CRE40" s="471"/>
      <c r="CRF40" s="471"/>
      <c r="CRG40" s="471"/>
      <c r="CRH40" s="471"/>
      <c r="CRI40" s="471"/>
      <c r="CRJ40" s="471"/>
      <c r="CRK40" s="471"/>
      <c r="CRL40" s="471"/>
      <c r="CRM40" s="471"/>
      <c r="CRN40" s="471"/>
      <c r="CRO40" s="471"/>
      <c r="CRP40" s="471"/>
      <c r="CRQ40" s="471"/>
      <c r="CRR40" s="471"/>
      <c r="CRS40" s="471"/>
      <c r="CRT40" s="471"/>
      <c r="CRU40" s="471"/>
      <c r="CRV40" s="471"/>
      <c r="CRW40" s="471"/>
      <c r="CRX40" s="471"/>
      <c r="CRY40" s="471"/>
      <c r="CRZ40" s="471"/>
      <c r="CSA40" s="471"/>
      <c r="CSB40" s="471"/>
      <c r="CSC40" s="471"/>
      <c r="CSD40" s="471"/>
      <c r="CSE40" s="471"/>
      <c r="CSF40" s="471"/>
      <c r="CSG40" s="471"/>
      <c r="CSH40" s="471"/>
      <c r="CSI40" s="471"/>
      <c r="CSJ40" s="471"/>
      <c r="CSK40" s="471"/>
      <c r="CSL40" s="471"/>
      <c r="CSM40" s="471"/>
      <c r="CSN40" s="471"/>
      <c r="CSO40" s="471"/>
      <c r="CSP40" s="471"/>
      <c r="CSQ40" s="471"/>
      <c r="CSR40" s="471"/>
      <c r="CSS40" s="471"/>
      <c r="CST40" s="471"/>
      <c r="CSU40" s="471"/>
      <c r="CSV40" s="471"/>
      <c r="CSW40" s="471"/>
      <c r="CSX40" s="471"/>
      <c r="CSY40" s="471"/>
      <c r="CSZ40" s="471"/>
      <c r="CTA40" s="471"/>
      <c r="CTB40" s="471"/>
      <c r="CTC40" s="471"/>
      <c r="CTD40" s="471"/>
      <c r="CTE40" s="471"/>
      <c r="CTF40" s="471"/>
      <c r="CTG40" s="471"/>
      <c r="CTH40" s="471"/>
      <c r="CTI40" s="471"/>
      <c r="CTJ40" s="471"/>
      <c r="CTK40" s="471"/>
      <c r="CTL40" s="471"/>
      <c r="CTM40" s="471"/>
      <c r="CTN40" s="471"/>
      <c r="CTO40" s="471"/>
      <c r="CTP40" s="471"/>
      <c r="CTQ40" s="471"/>
      <c r="CTR40" s="471"/>
      <c r="CTS40" s="471"/>
      <c r="CTT40" s="471"/>
      <c r="CTU40" s="471"/>
      <c r="CTV40" s="471"/>
      <c r="CTW40" s="471"/>
      <c r="CTX40" s="471"/>
      <c r="CTY40" s="471"/>
      <c r="CTZ40" s="471"/>
      <c r="CUA40" s="471"/>
      <c r="CUB40" s="471"/>
      <c r="CUC40" s="471"/>
      <c r="CUD40" s="471"/>
      <c r="CUE40" s="471"/>
      <c r="CUF40" s="471"/>
      <c r="CUG40" s="471"/>
      <c r="CUH40" s="471"/>
      <c r="CUI40" s="471"/>
      <c r="CUJ40" s="471"/>
      <c r="CUK40" s="471"/>
      <c r="CUL40" s="471"/>
      <c r="CUM40" s="471"/>
      <c r="CUN40" s="471"/>
      <c r="CUO40" s="471"/>
      <c r="CUP40" s="471"/>
      <c r="CUQ40" s="471"/>
      <c r="CUR40" s="471"/>
      <c r="CUS40" s="471"/>
      <c r="CUT40" s="471"/>
      <c r="CUU40" s="471"/>
      <c r="CUV40" s="471"/>
      <c r="CUW40" s="471"/>
      <c r="CUX40" s="471"/>
      <c r="CUY40" s="471"/>
      <c r="CUZ40" s="471"/>
      <c r="CVA40" s="471"/>
      <c r="CVB40" s="471"/>
      <c r="CVC40" s="471"/>
      <c r="CVD40" s="471"/>
      <c r="CVE40" s="471"/>
      <c r="CVF40" s="471"/>
      <c r="CVG40" s="471"/>
      <c r="CVH40" s="471"/>
      <c r="CVI40" s="471"/>
      <c r="CVJ40" s="471"/>
      <c r="CVK40" s="471"/>
      <c r="CVL40" s="471"/>
      <c r="CVM40" s="471"/>
      <c r="CVN40" s="471"/>
      <c r="CVO40" s="471"/>
      <c r="CVP40" s="471"/>
      <c r="CVQ40" s="471"/>
      <c r="CVR40" s="471"/>
      <c r="CVS40" s="471"/>
      <c r="CVT40" s="471"/>
      <c r="CVU40" s="471"/>
      <c r="CVV40" s="471"/>
      <c r="CVW40" s="471"/>
      <c r="CVX40" s="471"/>
      <c r="CVY40" s="471"/>
      <c r="CVZ40" s="471"/>
      <c r="CWA40" s="471"/>
      <c r="CWB40" s="471"/>
      <c r="CWC40" s="471"/>
      <c r="CWD40" s="471"/>
      <c r="CWE40" s="471"/>
      <c r="CWF40" s="471"/>
      <c r="CWG40" s="471"/>
      <c r="CWH40" s="471"/>
      <c r="CWI40" s="471"/>
      <c r="CWJ40" s="471"/>
      <c r="CWK40" s="471"/>
      <c r="CWL40" s="471"/>
      <c r="CWM40" s="471"/>
      <c r="CWN40" s="471"/>
      <c r="CWO40" s="471"/>
      <c r="CWP40" s="471"/>
      <c r="CWQ40" s="471"/>
      <c r="CWR40" s="471"/>
      <c r="CWS40" s="471"/>
      <c r="CWT40" s="471"/>
      <c r="CWU40" s="471"/>
      <c r="CWV40" s="471"/>
      <c r="CWW40" s="471"/>
      <c r="CWX40" s="471"/>
      <c r="CWY40" s="471"/>
      <c r="CWZ40" s="471"/>
      <c r="CXA40" s="471"/>
      <c r="CXB40" s="471"/>
      <c r="CXC40" s="471"/>
      <c r="CXD40" s="471"/>
      <c r="CXE40" s="471"/>
      <c r="CXF40" s="471"/>
      <c r="CXG40" s="471"/>
      <c r="CXH40" s="471"/>
      <c r="CXI40" s="471"/>
      <c r="CXJ40" s="471"/>
      <c r="CXK40" s="471"/>
      <c r="CXL40" s="471"/>
      <c r="CXM40" s="471"/>
      <c r="CXN40" s="471"/>
      <c r="CXO40" s="471"/>
      <c r="CXP40" s="471"/>
      <c r="CXQ40" s="471"/>
      <c r="CXR40" s="471"/>
      <c r="CXS40" s="471"/>
      <c r="CXT40" s="471"/>
      <c r="CXU40" s="471"/>
      <c r="CXV40" s="471"/>
      <c r="CXW40" s="471"/>
      <c r="CXX40" s="471"/>
      <c r="CXY40" s="471"/>
      <c r="CXZ40" s="471"/>
      <c r="CYA40" s="471"/>
      <c r="CYB40" s="471"/>
      <c r="CYC40" s="471"/>
      <c r="CYD40" s="471"/>
      <c r="CYE40" s="471"/>
      <c r="CYF40" s="471"/>
      <c r="CYG40" s="471"/>
      <c r="CYH40" s="471"/>
      <c r="CYI40" s="471"/>
      <c r="CYJ40" s="471"/>
      <c r="CYK40" s="471"/>
      <c r="CYL40" s="471"/>
      <c r="CYM40" s="471"/>
      <c r="CYN40" s="471"/>
      <c r="CYO40" s="471"/>
      <c r="CYP40" s="471"/>
      <c r="CYQ40" s="471"/>
      <c r="CYR40" s="471"/>
      <c r="CYS40" s="471"/>
      <c r="CYT40" s="471"/>
      <c r="CYU40" s="471"/>
      <c r="CYV40" s="471"/>
      <c r="CYW40" s="471"/>
      <c r="CYX40" s="471"/>
      <c r="CYY40" s="471"/>
      <c r="CYZ40" s="471"/>
      <c r="CZA40" s="471"/>
      <c r="CZB40" s="471"/>
      <c r="CZC40" s="471"/>
      <c r="CZD40" s="471"/>
      <c r="CZE40" s="471"/>
      <c r="CZF40" s="471"/>
      <c r="CZG40" s="471"/>
      <c r="CZH40" s="471"/>
      <c r="CZI40" s="471"/>
      <c r="CZJ40" s="471"/>
      <c r="CZK40" s="471"/>
      <c r="CZL40" s="471"/>
      <c r="CZM40" s="471"/>
      <c r="CZN40" s="471"/>
      <c r="CZO40" s="471"/>
      <c r="CZP40" s="471"/>
      <c r="CZQ40" s="471"/>
      <c r="CZR40" s="471"/>
      <c r="CZS40" s="471"/>
      <c r="CZT40" s="471"/>
      <c r="CZU40" s="471"/>
      <c r="CZV40" s="471"/>
      <c r="CZW40" s="471"/>
      <c r="CZX40" s="471"/>
      <c r="CZY40" s="471"/>
      <c r="CZZ40" s="471"/>
      <c r="DAA40" s="471"/>
      <c r="DAB40" s="471"/>
      <c r="DAC40" s="471"/>
      <c r="DAD40" s="471"/>
      <c r="DAE40" s="471"/>
      <c r="DAF40" s="471"/>
      <c r="DAG40" s="471"/>
      <c r="DAH40" s="471"/>
      <c r="DAI40" s="471"/>
      <c r="DAJ40" s="471"/>
      <c r="DAK40" s="471"/>
      <c r="DAL40" s="471"/>
      <c r="DAM40" s="471"/>
      <c r="DAN40" s="471"/>
      <c r="DAO40" s="471"/>
      <c r="DAP40" s="471"/>
      <c r="DAQ40" s="471"/>
      <c r="DAR40" s="471"/>
      <c r="DAS40" s="471"/>
      <c r="DAT40" s="471"/>
      <c r="DAU40" s="471"/>
      <c r="DAV40" s="471"/>
      <c r="DAW40" s="471"/>
      <c r="DAX40" s="471"/>
      <c r="DAY40" s="471"/>
      <c r="DAZ40" s="471"/>
      <c r="DBA40" s="471"/>
      <c r="DBB40" s="471"/>
      <c r="DBC40" s="471"/>
      <c r="DBD40" s="471"/>
      <c r="DBE40" s="471"/>
      <c r="DBF40" s="471"/>
      <c r="DBG40" s="471"/>
      <c r="DBH40" s="471"/>
      <c r="DBI40" s="471"/>
      <c r="DBJ40" s="471"/>
      <c r="DBK40" s="471"/>
      <c r="DBL40" s="471"/>
      <c r="DBM40" s="471"/>
      <c r="DBN40" s="471"/>
      <c r="DBO40" s="471"/>
      <c r="DBP40" s="471"/>
      <c r="DBQ40" s="471"/>
      <c r="DBR40" s="471"/>
      <c r="DBS40" s="471"/>
      <c r="DBT40" s="471"/>
      <c r="DBU40" s="471"/>
      <c r="DBV40" s="471"/>
      <c r="DBW40" s="471"/>
      <c r="DBX40" s="471"/>
      <c r="DBY40" s="471"/>
      <c r="DBZ40" s="471"/>
      <c r="DCA40" s="471"/>
      <c r="DCB40" s="471"/>
      <c r="DCC40" s="471"/>
      <c r="DCD40" s="471"/>
      <c r="DCE40" s="471"/>
      <c r="DCF40" s="471"/>
      <c r="DCG40" s="471"/>
      <c r="DCH40" s="471"/>
      <c r="DCI40" s="471"/>
      <c r="DCJ40" s="471"/>
      <c r="DCK40" s="471"/>
      <c r="DCL40" s="471"/>
      <c r="DCM40" s="471"/>
      <c r="DCN40" s="471"/>
      <c r="DCO40" s="471"/>
      <c r="DCP40" s="471"/>
      <c r="DCQ40" s="471"/>
      <c r="DCR40" s="471"/>
      <c r="DCS40" s="471"/>
      <c r="DCT40" s="471"/>
      <c r="DCU40" s="471"/>
      <c r="DCV40" s="471"/>
      <c r="DCW40" s="471"/>
      <c r="DCX40" s="471"/>
      <c r="DCY40" s="471"/>
      <c r="DCZ40" s="471"/>
      <c r="DDA40" s="471"/>
      <c r="DDB40" s="471"/>
      <c r="DDC40" s="471"/>
      <c r="DDD40" s="471"/>
      <c r="DDE40" s="471"/>
      <c r="DDF40" s="471"/>
      <c r="DDG40" s="471"/>
      <c r="DDH40" s="471"/>
      <c r="DDI40" s="471"/>
      <c r="DDJ40" s="471"/>
      <c r="DDK40" s="471"/>
      <c r="DDL40" s="471"/>
      <c r="DDM40" s="471"/>
      <c r="DDN40" s="471"/>
      <c r="DDO40" s="471"/>
      <c r="DDP40" s="471"/>
      <c r="DDQ40" s="471"/>
      <c r="DDR40" s="471"/>
      <c r="DDS40" s="471"/>
      <c r="DDT40" s="471"/>
      <c r="DDU40" s="471"/>
      <c r="DDV40" s="471"/>
      <c r="DDW40" s="471"/>
      <c r="DDX40" s="471"/>
      <c r="DDY40" s="471"/>
      <c r="DDZ40" s="471"/>
      <c r="DEA40" s="471"/>
      <c r="DEB40" s="471"/>
      <c r="DEC40" s="471"/>
      <c r="DED40" s="471"/>
      <c r="DEE40" s="471"/>
      <c r="DEF40" s="471"/>
      <c r="DEG40" s="471"/>
      <c r="DEH40" s="471"/>
      <c r="DEI40" s="471"/>
      <c r="DEJ40" s="471"/>
      <c r="DEK40" s="471"/>
      <c r="DEL40" s="471"/>
      <c r="DEM40" s="471"/>
      <c r="DEN40" s="471"/>
      <c r="DEO40" s="471"/>
      <c r="DEP40" s="471"/>
      <c r="DEQ40" s="471"/>
      <c r="DER40" s="471"/>
      <c r="DES40" s="471"/>
      <c r="DET40" s="471"/>
      <c r="DEU40" s="471"/>
      <c r="DEV40" s="471"/>
      <c r="DEW40" s="471"/>
      <c r="DEX40" s="471"/>
      <c r="DEY40" s="471"/>
      <c r="DEZ40" s="471"/>
      <c r="DFA40" s="471"/>
      <c r="DFB40" s="471"/>
      <c r="DFC40" s="471"/>
      <c r="DFD40" s="471"/>
      <c r="DFE40" s="471"/>
      <c r="DFF40" s="471"/>
      <c r="DFG40" s="471"/>
      <c r="DFH40" s="471"/>
      <c r="DFI40" s="471"/>
      <c r="DFJ40" s="471"/>
      <c r="DFK40" s="471"/>
      <c r="DFL40" s="471"/>
      <c r="DFM40" s="471"/>
      <c r="DFN40" s="471"/>
      <c r="DFO40" s="471"/>
      <c r="DFP40" s="471"/>
      <c r="DFQ40" s="471"/>
      <c r="DFR40" s="471"/>
      <c r="DFS40" s="471"/>
      <c r="DFT40" s="471"/>
      <c r="DFU40" s="471"/>
      <c r="DFV40" s="471"/>
      <c r="DFW40" s="471"/>
      <c r="DFX40" s="471"/>
      <c r="DFY40" s="471"/>
      <c r="DFZ40" s="471"/>
      <c r="DGA40" s="471"/>
      <c r="DGB40" s="471"/>
      <c r="DGC40" s="471"/>
      <c r="DGD40" s="471"/>
      <c r="DGE40" s="471"/>
      <c r="DGF40" s="471"/>
      <c r="DGG40" s="471"/>
      <c r="DGH40" s="471"/>
      <c r="DGI40" s="471"/>
      <c r="DGJ40" s="471"/>
      <c r="DGK40" s="471"/>
      <c r="DGL40" s="471"/>
      <c r="DGM40" s="471"/>
      <c r="DGN40" s="471"/>
      <c r="DGO40" s="471"/>
      <c r="DGP40" s="471"/>
      <c r="DGQ40" s="471"/>
      <c r="DGR40" s="471"/>
      <c r="DGS40" s="471"/>
      <c r="DGT40" s="471"/>
      <c r="DGU40" s="471"/>
      <c r="DGV40" s="471"/>
      <c r="DGW40" s="471"/>
      <c r="DGX40" s="471"/>
      <c r="DGY40" s="471"/>
      <c r="DGZ40" s="471"/>
      <c r="DHA40" s="471"/>
      <c r="DHB40" s="471"/>
      <c r="DHC40" s="471"/>
      <c r="DHD40" s="471"/>
      <c r="DHE40" s="471"/>
      <c r="DHF40" s="471"/>
      <c r="DHG40" s="471"/>
      <c r="DHH40" s="471"/>
      <c r="DHI40" s="471"/>
      <c r="DHJ40" s="471"/>
      <c r="DHK40" s="471"/>
      <c r="DHL40" s="471"/>
      <c r="DHM40" s="471"/>
      <c r="DHN40" s="471"/>
      <c r="DHO40" s="471"/>
      <c r="DHP40" s="471"/>
      <c r="DHQ40" s="471"/>
      <c r="DHR40" s="471"/>
      <c r="DHS40" s="471"/>
      <c r="DHT40" s="471"/>
      <c r="DHU40" s="471"/>
      <c r="DHV40" s="471"/>
      <c r="DHW40" s="471"/>
      <c r="DHX40" s="471"/>
      <c r="DHY40" s="471"/>
      <c r="DHZ40" s="471"/>
      <c r="DIA40" s="471"/>
      <c r="DIB40" s="471"/>
      <c r="DIC40" s="471"/>
      <c r="DID40" s="471"/>
      <c r="DIE40" s="471"/>
      <c r="DIF40" s="471"/>
      <c r="DIG40" s="471"/>
      <c r="DIH40" s="471"/>
      <c r="DII40" s="471"/>
      <c r="DIJ40" s="471"/>
      <c r="DIK40" s="471"/>
      <c r="DIL40" s="471"/>
      <c r="DIM40" s="471"/>
      <c r="DIN40" s="471"/>
      <c r="DIO40" s="471"/>
      <c r="DIP40" s="471"/>
      <c r="DIQ40" s="471"/>
      <c r="DIR40" s="471"/>
      <c r="DIS40" s="471"/>
      <c r="DIT40" s="471"/>
      <c r="DIU40" s="471"/>
      <c r="DIV40" s="471"/>
      <c r="DIW40" s="471"/>
      <c r="DIX40" s="471"/>
      <c r="DIY40" s="471"/>
      <c r="DIZ40" s="471"/>
      <c r="DJA40" s="471"/>
      <c r="DJB40" s="471"/>
      <c r="DJC40" s="471"/>
      <c r="DJD40" s="471"/>
      <c r="DJE40" s="471"/>
      <c r="DJF40" s="471"/>
      <c r="DJG40" s="471"/>
      <c r="DJH40" s="471"/>
      <c r="DJI40" s="471"/>
      <c r="DJJ40" s="471"/>
      <c r="DJK40" s="471"/>
      <c r="DJL40" s="471"/>
      <c r="DJM40" s="471"/>
      <c r="DJN40" s="471"/>
      <c r="DJO40" s="471"/>
      <c r="DJP40" s="471"/>
      <c r="DJQ40" s="471"/>
      <c r="DJR40" s="471"/>
      <c r="DJS40" s="471"/>
      <c r="DJT40" s="471"/>
      <c r="DJU40" s="471"/>
      <c r="DJV40" s="471"/>
      <c r="DJW40" s="471"/>
      <c r="DJX40" s="471"/>
      <c r="DJY40" s="471"/>
      <c r="DJZ40" s="471"/>
      <c r="DKA40" s="471"/>
      <c r="DKB40" s="471"/>
      <c r="DKC40" s="471"/>
      <c r="DKD40" s="471"/>
      <c r="DKE40" s="471"/>
      <c r="DKF40" s="471"/>
      <c r="DKG40" s="471"/>
      <c r="DKH40" s="471"/>
      <c r="DKI40" s="471"/>
      <c r="DKJ40" s="471"/>
      <c r="DKK40" s="471"/>
      <c r="DKL40" s="471"/>
      <c r="DKM40" s="471"/>
      <c r="DKN40" s="471"/>
      <c r="DKO40" s="471"/>
      <c r="DKP40" s="471"/>
      <c r="DKQ40" s="471"/>
      <c r="DKR40" s="471"/>
      <c r="DKS40" s="471"/>
      <c r="DKT40" s="471"/>
      <c r="DKU40" s="471"/>
      <c r="DKV40" s="471"/>
      <c r="DKW40" s="471"/>
      <c r="DKX40" s="471"/>
      <c r="DKY40" s="471"/>
      <c r="DKZ40" s="471"/>
      <c r="DLA40" s="471"/>
      <c r="DLB40" s="471"/>
      <c r="DLC40" s="471"/>
      <c r="DLD40" s="471"/>
      <c r="DLE40" s="471"/>
      <c r="DLF40" s="471"/>
      <c r="DLG40" s="471"/>
      <c r="DLH40" s="471"/>
      <c r="DLI40" s="471"/>
      <c r="DLJ40" s="471"/>
      <c r="DLK40" s="471"/>
      <c r="DLL40" s="471"/>
      <c r="DLM40" s="471"/>
      <c r="DLN40" s="471"/>
      <c r="DLO40" s="471"/>
      <c r="DLP40" s="471"/>
      <c r="DLQ40" s="471"/>
      <c r="DLR40" s="471"/>
      <c r="DLS40" s="471"/>
      <c r="DLT40" s="471"/>
      <c r="DLU40" s="471"/>
      <c r="DLV40" s="471"/>
      <c r="DLW40" s="471"/>
      <c r="DLX40" s="471"/>
      <c r="DLY40" s="471"/>
      <c r="DLZ40" s="471"/>
      <c r="DMA40" s="471"/>
      <c r="DMB40" s="471"/>
      <c r="DMC40" s="471"/>
      <c r="DMD40" s="471"/>
      <c r="DME40" s="471"/>
      <c r="DMF40" s="471"/>
      <c r="DMG40" s="471"/>
      <c r="DMH40" s="471"/>
      <c r="DMI40" s="471"/>
      <c r="DMJ40" s="471"/>
      <c r="DMK40" s="471"/>
      <c r="DML40" s="471"/>
      <c r="DMM40" s="471"/>
      <c r="DMN40" s="471"/>
      <c r="DMO40" s="471"/>
      <c r="DMP40" s="471"/>
      <c r="DMQ40" s="471"/>
      <c r="DMR40" s="471"/>
      <c r="DMS40" s="471"/>
      <c r="DMT40" s="471"/>
      <c r="DMU40" s="471"/>
      <c r="DMV40" s="471"/>
      <c r="DMW40" s="471"/>
      <c r="DMX40" s="471"/>
      <c r="DMY40" s="471"/>
      <c r="DMZ40" s="471"/>
      <c r="DNA40" s="471"/>
      <c r="DNB40" s="471"/>
      <c r="DNC40" s="471"/>
      <c r="DND40" s="471"/>
      <c r="DNE40" s="471"/>
      <c r="DNF40" s="471"/>
      <c r="DNG40" s="471"/>
      <c r="DNH40" s="471"/>
      <c r="DNI40" s="471"/>
      <c r="DNJ40" s="471"/>
      <c r="DNK40" s="471"/>
      <c r="DNL40" s="471"/>
      <c r="DNM40" s="471"/>
      <c r="DNN40" s="471"/>
      <c r="DNO40" s="471"/>
      <c r="DNP40" s="471"/>
      <c r="DNQ40" s="471"/>
      <c r="DNR40" s="471"/>
      <c r="DNS40" s="471"/>
      <c r="DNT40" s="471"/>
      <c r="DNU40" s="471"/>
      <c r="DNV40" s="471"/>
      <c r="DNW40" s="471"/>
      <c r="DNX40" s="471"/>
      <c r="DNY40" s="471"/>
      <c r="DNZ40" s="471"/>
      <c r="DOA40" s="471"/>
      <c r="DOB40" s="471"/>
      <c r="DOC40" s="471"/>
      <c r="DOD40" s="471"/>
      <c r="DOE40" s="471"/>
      <c r="DOF40" s="471"/>
      <c r="DOG40" s="471"/>
      <c r="DOH40" s="471"/>
      <c r="DOI40" s="471"/>
      <c r="DOJ40" s="471"/>
      <c r="DOK40" s="471"/>
      <c r="DOL40" s="471"/>
      <c r="DOM40" s="471"/>
      <c r="DON40" s="471"/>
      <c r="DOO40" s="471"/>
      <c r="DOP40" s="471"/>
      <c r="DOQ40" s="471"/>
      <c r="DOR40" s="471"/>
      <c r="DOS40" s="471"/>
      <c r="DOT40" s="471"/>
      <c r="DOU40" s="471"/>
      <c r="DOV40" s="471"/>
      <c r="DOW40" s="471"/>
      <c r="DOX40" s="471"/>
      <c r="DOY40" s="471"/>
      <c r="DOZ40" s="471"/>
      <c r="DPA40" s="471"/>
      <c r="DPB40" s="471"/>
      <c r="DPC40" s="471"/>
      <c r="DPD40" s="471"/>
      <c r="DPE40" s="471"/>
      <c r="DPF40" s="471"/>
      <c r="DPG40" s="471"/>
      <c r="DPH40" s="471"/>
      <c r="DPI40" s="471"/>
      <c r="DPJ40" s="471"/>
      <c r="DPK40" s="471"/>
      <c r="DPL40" s="471"/>
      <c r="DPM40" s="471"/>
      <c r="DPN40" s="471"/>
      <c r="DPO40" s="471"/>
      <c r="DPP40" s="471"/>
      <c r="DPQ40" s="471"/>
      <c r="DPR40" s="471"/>
      <c r="DPS40" s="471"/>
      <c r="DPT40" s="471"/>
      <c r="DPU40" s="471"/>
      <c r="DPV40" s="471"/>
      <c r="DPW40" s="471"/>
      <c r="DPX40" s="471"/>
      <c r="DPY40" s="471"/>
      <c r="DPZ40" s="471"/>
      <c r="DQA40" s="471"/>
      <c r="DQB40" s="471"/>
      <c r="DQC40" s="471"/>
      <c r="DQD40" s="471"/>
      <c r="DQE40" s="471"/>
      <c r="DQF40" s="471"/>
      <c r="DQG40" s="471"/>
      <c r="DQH40" s="471"/>
      <c r="DQI40" s="471"/>
      <c r="DQJ40" s="471"/>
      <c r="DQK40" s="471"/>
      <c r="DQL40" s="471"/>
      <c r="DQM40" s="471"/>
      <c r="DQN40" s="471"/>
      <c r="DQO40" s="471"/>
      <c r="DQP40" s="471"/>
      <c r="DQQ40" s="471"/>
      <c r="DQR40" s="471"/>
      <c r="DQS40" s="471"/>
      <c r="DQT40" s="471"/>
      <c r="DQU40" s="471"/>
      <c r="DQV40" s="471"/>
      <c r="DQW40" s="471"/>
      <c r="DQX40" s="471"/>
      <c r="DQY40" s="471"/>
      <c r="DQZ40" s="471"/>
      <c r="DRA40" s="471"/>
      <c r="DRB40" s="471"/>
      <c r="DRC40" s="471"/>
      <c r="DRD40" s="471"/>
      <c r="DRE40" s="471"/>
      <c r="DRF40" s="471"/>
      <c r="DRG40" s="471"/>
      <c r="DRH40" s="471"/>
      <c r="DRI40" s="471"/>
      <c r="DRJ40" s="471"/>
      <c r="DRK40" s="471"/>
      <c r="DRL40" s="471"/>
      <c r="DRM40" s="471"/>
      <c r="DRN40" s="471"/>
      <c r="DRO40" s="471"/>
      <c r="DRP40" s="471"/>
      <c r="DRQ40" s="471"/>
      <c r="DRR40" s="471"/>
      <c r="DRS40" s="471"/>
      <c r="DRT40" s="471"/>
      <c r="DRU40" s="471"/>
      <c r="DRV40" s="471"/>
      <c r="DRW40" s="471"/>
      <c r="DRX40" s="471"/>
      <c r="DRY40" s="471"/>
      <c r="DRZ40" s="471"/>
      <c r="DSA40" s="471"/>
      <c r="DSB40" s="471"/>
      <c r="DSC40" s="471"/>
      <c r="DSD40" s="471"/>
      <c r="DSE40" s="471"/>
      <c r="DSF40" s="471"/>
      <c r="DSG40" s="471"/>
      <c r="DSH40" s="471"/>
      <c r="DSI40" s="471"/>
      <c r="DSJ40" s="471"/>
      <c r="DSK40" s="471"/>
      <c r="DSL40" s="471"/>
      <c r="DSM40" s="471"/>
      <c r="DSN40" s="471"/>
      <c r="DSO40" s="471"/>
      <c r="DSP40" s="471"/>
      <c r="DSQ40" s="471"/>
      <c r="DSR40" s="471"/>
      <c r="DSS40" s="471"/>
      <c r="DST40" s="471"/>
      <c r="DSU40" s="471"/>
      <c r="DSV40" s="471"/>
      <c r="DSW40" s="471"/>
      <c r="DSX40" s="471"/>
      <c r="DSY40" s="471"/>
      <c r="DSZ40" s="471"/>
      <c r="DTA40" s="471"/>
      <c r="DTB40" s="471"/>
      <c r="DTC40" s="471"/>
      <c r="DTD40" s="471"/>
      <c r="DTE40" s="471"/>
      <c r="DTF40" s="471"/>
      <c r="DTG40" s="471"/>
      <c r="DTH40" s="471"/>
      <c r="DTI40" s="471"/>
      <c r="DTJ40" s="471"/>
      <c r="DTK40" s="471"/>
      <c r="DTL40" s="471"/>
      <c r="DTM40" s="471"/>
      <c r="DTN40" s="471"/>
      <c r="DTO40" s="471"/>
      <c r="DTP40" s="471"/>
      <c r="DTQ40" s="471"/>
      <c r="DTR40" s="471"/>
      <c r="DTS40" s="471"/>
      <c r="DTT40" s="471"/>
      <c r="DTU40" s="471"/>
      <c r="DTV40" s="471"/>
      <c r="DTW40" s="471"/>
      <c r="DTX40" s="471"/>
      <c r="DTY40" s="471"/>
      <c r="DTZ40" s="471"/>
      <c r="DUA40" s="471"/>
      <c r="DUB40" s="471"/>
      <c r="DUC40" s="471"/>
      <c r="DUD40" s="471"/>
      <c r="DUE40" s="471"/>
      <c r="DUF40" s="471"/>
      <c r="DUG40" s="471"/>
      <c r="DUH40" s="471"/>
      <c r="DUI40" s="471"/>
      <c r="DUJ40" s="471"/>
      <c r="DUK40" s="471"/>
      <c r="DUL40" s="471"/>
      <c r="DUM40" s="471"/>
      <c r="DUN40" s="471"/>
      <c r="DUO40" s="471"/>
      <c r="DUP40" s="471"/>
      <c r="DUQ40" s="471"/>
      <c r="DUR40" s="471"/>
      <c r="DUS40" s="471"/>
      <c r="DUT40" s="471"/>
      <c r="DUU40" s="471"/>
      <c r="DUV40" s="471"/>
      <c r="DUW40" s="471"/>
      <c r="DUX40" s="471"/>
      <c r="DUY40" s="471"/>
      <c r="DUZ40" s="471"/>
      <c r="DVA40" s="471"/>
      <c r="DVB40" s="471"/>
      <c r="DVC40" s="471"/>
      <c r="DVD40" s="471"/>
      <c r="DVE40" s="471"/>
      <c r="DVF40" s="471"/>
      <c r="DVG40" s="471"/>
      <c r="DVH40" s="471"/>
      <c r="DVI40" s="471"/>
      <c r="DVJ40" s="471"/>
      <c r="DVK40" s="471"/>
      <c r="DVL40" s="471"/>
      <c r="DVM40" s="471"/>
      <c r="DVN40" s="471"/>
      <c r="DVO40" s="471"/>
      <c r="DVP40" s="471"/>
      <c r="DVQ40" s="471"/>
      <c r="DVR40" s="471"/>
      <c r="DVS40" s="471"/>
      <c r="DVT40" s="471"/>
      <c r="DVU40" s="471"/>
      <c r="DVV40" s="471"/>
      <c r="DVW40" s="471"/>
      <c r="DVX40" s="471"/>
      <c r="DVY40" s="471"/>
      <c r="DVZ40" s="471"/>
      <c r="DWA40" s="471"/>
      <c r="DWB40" s="471"/>
      <c r="DWC40" s="471"/>
      <c r="DWD40" s="471"/>
      <c r="DWE40" s="471"/>
      <c r="DWF40" s="471"/>
      <c r="DWG40" s="471"/>
      <c r="DWH40" s="471"/>
      <c r="DWI40" s="471"/>
      <c r="DWJ40" s="471"/>
      <c r="DWK40" s="471"/>
      <c r="DWL40" s="471"/>
      <c r="DWM40" s="471"/>
      <c r="DWN40" s="471"/>
      <c r="DWO40" s="471"/>
      <c r="DWP40" s="471"/>
      <c r="DWQ40" s="471"/>
      <c r="DWR40" s="471"/>
      <c r="DWS40" s="471"/>
      <c r="DWT40" s="471"/>
      <c r="DWU40" s="471"/>
      <c r="DWV40" s="471"/>
      <c r="DWW40" s="471"/>
      <c r="DWX40" s="471"/>
      <c r="DWY40" s="471"/>
      <c r="DWZ40" s="471"/>
      <c r="DXA40" s="471"/>
      <c r="DXB40" s="471"/>
      <c r="DXC40" s="471"/>
      <c r="DXD40" s="471"/>
      <c r="DXE40" s="471"/>
      <c r="DXF40" s="471"/>
      <c r="DXG40" s="471"/>
      <c r="DXH40" s="471"/>
      <c r="DXI40" s="471"/>
      <c r="DXJ40" s="471"/>
      <c r="DXK40" s="471"/>
      <c r="DXL40" s="471"/>
      <c r="DXM40" s="471"/>
      <c r="DXN40" s="471"/>
      <c r="DXO40" s="471"/>
      <c r="DXP40" s="471"/>
      <c r="DXQ40" s="471"/>
      <c r="DXR40" s="471"/>
      <c r="DXS40" s="471"/>
      <c r="DXT40" s="471"/>
      <c r="DXU40" s="471"/>
      <c r="DXV40" s="471"/>
      <c r="DXW40" s="471"/>
      <c r="DXX40" s="471"/>
      <c r="DXY40" s="471"/>
      <c r="DXZ40" s="471"/>
      <c r="DYA40" s="471"/>
      <c r="DYB40" s="471"/>
      <c r="DYC40" s="471"/>
      <c r="DYD40" s="471"/>
      <c r="DYE40" s="471"/>
      <c r="DYF40" s="471"/>
      <c r="DYG40" s="471"/>
      <c r="DYH40" s="471"/>
      <c r="DYI40" s="471"/>
      <c r="DYJ40" s="471"/>
      <c r="DYK40" s="471"/>
      <c r="DYL40" s="471"/>
      <c r="DYM40" s="471"/>
      <c r="DYN40" s="471"/>
      <c r="DYO40" s="471"/>
      <c r="DYP40" s="471"/>
      <c r="DYQ40" s="471"/>
      <c r="DYR40" s="471"/>
      <c r="DYS40" s="471"/>
      <c r="DYT40" s="471"/>
      <c r="DYU40" s="471"/>
      <c r="DYV40" s="471"/>
      <c r="DYW40" s="471"/>
      <c r="DYX40" s="471"/>
      <c r="DYY40" s="471"/>
      <c r="DYZ40" s="471"/>
      <c r="DZA40" s="471"/>
      <c r="DZB40" s="471"/>
      <c r="DZC40" s="471"/>
      <c r="DZD40" s="471"/>
      <c r="DZE40" s="471"/>
      <c r="DZF40" s="471"/>
      <c r="DZG40" s="471"/>
      <c r="DZH40" s="471"/>
      <c r="DZI40" s="471"/>
      <c r="DZJ40" s="471"/>
      <c r="DZK40" s="471"/>
      <c r="DZL40" s="471"/>
      <c r="DZM40" s="471"/>
      <c r="DZN40" s="471"/>
      <c r="DZO40" s="471"/>
      <c r="DZP40" s="471"/>
      <c r="DZQ40" s="471"/>
      <c r="DZR40" s="471"/>
      <c r="DZS40" s="471"/>
      <c r="DZT40" s="471"/>
      <c r="DZU40" s="471"/>
      <c r="DZV40" s="471"/>
      <c r="DZW40" s="471"/>
      <c r="DZX40" s="471"/>
      <c r="DZY40" s="471"/>
      <c r="DZZ40" s="471"/>
      <c r="EAA40" s="471"/>
      <c r="EAB40" s="471"/>
      <c r="EAC40" s="471"/>
      <c r="EAD40" s="471"/>
      <c r="EAE40" s="471"/>
      <c r="EAF40" s="471"/>
      <c r="EAG40" s="471"/>
      <c r="EAH40" s="471"/>
      <c r="EAI40" s="471"/>
      <c r="EAJ40" s="471"/>
      <c r="EAK40" s="471"/>
      <c r="EAL40" s="471"/>
      <c r="EAM40" s="471"/>
      <c r="EAN40" s="471"/>
      <c r="EAO40" s="471"/>
      <c r="EAP40" s="471"/>
      <c r="EAQ40" s="471"/>
      <c r="EAR40" s="471"/>
      <c r="EAS40" s="471"/>
      <c r="EAT40" s="471"/>
      <c r="EAU40" s="471"/>
      <c r="EAV40" s="471"/>
      <c r="EAW40" s="471"/>
      <c r="EAX40" s="471"/>
      <c r="EAY40" s="471"/>
      <c r="EAZ40" s="471"/>
      <c r="EBA40" s="471"/>
      <c r="EBB40" s="471"/>
      <c r="EBC40" s="471"/>
      <c r="EBD40" s="471"/>
      <c r="EBE40" s="471"/>
      <c r="EBF40" s="471"/>
      <c r="EBG40" s="471"/>
      <c r="EBH40" s="471"/>
      <c r="EBI40" s="471"/>
      <c r="EBJ40" s="471"/>
      <c r="EBK40" s="471"/>
      <c r="EBL40" s="471"/>
      <c r="EBM40" s="471"/>
      <c r="EBN40" s="471"/>
      <c r="EBO40" s="471"/>
      <c r="EBP40" s="471"/>
      <c r="EBQ40" s="471"/>
      <c r="EBR40" s="471"/>
      <c r="EBS40" s="471"/>
      <c r="EBT40" s="471"/>
      <c r="EBU40" s="471"/>
      <c r="EBV40" s="471"/>
      <c r="EBW40" s="471"/>
      <c r="EBX40" s="471"/>
      <c r="EBY40" s="471"/>
      <c r="EBZ40" s="471"/>
      <c r="ECA40" s="471"/>
      <c r="ECB40" s="471"/>
      <c r="ECC40" s="471"/>
      <c r="ECD40" s="471"/>
      <c r="ECE40" s="471"/>
      <c r="ECF40" s="471"/>
      <c r="ECG40" s="471"/>
      <c r="ECH40" s="471"/>
      <c r="ECI40" s="471"/>
      <c r="ECJ40" s="471"/>
      <c r="ECK40" s="471"/>
      <c r="ECL40" s="471"/>
      <c r="ECM40" s="471"/>
      <c r="ECN40" s="471"/>
      <c r="ECO40" s="471"/>
      <c r="ECP40" s="471"/>
      <c r="ECQ40" s="471"/>
      <c r="ECR40" s="471"/>
      <c r="ECS40" s="471"/>
      <c r="ECT40" s="471"/>
      <c r="ECU40" s="471"/>
      <c r="ECV40" s="471"/>
      <c r="ECW40" s="471"/>
      <c r="ECX40" s="471"/>
      <c r="ECY40" s="471"/>
      <c r="ECZ40" s="471"/>
      <c r="EDA40" s="471"/>
      <c r="EDB40" s="471"/>
      <c r="EDC40" s="471"/>
      <c r="EDD40" s="471"/>
      <c r="EDE40" s="471"/>
      <c r="EDF40" s="471"/>
      <c r="EDG40" s="471"/>
      <c r="EDH40" s="471"/>
      <c r="EDI40" s="471"/>
      <c r="EDJ40" s="471"/>
      <c r="EDK40" s="471"/>
      <c r="EDL40" s="471"/>
      <c r="EDM40" s="471"/>
      <c r="EDN40" s="471"/>
      <c r="EDO40" s="471"/>
      <c r="EDP40" s="471"/>
      <c r="EDQ40" s="471"/>
      <c r="EDR40" s="471"/>
      <c r="EDS40" s="471"/>
      <c r="EDT40" s="471"/>
      <c r="EDU40" s="471"/>
      <c r="EDV40" s="471"/>
      <c r="EDW40" s="471"/>
      <c r="EDX40" s="471"/>
      <c r="EDY40" s="471"/>
      <c r="EDZ40" s="471"/>
      <c r="EEA40" s="471"/>
      <c r="EEB40" s="471"/>
      <c r="EEC40" s="471"/>
      <c r="EED40" s="471"/>
      <c r="EEE40" s="471"/>
      <c r="EEF40" s="471"/>
      <c r="EEG40" s="471"/>
      <c r="EEH40" s="471"/>
      <c r="EEI40" s="471"/>
      <c r="EEJ40" s="471"/>
      <c r="EEK40" s="471"/>
      <c r="EEL40" s="471"/>
      <c r="EEM40" s="471"/>
      <c r="EEN40" s="471"/>
      <c r="EEO40" s="471"/>
      <c r="EEP40" s="471"/>
      <c r="EEQ40" s="471"/>
      <c r="EER40" s="471"/>
      <c r="EES40" s="471"/>
      <c r="EET40" s="471"/>
      <c r="EEU40" s="471"/>
      <c r="EEV40" s="471"/>
      <c r="EEW40" s="471"/>
      <c r="EEX40" s="471"/>
      <c r="EEY40" s="471"/>
      <c r="EEZ40" s="471"/>
      <c r="EFA40" s="471"/>
      <c r="EFB40" s="471"/>
      <c r="EFC40" s="471"/>
      <c r="EFD40" s="471"/>
      <c r="EFE40" s="471"/>
      <c r="EFF40" s="471"/>
      <c r="EFG40" s="471"/>
      <c r="EFH40" s="471"/>
      <c r="EFI40" s="471"/>
      <c r="EFJ40" s="471"/>
      <c r="EFK40" s="471"/>
      <c r="EFL40" s="471"/>
      <c r="EFM40" s="471"/>
      <c r="EFN40" s="471"/>
      <c r="EFO40" s="471"/>
      <c r="EFP40" s="471"/>
      <c r="EFQ40" s="471"/>
      <c r="EFR40" s="471"/>
      <c r="EFS40" s="471"/>
      <c r="EFT40" s="471"/>
      <c r="EFU40" s="471"/>
      <c r="EFV40" s="471"/>
      <c r="EFW40" s="471"/>
      <c r="EFX40" s="471"/>
      <c r="EFY40" s="471"/>
      <c r="EFZ40" s="471"/>
      <c r="EGA40" s="471"/>
      <c r="EGB40" s="471"/>
      <c r="EGC40" s="471"/>
      <c r="EGD40" s="471"/>
      <c r="EGE40" s="471"/>
      <c r="EGF40" s="471"/>
      <c r="EGG40" s="471"/>
      <c r="EGH40" s="471"/>
      <c r="EGI40" s="471"/>
      <c r="EGJ40" s="471"/>
      <c r="EGK40" s="471"/>
      <c r="EGL40" s="471"/>
      <c r="EGM40" s="471"/>
      <c r="EGN40" s="471"/>
      <c r="EGO40" s="471"/>
      <c r="EGP40" s="471"/>
      <c r="EGQ40" s="471"/>
      <c r="EGR40" s="471"/>
      <c r="EGS40" s="471"/>
      <c r="EGT40" s="471"/>
      <c r="EGU40" s="471"/>
      <c r="EGV40" s="471"/>
      <c r="EGW40" s="471"/>
      <c r="EGX40" s="471"/>
      <c r="EGY40" s="471"/>
      <c r="EGZ40" s="471"/>
      <c r="EHA40" s="471"/>
      <c r="EHB40" s="471"/>
      <c r="EHC40" s="471"/>
      <c r="EHD40" s="471"/>
      <c r="EHE40" s="471"/>
      <c r="EHF40" s="471"/>
      <c r="EHG40" s="471"/>
      <c r="EHH40" s="471"/>
      <c r="EHI40" s="471"/>
      <c r="EHJ40" s="471"/>
      <c r="EHK40" s="471"/>
      <c r="EHL40" s="471"/>
      <c r="EHM40" s="471"/>
      <c r="EHN40" s="471"/>
      <c r="EHO40" s="471"/>
      <c r="EHP40" s="471"/>
      <c r="EHQ40" s="471"/>
      <c r="EHR40" s="471"/>
      <c r="EHS40" s="471"/>
      <c r="EHT40" s="471"/>
      <c r="EHU40" s="471"/>
      <c r="EHV40" s="471"/>
      <c r="EHW40" s="471"/>
      <c r="EHX40" s="471"/>
      <c r="EHY40" s="471"/>
      <c r="EHZ40" s="471"/>
      <c r="EIA40" s="471"/>
      <c r="EIB40" s="471"/>
      <c r="EIC40" s="471"/>
      <c r="EID40" s="471"/>
      <c r="EIE40" s="471"/>
      <c r="EIF40" s="471"/>
      <c r="EIG40" s="471"/>
      <c r="EIH40" s="471"/>
      <c r="EII40" s="471"/>
      <c r="EIJ40" s="471"/>
      <c r="EIK40" s="471"/>
      <c r="EIL40" s="471"/>
      <c r="EIM40" s="471"/>
      <c r="EIN40" s="471"/>
      <c r="EIO40" s="471"/>
      <c r="EIP40" s="471"/>
      <c r="EIQ40" s="471"/>
      <c r="EIR40" s="471"/>
      <c r="EIS40" s="471"/>
      <c r="EIT40" s="471"/>
      <c r="EIU40" s="471"/>
      <c r="EIV40" s="471"/>
      <c r="EIW40" s="471"/>
      <c r="EIX40" s="471"/>
      <c r="EIY40" s="471"/>
      <c r="EIZ40" s="471"/>
      <c r="EJA40" s="471"/>
      <c r="EJB40" s="471"/>
      <c r="EJC40" s="471"/>
      <c r="EJD40" s="471"/>
      <c r="EJE40" s="471"/>
      <c r="EJF40" s="471"/>
      <c r="EJG40" s="471"/>
      <c r="EJH40" s="471"/>
      <c r="EJI40" s="471"/>
      <c r="EJJ40" s="471"/>
      <c r="EJK40" s="471"/>
      <c r="EJL40" s="471"/>
      <c r="EJM40" s="471"/>
      <c r="EJN40" s="471"/>
      <c r="EJO40" s="471"/>
      <c r="EJP40" s="471"/>
      <c r="EJQ40" s="471"/>
      <c r="EJR40" s="471"/>
      <c r="EJS40" s="471"/>
      <c r="EJT40" s="471"/>
      <c r="EJU40" s="471"/>
      <c r="EJV40" s="471"/>
      <c r="EJW40" s="471"/>
      <c r="EJX40" s="471"/>
      <c r="EJY40" s="471"/>
      <c r="EJZ40" s="471"/>
      <c r="EKA40" s="471"/>
      <c r="EKB40" s="471"/>
      <c r="EKC40" s="471"/>
      <c r="EKD40" s="471"/>
      <c r="EKE40" s="471"/>
      <c r="EKF40" s="471"/>
      <c r="EKG40" s="471"/>
      <c r="EKH40" s="471"/>
      <c r="EKI40" s="471"/>
      <c r="EKJ40" s="471"/>
      <c r="EKK40" s="471"/>
      <c r="EKL40" s="471"/>
      <c r="EKM40" s="471"/>
      <c r="EKN40" s="471"/>
      <c r="EKO40" s="471"/>
      <c r="EKP40" s="471"/>
      <c r="EKQ40" s="471"/>
      <c r="EKR40" s="471"/>
      <c r="EKS40" s="471"/>
      <c r="EKT40" s="471"/>
      <c r="EKU40" s="471"/>
      <c r="EKV40" s="471"/>
      <c r="EKW40" s="471"/>
      <c r="EKX40" s="471"/>
      <c r="EKY40" s="471"/>
      <c r="EKZ40" s="471"/>
      <c r="ELA40" s="471"/>
      <c r="ELB40" s="471"/>
      <c r="ELC40" s="471"/>
      <c r="ELD40" s="471"/>
      <c r="ELE40" s="471"/>
      <c r="ELF40" s="471"/>
      <c r="ELG40" s="471"/>
      <c r="ELH40" s="471"/>
      <c r="ELI40" s="471"/>
      <c r="ELJ40" s="471"/>
      <c r="ELK40" s="471"/>
      <c r="ELL40" s="471"/>
      <c r="ELM40" s="471"/>
      <c r="ELN40" s="471"/>
      <c r="ELO40" s="471"/>
      <c r="ELP40" s="471"/>
      <c r="ELQ40" s="471"/>
      <c r="ELR40" s="471"/>
      <c r="ELS40" s="471"/>
      <c r="ELT40" s="471"/>
      <c r="ELU40" s="471"/>
      <c r="ELV40" s="471"/>
      <c r="ELW40" s="471"/>
      <c r="ELX40" s="471"/>
      <c r="ELY40" s="471"/>
      <c r="ELZ40" s="471"/>
      <c r="EMA40" s="471"/>
      <c r="EMB40" s="471"/>
      <c r="EMC40" s="471"/>
      <c r="EMD40" s="471"/>
      <c r="EME40" s="471"/>
      <c r="EMF40" s="471"/>
      <c r="EMG40" s="471"/>
      <c r="EMH40" s="471"/>
      <c r="EMI40" s="471"/>
      <c r="EMJ40" s="471"/>
      <c r="EMK40" s="471"/>
      <c r="EML40" s="471"/>
      <c r="EMM40" s="471"/>
      <c r="EMN40" s="471"/>
      <c r="EMO40" s="471"/>
      <c r="EMP40" s="471"/>
      <c r="EMQ40" s="471"/>
      <c r="EMR40" s="471"/>
      <c r="EMS40" s="471"/>
      <c r="EMT40" s="471"/>
      <c r="EMU40" s="471"/>
      <c r="EMV40" s="471"/>
      <c r="EMW40" s="471"/>
      <c r="EMX40" s="471"/>
      <c r="EMY40" s="471"/>
      <c r="EMZ40" s="471"/>
      <c r="ENA40" s="471"/>
      <c r="ENB40" s="471"/>
      <c r="ENC40" s="471"/>
      <c r="END40" s="471"/>
      <c r="ENE40" s="471"/>
      <c r="ENF40" s="471"/>
      <c r="ENG40" s="471"/>
      <c r="ENH40" s="471"/>
      <c r="ENI40" s="471"/>
      <c r="ENJ40" s="471"/>
      <c r="ENK40" s="471"/>
      <c r="ENL40" s="471"/>
      <c r="ENM40" s="471"/>
      <c r="ENN40" s="471"/>
      <c r="ENO40" s="471"/>
      <c r="ENP40" s="471"/>
      <c r="ENQ40" s="471"/>
      <c r="ENR40" s="471"/>
      <c r="ENS40" s="471"/>
      <c r="ENT40" s="471"/>
      <c r="ENU40" s="471"/>
      <c r="ENV40" s="471"/>
      <c r="ENW40" s="471"/>
      <c r="ENX40" s="471"/>
      <c r="ENY40" s="471"/>
      <c r="ENZ40" s="471"/>
      <c r="EOA40" s="471"/>
      <c r="EOB40" s="471"/>
      <c r="EOC40" s="471"/>
      <c r="EOD40" s="471"/>
      <c r="EOE40" s="471"/>
      <c r="EOF40" s="471"/>
      <c r="EOG40" s="471"/>
      <c r="EOH40" s="471"/>
      <c r="EOI40" s="471"/>
      <c r="EOJ40" s="471"/>
      <c r="EOK40" s="471"/>
      <c r="EOL40" s="471"/>
      <c r="EOM40" s="471"/>
      <c r="EON40" s="471"/>
      <c r="EOO40" s="471"/>
      <c r="EOP40" s="471"/>
      <c r="EOQ40" s="471"/>
      <c r="EOR40" s="471"/>
      <c r="EOS40" s="471"/>
      <c r="EOT40" s="471"/>
      <c r="EOU40" s="471"/>
      <c r="EOV40" s="471"/>
      <c r="EOW40" s="471"/>
      <c r="EOX40" s="471"/>
      <c r="EOY40" s="471"/>
      <c r="EOZ40" s="471"/>
      <c r="EPA40" s="471"/>
      <c r="EPB40" s="471"/>
      <c r="EPC40" s="471"/>
      <c r="EPD40" s="471"/>
      <c r="EPE40" s="471"/>
      <c r="EPF40" s="471"/>
      <c r="EPG40" s="471"/>
      <c r="EPH40" s="471"/>
      <c r="EPI40" s="471"/>
      <c r="EPJ40" s="471"/>
      <c r="EPK40" s="471"/>
      <c r="EPL40" s="471"/>
      <c r="EPM40" s="471"/>
      <c r="EPN40" s="471"/>
      <c r="EPO40" s="471"/>
      <c r="EPP40" s="471"/>
      <c r="EPQ40" s="471"/>
      <c r="EPR40" s="471"/>
      <c r="EPS40" s="471"/>
      <c r="EPT40" s="471"/>
      <c r="EPU40" s="471"/>
      <c r="EPV40" s="471"/>
      <c r="EPW40" s="471"/>
      <c r="EPX40" s="471"/>
      <c r="EPY40" s="471"/>
      <c r="EPZ40" s="471"/>
      <c r="EQA40" s="471"/>
      <c r="EQB40" s="471"/>
      <c r="EQC40" s="471"/>
      <c r="EQD40" s="471"/>
      <c r="EQE40" s="471"/>
      <c r="EQF40" s="471"/>
      <c r="EQG40" s="471"/>
      <c r="EQH40" s="471"/>
      <c r="EQI40" s="471"/>
      <c r="EQJ40" s="471"/>
      <c r="EQK40" s="471"/>
      <c r="EQL40" s="471"/>
      <c r="EQM40" s="471"/>
      <c r="EQN40" s="471"/>
      <c r="EQO40" s="471"/>
      <c r="EQP40" s="471"/>
      <c r="EQQ40" s="471"/>
      <c r="EQR40" s="471"/>
      <c r="EQS40" s="471"/>
      <c r="EQT40" s="471"/>
      <c r="EQU40" s="471"/>
      <c r="EQV40" s="471"/>
      <c r="EQW40" s="471"/>
      <c r="EQX40" s="471"/>
      <c r="EQY40" s="471"/>
      <c r="EQZ40" s="471"/>
      <c r="ERA40" s="471"/>
      <c r="ERB40" s="471"/>
      <c r="ERC40" s="471"/>
      <c r="ERD40" s="471"/>
      <c r="ERE40" s="471"/>
      <c r="ERF40" s="471"/>
      <c r="ERG40" s="471"/>
      <c r="ERH40" s="471"/>
      <c r="ERI40" s="471"/>
      <c r="ERJ40" s="471"/>
      <c r="ERK40" s="471"/>
      <c r="ERL40" s="471"/>
      <c r="ERM40" s="471"/>
      <c r="ERN40" s="471"/>
      <c r="ERO40" s="471"/>
      <c r="ERP40" s="471"/>
      <c r="ERQ40" s="471"/>
      <c r="ERR40" s="471"/>
      <c r="ERS40" s="471"/>
      <c r="ERT40" s="471"/>
      <c r="ERU40" s="471"/>
      <c r="ERV40" s="471"/>
      <c r="ERW40" s="471"/>
      <c r="ERX40" s="471"/>
      <c r="ERY40" s="471"/>
      <c r="ERZ40" s="471"/>
      <c r="ESA40" s="471"/>
      <c r="ESB40" s="471"/>
      <c r="ESC40" s="471"/>
      <c r="ESD40" s="471"/>
      <c r="ESE40" s="471"/>
      <c r="ESF40" s="471"/>
      <c r="ESG40" s="471"/>
      <c r="ESH40" s="471"/>
      <c r="ESI40" s="471"/>
      <c r="ESJ40" s="471"/>
      <c r="ESK40" s="471"/>
      <c r="ESL40" s="471"/>
      <c r="ESM40" s="471"/>
      <c r="ESN40" s="471"/>
      <c r="ESO40" s="471"/>
      <c r="ESP40" s="471"/>
      <c r="ESQ40" s="471"/>
      <c r="ESR40" s="471"/>
      <c r="ESS40" s="471"/>
      <c r="EST40" s="471"/>
      <c r="ESU40" s="471"/>
      <c r="ESV40" s="471"/>
      <c r="ESW40" s="471"/>
      <c r="ESX40" s="471"/>
      <c r="ESY40" s="471"/>
      <c r="ESZ40" s="471"/>
      <c r="ETA40" s="471"/>
      <c r="ETB40" s="471"/>
      <c r="ETC40" s="471"/>
      <c r="ETD40" s="471"/>
      <c r="ETE40" s="471"/>
      <c r="ETF40" s="471"/>
      <c r="ETG40" s="471"/>
      <c r="ETH40" s="471"/>
      <c r="ETI40" s="471"/>
      <c r="ETJ40" s="471"/>
      <c r="ETK40" s="471"/>
      <c r="ETL40" s="471"/>
      <c r="ETM40" s="471"/>
      <c r="ETN40" s="471"/>
      <c r="ETO40" s="471"/>
      <c r="ETP40" s="471"/>
      <c r="ETQ40" s="471"/>
      <c r="ETR40" s="471"/>
      <c r="ETS40" s="471"/>
      <c r="ETT40" s="471"/>
      <c r="ETU40" s="471"/>
      <c r="ETV40" s="471"/>
      <c r="ETW40" s="471"/>
      <c r="ETX40" s="471"/>
      <c r="ETY40" s="471"/>
      <c r="ETZ40" s="471"/>
      <c r="EUA40" s="471"/>
      <c r="EUB40" s="471"/>
      <c r="EUC40" s="471"/>
      <c r="EUD40" s="471"/>
      <c r="EUE40" s="471"/>
      <c r="EUF40" s="471"/>
      <c r="EUG40" s="471"/>
      <c r="EUH40" s="471"/>
      <c r="EUI40" s="471"/>
      <c r="EUJ40" s="471"/>
      <c r="EUK40" s="471"/>
      <c r="EUL40" s="471"/>
      <c r="EUM40" s="471"/>
      <c r="EUN40" s="471"/>
      <c r="EUO40" s="471"/>
      <c r="EUP40" s="471"/>
      <c r="EUQ40" s="471"/>
      <c r="EUR40" s="471"/>
      <c r="EUS40" s="471"/>
      <c r="EUT40" s="471"/>
      <c r="EUU40" s="471"/>
      <c r="EUV40" s="471"/>
      <c r="EUW40" s="471"/>
      <c r="EUX40" s="471"/>
      <c r="EUY40" s="471"/>
      <c r="EUZ40" s="471"/>
      <c r="EVA40" s="471"/>
      <c r="EVB40" s="471"/>
      <c r="EVC40" s="471"/>
      <c r="EVD40" s="471"/>
      <c r="EVE40" s="471"/>
      <c r="EVF40" s="471"/>
      <c r="EVG40" s="471"/>
      <c r="EVH40" s="471"/>
      <c r="EVI40" s="471"/>
      <c r="EVJ40" s="471"/>
      <c r="EVK40" s="471"/>
      <c r="EVL40" s="471"/>
      <c r="EVM40" s="471"/>
      <c r="EVN40" s="471"/>
      <c r="EVO40" s="471"/>
      <c r="EVP40" s="471"/>
      <c r="EVQ40" s="471"/>
      <c r="EVR40" s="471"/>
      <c r="EVS40" s="471"/>
      <c r="EVT40" s="471"/>
      <c r="EVU40" s="471"/>
      <c r="EVV40" s="471"/>
      <c r="EVW40" s="471"/>
      <c r="EVX40" s="471"/>
      <c r="EVY40" s="471"/>
      <c r="EVZ40" s="471"/>
      <c r="EWA40" s="471"/>
      <c r="EWB40" s="471"/>
      <c r="EWC40" s="471"/>
      <c r="EWD40" s="471"/>
      <c r="EWE40" s="471"/>
      <c r="EWF40" s="471"/>
      <c r="EWG40" s="471"/>
      <c r="EWH40" s="471"/>
      <c r="EWI40" s="471"/>
      <c r="EWJ40" s="471"/>
      <c r="EWK40" s="471"/>
      <c r="EWL40" s="471"/>
      <c r="EWM40" s="471"/>
      <c r="EWN40" s="471"/>
      <c r="EWO40" s="471"/>
      <c r="EWP40" s="471"/>
      <c r="EWQ40" s="471"/>
      <c r="EWR40" s="471"/>
      <c r="EWS40" s="471"/>
      <c r="EWT40" s="471"/>
      <c r="EWU40" s="471"/>
      <c r="EWV40" s="471"/>
      <c r="EWW40" s="471"/>
      <c r="EWX40" s="471"/>
      <c r="EWY40" s="471"/>
      <c r="EWZ40" s="471"/>
      <c r="EXA40" s="471"/>
      <c r="EXB40" s="471"/>
      <c r="EXC40" s="471"/>
      <c r="EXD40" s="471"/>
      <c r="EXE40" s="471"/>
      <c r="EXF40" s="471"/>
      <c r="EXG40" s="471"/>
      <c r="EXH40" s="471"/>
      <c r="EXI40" s="471"/>
      <c r="EXJ40" s="471"/>
      <c r="EXK40" s="471"/>
      <c r="EXL40" s="471"/>
      <c r="EXM40" s="471"/>
      <c r="EXN40" s="471"/>
      <c r="EXO40" s="471"/>
      <c r="EXP40" s="471"/>
      <c r="EXQ40" s="471"/>
      <c r="EXR40" s="471"/>
      <c r="EXS40" s="471"/>
      <c r="EXT40" s="471"/>
      <c r="EXU40" s="471"/>
      <c r="EXV40" s="471"/>
      <c r="EXW40" s="471"/>
      <c r="EXX40" s="471"/>
      <c r="EXY40" s="471"/>
      <c r="EXZ40" s="471"/>
      <c r="EYA40" s="471"/>
      <c r="EYB40" s="471"/>
      <c r="EYC40" s="471"/>
      <c r="EYD40" s="471"/>
      <c r="EYE40" s="471"/>
      <c r="EYF40" s="471"/>
      <c r="EYG40" s="471"/>
      <c r="EYH40" s="471"/>
      <c r="EYI40" s="471"/>
      <c r="EYJ40" s="471"/>
      <c r="EYK40" s="471"/>
      <c r="EYL40" s="471"/>
      <c r="EYM40" s="471"/>
      <c r="EYN40" s="471"/>
      <c r="EYO40" s="471"/>
      <c r="EYP40" s="471"/>
      <c r="EYQ40" s="471"/>
      <c r="EYR40" s="471"/>
      <c r="EYS40" s="471"/>
      <c r="EYT40" s="471"/>
      <c r="EYU40" s="471"/>
      <c r="EYV40" s="471"/>
      <c r="EYW40" s="471"/>
      <c r="EYX40" s="471"/>
      <c r="EYY40" s="471"/>
      <c r="EYZ40" s="471"/>
      <c r="EZA40" s="471"/>
      <c r="EZB40" s="471"/>
      <c r="EZC40" s="471"/>
      <c r="EZD40" s="471"/>
      <c r="EZE40" s="471"/>
      <c r="EZF40" s="471"/>
      <c r="EZG40" s="471"/>
      <c r="EZH40" s="471"/>
      <c r="EZI40" s="471"/>
      <c r="EZJ40" s="471"/>
      <c r="EZK40" s="471"/>
      <c r="EZL40" s="471"/>
      <c r="EZM40" s="471"/>
      <c r="EZN40" s="471"/>
      <c r="EZO40" s="471"/>
      <c r="EZP40" s="471"/>
      <c r="EZQ40" s="471"/>
      <c r="EZR40" s="471"/>
      <c r="EZS40" s="471"/>
      <c r="EZT40" s="471"/>
      <c r="EZU40" s="471"/>
      <c r="EZV40" s="471"/>
      <c r="EZW40" s="471"/>
      <c r="EZX40" s="471"/>
      <c r="EZY40" s="471"/>
      <c r="EZZ40" s="471"/>
      <c r="FAA40" s="471"/>
      <c r="FAB40" s="471"/>
      <c r="FAC40" s="471"/>
      <c r="FAD40" s="471"/>
      <c r="FAE40" s="471"/>
      <c r="FAF40" s="471"/>
      <c r="FAG40" s="471"/>
      <c r="FAH40" s="471"/>
      <c r="FAI40" s="471"/>
      <c r="FAJ40" s="471"/>
      <c r="FAK40" s="471"/>
      <c r="FAL40" s="471"/>
      <c r="FAM40" s="471"/>
      <c r="FAN40" s="471"/>
      <c r="FAO40" s="471"/>
      <c r="FAP40" s="471"/>
      <c r="FAQ40" s="471"/>
      <c r="FAR40" s="471"/>
      <c r="FAS40" s="471"/>
      <c r="FAT40" s="471"/>
      <c r="FAU40" s="471"/>
      <c r="FAV40" s="471"/>
      <c r="FAW40" s="471"/>
      <c r="FAX40" s="471"/>
      <c r="FAY40" s="471"/>
      <c r="FAZ40" s="471"/>
      <c r="FBA40" s="471"/>
      <c r="FBB40" s="471"/>
      <c r="FBC40" s="471"/>
      <c r="FBD40" s="471"/>
      <c r="FBE40" s="471"/>
      <c r="FBF40" s="471"/>
      <c r="FBG40" s="471"/>
      <c r="FBH40" s="471"/>
      <c r="FBI40" s="471"/>
      <c r="FBJ40" s="471"/>
      <c r="FBK40" s="471"/>
      <c r="FBL40" s="471"/>
      <c r="FBM40" s="471"/>
      <c r="FBN40" s="471"/>
      <c r="FBO40" s="471"/>
      <c r="FBP40" s="471"/>
      <c r="FBQ40" s="471"/>
      <c r="FBR40" s="471"/>
      <c r="FBS40" s="471"/>
      <c r="FBT40" s="471"/>
      <c r="FBU40" s="471"/>
      <c r="FBV40" s="471"/>
      <c r="FBW40" s="471"/>
      <c r="FBX40" s="471"/>
      <c r="FBY40" s="471"/>
      <c r="FBZ40" s="471"/>
      <c r="FCA40" s="471"/>
      <c r="FCB40" s="471"/>
      <c r="FCC40" s="471"/>
      <c r="FCD40" s="471"/>
      <c r="FCE40" s="471"/>
      <c r="FCF40" s="471"/>
      <c r="FCG40" s="471"/>
      <c r="FCH40" s="471"/>
      <c r="FCI40" s="471"/>
      <c r="FCJ40" s="471"/>
      <c r="FCK40" s="471"/>
      <c r="FCL40" s="471"/>
      <c r="FCM40" s="471"/>
      <c r="FCN40" s="471"/>
      <c r="FCO40" s="471"/>
      <c r="FCP40" s="471"/>
      <c r="FCQ40" s="471"/>
      <c r="FCR40" s="471"/>
      <c r="FCS40" s="471"/>
      <c r="FCT40" s="471"/>
      <c r="FCU40" s="471"/>
      <c r="FCV40" s="471"/>
      <c r="FCW40" s="471"/>
      <c r="FCX40" s="471"/>
      <c r="FCY40" s="471"/>
      <c r="FCZ40" s="471"/>
      <c r="FDA40" s="471"/>
      <c r="FDB40" s="471"/>
      <c r="FDC40" s="471"/>
      <c r="FDD40" s="471"/>
      <c r="FDE40" s="471"/>
      <c r="FDF40" s="471"/>
      <c r="FDG40" s="471"/>
      <c r="FDH40" s="471"/>
      <c r="FDI40" s="471"/>
      <c r="FDJ40" s="471"/>
      <c r="FDK40" s="471"/>
      <c r="FDL40" s="471"/>
      <c r="FDM40" s="471"/>
      <c r="FDN40" s="471"/>
      <c r="FDO40" s="471"/>
      <c r="FDP40" s="471"/>
      <c r="FDQ40" s="471"/>
      <c r="FDR40" s="471"/>
      <c r="FDS40" s="471"/>
      <c r="FDT40" s="471"/>
      <c r="FDU40" s="471"/>
      <c r="FDV40" s="471"/>
      <c r="FDW40" s="471"/>
      <c r="FDX40" s="471"/>
      <c r="FDY40" s="471"/>
      <c r="FDZ40" s="471"/>
      <c r="FEA40" s="471"/>
      <c r="FEB40" s="471"/>
      <c r="FEC40" s="471"/>
      <c r="FED40" s="471"/>
      <c r="FEE40" s="471"/>
      <c r="FEF40" s="471"/>
      <c r="FEG40" s="471"/>
      <c r="FEH40" s="471"/>
      <c r="FEI40" s="471"/>
      <c r="FEJ40" s="471"/>
      <c r="FEK40" s="471"/>
      <c r="FEL40" s="471"/>
      <c r="FEM40" s="471"/>
      <c r="FEN40" s="471"/>
      <c r="FEO40" s="471"/>
      <c r="FEP40" s="471"/>
      <c r="FEQ40" s="471"/>
      <c r="FER40" s="471"/>
      <c r="FES40" s="471"/>
      <c r="FET40" s="471"/>
      <c r="FEU40" s="471"/>
      <c r="FEV40" s="471"/>
      <c r="FEW40" s="471"/>
      <c r="FEX40" s="471"/>
      <c r="FEY40" s="471"/>
      <c r="FEZ40" s="471"/>
      <c r="FFA40" s="471"/>
      <c r="FFB40" s="471"/>
      <c r="FFC40" s="471"/>
      <c r="FFD40" s="471"/>
      <c r="FFE40" s="471"/>
      <c r="FFF40" s="471"/>
      <c r="FFG40" s="471"/>
      <c r="FFH40" s="471"/>
      <c r="FFI40" s="471"/>
      <c r="FFJ40" s="471"/>
      <c r="FFK40" s="471"/>
      <c r="FFL40" s="471"/>
      <c r="FFM40" s="471"/>
      <c r="FFN40" s="471"/>
      <c r="FFO40" s="471"/>
      <c r="FFP40" s="471"/>
      <c r="FFQ40" s="471"/>
      <c r="FFR40" s="471"/>
      <c r="FFS40" s="471"/>
      <c r="FFT40" s="471"/>
      <c r="FFU40" s="471"/>
      <c r="FFV40" s="471"/>
      <c r="FFW40" s="471"/>
      <c r="FFX40" s="471"/>
      <c r="FFY40" s="471"/>
      <c r="FFZ40" s="471"/>
      <c r="FGA40" s="471"/>
      <c r="FGB40" s="471"/>
      <c r="FGC40" s="471"/>
      <c r="FGD40" s="471"/>
      <c r="FGE40" s="471"/>
      <c r="FGF40" s="471"/>
      <c r="FGG40" s="471"/>
      <c r="FGH40" s="471"/>
      <c r="FGI40" s="471"/>
      <c r="FGJ40" s="471"/>
      <c r="FGK40" s="471"/>
      <c r="FGL40" s="471"/>
      <c r="FGM40" s="471"/>
      <c r="FGN40" s="471"/>
      <c r="FGO40" s="471"/>
      <c r="FGP40" s="471"/>
      <c r="FGQ40" s="471"/>
      <c r="FGR40" s="471"/>
      <c r="FGS40" s="471"/>
      <c r="FGT40" s="471"/>
      <c r="FGU40" s="471"/>
      <c r="FGV40" s="471"/>
      <c r="FGW40" s="471"/>
      <c r="FGX40" s="471"/>
      <c r="FGY40" s="471"/>
      <c r="FGZ40" s="471"/>
      <c r="FHA40" s="471"/>
      <c r="FHB40" s="471"/>
      <c r="FHC40" s="471"/>
      <c r="FHD40" s="471"/>
      <c r="FHE40" s="471"/>
      <c r="FHF40" s="471"/>
      <c r="FHG40" s="471"/>
      <c r="FHH40" s="471"/>
      <c r="FHI40" s="471"/>
      <c r="FHJ40" s="471"/>
      <c r="FHK40" s="471"/>
      <c r="FHL40" s="471"/>
      <c r="FHM40" s="471"/>
      <c r="FHN40" s="471"/>
      <c r="FHO40" s="471"/>
      <c r="FHP40" s="471"/>
      <c r="FHQ40" s="471"/>
      <c r="FHR40" s="471"/>
      <c r="FHS40" s="471"/>
      <c r="FHT40" s="471"/>
      <c r="FHU40" s="471"/>
      <c r="FHV40" s="471"/>
      <c r="FHW40" s="471"/>
      <c r="FHX40" s="471"/>
      <c r="FHY40" s="471"/>
      <c r="FHZ40" s="471"/>
      <c r="FIA40" s="471"/>
      <c r="FIB40" s="471"/>
      <c r="FIC40" s="471"/>
      <c r="FID40" s="471"/>
      <c r="FIE40" s="471"/>
      <c r="FIF40" s="471"/>
      <c r="FIG40" s="471"/>
      <c r="FIH40" s="471"/>
      <c r="FII40" s="471"/>
      <c r="FIJ40" s="471"/>
      <c r="FIK40" s="471"/>
      <c r="FIL40" s="471"/>
      <c r="FIM40" s="471"/>
      <c r="FIN40" s="471"/>
      <c r="FIO40" s="471"/>
      <c r="FIP40" s="471"/>
      <c r="FIQ40" s="471"/>
      <c r="FIR40" s="471"/>
      <c r="FIS40" s="471"/>
      <c r="FIT40" s="471"/>
      <c r="FIU40" s="471"/>
      <c r="FIV40" s="471"/>
      <c r="FIW40" s="471"/>
      <c r="FIX40" s="471"/>
      <c r="FIY40" s="471"/>
      <c r="FIZ40" s="471"/>
      <c r="FJA40" s="471"/>
      <c r="FJB40" s="471"/>
      <c r="FJC40" s="471"/>
      <c r="FJD40" s="471"/>
      <c r="FJE40" s="471"/>
      <c r="FJF40" s="471"/>
      <c r="FJG40" s="471"/>
      <c r="FJH40" s="471"/>
      <c r="FJI40" s="471"/>
      <c r="FJJ40" s="471"/>
      <c r="FJK40" s="471"/>
      <c r="FJL40" s="471"/>
      <c r="FJM40" s="471"/>
      <c r="FJN40" s="471"/>
      <c r="FJO40" s="471"/>
      <c r="FJP40" s="471"/>
      <c r="FJQ40" s="471"/>
      <c r="FJR40" s="471"/>
      <c r="FJS40" s="471"/>
      <c r="FJT40" s="471"/>
      <c r="FJU40" s="471"/>
      <c r="FJV40" s="471"/>
      <c r="FJW40" s="471"/>
      <c r="FJX40" s="471"/>
      <c r="FJY40" s="471"/>
      <c r="FJZ40" s="471"/>
      <c r="FKA40" s="471"/>
      <c r="FKB40" s="471"/>
      <c r="FKC40" s="471"/>
      <c r="FKD40" s="471"/>
      <c r="FKE40" s="471"/>
      <c r="FKF40" s="471"/>
      <c r="FKG40" s="471"/>
      <c r="FKH40" s="471"/>
      <c r="FKI40" s="471"/>
      <c r="FKJ40" s="471"/>
      <c r="FKK40" s="471"/>
      <c r="FKL40" s="471"/>
      <c r="FKM40" s="471"/>
      <c r="FKN40" s="471"/>
      <c r="FKO40" s="471"/>
      <c r="FKP40" s="471"/>
      <c r="FKQ40" s="471"/>
      <c r="FKR40" s="471"/>
      <c r="FKS40" s="471"/>
      <c r="FKT40" s="471"/>
      <c r="FKU40" s="471"/>
      <c r="FKV40" s="471"/>
      <c r="FKW40" s="471"/>
      <c r="FKX40" s="471"/>
      <c r="FKY40" s="471"/>
      <c r="FKZ40" s="471"/>
      <c r="FLA40" s="471"/>
      <c r="FLB40" s="471"/>
      <c r="FLC40" s="471"/>
      <c r="FLD40" s="471"/>
      <c r="FLE40" s="471"/>
      <c r="FLF40" s="471"/>
      <c r="FLG40" s="471"/>
      <c r="FLH40" s="471"/>
      <c r="FLI40" s="471"/>
      <c r="FLJ40" s="471"/>
      <c r="FLK40" s="471"/>
      <c r="FLL40" s="471"/>
      <c r="FLM40" s="471"/>
      <c r="FLN40" s="471"/>
      <c r="FLO40" s="471"/>
      <c r="FLP40" s="471"/>
      <c r="FLQ40" s="471"/>
      <c r="FLR40" s="471"/>
      <c r="FLS40" s="471"/>
      <c r="FLT40" s="471"/>
      <c r="FLU40" s="471"/>
      <c r="FLV40" s="471"/>
      <c r="FLW40" s="471"/>
      <c r="FLX40" s="471"/>
      <c r="FLY40" s="471"/>
      <c r="FLZ40" s="471"/>
      <c r="FMA40" s="471"/>
      <c r="FMB40" s="471"/>
      <c r="FMC40" s="471"/>
      <c r="FMD40" s="471"/>
      <c r="FME40" s="471"/>
      <c r="FMF40" s="471"/>
      <c r="FMG40" s="471"/>
      <c r="FMH40" s="471"/>
      <c r="FMI40" s="471"/>
      <c r="FMJ40" s="471"/>
      <c r="FMK40" s="471"/>
      <c r="FML40" s="471"/>
      <c r="FMM40" s="471"/>
      <c r="FMN40" s="471"/>
      <c r="FMO40" s="471"/>
      <c r="FMP40" s="471"/>
      <c r="FMQ40" s="471"/>
      <c r="FMR40" s="471"/>
      <c r="FMS40" s="471"/>
      <c r="FMT40" s="471"/>
      <c r="FMU40" s="471"/>
      <c r="FMV40" s="471"/>
      <c r="FMW40" s="471"/>
      <c r="FMX40" s="471"/>
      <c r="FMY40" s="471"/>
      <c r="FMZ40" s="471"/>
      <c r="FNA40" s="471"/>
      <c r="FNB40" s="471"/>
      <c r="FNC40" s="471"/>
      <c r="FND40" s="471"/>
      <c r="FNE40" s="471"/>
      <c r="FNF40" s="471"/>
      <c r="FNG40" s="471"/>
      <c r="FNH40" s="471"/>
      <c r="FNI40" s="471"/>
      <c r="FNJ40" s="471"/>
      <c r="FNK40" s="471"/>
      <c r="FNL40" s="471"/>
      <c r="FNM40" s="471"/>
      <c r="FNN40" s="471"/>
      <c r="FNO40" s="471"/>
      <c r="FNP40" s="471"/>
      <c r="FNQ40" s="471"/>
      <c r="FNR40" s="471"/>
      <c r="FNS40" s="471"/>
      <c r="FNT40" s="471"/>
      <c r="FNU40" s="471"/>
      <c r="FNV40" s="471"/>
      <c r="FNW40" s="471"/>
      <c r="FNX40" s="471"/>
      <c r="FNY40" s="471"/>
      <c r="FNZ40" s="471"/>
      <c r="FOA40" s="471"/>
      <c r="FOB40" s="471"/>
      <c r="FOC40" s="471"/>
      <c r="FOD40" s="471"/>
      <c r="FOE40" s="471"/>
      <c r="FOF40" s="471"/>
      <c r="FOG40" s="471"/>
      <c r="FOH40" s="471"/>
      <c r="FOI40" s="471"/>
      <c r="FOJ40" s="471"/>
      <c r="FOK40" s="471"/>
      <c r="FOL40" s="471"/>
      <c r="FOM40" s="471"/>
      <c r="FON40" s="471"/>
      <c r="FOO40" s="471"/>
      <c r="FOP40" s="471"/>
      <c r="FOQ40" s="471"/>
      <c r="FOR40" s="471"/>
      <c r="FOS40" s="471"/>
      <c r="FOT40" s="471"/>
      <c r="FOU40" s="471"/>
      <c r="FOV40" s="471"/>
      <c r="FOW40" s="471"/>
      <c r="FOX40" s="471"/>
      <c r="FOY40" s="471"/>
      <c r="FOZ40" s="471"/>
      <c r="FPA40" s="471"/>
      <c r="FPB40" s="471"/>
      <c r="FPC40" s="471"/>
      <c r="FPD40" s="471"/>
      <c r="FPE40" s="471"/>
      <c r="FPF40" s="471"/>
      <c r="FPG40" s="471"/>
      <c r="FPH40" s="471"/>
      <c r="FPI40" s="471"/>
      <c r="FPJ40" s="471"/>
      <c r="FPK40" s="471"/>
      <c r="FPL40" s="471"/>
      <c r="FPM40" s="471"/>
      <c r="FPN40" s="471"/>
      <c r="FPO40" s="471"/>
      <c r="FPP40" s="471"/>
      <c r="FPQ40" s="471"/>
      <c r="FPR40" s="471"/>
      <c r="FPS40" s="471"/>
      <c r="FPT40" s="471"/>
      <c r="FPU40" s="471"/>
      <c r="FPV40" s="471"/>
      <c r="FPW40" s="471"/>
      <c r="FPX40" s="471"/>
      <c r="FPY40" s="471"/>
      <c r="FPZ40" s="471"/>
      <c r="FQA40" s="471"/>
      <c r="FQB40" s="471"/>
      <c r="FQC40" s="471"/>
      <c r="FQD40" s="471"/>
      <c r="FQE40" s="471"/>
      <c r="FQF40" s="471"/>
      <c r="FQG40" s="471"/>
      <c r="FQH40" s="471"/>
      <c r="FQI40" s="471"/>
      <c r="FQJ40" s="471"/>
      <c r="FQK40" s="471"/>
      <c r="FQL40" s="471"/>
      <c r="FQM40" s="471"/>
      <c r="FQN40" s="471"/>
      <c r="FQO40" s="471"/>
      <c r="FQP40" s="471"/>
      <c r="FQQ40" s="471"/>
      <c r="FQR40" s="471"/>
      <c r="FQS40" s="471"/>
      <c r="FQT40" s="471"/>
      <c r="FQU40" s="471"/>
      <c r="FQV40" s="471"/>
      <c r="FQW40" s="471"/>
      <c r="FQX40" s="471"/>
      <c r="FQY40" s="471"/>
      <c r="FQZ40" s="471"/>
      <c r="FRA40" s="471"/>
      <c r="FRB40" s="471"/>
      <c r="FRC40" s="471"/>
      <c r="FRD40" s="471"/>
      <c r="FRE40" s="471"/>
      <c r="FRF40" s="471"/>
      <c r="FRG40" s="471"/>
      <c r="FRH40" s="471"/>
      <c r="FRI40" s="471"/>
      <c r="FRJ40" s="471"/>
      <c r="FRK40" s="471"/>
      <c r="FRL40" s="471"/>
      <c r="FRM40" s="471"/>
      <c r="FRN40" s="471"/>
      <c r="FRO40" s="471"/>
      <c r="FRP40" s="471"/>
      <c r="FRQ40" s="471"/>
      <c r="FRR40" s="471"/>
      <c r="FRS40" s="471"/>
      <c r="FRT40" s="471"/>
      <c r="FRU40" s="471"/>
      <c r="FRV40" s="471"/>
      <c r="FRW40" s="471"/>
      <c r="FRX40" s="471"/>
      <c r="FRY40" s="471"/>
      <c r="FRZ40" s="471"/>
      <c r="FSA40" s="471"/>
      <c r="FSB40" s="471"/>
      <c r="FSC40" s="471"/>
      <c r="FSD40" s="471"/>
      <c r="FSE40" s="471"/>
      <c r="FSF40" s="471"/>
      <c r="FSG40" s="471"/>
      <c r="FSH40" s="471"/>
      <c r="FSI40" s="471"/>
      <c r="FSJ40" s="471"/>
      <c r="FSK40" s="471"/>
      <c r="FSL40" s="471"/>
      <c r="FSM40" s="471"/>
      <c r="FSN40" s="471"/>
      <c r="FSO40" s="471"/>
      <c r="FSP40" s="471"/>
      <c r="FSQ40" s="471"/>
      <c r="FSR40" s="471"/>
      <c r="FSS40" s="471"/>
      <c r="FST40" s="471"/>
      <c r="FSU40" s="471"/>
      <c r="FSV40" s="471"/>
      <c r="FSW40" s="471"/>
      <c r="FSX40" s="471"/>
      <c r="FSY40" s="471"/>
      <c r="FSZ40" s="471"/>
      <c r="FTA40" s="471"/>
      <c r="FTB40" s="471"/>
      <c r="FTC40" s="471"/>
      <c r="FTD40" s="471"/>
      <c r="FTE40" s="471"/>
      <c r="FTF40" s="471"/>
      <c r="FTG40" s="471"/>
      <c r="FTH40" s="471"/>
      <c r="FTI40" s="471"/>
      <c r="FTJ40" s="471"/>
      <c r="FTK40" s="471"/>
      <c r="FTL40" s="471"/>
      <c r="FTM40" s="471"/>
      <c r="FTN40" s="471"/>
      <c r="FTO40" s="471"/>
      <c r="FTP40" s="471"/>
      <c r="FTQ40" s="471"/>
      <c r="FTR40" s="471"/>
      <c r="FTS40" s="471"/>
      <c r="FTT40" s="471"/>
      <c r="FTU40" s="471"/>
      <c r="FTV40" s="471"/>
      <c r="FTW40" s="471"/>
      <c r="FTX40" s="471"/>
      <c r="FTY40" s="471"/>
      <c r="FTZ40" s="471"/>
      <c r="FUA40" s="471"/>
      <c r="FUB40" s="471"/>
      <c r="FUC40" s="471"/>
      <c r="FUD40" s="471"/>
      <c r="FUE40" s="471"/>
      <c r="FUF40" s="471"/>
      <c r="FUG40" s="471"/>
      <c r="FUH40" s="471"/>
      <c r="FUI40" s="471"/>
      <c r="FUJ40" s="471"/>
      <c r="FUK40" s="471"/>
      <c r="FUL40" s="471"/>
      <c r="FUM40" s="471"/>
      <c r="FUN40" s="471"/>
      <c r="FUO40" s="471"/>
      <c r="FUP40" s="471"/>
      <c r="FUQ40" s="471"/>
      <c r="FUR40" s="471"/>
      <c r="FUS40" s="471"/>
      <c r="FUT40" s="471"/>
      <c r="FUU40" s="471"/>
      <c r="FUV40" s="471"/>
      <c r="FUW40" s="471"/>
      <c r="FUX40" s="471"/>
      <c r="FUY40" s="471"/>
      <c r="FUZ40" s="471"/>
      <c r="FVA40" s="471"/>
      <c r="FVB40" s="471"/>
      <c r="FVC40" s="471"/>
      <c r="FVD40" s="471"/>
      <c r="FVE40" s="471"/>
      <c r="FVF40" s="471"/>
      <c r="FVG40" s="471"/>
      <c r="FVH40" s="471"/>
      <c r="FVI40" s="471"/>
      <c r="FVJ40" s="471"/>
      <c r="FVK40" s="471"/>
      <c r="FVL40" s="471"/>
      <c r="FVM40" s="471"/>
      <c r="FVN40" s="471"/>
      <c r="FVO40" s="471"/>
      <c r="FVP40" s="471"/>
      <c r="FVQ40" s="471"/>
      <c r="FVR40" s="471"/>
      <c r="FVS40" s="471"/>
      <c r="FVT40" s="471"/>
      <c r="FVU40" s="471"/>
      <c r="FVV40" s="471"/>
      <c r="FVW40" s="471"/>
      <c r="FVX40" s="471"/>
      <c r="FVY40" s="471"/>
      <c r="FVZ40" s="471"/>
      <c r="FWA40" s="471"/>
      <c r="FWB40" s="471"/>
      <c r="FWC40" s="471"/>
      <c r="FWD40" s="471"/>
      <c r="FWE40" s="471"/>
      <c r="FWF40" s="471"/>
      <c r="FWG40" s="471"/>
      <c r="FWH40" s="471"/>
      <c r="FWI40" s="471"/>
      <c r="FWJ40" s="471"/>
      <c r="FWK40" s="471"/>
      <c r="FWL40" s="471"/>
      <c r="FWM40" s="471"/>
      <c r="FWN40" s="471"/>
      <c r="FWO40" s="471"/>
      <c r="FWP40" s="471"/>
      <c r="FWQ40" s="471"/>
      <c r="FWR40" s="471"/>
      <c r="FWS40" s="471"/>
      <c r="FWT40" s="471"/>
      <c r="FWU40" s="471"/>
      <c r="FWV40" s="471"/>
      <c r="FWW40" s="471"/>
      <c r="FWX40" s="471"/>
      <c r="FWY40" s="471"/>
      <c r="FWZ40" s="471"/>
      <c r="FXA40" s="471"/>
      <c r="FXB40" s="471"/>
      <c r="FXC40" s="471"/>
      <c r="FXD40" s="471"/>
      <c r="FXE40" s="471"/>
      <c r="FXF40" s="471"/>
      <c r="FXG40" s="471"/>
      <c r="FXH40" s="471"/>
      <c r="FXI40" s="471"/>
      <c r="FXJ40" s="471"/>
      <c r="FXK40" s="471"/>
      <c r="FXL40" s="471"/>
      <c r="FXM40" s="471"/>
      <c r="FXN40" s="471"/>
      <c r="FXO40" s="471"/>
      <c r="FXP40" s="471"/>
      <c r="FXQ40" s="471"/>
      <c r="FXR40" s="471"/>
      <c r="FXS40" s="471"/>
      <c r="FXT40" s="471"/>
      <c r="FXU40" s="471"/>
      <c r="FXV40" s="471"/>
      <c r="FXW40" s="471"/>
      <c r="FXX40" s="471"/>
      <c r="FXY40" s="471"/>
      <c r="FXZ40" s="471"/>
      <c r="FYA40" s="471"/>
      <c r="FYB40" s="471"/>
      <c r="FYC40" s="471"/>
      <c r="FYD40" s="471"/>
      <c r="FYE40" s="471"/>
      <c r="FYF40" s="471"/>
      <c r="FYG40" s="471"/>
      <c r="FYH40" s="471"/>
      <c r="FYI40" s="471"/>
      <c r="FYJ40" s="471"/>
      <c r="FYK40" s="471"/>
      <c r="FYL40" s="471"/>
      <c r="FYM40" s="471"/>
      <c r="FYN40" s="471"/>
      <c r="FYO40" s="471"/>
      <c r="FYP40" s="471"/>
      <c r="FYQ40" s="471"/>
      <c r="FYR40" s="471"/>
      <c r="FYS40" s="471"/>
      <c r="FYT40" s="471"/>
      <c r="FYU40" s="471"/>
      <c r="FYV40" s="471"/>
      <c r="FYW40" s="471"/>
      <c r="FYX40" s="471"/>
      <c r="FYY40" s="471"/>
      <c r="FYZ40" s="471"/>
      <c r="FZA40" s="471"/>
      <c r="FZB40" s="471"/>
      <c r="FZC40" s="471"/>
      <c r="FZD40" s="471"/>
      <c r="FZE40" s="471"/>
      <c r="FZF40" s="471"/>
      <c r="FZG40" s="471"/>
      <c r="FZH40" s="471"/>
      <c r="FZI40" s="471"/>
      <c r="FZJ40" s="471"/>
      <c r="FZK40" s="471"/>
      <c r="FZL40" s="471"/>
      <c r="FZM40" s="471"/>
      <c r="FZN40" s="471"/>
      <c r="FZO40" s="471"/>
      <c r="FZP40" s="471"/>
      <c r="FZQ40" s="471"/>
      <c r="FZR40" s="471"/>
      <c r="FZS40" s="471"/>
      <c r="FZT40" s="471"/>
      <c r="FZU40" s="471"/>
      <c r="FZV40" s="471"/>
      <c r="FZW40" s="471"/>
      <c r="FZX40" s="471"/>
      <c r="FZY40" s="471"/>
      <c r="FZZ40" s="471"/>
      <c r="GAA40" s="471"/>
      <c r="GAB40" s="471"/>
      <c r="GAC40" s="471"/>
      <c r="GAD40" s="471"/>
      <c r="GAE40" s="471"/>
      <c r="GAF40" s="471"/>
      <c r="GAG40" s="471"/>
      <c r="GAH40" s="471"/>
      <c r="GAI40" s="471"/>
      <c r="GAJ40" s="471"/>
      <c r="GAK40" s="471"/>
      <c r="GAL40" s="471"/>
      <c r="GAM40" s="471"/>
      <c r="GAN40" s="471"/>
      <c r="GAO40" s="471"/>
      <c r="GAP40" s="471"/>
      <c r="GAQ40" s="471"/>
      <c r="GAR40" s="471"/>
      <c r="GAS40" s="471"/>
      <c r="GAT40" s="471"/>
      <c r="GAU40" s="471"/>
      <c r="GAV40" s="471"/>
      <c r="GAW40" s="471"/>
      <c r="GAX40" s="471"/>
      <c r="GAY40" s="471"/>
      <c r="GAZ40" s="471"/>
      <c r="GBA40" s="471"/>
      <c r="GBB40" s="471"/>
      <c r="GBC40" s="471"/>
      <c r="GBD40" s="471"/>
      <c r="GBE40" s="471"/>
      <c r="GBF40" s="471"/>
      <c r="GBG40" s="471"/>
      <c r="GBH40" s="471"/>
      <c r="GBI40" s="471"/>
      <c r="GBJ40" s="471"/>
      <c r="GBK40" s="471"/>
      <c r="GBL40" s="471"/>
      <c r="GBM40" s="471"/>
      <c r="GBN40" s="471"/>
      <c r="GBO40" s="471"/>
      <c r="GBP40" s="471"/>
      <c r="GBQ40" s="471"/>
      <c r="GBR40" s="471"/>
      <c r="GBS40" s="471"/>
      <c r="GBT40" s="471"/>
      <c r="GBU40" s="471"/>
      <c r="GBV40" s="471"/>
      <c r="GBW40" s="471"/>
      <c r="GBX40" s="471"/>
      <c r="GBY40" s="471"/>
      <c r="GBZ40" s="471"/>
      <c r="GCA40" s="471"/>
      <c r="GCB40" s="471"/>
      <c r="GCC40" s="471"/>
      <c r="GCD40" s="471"/>
      <c r="GCE40" s="471"/>
      <c r="GCF40" s="471"/>
      <c r="GCG40" s="471"/>
      <c r="GCH40" s="471"/>
      <c r="GCI40" s="471"/>
      <c r="GCJ40" s="471"/>
      <c r="GCK40" s="471"/>
      <c r="GCL40" s="471"/>
      <c r="GCM40" s="471"/>
      <c r="GCN40" s="471"/>
      <c r="GCO40" s="471"/>
      <c r="GCP40" s="471"/>
      <c r="GCQ40" s="471"/>
      <c r="GCR40" s="471"/>
      <c r="GCS40" s="471"/>
      <c r="GCT40" s="471"/>
      <c r="GCU40" s="471"/>
      <c r="GCV40" s="471"/>
      <c r="GCW40" s="471"/>
      <c r="GCX40" s="471"/>
      <c r="GCY40" s="471"/>
      <c r="GCZ40" s="471"/>
      <c r="GDA40" s="471"/>
      <c r="GDB40" s="471"/>
      <c r="GDC40" s="471"/>
      <c r="GDD40" s="471"/>
      <c r="GDE40" s="471"/>
      <c r="GDF40" s="471"/>
      <c r="GDG40" s="471"/>
      <c r="GDH40" s="471"/>
      <c r="GDI40" s="471"/>
      <c r="GDJ40" s="471"/>
      <c r="GDK40" s="471"/>
      <c r="GDL40" s="471"/>
      <c r="GDM40" s="471"/>
      <c r="GDN40" s="471"/>
      <c r="GDO40" s="471"/>
      <c r="GDP40" s="471"/>
      <c r="GDQ40" s="471"/>
      <c r="GDR40" s="471"/>
      <c r="GDS40" s="471"/>
      <c r="GDT40" s="471"/>
      <c r="GDU40" s="471"/>
      <c r="GDV40" s="471"/>
      <c r="GDW40" s="471"/>
      <c r="GDX40" s="471"/>
      <c r="GDY40" s="471"/>
      <c r="GDZ40" s="471"/>
      <c r="GEA40" s="471"/>
      <c r="GEB40" s="471"/>
      <c r="GEC40" s="471"/>
      <c r="GED40" s="471"/>
      <c r="GEE40" s="471"/>
      <c r="GEF40" s="471"/>
      <c r="GEG40" s="471"/>
      <c r="GEH40" s="471"/>
      <c r="GEI40" s="471"/>
      <c r="GEJ40" s="471"/>
      <c r="GEK40" s="471"/>
      <c r="GEL40" s="471"/>
      <c r="GEM40" s="471"/>
      <c r="GEN40" s="471"/>
      <c r="GEO40" s="471"/>
      <c r="GEP40" s="471"/>
      <c r="GEQ40" s="471"/>
      <c r="GER40" s="471"/>
      <c r="GES40" s="471"/>
      <c r="GET40" s="471"/>
      <c r="GEU40" s="471"/>
      <c r="GEV40" s="471"/>
      <c r="GEW40" s="471"/>
      <c r="GEX40" s="471"/>
      <c r="GEY40" s="471"/>
      <c r="GEZ40" s="471"/>
      <c r="GFA40" s="471"/>
      <c r="GFB40" s="471"/>
      <c r="GFC40" s="471"/>
      <c r="GFD40" s="471"/>
      <c r="GFE40" s="471"/>
      <c r="GFF40" s="471"/>
      <c r="GFG40" s="471"/>
      <c r="GFH40" s="471"/>
      <c r="GFI40" s="471"/>
      <c r="GFJ40" s="471"/>
      <c r="GFK40" s="471"/>
      <c r="GFL40" s="471"/>
      <c r="GFM40" s="471"/>
      <c r="GFN40" s="471"/>
      <c r="GFO40" s="471"/>
      <c r="GFP40" s="471"/>
      <c r="GFQ40" s="471"/>
      <c r="GFR40" s="471"/>
      <c r="GFS40" s="471"/>
      <c r="GFT40" s="471"/>
      <c r="GFU40" s="471"/>
      <c r="GFV40" s="471"/>
      <c r="GFW40" s="471"/>
      <c r="GFX40" s="471"/>
      <c r="GFY40" s="471"/>
      <c r="GFZ40" s="471"/>
      <c r="GGA40" s="471"/>
      <c r="GGB40" s="471"/>
      <c r="GGC40" s="471"/>
      <c r="GGD40" s="471"/>
      <c r="GGE40" s="471"/>
      <c r="GGF40" s="471"/>
      <c r="GGG40" s="471"/>
      <c r="GGH40" s="471"/>
      <c r="GGI40" s="471"/>
      <c r="GGJ40" s="471"/>
      <c r="GGK40" s="471"/>
      <c r="GGL40" s="471"/>
      <c r="GGM40" s="471"/>
      <c r="GGN40" s="471"/>
      <c r="GGO40" s="471"/>
      <c r="GGP40" s="471"/>
      <c r="GGQ40" s="471"/>
      <c r="GGR40" s="471"/>
      <c r="GGS40" s="471"/>
      <c r="GGT40" s="471"/>
      <c r="GGU40" s="471"/>
      <c r="GGV40" s="471"/>
      <c r="GGW40" s="471"/>
      <c r="GGX40" s="471"/>
      <c r="GGY40" s="471"/>
      <c r="GGZ40" s="471"/>
      <c r="GHA40" s="471"/>
      <c r="GHB40" s="471"/>
      <c r="GHC40" s="471"/>
      <c r="GHD40" s="471"/>
      <c r="GHE40" s="471"/>
      <c r="GHF40" s="471"/>
      <c r="GHG40" s="471"/>
      <c r="GHH40" s="471"/>
      <c r="GHI40" s="471"/>
      <c r="GHJ40" s="471"/>
      <c r="GHK40" s="471"/>
      <c r="GHL40" s="471"/>
      <c r="GHM40" s="471"/>
      <c r="GHN40" s="471"/>
      <c r="GHO40" s="471"/>
      <c r="GHP40" s="471"/>
      <c r="GHQ40" s="471"/>
      <c r="GHR40" s="471"/>
      <c r="GHS40" s="471"/>
      <c r="GHT40" s="471"/>
      <c r="GHU40" s="471"/>
      <c r="GHV40" s="471"/>
      <c r="GHW40" s="471"/>
      <c r="GHX40" s="471"/>
      <c r="GHY40" s="471"/>
      <c r="GHZ40" s="471"/>
      <c r="GIA40" s="471"/>
      <c r="GIB40" s="471"/>
      <c r="GIC40" s="471"/>
      <c r="GID40" s="471"/>
      <c r="GIE40" s="471"/>
      <c r="GIF40" s="471"/>
      <c r="GIG40" s="471"/>
      <c r="GIH40" s="471"/>
      <c r="GII40" s="471"/>
      <c r="GIJ40" s="471"/>
      <c r="GIK40" s="471"/>
      <c r="GIL40" s="471"/>
      <c r="GIM40" s="471"/>
      <c r="GIN40" s="471"/>
      <c r="GIO40" s="471"/>
      <c r="GIP40" s="471"/>
      <c r="GIQ40" s="471"/>
      <c r="GIR40" s="471"/>
      <c r="GIS40" s="471"/>
      <c r="GIT40" s="471"/>
      <c r="GIU40" s="471"/>
      <c r="GIV40" s="471"/>
      <c r="GIW40" s="471"/>
      <c r="GIX40" s="471"/>
      <c r="GIY40" s="471"/>
      <c r="GIZ40" s="471"/>
      <c r="GJA40" s="471"/>
      <c r="GJB40" s="471"/>
      <c r="GJC40" s="471"/>
      <c r="GJD40" s="471"/>
      <c r="GJE40" s="471"/>
      <c r="GJF40" s="471"/>
      <c r="GJG40" s="471"/>
      <c r="GJH40" s="471"/>
      <c r="GJI40" s="471"/>
      <c r="GJJ40" s="471"/>
      <c r="GJK40" s="471"/>
      <c r="GJL40" s="471"/>
      <c r="GJM40" s="471"/>
      <c r="GJN40" s="471"/>
      <c r="GJO40" s="471"/>
      <c r="GJP40" s="471"/>
      <c r="GJQ40" s="471"/>
      <c r="GJR40" s="471"/>
      <c r="GJS40" s="471"/>
      <c r="GJT40" s="471"/>
      <c r="GJU40" s="471"/>
      <c r="GJV40" s="471"/>
      <c r="GJW40" s="471"/>
      <c r="GJX40" s="471"/>
      <c r="GJY40" s="471"/>
      <c r="GJZ40" s="471"/>
      <c r="GKA40" s="471"/>
      <c r="GKB40" s="471"/>
      <c r="GKC40" s="471"/>
      <c r="GKD40" s="471"/>
      <c r="GKE40" s="471"/>
      <c r="GKF40" s="471"/>
      <c r="GKG40" s="471"/>
      <c r="GKH40" s="471"/>
      <c r="GKI40" s="471"/>
      <c r="GKJ40" s="471"/>
      <c r="GKK40" s="471"/>
      <c r="GKL40" s="471"/>
      <c r="GKM40" s="471"/>
      <c r="GKN40" s="471"/>
      <c r="GKO40" s="471"/>
      <c r="GKP40" s="471"/>
      <c r="GKQ40" s="471"/>
      <c r="GKR40" s="471"/>
      <c r="GKS40" s="471"/>
      <c r="GKT40" s="471"/>
      <c r="GKU40" s="471"/>
      <c r="GKV40" s="471"/>
      <c r="GKW40" s="471"/>
      <c r="GKX40" s="471"/>
      <c r="GKY40" s="471"/>
      <c r="GKZ40" s="471"/>
      <c r="GLA40" s="471"/>
      <c r="GLB40" s="471"/>
      <c r="GLC40" s="471"/>
      <c r="GLD40" s="471"/>
      <c r="GLE40" s="471"/>
      <c r="GLF40" s="471"/>
      <c r="GLG40" s="471"/>
      <c r="GLH40" s="471"/>
      <c r="GLI40" s="471"/>
      <c r="GLJ40" s="471"/>
      <c r="GLK40" s="471"/>
      <c r="GLL40" s="471"/>
      <c r="GLM40" s="471"/>
      <c r="GLN40" s="471"/>
      <c r="GLO40" s="471"/>
      <c r="GLP40" s="471"/>
      <c r="GLQ40" s="471"/>
      <c r="GLR40" s="471"/>
      <c r="GLS40" s="471"/>
      <c r="GLT40" s="471"/>
      <c r="GLU40" s="471"/>
      <c r="GLV40" s="471"/>
      <c r="GLW40" s="471"/>
      <c r="GLX40" s="471"/>
      <c r="GLY40" s="471"/>
      <c r="GLZ40" s="471"/>
      <c r="GMA40" s="471"/>
      <c r="GMB40" s="471"/>
      <c r="GMC40" s="471"/>
      <c r="GMD40" s="471"/>
      <c r="GME40" s="471"/>
      <c r="GMF40" s="471"/>
      <c r="GMG40" s="471"/>
      <c r="GMH40" s="471"/>
      <c r="GMI40" s="471"/>
      <c r="GMJ40" s="471"/>
      <c r="GMK40" s="471"/>
      <c r="GML40" s="471"/>
      <c r="GMM40" s="471"/>
      <c r="GMN40" s="471"/>
      <c r="GMO40" s="471"/>
      <c r="GMP40" s="471"/>
      <c r="GMQ40" s="471"/>
      <c r="GMR40" s="471"/>
      <c r="GMS40" s="471"/>
      <c r="GMT40" s="471"/>
      <c r="GMU40" s="471"/>
      <c r="GMV40" s="471"/>
      <c r="GMW40" s="471"/>
      <c r="GMX40" s="471"/>
      <c r="GMY40" s="471"/>
      <c r="GMZ40" s="471"/>
      <c r="GNA40" s="471"/>
      <c r="GNB40" s="471"/>
      <c r="GNC40" s="471"/>
      <c r="GND40" s="471"/>
      <c r="GNE40" s="471"/>
      <c r="GNF40" s="471"/>
      <c r="GNG40" s="471"/>
      <c r="GNH40" s="471"/>
      <c r="GNI40" s="471"/>
      <c r="GNJ40" s="471"/>
      <c r="GNK40" s="471"/>
      <c r="GNL40" s="471"/>
      <c r="GNM40" s="471"/>
      <c r="GNN40" s="471"/>
      <c r="GNO40" s="471"/>
      <c r="GNP40" s="471"/>
      <c r="GNQ40" s="471"/>
      <c r="GNR40" s="471"/>
      <c r="GNS40" s="471"/>
      <c r="GNT40" s="471"/>
      <c r="GNU40" s="471"/>
      <c r="GNV40" s="471"/>
      <c r="GNW40" s="471"/>
      <c r="GNX40" s="471"/>
      <c r="GNY40" s="471"/>
      <c r="GNZ40" s="471"/>
      <c r="GOA40" s="471"/>
      <c r="GOB40" s="471"/>
      <c r="GOC40" s="471"/>
      <c r="GOD40" s="471"/>
      <c r="GOE40" s="471"/>
      <c r="GOF40" s="471"/>
      <c r="GOG40" s="471"/>
      <c r="GOH40" s="471"/>
      <c r="GOI40" s="471"/>
      <c r="GOJ40" s="471"/>
      <c r="GOK40" s="471"/>
      <c r="GOL40" s="471"/>
      <c r="GOM40" s="471"/>
      <c r="GON40" s="471"/>
      <c r="GOO40" s="471"/>
      <c r="GOP40" s="471"/>
      <c r="GOQ40" s="471"/>
      <c r="GOR40" s="471"/>
      <c r="GOS40" s="471"/>
      <c r="GOT40" s="471"/>
      <c r="GOU40" s="471"/>
      <c r="GOV40" s="471"/>
      <c r="GOW40" s="471"/>
      <c r="GOX40" s="471"/>
      <c r="GOY40" s="471"/>
      <c r="GOZ40" s="471"/>
      <c r="GPA40" s="471"/>
      <c r="GPB40" s="471"/>
      <c r="GPC40" s="471"/>
      <c r="GPD40" s="471"/>
      <c r="GPE40" s="471"/>
      <c r="GPF40" s="471"/>
      <c r="GPG40" s="471"/>
      <c r="GPH40" s="471"/>
      <c r="GPI40" s="471"/>
      <c r="GPJ40" s="471"/>
      <c r="GPK40" s="471"/>
      <c r="GPL40" s="471"/>
      <c r="GPM40" s="471"/>
      <c r="GPN40" s="471"/>
      <c r="GPO40" s="471"/>
      <c r="GPP40" s="471"/>
      <c r="GPQ40" s="471"/>
      <c r="GPR40" s="471"/>
      <c r="GPS40" s="471"/>
      <c r="GPT40" s="471"/>
      <c r="GPU40" s="471"/>
      <c r="GPV40" s="471"/>
      <c r="GPW40" s="471"/>
      <c r="GPX40" s="471"/>
      <c r="GPY40" s="471"/>
      <c r="GPZ40" s="471"/>
      <c r="GQA40" s="471"/>
      <c r="GQB40" s="471"/>
      <c r="GQC40" s="471"/>
      <c r="GQD40" s="471"/>
      <c r="GQE40" s="471"/>
      <c r="GQF40" s="471"/>
      <c r="GQG40" s="471"/>
      <c r="GQH40" s="471"/>
      <c r="GQI40" s="471"/>
      <c r="GQJ40" s="471"/>
      <c r="GQK40" s="471"/>
      <c r="GQL40" s="471"/>
      <c r="GQM40" s="471"/>
      <c r="GQN40" s="471"/>
      <c r="GQO40" s="471"/>
      <c r="GQP40" s="471"/>
      <c r="GQQ40" s="471"/>
      <c r="GQR40" s="471"/>
      <c r="GQS40" s="471"/>
      <c r="GQT40" s="471"/>
      <c r="GQU40" s="471"/>
      <c r="GQV40" s="471"/>
      <c r="GQW40" s="471"/>
      <c r="GQX40" s="471"/>
      <c r="GQY40" s="471"/>
      <c r="GQZ40" s="471"/>
      <c r="GRA40" s="471"/>
      <c r="GRB40" s="471"/>
      <c r="GRC40" s="471"/>
      <c r="GRD40" s="471"/>
      <c r="GRE40" s="471"/>
      <c r="GRF40" s="471"/>
      <c r="GRG40" s="471"/>
      <c r="GRH40" s="471"/>
      <c r="GRI40" s="471"/>
      <c r="GRJ40" s="471"/>
      <c r="GRK40" s="471"/>
      <c r="GRL40" s="471"/>
      <c r="GRM40" s="471"/>
      <c r="GRN40" s="471"/>
      <c r="GRO40" s="471"/>
      <c r="GRP40" s="471"/>
      <c r="GRQ40" s="471"/>
      <c r="GRR40" s="471"/>
      <c r="GRS40" s="471"/>
      <c r="GRT40" s="471"/>
      <c r="GRU40" s="471"/>
      <c r="GRV40" s="471"/>
      <c r="GRW40" s="471"/>
      <c r="GRX40" s="471"/>
      <c r="GRY40" s="471"/>
      <c r="GRZ40" s="471"/>
      <c r="GSA40" s="471"/>
      <c r="GSB40" s="471"/>
      <c r="GSC40" s="471"/>
      <c r="GSD40" s="471"/>
      <c r="GSE40" s="471"/>
      <c r="GSF40" s="471"/>
      <c r="GSG40" s="471"/>
      <c r="GSH40" s="471"/>
      <c r="GSI40" s="471"/>
      <c r="GSJ40" s="471"/>
      <c r="GSK40" s="471"/>
      <c r="GSL40" s="471"/>
      <c r="GSM40" s="471"/>
      <c r="GSN40" s="471"/>
      <c r="GSO40" s="471"/>
      <c r="GSP40" s="471"/>
      <c r="GSQ40" s="471"/>
      <c r="GSR40" s="471"/>
      <c r="GSS40" s="471"/>
      <c r="GST40" s="471"/>
      <c r="GSU40" s="471"/>
      <c r="GSV40" s="471"/>
      <c r="GSW40" s="471"/>
      <c r="GSX40" s="471"/>
      <c r="GSY40" s="471"/>
      <c r="GSZ40" s="471"/>
      <c r="GTA40" s="471"/>
      <c r="GTB40" s="471"/>
      <c r="GTC40" s="471"/>
      <c r="GTD40" s="471"/>
      <c r="GTE40" s="471"/>
      <c r="GTF40" s="471"/>
      <c r="GTG40" s="471"/>
      <c r="GTH40" s="471"/>
      <c r="GTI40" s="471"/>
      <c r="GTJ40" s="471"/>
      <c r="GTK40" s="471"/>
      <c r="GTL40" s="471"/>
      <c r="GTM40" s="471"/>
      <c r="GTN40" s="471"/>
      <c r="GTO40" s="471"/>
      <c r="GTP40" s="471"/>
      <c r="GTQ40" s="471"/>
      <c r="GTR40" s="471"/>
      <c r="GTS40" s="471"/>
      <c r="GTT40" s="471"/>
      <c r="GTU40" s="471"/>
      <c r="GTV40" s="471"/>
      <c r="GTW40" s="471"/>
      <c r="GTX40" s="471"/>
      <c r="GTY40" s="471"/>
      <c r="GTZ40" s="471"/>
      <c r="GUA40" s="471"/>
      <c r="GUB40" s="471"/>
      <c r="GUC40" s="471"/>
      <c r="GUD40" s="471"/>
      <c r="GUE40" s="471"/>
      <c r="GUF40" s="471"/>
      <c r="GUG40" s="471"/>
      <c r="GUH40" s="471"/>
      <c r="GUI40" s="471"/>
      <c r="GUJ40" s="471"/>
      <c r="GUK40" s="471"/>
      <c r="GUL40" s="471"/>
      <c r="GUM40" s="471"/>
      <c r="GUN40" s="471"/>
      <c r="GUO40" s="471"/>
      <c r="GUP40" s="471"/>
      <c r="GUQ40" s="471"/>
      <c r="GUR40" s="471"/>
      <c r="GUS40" s="471"/>
      <c r="GUT40" s="471"/>
      <c r="GUU40" s="471"/>
      <c r="GUV40" s="471"/>
      <c r="GUW40" s="471"/>
      <c r="GUX40" s="471"/>
      <c r="GUY40" s="471"/>
      <c r="GUZ40" s="471"/>
      <c r="GVA40" s="471"/>
      <c r="GVB40" s="471"/>
      <c r="GVC40" s="471"/>
      <c r="GVD40" s="471"/>
      <c r="GVE40" s="471"/>
      <c r="GVF40" s="471"/>
      <c r="GVG40" s="471"/>
      <c r="GVH40" s="471"/>
      <c r="GVI40" s="471"/>
      <c r="GVJ40" s="471"/>
      <c r="GVK40" s="471"/>
      <c r="GVL40" s="471"/>
      <c r="GVM40" s="471"/>
      <c r="GVN40" s="471"/>
      <c r="GVO40" s="471"/>
      <c r="GVP40" s="471"/>
      <c r="GVQ40" s="471"/>
      <c r="GVR40" s="471"/>
      <c r="GVS40" s="471"/>
      <c r="GVT40" s="471"/>
      <c r="GVU40" s="471"/>
      <c r="GVV40" s="471"/>
      <c r="GVW40" s="471"/>
      <c r="GVX40" s="471"/>
      <c r="GVY40" s="471"/>
      <c r="GVZ40" s="471"/>
      <c r="GWA40" s="471"/>
      <c r="GWB40" s="471"/>
      <c r="GWC40" s="471"/>
      <c r="GWD40" s="471"/>
      <c r="GWE40" s="471"/>
      <c r="GWF40" s="471"/>
      <c r="GWG40" s="471"/>
      <c r="GWH40" s="471"/>
      <c r="GWI40" s="471"/>
      <c r="GWJ40" s="471"/>
      <c r="GWK40" s="471"/>
      <c r="GWL40" s="471"/>
      <c r="GWM40" s="471"/>
      <c r="GWN40" s="471"/>
      <c r="GWO40" s="471"/>
      <c r="GWP40" s="471"/>
      <c r="GWQ40" s="471"/>
      <c r="GWR40" s="471"/>
      <c r="GWS40" s="471"/>
      <c r="GWT40" s="471"/>
      <c r="GWU40" s="471"/>
      <c r="GWV40" s="471"/>
      <c r="GWW40" s="471"/>
      <c r="GWX40" s="471"/>
      <c r="GWY40" s="471"/>
      <c r="GWZ40" s="471"/>
      <c r="GXA40" s="471"/>
      <c r="GXB40" s="471"/>
      <c r="GXC40" s="471"/>
      <c r="GXD40" s="471"/>
      <c r="GXE40" s="471"/>
      <c r="GXF40" s="471"/>
      <c r="GXG40" s="471"/>
      <c r="GXH40" s="471"/>
      <c r="GXI40" s="471"/>
      <c r="GXJ40" s="471"/>
      <c r="GXK40" s="471"/>
      <c r="GXL40" s="471"/>
      <c r="GXM40" s="471"/>
      <c r="GXN40" s="471"/>
      <c r="GXO40" s="471"/>
      <c r="GXP40" s="471"/>
      <c r="GXQ40" s="471"/>
      <c r="GXR40" s="471"/>
      <c r="GXS40" s="471"/>
      <c r="GXT40" s="471"/>
      <c r="GXU40" s="471"/>
      <c r="GXV40" s="471"/>
      <c r="GXW40" s="471"/>
      <c r="GXX40" s="471"/>
      <c r="GXY40" s="471"/>
      <c r="GXZ40" s="471"/>
      <c r="GYA40" s="471"/>
      <c r="GYB40" s="471"/>
      <c r="GYC40" s="471"/>
      <c r="GYD40" s="471"/>
      <c r="GYE40" s="471"/>
      <c r="GYF40" s="471"/>
      <c r="GYG40" s="471"/>
      <c r="GYH40" s="471"/>
      <c r="GYI40" s="471"/>
      <c r="GYJ40" s="471"/>
      <c r="GYK40" s="471"/>
      <c r="GYL40" s="471"/>
      <c r="GYM40" s="471"/>
      <c r="GYN40" s="471"/>
      <c r="GYO40" s="471"/>
      <c r="GYP40" s="471"/>
      <c r="GYQ40" s="471"/>
      <c r="GYR40" s="471"/>
      <c r="GYS40" s="471"/>
      <c r="GYT40" s="471"/>
      <c r="GYU40" s="471"/>
      <c r="GYV40" s="471"/>
      <c r="GYW40" s="471"/>
      <c r="GYX40" s="471"/>
      <c r="GYY40" s="471"/>
      <c r="GYZ40" s="471"/>
      <c r="GZA40" s="471"/>
      <c r="GZB40" s="471"/>
      <c r="GZC40" s="471"/>
      <c r="GZD40" s="471"/>
      <c r="GZE40" s="471"/>
      <c r="GZF40" s="471"/>
      <c r="GZG40" s="471"/>
      <c r="GZH40" s="471"/>
      <c r="GZI40" s="471"/>
      <c r="GZJ40" s="471"/>
      <c r="GZK40" s="471"/>
      <c r="GZL40" s="471"/>
      <c r="GZM40" s="471"/>
      <c r="GZN40" s="471"/>
      <c r="GZO40" s="471"/>
      <c r="GZP40" s="471"/>
      <c r="GZQ40" s="471"/>
      <c r="GZR40" s="471"/>
      <c r="GZS40" s="471"/>
      <c r="GZT40" s="471"/>
      <c r="GZU40" s="471"/>
      <c r="GZV40" s="471"/>
      <c r="GZW40" s="471"/>
      <c r="GZX40" s="471"/>
      <c r="GZY40" s="471"/>
      <c r="GZZ40" s="471"/>
      <c r="HAA40" s="471"/>
      <c r="HAB40" s="471"/>
      <c r="HAC40" s="471"/>
      <c r="HAD40" s="471"/>
      <c r="HAE40" s="471"/>
      <c r="HAF40" s="471"/>
      <c r="HAG40" s="471"/>
      <c r="HAH40" s="471"/>
      <c r="HAI40" s="471"/>
      <c r="HAJ40" s="471"/>
      <c r="HAK40" s="471"/>
      <c r="HAL40" s="471"/>
      <c r="HAM40" s="471"/>
      <c r="HAN40" s="471"/>
      <c r="HAO40" s="471"/>
      <c r="HAP40" s="471"/>
      <c r="HAQ40" s="471"/>
      <c r="HAR40" s="471"/>
      <c r="HAS40" s="471"/>
      <c r="HAT40" s="471"/>
      <c r="HAU40" s="471"/>
      <c r="HAV40" s="471"/>
      <c r="HAW40" s="471"/>
      <c r="HAX40" s="471"/>
      <c r="HAY40" s="471"/>
      <c r="HAZ40" s="471"/>
      <c r="HBA40" s="471"/>
      <c r="HBB40" s="471"/>
      <c r="HBC40" s="471"/>
      <c r="HBD40" s="471"/>
      <c r="HBE40" s="471"/>
      <c r="HBF40" s="471"/>
      <c r="HBG40" s="471"/>
      <c r="HBH40" s="471"/>
      <c r="HBI40" s="471"/>
      <c r="HBJ40" s="471"/>
      <c r="HBK40" s="471"/>
      <c r="HBL40" s="471"/>
      <c r="HBM40" s="471"/>
      <c r="HBN40" s="471"/>
      <c r="HBO40" s="471"/>
      <c r="HBP40" s="471"/>
      <c r="HBQ40" s="471"/>
      <c r="HBR40" s="471"/>
      <c r="HBS40" s="471"/>
      <c r="HBT40" s="471"/>
      <c r="HBU40" s="471"/>
      <c r="HBV40" s="471"/>
      <c r="HBW40" s="471"/>
      <c r="HBX40" s="471"/>
      <c r="HBY40" s="471"/>
      <c r="HBZ40" s="471"/>
      <c r="HCA40" s="471"/>
      <c r="HCB40" s="471"/>
      <c r="HCC40" s="471"/>
      <c r="HCD40" s="471"/>
      <c r="HCE40" s="471"/>
      <c r="HCF40" s="471"/>
      <c r="HCG40" s="471"/>
      <c r="HCH40" s="471"/>
      <c r="HCI40" s="471"/>
      <c r="HCJ40" s="471"/>
      <c r="HCK40" s="471"/>
      <c r="HCL40" s="471"/>
      <c r="HCM40" s="471"/>
      <c r="HCN40" s="471"/>
      <c r="HCO40" s="471"/>
      <c r="HCP40" s="471"/>
      <c r="HCQ40" s="471"/>
      <c r="HCR40" s="471"/>
      <c r="HCS40" s="471"/>
      <c r="HCT40" s="471"/>
      <c r="HCU40" s="471"/>
      <c r="HCV40" s="471"/>
      <c r="HCW40" s="471"/>
      <c r="HCX40" s="471"/>
      <c r="HCY40" s="471"/>
      <c r="HCZ40" s="471"/>
      <c r="HDA40" s="471"/>
      <c r="HDB40" s="471"/>
      <c r="HDC40" s="471"/>
      <c r="HDD40" s="471"/>
      <c r="HDE40" s="471"/>
      <c r="HDF40" s="471"/>
      <c r="HDG40" s="471"/>
      <c r="HDH40" s="471"/>
      <c r="HDI40" s="471"/>
      <c r="HDJ40" s="471"/>
      <c r="HDK40" s="471"/>
      <c r="HDL40" s="471"/>
      <c r="HDM40" s="471"/>
      <c r="HDN40" s="471"/>
      <c r="HDO40" s="471"/>
      <c r="HDP40" s="471"/>
      <c r="HDQ40" s="471"/>
      <c r="HDR40" s="471"/>
      <c r="HDS40" s="471"/>
      <c r="HDT40" s="471"/>
      <c r="HDU40" s="471"/>
      <c r="HDV40" s="471"/>
      <c r="HDW40" s="471"/>
      <c r="HDX40" s="471"/>
      <c r="HDY40" s="471"/>
      <c r="HDZ40" s="471"/>
      <c r="HEA40" s="471"/>
      <c r="HEB40" s="471"/>
      <c r="HEC40" s="471"/>
      <c r="HED40" s="471"/>
      <c r="HEE40" s="471"/>
      <c r="HEF40" s="471"/>
      <c r="HEG40" s="471"/>
      <c r="HEH40" s="471"/>
      <c r="HEI40" s="471"/>
      <c r="HEJ40" s="471"/>
      <c r="HEK40" s="471"/>
      <c r="HEL40" s="471"/>
      <c r="HEM40" s="471"/>
      <c r="HEN40" s="471"/>
      <c r="HEO40" s="471"/>
      <c r="HEP40" s="471"/>
      <c r="HEQ40" s="471"/>
      <c r="HER40" s="471"/>
      <c r="HES40" s="471"/>
      <c r="HET40" s="471"/>
      <c r="HEU40" s="471"/>
      <c r="HEV40" s="471"/>
      <c r="HEW40" s="471"/>
      <c r="HEX40" s="471"/>
      <c r="HEY40" s="471"/>
      <c r="HEZ40" s="471"/>
      <c r="HFA40" s="471"/>
      <c r="HFB40" s="471"/>
      <c r="HFC40" s="471"/>
      <c r="HFD40" s="471"/>
      <c r="HFE40" s="471"/>
      <c r="HFF40" s="471"/>
      <c r="HFG40" s="471"/>
      <c r="HFH40" s="471"/>
      <c r="HFI40" s="471"/>
      <c r="HFJ40" s="471"/>
      <c r="HFK40" s="471"/>
      <c r="HFL40" s="471"/>
      <c r="HFM40" s="471"/>
      <c r="HFN40" s="471"/>
      <c r="HFO40" s="471"/>
      <c r="HFP40" s="471"/>
      <c r="HFQ40" s="471"/>
      <c r="HFR40" s="471"/>
      <c r="HFS40" s="471"/>
      <c r="HFT40" s="471"/>
      <c r="HFU40" s="471"/>
      <c r="HFV40" s="471"/>
      <c r="HFW40" s="471"/>
      <c r="HFX40" s="471"/>
      <c r="HFY40" s="471"/>
      <c r="HFZ40" s="471"/>
      <c r="HGA40" s="471"/>
      <c r="HGB40" s="471"/>
      <c r="HGC40" s="471"/>
      <c r="HGD40" s="471"/>
      <c r="HGE40" s="471"/>
      <c r="HGF40" s="471"/>
      <c r="HGG40" s="471"/>
      <c r="HGH40" s="471"/>
      <c r="HGI40" s="471"/>
      <c r="HGJ40" s="471"/>
      <c r="HGK40" s="471"/>
      <c r="HGL40" s="471"/>
      <c r="HGM40" s="471"/>
      <c r="HGN40" s="471"/>
      <c r="HGO40" s="471"/>
      <c r="HGP40" s="471"/>
      <c r="HGQ40" s="471"/>
      <c r="HGR40" s="471"/>
      <c r="HGS40" s="471"/>
      <c r="HGT40" s="471"/>
      <c r="HGU40" s="471"/>
      <c r="HGV40" s="471"/>
      <c r="HGW40" s="471"/>
      <c r="HGX40" s="471"/>
      <c r="HGY40" s="471"/>
      <c r="HGZ40" s="471"/>
      <c r="HHA40" s="471"/>
      <c r="HHB40" s="471"/>
      <c r="HHC40" s="471"/>
      <c r="HHD40" s="471"/>
      <c r="HHE40" s="471"/>
      <c r="HHF40" s="471"/>
      <c r="HHG40" s="471"/>
      <c r="HHH40" s="471"/>
      <c r="HHI40" s="471"/>
      <c r="HHJ40" s="471"/>
      <c r="HHK40" s="471"/>
      <c r="HHL40" s="471"/>
      <c r="HHM40" s="471"/>
      <c r="HHN40" s="471"/>
      <c r="HHO40" s="471"/>
      <c r="HHP40" s="471"/>
      <c r="HHQ40" s="471"/>
      <c r="HHR40" s="471"/>
      <c r="HHS40" s="471"/>
      <c r="HHT40" s="471"/>
      <c r="HHU40" s="471"/>
      <c r="HHV40" s="471"/>
      <c r="HHW40" s="471"/>
      <c r="HHX40" s="471"/>
      <c r="HHY40" s="471"/>
      <c r="HHZ40" s="471"/>
      <c r="HIA40" s="471"/>
      <c r="HIB40" s="471"/>
      <c r="HIC40" s="471"/>
      <c r="HID40" s="471"/>
      <c r="HIE40" s="471"/>
      <c r="HIF40" s="471"/>
      <c r="HIG40" s="471"/>
      <c r="HIH40" s="471"/>
      <c r="HII40" s="471"/>
      <c r="HIJ40" s="471"/>
      <c r="HIK40" s="471"/>
      <c r="HIL40" s="471"/>
      <c r="HIM40" s="471"/>
      <c r="HIN40" s="471"/>
      <c r="HIO40" s="471"/>
      <c r="HIP40" s="471"/>
      <c r="HIQ40" s="471"/>
      <c r="HIR40" s="471"/>
      <c r="HIS40" s="471"/>
      <c r="HIT40" s="471"/>
      <c r="HIU40" s="471"/>
      <c r="HIV40" s="471"/>
      <c r="HIW40" s="471"/>
      <c r="HIX40" s="471"/>
      <c r="HIY40" s="471"/>
      <c r="HIZ40" s="471"/>
      <c r="HJA40" s="471"/>
      <c r="HJB40" s="471"/>
      <c r="HJC40" s="471"/>
      <c r="HJD40" s="471"/>
      <c r="HJE40" s="471"/>
      <c r="HJF40" s="471"/>
      <c r="HJG40" s="471"/>
      <c r="HJH40" s="471"/>
      <c r="HJI40" s="471"/>
      <c r="HJJ40" s="471"/>
      <c r="HJK40" s="471"/>
      <c r="HJL40" s="471"/>
      <c r="HJM40" s="471"/>
      <c r="HJN40" s="471"/>
      <c r="HJO40" s="471"/>
      <c r="HJP40" s="471"/>
      <c r="HJQ40" s="471"/>
      <c r="HJR40" s="471"/>
      <c r="HJS40" s="471"/>
      <c r="HJT40" s="471"/>
      <c r="HJU40" s="471"/>
      <c r="HJV40" s="471"/>
      <c r="HJW40" s="471"/>
      <c r="HJX40" s="471"/>
      <c r="HJY40" s="471"/>
      <c r="HJZ40" s="471"/>
      <c r="HKA40" s="471"/>
      <c r="HKB40" s="471"/>
      <c r="HKC40" s="471"/>
      <c r="HKD40" s="471"/>
      <c r="HKE40" s="471"/>
      <c r="HKF40" s="471"/>
      <c r="HKG40" s="471"/>
      <c r="HKH40" s="471"/>
      <c r="HKI40" s="471"/>
      <c r="HKJ40" s="471"/>
      <c r="HKK40" s="471"/>
      <c r="HKL40" s="471"/>
      <c r="HKM40" s="471"/>
      <c r="HKN40" s="471"/>
      <c r="HKO40" s="471"/>
      <c r="HKP40" s="471"/>
      <c r="HKQ40" s="471"/>
      <c r="HKR40" s="471"/>
      <c r="HKS40" s="471"/>
      <c r="HKT40" s="471"/>
      <c r="HKU40" s="471"/>
      <c r="HKV40" s="471"/>
      <c r="HKW40" s="471"/>
      <c r="HKX40" s="471"/>
      <c r="HKY40" s="471"/>
      <c r="HKZ40" s="471"/>
      <c r="HLA40" s="471"/>
      <c r="HLB40" s="471"/>
      <c r="HLC40" s="471"/>
      <c r="HLD40" s="471"/>
      <c r="HLE40" s="471"/>
      <c r="HLF40" s="471"/>
      <c r="HLG40" s="471"/>
      <c r="HLH40" s="471"/>
      <c r="HLI40" s="471"/>
      <c r="HLJ40" s="471"/>
      <c r="HLK40" s="471"/>
      <c r="HLL40" s="471"/>
      <c r="HLM40" s="471"/>
      <c r="HLN40" s="471"/>
      <c r="HLO40" s="471"/>
      <c r="HLP40" s="471"/>
      <c r="HLQ40" s="471"/>
      <c r="HLR40" s="471"/>
      <c r="HLS40" s="471"/>
      <c r="HLT40" s="471"/>
      <c r="HLU40" s="471"/>
      <c r="HLV40" s="471"/>
      <c r="HLW40" s="471"/>
      <c r="HLX40" s="471"/>
      <c r="HLY40" s="471"/>
      <c r="HLZ40" s="471"/>
      <c r="HMA40" s="471"/>
      <c r="HMB40" s="471"/>
      <c r="HMC40" s="471"/>
      <c r="HMD40" s="471"/>
      <c r="HME40" s="471"/>
      <c r="HMF40" s="471"/>
      <c r="HMG40" s="471"/>
      <c r="HMH40" s="471"/>
      <c r="HMI40" s="471"/>
      <c r="HMJ40" s="471"/>
      <c r="HMK40" s="471"/>
      <c r="HML40" s="471"/>
      <c r="HMM40" s="471"/>
      <c r="HMN40" s="471"/>
      <c r="HMO40" s="471"/>
      <c r="HMP40" s="471"/>
      <c r="HMQ40" s="471"/>
      <c r="HMR40" s="471"/>
      <c r="HMS40" s="471"/>
      <c r="HMT40" s="471"/>
      <c r="HMU40" s="471"/>
      <c r="HMV40" s="471"/>
      <c r="HMW40" s="471"/>
      <c r="HMX40" s="471"/>
      <c r="HMY40" s="471"/>
      <c r="HMZ40" s="471"/>
      <c r="HNA40" s="471"/>
      <c r="HNB40" s="471"/>
      <c r="HNC40" s="471"/>
      <c r="HND40" s="471"/>
      <c r="HNE40" s="471"/>
      <c r="HNF40" s="471"/>
      <c r="HNG40" s="471"/>
      <c r="HNH40" s="471"/>
      <c r="HNI40" s="471"/>
      <c r="HNJ40" s="471"/>
      <c r="HNK40" s="471"/>
      <c r="HNL40" s="471"/>
      <c r="HNM40" s="471"/>
      <c r="HNN40" s="471"/>
      <c r="HNO40" s="471"/>
      <c r="HNP40" s="471"/>
      <c r="HNQ40" s="471"/>
      <c r="HNR40" s="471"/>
      <c r="HNS40" s="471"/>
      <c r="HNT40" s="471"/>
      <c r="HNU40" s="471"/>
      <c r="HNV40" s="471"/>
      <c r="HNW40" s="471"/>
      <c r="HNX40" s="471"/>
      <c r="HNY40" s="471"/>
      <c r="HNZ40" s="471"/>
      <c r="HOA40" s="471"/>
      <c r="HOB40" s="471"/>
      <c r="HOC40" s="471"/>
      <c r="HOD40" s="471"/>
      <c r="HOE40" s="471"/>
      <c r="HOF40" s="471"/>
      <c r="HOG40" s="471"/>
      <c r="HOH40" s="471"/>
      <c r="HOI40" s="471"/>
      <c r="HOJ40" s="471"/>
      <c r="HOK40" s="471"/>
      <c r="HOL40" s="471"/>
      <c r="HOM40" s="471"/>
      <c r="HON40" s="471"/>
      <c r="HOO40" s="471"/>
      <c r="HOP40" s="471"/>
      <c r="HOQ40" s="471"/>
      <c r="HOR40" s="471"/>
      <c r="HOS40" s="471"/>
      <c r="HOT40" s="471"/>
      <c r="HOU40" s="471"/>
      <c r="HOV40" s="471"/>
      <c r="HOW40" s="471"/>
      <c r="HOX40" s="471"/>
      <c r="HOY40" s="471"/>
      <c r="HOZ40" s="471"/>
      <c r="HPA40" s="471"/>
      <c r="HPB40" s="471"/>
      <c r="HPC40" s="471"/>
      <c r="HPD40" s="471"/>
      <c r="HPE40" s="471"/>
      <c r="HPF40" s="471"/>
      <c r="HPG40" s="471"/>
      <c r="HPH40" s="471"/>
      <c r="HPI40" s="471"/>
      <c r="HPJ40" s="471"/>
      <c r="HPK40" s="471"/>
      <c r="HPL40" s="471"/>
      <c r="HPM40" s="471"/>
      <c r="HPN40" s="471"/>
      <c r="HPO40" s="471"/>
      <c r="HPP40" s="471"/>
      <c r="HPQ40" s="471"/>
      <c r="HPR40" s="471"/>
      <c r="HPS40" s="471"/>
      <c r="HPT40" s="471"/>
      <c r="HPU40" s="471"/>
      <c r="HPV40" s="471"/>
      <c r="HPW40" s="471"/>
      <c r="HPX40" s="471"/>
      <c r="HPY40" s="471"/>
      <c r="HPZ40" s="471"/>
      <c r="HQA40" s="471"/>
      <c r="HQB40" s="471"/>
      <c r="HQC40" s="471"/>
      <c r="HQD40" s="471"/>
      <c r="HQE40" s="471"/>
      <c r="HQF40" s="471"/>
      <c r="HQG40" s="471"/>
      <c r="HQH40" s="471"/>
      <c r="HQI40" s="471"/>
      <c r="HQJ40" s="471"/>
      <c r="HQK40" s="471"/>
      <c r="HQL40" s="471"/>
      <c r="HQM40" s="471"/>
      <c r="HQN40" s="471"/>
      <c r="HQO40" s="471"/>
      <c r="HQP40" s="471"/>
      <c r="HQQ40" s="471"/>
      <c r="HQR40" s="471"/>
      <c r="HQS40" s="471"/>
      <c r="HQT40" s="471"/>
      <c r="HQU40" s="471"/>
      <c r="HQV40" s="471"/>
      <c r="HQW40" s="471"/>
      <c r="HQX40" s="471"/>
      <c r="HQY40" s="471"/>
      <c r="HQZ40" s="471"/>
      <c r="HRA40" s="471"/>
      <c r="HRB40" s="471"/>
      <c r="HRC40" s="471"/>
      <c r="HRD40" s="471"/>
      <c r="HRE40" s="471"/>
      <c r="HRF40" s="471"/>
      <c r="HRG40" s="471"/>
      <c r="HRH40" s="471"/>
      <c r="HRI40" s="471"/>
      <c r="HRJ40" s="471"/>
      <c r="HRK40" s="471"/>
      <c r="HRL40" s="471"/>
      <c r="HRM40" s="471"/>
      <c r="HRN40" s="471"/>
      <c r="HRO40" s="471"/>
      <c r="HRP40" s="471"/>
      <c r="HRQ40" s="471"/>
      <c r="HRR40" s="471"/>
      <c r="HRS40" s="471"/>
      <c r="HRT40" s="471"/>
      <c r="HRU40" s="471"/>
      <c r="HRV40" s="471"/>
      <c r="HRW40" s="471"/>
      <c r="HRX40" s="471"/>
      <c r="HRY40" s="471"/>
      <c r="HRZ40" s="471"/>
      <c r="HSA40" s="471"/>
      <c r="HSB40" s="471"/>
      <c r="HSC40" s="471"/>
      <c r="HSD40" s="471"/>
      <c r="HSE40" s="471"/>
      <c r="HSF40" s="471"/>
      <c r="HSG40" s="471"/>
      <c r="HSH40" s="471"/>
      <c r="HSI40" s="471"/>
      <c r="HSJ40" s="471"/>
      <c r="HSK40" s="471"/>
      <c r="HSL40" s="471"/>
      <c r="HSM40" s="471"/>
      <c r="HSN40" s="471"/>
      <c r="HSO40" s="471"/>
      <c r="HSP40" s="471"/>
      <c r="HSQ40" s="471"/>
      <c r="HSR40" s="471"/>
      <c r="HSS40" s="471"/>
      <c r="HST40" s="471"/>
      <c r="HSU40" s="471"/>
      <c r="HSV40" s="471"/>
      <c r="HSW40" s="471"/>
      <c r="HSX40" s="471"/>
      <c r="HSY40" s="471"/>
      <c r="HSZ40" s="471"/>
      <c r="HTA40" s="471"/>
      <c r="HTB40" s="471"/>
      <c r="HTC40" s="471"/>
      <c r="HTD40" s="471"/>
      <c r="HTE40" s="471"/>
      <c r="HTF40" s="471"/>
      <c r="HTG40" s="471"/>
      <c r="HTH40" s="471"/>
      <c r="HTI40" s="471"/>
      <c r="HTJ40" s="471"/>
      <c r="HTK40" s="471"/>
      <c r="HTL40" s="471"/>
      <c r="HTM40" s="471"/>
      <c r="HTN40" s="471"/>
      <c r="HTO40" s="471"/>
      <c r="HTP40" s="471"/>
      <c r="HTQ40" s="471"/>
      <c r="HTR40" s="471"/>
      <c r="HTS40" s="471"/>
      <c r="HTT40" s="471"/>
      <c r="HTU40" s="471"/>
      <c r="HTV40" s="471"/>
      <c r="HTW40" s="471"/>
      <c r="HTX40" s="471"/>
      <c r="HTY40" s="471"/>
      <c r="HTZ40" s="471"/>
      <c r="HUA40" s="471"/>
      <c r="HUB40" s="471"/>
      <c r="HUC40" s="471"/>
      <c r="HUD40" s="471"/>
      <c r="HUE40" s="471"/>
      <c r="HUF40" s="471"/>
      <c r="HUG40" s="471"/>
      <c r="HUH40" s="471"/>
      <c r="HUI40" s="471"/>
      <c r="HUJ40" s="471"/>
      <c r="HUK40" s="471"/>
      <c r="HUL40" s="471"/>
      <c r="HUM40" s="471"/>
      <c r="HUN40" s="471"/>
      <c r="HUO40" s="471"/>
      <c r="HUP40" s="471"/>
      <c r="HUQ40" s="471"/>
      <c r="HUR40" s="471"/>
      <c r="HUS40" s="471"/>
      <c r="HUT40" s="471"/>
      <c r="HUU40" s="471"/>
      <c r="HUV40" s="471"/>
      <c r="HUW40" s="471"/>
      <c r="HUX40" s="471"/>
      <c r="HUY40" s="471"/>
      <c r="HUZ40" s="471"/>
      <c r="HVA40" s="471"/>
      <c r="HVB40" s="471"/>
      <c r="HVC40" s="471"/>
      <c r="HVD40" s="471"/>
      <c r="HVE40" s="471"/>
      <c r="HVF40" s="471"/>
      <c r="HVG40" s="471"/>
      <c r="HVH40" s="471"/>
      <c r="HVI40" s="471"/>
      <c r="HVJ40" s="471"/>
      <c r="HVK40" s="471"/>
      <c r="HVL40" s="471"/>
      <c r="HVM40" s="471"/>
      <c r="HVN40" s="471"/>
      <c r="HVO40" s="471"/>
      <c r="HVP40" s="471"/>
      <c r="HVQ40" s="471"/>
      <c r="HVR40" s="471"/>
      <c r="HVS40" s="471"/>
      <c r="HVT40" s="471"/>
      <c r="HVU40" s="471"/>
      <c r="HVV40" s="471"/>
      <c r="HVW40" s="471"/>
      <c r="HVX40" s="471"/>
      <c r="HVY40" s="471"/>
      <c r="HVZ40" s="471"/>
      <c r="HWA40" s="471"/>
      <c r="HWB40" s="471"/>
      <c r="HWC40" s="471"/>
      <c r="HWD40" s="471"/>
      <c r="HWE40" s="471"/>
      <c r="HWF40" s="471"/>
      <c r="HWG40" s="471"/>
      <c r="HWH40" s="471"/>
      <c r="HWI40" s="471"/>
      <c r="HWJ40" s="471"/>
      <c r="HWK40" s="471"/>
      <c r="HWL40" s="471"/>
      <c r="HWM40" s="471"/>
      <c r="HWN40" s="471"/>
      <c r="HWO40" s="471"/>
      <c r="HWP40" s="471"/>
      <c r="HWQ40" s="471"/>
      <c r="HWR40" s="471"/>
      <c r="HWS40" s="471"/>
      <c r="HWT40" s="471"/>
      <c r="HWU40" s="471"/>
      <c r="HWV40" s="471"/>
      <c r="HWW40" s="471"/>
      <c r="HWX40" s="471"/>
      <c r="HWY40" s="471"/>
      <c r="HWZ40" s="471"/>
      <c r="HXA40" s="471"/>
      <c r="HXB40" s="471"/>
      <c r="HXC40" s="471"/>
      <c r="HXD40" s="471"/>
      <c r="HXE40" s="471"/>
      <c r="HXF40" s="471"/>
      <c r="HXG40" s="471"/>
      <c r="HXH40" s="471"/>
      <c r="HXI40" s="471"/>
      <c r="HXJ40" s="471"/>
      <c r="HXK40" s="471"/>
      <c r="HXL40" s="471"/>
      <c r="HXM40" s="471"/>
      <c r="HXN40" s="471"/>
      <c r="HXO40" s="471"/>
      <c r="HXP40" s="471"/>
      <c r="HXQ40" s="471"/>
      <c r="HXR40" s="471"/>
      <c r="HXS40" s="471"/>
      <c r="HXT40" s="471"/>
      <c r="HXU40" s="471"/>
      <c r="HXV40" s="471"/>
      <c r="HXW40" s="471"/>
      <c r="HXX40" s="471"/>
      <c r="HXY40" s="471"/>
      <c r="HXZ40" s="471"/>
      <c r="HYA40" s="471"/>
      <c r="HYB40" s="471"/>
      <c r="HYC40" s="471"/>
      <c r="HYD40" s="471"/>
      <c r="HYE40" s="471"/>
      <c r="HYF40" s="471"/>
      <c r="HYG40" s="471"/>
      <c r="HYH40" s="471"/>
      <c r="HYI40" s="471"/>
      <c r="HYJ40" s="471"/>
      <c r="HYK40" s="471"/>
      <c r="HYL40" s="471"/>
      <c r="HYM40" s="471"/>
      <c r="HYN40" s="471"/>
      <c r="HYO40" s="471"/>
      <c r="HYP40" s="471"/>
      <c r="HYQ40" s="471"/>
      <c r="HYR40" s="471"/>
      <c r="HYS40" s="471"/>
      <c r="HYT40" s="471"/>
      <c r="HYU40" s="471"/>
      <c r="HYV40" s="471"/>
      <c r="HYW40" s="471"/>
      <c r="HYX40" s="471"/>
      <c r="HYY40" s="471"/>
      <c r="HYZ40" s="471"/>
      <c r="HZA40" s="471"/>
      <c r="HZB40" s="471"/>
      <c r="HZC40" s="471"/>
      <c r="HZD40" s="471"/>
      <c r="HZE40" s="471"/>
      <c r="HZF40" s="471"/>
      <c r="HZG40" s="471"/>
      <c r="HZH40" s="471"/>
      <c r="HZI40" s="471"/>
      <c r="HZJ40" s="471"/>
      <c r="HZK40" s="471"/>
      <c r="HZL40" s="471"/>
      <c r="HZM40" s="471"/>
      <c r="HZN40" s="471"/>
      <c r="HZO40" s="471"/>
      <c r="HZP40" s="471"/>
      <c r="HZQ40" s="471"/>
      <c r="HZR40" s="471"/>
      <c r="HZS40" s="471"/>
      <c r="HZT40" s="471"/>
      <c r="HZU40" s="471"/>
      <c r="HZV40" s="471"/>
      <c r="HZW40" s="471"/>
      <c r="HZX40" s="471"/>
      <c r="HZY40" s="471"/>
      <c r="HZZ40" s="471"/>
      <c r="IAA40" s="471"/>
      <c r="IAB40" s="471"/>
      <c r="IAC40" s="471"/>
      <c r="IAD40" s="471"/>
      <c r="IAE40" s="471"/>
      <c r="IAF40" s="471"/>
      <c r="IAG40" s="471"/>
      <c r="IAH40" s="471"/>
      <c r="IAI40" s="471"/>
      <c r="IAJ40" s="471"/>
      <c r="IAK40" s="471"/>
      <c r="IAL40" s="471"/>
      <c r="IAM40" s="471"/>
      <c r="IAN40" s="471"/>
      <c r="IAO40" s="471"/>
      <c r="IAP40" s="471"/>
      <c r="IAQ40" s="471"/>
      <c r="IAR40" s="471"/>
      <c r="IAS40" s="471"/>
      <c r="IAT40" s="471"/>
      <c r="IAU40" s="471"/>
      <c r="IAV40" s="471"/>
      <c r="IAW40" s="471"/>
      <c r="IAX40" s="471"/>
      <c r="IAY40" s="471"/>
      <c r="IAZ40" s="471"/>
      <c r="IBA40" s="471"/>
      <c r="IBB40" s="471"/>
      <c r="IBC40" s="471"/>
      <c r="IBD40" s="471"/>
      <c r="IBE40" s="471"/>
      <c r="IBF40" s="471"/>
      <c r="IBG40" s="471"/>
      <c r="IBH40" s="471"/>
      <c r="IBI40" s="471"/>
      <c r="IBJ40" s="471"/>
      <c r="IBK40" s="471"/>
      <c r="IBL40" s="471"/>
      <c r="IBM40" s="471"/>
      <c r="IBN40" s="471"/>
      <c r="IBO40" s="471"/>
      <c r="IBP40" s="471"/>
      <c r="IBQ40" s="471"/>
      <c r="IBR40" s="471"/>
      <c r="IBS40" s="471"/>
      <c r="IBT40" s="471"/>
      <c r="IBU40" s="471"/>
      <c r="IBV40" s="471"/>
      <c r="IBW40" s="471"/>
      <c r="IBX40" s="471"/>
      <c r="IBY40" s="471"/>
      <c r="IBZ40" s="471"/>
      <c r="ICA40" s="471"/>
      <c r="ICB40" s="471"/>
      <c r="ICC40" s="471"/>
      <c r="ICD40" s="471"/>
      <c r="ICE40" s="471"/>
      <c r="ICF40" s="471"/>
      <c r="ICG40" s="471"/>
      <c r="ICH40" s="471"/>
      <c r="ICI40" s="471"/>
      <c r="ICJ40" s="471"/>
      <c r="ICK40" s="471"/>
      <c r="ICL40" s="471"/>
      <c r="ICM40" s="471"/>
      <c r="ICN40" s="471"/>
      <c r="ICO40" s="471"/>
      <c r="ICP40" s="471"/>
      <c r="ICQ40" s="471"/>
      <c r="ICR40" s="471"/>
      <c r="ICS40" s="471"/>
      <c r="ICT40" s="471"/>
      <c r="ICU40" s="471"/>
      <c r="ICV40" s="471"/>
      <c r="ICW40" s="471"/>
      <c r="ICX40" s="471"/>
      <c r="ICY40" s="471"/>
      <c r="ICZ40" s="471"/>
      <c r="IDA40" s="471"/>
      <c r="IDB40" s="471"/>
      <c r="IDC40" s="471"/>
      <c r="IDD40" s="471"/>
      <c r="IDE40" s="471"/>
      <c r="IDF40" s="471"/>
      <c r="IDG40" s="471"/>
      <c r="IDH40" s="471"/>
      <c r="IDI40" s="471"/>
      <c r="IDJ40" s="471"/>
      <c r="IDK40" s="471"/>
      <c r="IDL40" s="471"/>
      <c r="IDM40" s="471"/>
      <c r="IDN40" s="471"/>
      <c r="IDO40" s="471"/>
      <c r="IDP40" s="471"/>
      <c r="IDQ40" s="471"/>
      <c r="IDR40" s="471"/>
      <c r="IDS40" s="471"/>
      <c r="IDT40" s="471"/>
      <c r="IDU40" s="471"/>
      <c r="IDV40" s="471"/>
      <c r="IDW40" s="471"/>
      <c r="IDX40" s="471"/>
      <c r="IDY40" s="471"/>
      <c r="IDZ40" s="471"/>
      <c r="IEA40" s="471"/>
      <c r="IEB40" s="471"/>
      <c r="IEC40" s="471"/>
      <c r="IED40" s="471"/>
      <c r="IEE40" s="471"/>
      <c r="IEF40" s="471"/>
      <c r="IEG40" s="471"/>
      <c r="IEH40" s="471"/>
      <c r="IEI40" s="471"/>
      <c r="IEJ40" s="471"/>
      <c r="IEK40" s="471"/>
      <c r="IEL40" s="471"/>
      <c r="IEM40" s="471"/>
      <c r="IEN40" s="471"/>
      <c r="IEO40" s="471"/>
      <c r="IEP40" s="471"/>
      <c r="IEQ40" s="471"/>
      <c r="IER40" s="471"/>
      <c r="IES40" s="471"/>
      <c r="IET40" s="471"/>
      <c r="IEU40" s="471"/>
      <c r="IEV40" s="471"/>
      <c r="IEW40" s="471"/>
      <c r="IEX40" s="471"/>
      <c r="IEY40" s="471"/>
      <c r="IEZ40" s="471"/>
      <c r="IFA40" s="471"/>
      <c r="IFB40" s="471"/>
      <c r="IFC40" s="471"/>
      <c r="IFD40" s="471"/>
      <c r="IFE40" s="471"/>
      <c r="IFF40" s="471"/>
      <c r="IFG40" s="471"/>
      <c r="IFH40" s="471"/>
      <c r="IFI40" s="471"/>
      <c r="IFJ40" s="471"/>
      <c r="IFK40" s="471"/>
      <c r="IFL40" s="471"/>
      <c r="IFM40" s="471"/>
      <c r="IFN40" s="471"/>
      <c r="IFO40" s="471"/>
      <c r="IFP40" s="471"/>
      <c r="IFQ40" s="471"/>
      <c r="IFR40" s="471"/>
      <c r="IFS40" s="471"/>
      <c r="IFT40" s="471"/>
      <c r="IFU40" s="471"/>
      <c r="IFV40" s="471"/>
      <c r="IFW40" s="471"/>
      <c r="IFX40" s="471"/>
      <c r="IFY40" s="471"/>
      <c r="IFZ40" s="471"/>
      <c r="IGA40" s="471"/>
      <c r="IGB40" s="471"/>
      <c r="IGC40" s="471"/>
      <c r="IGD40" s="471"/>
      <c r="IGE40" s="471"/>
      <c r="IGF40" s="471"/>
      <c r="IGG40" s="471"/>
      <c r="IGH40" s="471"/>
      <c r="IGI40" s="471"/>
      <c r="IGJ40" s="471"/>
      <c r="IGK40" s="471"/>
      <c r="IGL40" s="471"/>
      <c r="IGM40" s="471"/>
      <c r="IGN40" s="471"/>
      <c r="IGO40" s="471"/>
      <c r="IGP40" s="471"/>
      <c r="IGQ40" s="471"/>
      <c r="IGR40" s="471"/>
      <c r="IGS40" s="471"/>
      <c r="IGT40" s="471"/>
      <c r="IGU40" s="471"/>
      <c r="IGV40" s="471"/>
      <c r="IGW40" s="471"/>
      <c r="IGX40" s="471"/>
      <c r="IGY40" s="471"/>
      <c r="IGZ40" s="471"/>
      <c r="IHA40" s="471"/>
      <c r="IHB40" s="471"/>
      <c r="IHC40" s="471"/>
      <c r="IHD40" s="471"/>
      <c r="IHE40" s="471"/>
      <c r="IHF40" s="471"/>
      <c r="IHG40" s="471"/>
      <c r="IHH40" s="471"/>
      <c r="IHI40" s="471"/>
      <c r="IHJ40" s="471"/>
      <c r="IHK40" s="471"/>
      <c r="IHL40" s="471"/>
      <c r="IHM40" s="471"/>
      <c r="IHN40" s="471"/>
      <c r="IHO40" s="471"/>
      <c r="IHP40" s="471"/>
      <c r="IHQ40" s="471"/>
      <c r="IHR40" s="471"/>
      <c r="IHS40" s="471"/>
      <c r="IHT40" s="471"/>
      <c r="IHU40" s="471"/>
      <c r="IHV40" s="471"/>
      <c r="IHW40" s="471"/>
      <c r="IHX40" s="471"/>
      <c r="IHY40" s="471"/>
      <c r="IHZ40" s="471"/>
      <c r="IIA40" s="471"/>
      <c r="IIB40" s="471"/>
      <c r="IIC40" s="471"/>
      <c r="IID40" s="471"/>
      <c r="IIE40" s="471"/>
      <c r="IIF40" s="471"/>
      <c r="IIG40" s="471"/>
      <c r="IIH40" s="471"/>
      <c r="III40" s="471"/>
      <c r="IIJ40" s="471"/>
      <c r="IIK40" s="471"/>
      <c r="IIL40" s="471"/>
      <c r="IIM40" s="471"/>
      <c r="IIN40" s="471"/>
      <c r="IIO40" s="471"/>
      <c r="IIP40" s="471"/>
      <c r="IIQ40" s="471"/>
      <c r="IIR40" s="471"/>
      <c r="IIS40" s="471"/>
      <c r="IIT40" s="471"/>
      <c r="IIU40" s="471"/>
      <c r="IIV40" s="471"/>
      <c r="IIW40" s="471"/>
      <c r="IIX40" s="471"/>
      <c r="IIY40" s="471"/>
      <c r="IIZ40" s="471"/>
      <c r="IJA40" s="471"/>
      <c r="IJB40" s="471"/>
      <c r="IJC40" s="471"/>
      <c r="IJD40" s="471"/>
      <c r="IJE40" s="471"/>
      <c r="IJF40" s="471"/>
      <c r="IJG40" s="471"/>
      <c r="IJH40" s="471"/>
      <c r="IJI40" s="471"/>
      <c r="IJJ40" s="471"/>
      <c r="IJK40" s="471"/>
      <c r="IJL40" s="471"/>
      <c r="IJM40" s="471"/>
      <c r="IJN40" s="471"/>
      <c r="IJO40" s="471"/>
      <c r="IJP40" s="471"/>
      <c r="IJQ40" s="471"/>
      <c r="IJR40" s="471"/>
      <c r="IJS40" s="471"/>
      <c r="IJT40" s="471"/>
      <c r="IJU40" s="471"/>
      <c r="IJV40" s="471"/>
      <c r="IJW40" s="471"/>
      <c r="IJX40" s="471"/>
      <c r="IJY40" s="471"/>
      <c r="IJZ40" s="471"/>
      <c r="IKA40" s="471"/>
      <c r="IKB40" s="471"/>
      <c r="IKC40" s="471"/>
      <c r="IKD40" s="471"/>
      <c r="IKE40" s="471"/>
      <c r="IKF40" s="471"/>
      <c r="IKG40" s="471"/>
      <c r="IKH40" s="471"/>
      <c r="IKI40" s="471"/>
      <c r="IKJ40" s="471"/>
      <c r="IKK40" s="471"/>
      <c r="IKL40" s="471"/>
      <c r="IKM40" s="471"/>
      <c r="IKN40" s="471"/>
      <c r="IKO40" s="471"/>
      <c r="IKP40" s="471"/>
      <c r="IKQ40" s="471"/>
      <c r="IKR40" s="471"/>
      <c r="IKS40" s="471"/>
      <c r="IKT40" s="471"/>
      <c r="IKU40" s="471"/>
      <c r="IKV40" s="471"/>
      <c r="IKW40" s="471"/>
      <c r="IKX40" s="471"/>
      <c r="IKY40" s="471"/>
      <c r="IKZ40" s="471"/>
      <c r="ILA40" s="471"/>
      <c r="ILB40" s="471"/>
      <c r="ILC40" s="471"/>
      <c r="ILD40" s="471"/>
      <c r="ILE40" s="471"/>
      <c r="ILF40" s="471"/>
      <c r="ILG40" s="471"/>
      <c r="ILH40" s="471"/>
      <c r="ILI40" s="471"/>
      <c r="ILJ40" s="471"/>
      <c r="ILK40" s="471"/>
      <c r="ILL40" s="471"/>
      <c r="ILM40" s="471"/>
      <c r="ILN40" s="471"/>
      <c r="ILO40" s="471"/>
      <c r="ILP40" s="471"/>
      <c r="ILQ40" s="471"/>
      <c r="ILR40" s="471"/>
      <c r="ILS40" s="471"/>
      <c r="ILT40" s="471"/>
      <c r="ILU40" s="471"/>
      <c r="ILV40" s="471"/>
      <c r="ILW40" s="471"/>
      <c r="ILX40" s="471"/>
      <c r="ILY40" s="471"/>
      <c r="ILZ40" s="471"/>
      <c r="IMA40" s="471"/>
      <c r="IMB40" s="471"/>
      <c r="IMC40" s="471"/>
      <c r="IMD40" s="471"/>
      <c r="IME40" s="471"/>
      <c r="IMF40" s="471"/>
      <c r="IMG40" s="471"/>
      <c r="IMH40" s="471"/>
      <c r="IMI40" s="471"/>
      <c r="IMJ40" s="471"/>
      <c r="IMK40" s="471"/>
      <c r="IML40" s="471"/>
      <c r="IMM40" s="471"/>
      <c r="IMN40" s="471"/>
      <c r="IMO40" s="471"/>
      <c r="IMP40" s="471"/>
      <c r="IMQ40" s="471"/>
      <c r="IMR40" s="471"/>
      <c r="IMS40" s="471"/>
      <c r="IMT40" s="471"/>
      <c r="IMU40" s="471"/>
      <c r="IMV40" s="471"/>
      <c r="IMW40" s="471"/>
      <c r="IMX40" s="471"/>
      <c r="IMY40" s="471"/>
      <c r="IMZ40" s="471"/>
      <c r="INA40" s="471"/>
      <c r="INB40" s="471"/>
      <c r="INC40" s="471"/>
      <c r="IND40" s="471"/>
      <c r="INE40" s="471"/>
      <c r="INF40" s="471"/>
      <c r="ING40" s="471"/>
      <c r="INH40" s="471"/>
      <c r="INI40" s="471"/>
      <c r="INJ40" s="471"/>
      <c r="INK40" s="471"/>
      <c r="INL40" s="471"/>
      <c r="INM40" s="471"/>
      <c r="INN40" s="471"/>
      <c r="INO40" s="471"/>
      <c r="INP40" s="471"/>
      <c r="INQ40" s="471"/>
      <c r="INR40" s="471"/>
      <c r="INS40" s="471"/>
      <c r="INT40" s="471"/>
      <c r="INU40" s="471"/>
      <c r="INV40" s="471"/>
      <c r="INW40" s="471"/>
      <c r="INX40" s="471"/>
      <c r="INY40" s="471"/>
      <c r="INZ40" s="471"/>
      <c r="IOA40" s="471"/>
      <c r="IOB40" s="471"/>
      <c r="IOC40" s="471"/>
      <c r="IOD40" s="471"/>
      <c r="IOE40" s="471"/>
      <c r="IOF40" s="471"/>
      <c r="IOG40" s="471"/>
      <c r="IOH40" s="471"/>
      <c r="IOI40" s="471"/>
      <c r="IOJ40" s="471"/>
      <c r="IOK40" s="471"/>
      <c r="IOL40" s="471"/>
      <c r="IOM40" s="471"/>
      <c r="ION40" s="471"/>
      <c r="IOO40" s="471"/>
      <c r="IOP40" s="471"/>
      <c r="IOQ40" s="471"/>
      <c r="IOR40" s="471"/>
      <c r="IOS40" s="471"/>
      <c r="IOT40" s="471"/>
      <c r="IOU40" s="471"/>
      <c r="IOV40" s="471"/>
      <c r="IOW40" s="471"/>
      <c r="IOX40" s="471"/>
      <c r="IOY40" s="471"/>
      <c r="IOZ40" s="471"/>
      <c r="IPA40" s="471"/>
      <c r="IPB40" s="471"/>
      <c r="IPC40" s="471"/>
      <c r="IPD40" s="471"/>
      <c r="IPE40" s="471"/>
      <c r="IPF40" s="471"/>
      <c r="IPG40" s="471"/>
      <c r="IPH40" s="471"/>
      <c r="IPI40" s="471"/>
      <c r="IPJ40" s="471"/>
      <c r="IPK40" s="471"/>
      <c r="IPL40" s="471"/>
      <c r="IPM40" s="471"/>
      <c r="IPN40" s="471"/>
      <c r="IPO40" s="471"/>
      <c r="IPP40" s="471"/>
      <c r="IPQ40" s="471"/>
      <c r="IPR40" s="471"/>
      <c r="IPS40" s="471"/>
      <c r="IPT40" s="471"/>
      <c r="IPU40" s="471"/>
      <c r="IPV40" s="471"/>
      <c r="IPW40" s="471"/>
      <c r="IPX40" s="471"/>
      <c r="IPY40" s="471"/>
      <c r="IPZ40" s="471"/>
      <c r="IQA40" s="471"/>
      <c r="IQB40" s="471"/>
      <c r="IQC40" s="471"/>
      <c r="IQD40" s="471"/>
      <c r="IQE40" s="471"/>
      <c r="IQF40" s="471"/>
      <c r="IQG40" s="471"/>
      <c r="IQH40" s="471"/>
      <c r="IQI40" s="471"/>
      <c r="IQJ40" s="471"/>
      <c r="IQK40" s="471"/>
      <c r="IQL40" s="471"/>
      <c r="IQM40" s="471"/>
      <c r="IQN40" s="471"/>
      <c r="IQO40" s="471"/>
      <c r="IQP40" s="471"/>
      <c r="IQQ40" s="471"/>
      <c r="IQR40" s="471"/>
      <c r="IQS40" s="471"/>
      <c r="IQT40" s="471"/>
      <c r="IQU40" s="471"/>
      <c r="IQV40" s="471"/>
      <c r="IQW40" s="471"/>
      <c r="IQX40" s="471"/>
      <c r="IQY40" s="471"/>
      <c r="IQZ40" s="471"/>
      <c r="IRA40" s="471"/>
      <c r="IRB40" s="471"/>
      <c r="IRC40" s="471"/>
      <c r="IRD40" s="471"/>
      <c r="IRE40" s="471"/>
      <c r="IRF40" s="471"/>
      <c r="IRG40" s="471"/>
      <c r="IRH40" s="471"/>
      <c r="IRI40" s="471"/>
      <c r="IRJ40" s="471"/>
      <c r="IRK40" s="471"/>
      <c r="IRL40" s="471"/>
      <c r="IRM40" s="471"/>
      <c r="IRN40" s="471"/>
      <c r="IRO40" s="471"/>
      <c r="IRP40" s="471"/>
      <c r="IRQ40" s="471"/>
      <c r="IRR40" s="471"/>
      <c r="IRS40" s="471"/>
      <c r="IRT40" s="471"/>
      <c r="IRU40" s="471"/>
      <c r="IRV40" s="471"/>
      <c r="IRW40" s="471"/>
      <c r="IRX40" s="471"/>
      <c r="IRY40" s="471"/>
      <c r="IRZ40" s="471"/>
      <c r="ISA40" s="471"/>
      <c r="ISB40" s="471"/>
      <c r="ISC40" s="471"/>
      <c r="ISD40" s="471"/>
      <c r="ISE40" s="471"/>
      <c r="ISF40" s="471"/>
      <c r="ISG40" s="471"/>
      <c r="ISH40" s="471"/>
      <c r="ISI40" s="471"/>
      <c r="ISJ40" s="471"/>
      <c r="ISK40" s="471"/>
      <c r="ISL40" s="471"/>
      <c r="ISM40" s="471"/>
      <c r="ISN40" s="471"/>
      <c r="ISO40" s="471"/>
      <c r="ISP40" s="471"/>
      <c r="ISQ40" s="471"/>
      <c r="ISR40" s="471"/>
      <c r="ISS40" s="471"/>
      <c r="IST40" s="471"/>
      <c r="ISU40" s="471"/>
      <c r="ISV40" s="471"/>
      <c r="ISW40" s="471"/>
      <c r="ISX40" s="471"/>
      <c r="ISY40" s="471"/>
      <c r="ISZ40" s="471"/>
      <c r="ITA40" s="471"/>
      <c r="ITB40" s="471"/>
      <c r="ITC40" s="471"/>
      <c r="ITD40" s="471"/>
      <c r="ITE40" s="471"/>
      <c r="ITF40" s="471"/>
      <c r="ITG40" s="471"/>
      <c r="ITH40" s="471"/>
      <c r="ITI40" s="471"/>
      <c r="ITJ40" s="471"/>
      <c r="ITK40" s="471"/>
      <c r="ITL40" s="471"/>
      <c r="ITM40" s="471"/>
      <c r="ITN40" s="471"/>
      <c r="ITO40" s="471"/>
      <c r="ITP40" s="471"/>
      <c r="ITQ40" s="471"/>
      <c r="ITR40" s="471"/>
      <c r="ITS40" s="471"/>
      <c r="ITT40" s="471"/>
      <c r="ITU40" s="471"/>
      <c r="ITV40" s="471"/>
      <c r="ITW40" s="471"/>
      <c r="ITX40" s="471"/>
      <c r="ITY40" s="471"/>
      <c r="ITZ40" s="471"/>
      <c r="IUA40" s="471"/>
      <c r="IUB40" s="471"/>
      <c r="IUC40" s="471"/>
      <c r="IUD40" s="471"/>
      <c r="IUE40" s="471"/>
      <c r="IUF40" s="471"/>
      <c r="IUG40" s="471"/>
      <c r="IUH40" s="471"/>
      <c r="IUI40" s="471"/>
      <c r="IUJ40" s="471"/>
      <c r="IUK40" s="471"/>
      <c r="IUL40" s="471"/>
      <c r="IUM40" s="471"/>
      <c r="IUN40" s="471"/>
      <c r="IUO40" s="471"/>
      <c r="IUP40" s="471"/>
      <c r="IUQ40" s="471"/>
      <c r="IUR40" s="471"/>
      <c r="IUS40" s="471"/>
      <c r="IUT40" s="471"/>
      <c r="IUU40" s="471"/>
      <c r="IUV40" s="471"/>
      <c r="IUW40" s="471"/>
      <c r="IUX40" s="471"/>
      <c r="IUY40" s="471"/>
      <c r="IUZ40" s="471"/>
      <c r="IVA40" s="471"/>
      <c r="IVB40" s="471"/>
      <c r="IVC40" s="471"/>
      <c r="IVD40" s="471"/>
      <c r="IVE40" s="471"/>
      <c r="IVF40" s="471"/>
      <c r="IVG40" s="471"/>
      <c r="IVH40" s="471"/>
      <c r="IVI40" s="471"/>
      <c r="IVJ40" s="471"/>
      <c r="IVK40" s="471"/>
      <c r="IVL40" s="471"/>
      <c r="IVM40" s="471"/>
      <c r="IVN40" s="471"/>
      <c r="IVO40" s="471"/>
      <c r="IVP40" s="471"/>
      <c r="IVQ40" s="471"/>
      <c r="IVR40" s="471"/>
      <c r="IVS40" s="471"/>
      <c r="IVT40" s="471"/>
      <c r="IVU40" s="471"/>
      <c r="IVV40" s="471"/>
      <c r="IVW40" s="471"/>
      <c r="IVX40" s="471"/>
      <c r="IVY40" s="471"/>
      <c r="IVZ40" s="471"/>
      <c r="IWA40" s="471"/>
      <c r="IWB40" s="471"/>
      <c r="IWC40" s="471"/>
      <c r="IWD40" s="471"/>
      <c r="IWE40" s="471"/>
      <c r="IWF40" s="471"/>
      <c r="IWG40" s="471"/>
      <c r="IWH40" s="471"/>
      <c r="IWI40" s="471"/>
      <c r="IWJ40" s="471"/>
      <c r="IWK40" s="471"/>
      <c r="IWL40" s="471"/>
      <c r="IWM40" s="471"/>
      <c r="IWN40" s="471"/>
      <c r="IWO40" s="471"/>
      <c r="IWP40" s="471"/>
      <c r="IWQ40" s="471"/>
      <c r="IWR40" s="471"/>
      <c r="IWS40" s="471"/>
      <c r="IWT40" s="471"/>
      <c r="IWU40" s="471"/>
      <c r="IWV40" s="471"/>
      <c r="IWW40" s="471"/>
      <c r="IWX40" s="471"/>
      <c r="IWY40" s="471"/>
      <c r="IWZ40" s="471"/>
      <c r="IXA40" s="471"/>
      <c r="IXB40" s="471"/>
      <c r="IXC40" s="471"/>
      <c r="IXD40" s="471"/>
      <c r="IXE40" s="471"/>
      <c r="IXF40" s="471"/>
      <c r="IXG40" s="471"/>
      <c r="IXH40" s="471"/>
      <c r="IXI40" s="471"/>
      <c r="IXJ40" s="471"/>
      <c r="IXK40" s="471"/>
      <c r="IXL40" s="471"/>
      <c r="IXM40" s="471"/>
      <c r="IXN40" s="471"/>
      <c r="IXO40" s="471"/>
      <c r="IXP40" s="471"/>
      <c r="IXQ40" s="471"/>
      <c r="IXR40" s="471"/>
      <c r="IXS40" s="471"/>
      <c r="IXT40" s="471"/>
      <c r="IXU40" s="471"/>
      <c r="IXV40" s="471"/>
      <c r="IXW40" s="471"/>
      <c r="IXX40" s="471"/>
      <c r="IXY40" s="471"/>
      <c r="IXZ40" s="471"/>
      <c r="IYA40" s="471"/>
      <c r="IYB40" s="471"/>
      <c r="IYC40" s="471"/>
      <c r="IYD40" s="471"/>
      <c r="IYE40" s="471"/>
      <c r="IYF40" s="471"/>
      <c r="IYG40" s="471"/>
      <c r="IYH40" s="471"/>
      <c r="IYI40" s="471"/>
      <c r="IYJ40" s="471"/>
      <c r="IYK40" s="471"/>
      <c r="IYL40" s="471"/>
      <c r="IYM40" s="471"/>
      <c r="IYN40" s="471"/>
      <c r="IYO40" s="471"/>
      <c r="IYP40" s="471"/>
      <c r="IYQ40" s="471"/>
      <c r="IYR40" s="471"/>
      <c r="IYS40" s="471"/>
      <c r="IYT40" s="471"/>
      <c r="IYU40" s="471"/>
      <c r="IYV40" s="471"/>
      <c r="IYW40" s="471"/>
      <c r="IYX40" s="471"/>
      <c r="IYY40" s="471"/>
      <c r="IYZ40" s="471"/>
      <c r="IZA40" s="471"/>
      <c r="IZB40" s="471"/>
      <c r="IZC40" s="471"/>
      <c r="IZD40" s="471"/>
      <c r="IZE40" s="471"/>
      <c r="IZF40" s="471"/>
      <c r="IZG40" s="471"/>
      <c r="IZH40" s="471"/>
      <c r="IZI40" s="471"/>
      <c r="IZJ40" s="471"/>
      <c r="IZK40" s="471"/>
      <c r="IZL40" s="471"/>
      <c r="IZM40" s="471"/>
      <c r="IZN40" s="471"/>
      <c r="IZO40" s="471"/>
      <c r="IZP40" s="471"/>
      <c r="IZQ40" s="471"/>
      <c r="IZR40" s="471"/>
      <c r="IZS40" s="471"/>
      <c r="IZT40" s="471"/>
      <c r="IZU40" s="471"/>
      <c r="IZV40" s="471"/>
      <c r="IZW40" s="471"/>
      <c r="IZX40" s="471"/>
      <c r="IZY40" s="471"/>
      <c r="IZZ40" s="471"/>
      <c r="JAA40" s="471"/>
      <c r="JAB40" s="471"/>
      <c r="JAC40" s="471"/>
      <c r="JAD40" s="471"/>
      <c r="JAE40" s="471"/>
      <c r="JAF40" s="471"/>
      <c r="JAG40" s="471"/>
      <c r="JAH40" s="471"/>
      <c r="JAI40" s="471"/>
      <c r="JAJ40" s="471"/>
      <c r="JAK40" s="471"/>
      <c r="JAL40" s="471"/>
      <c r="JAM40" s="471"/>
      <c r="JAN40" s="471"/>
      <c r="JAO40" s="471"/>
      <c r="JAP40" s="471"/>
      <c r="JAQ40" s="471"/>
      <c r="JAR40" s="471"/>
      <c r="JAS40" s="471"/>
      <c r="JAT40" s="471"/>
      <c r="JAU40" s="471"/>
      <c r="JAV40" s="471"/>
      <c r="JAW40" s="471"/>
      <c r="JAX40" s="471"/>
      <c r="JAY40" s="471"/>
      <c r="JAZ40" s="471"/>
      <c r="JBA40" s="471"/>
      <c r="JBB40" s="471"/>
      <c r="JBC40" s="471"/>
      <c r="JBD40" s="471"/>
      <c r="JBE40" s="471"/>
      <c r="JBF40" s="471"/>
      <c r="JBG40" s="471"/>
      <c r="JBH40" s="471"/>
      <c r="JBI40" s="471"/>
      <c r="JBJ40" s="471"/>
      <c r="JBK40" s="471"/>
      <c r="JBL40" s="471"/>
      <c r="JBM40" s="471"/>
      <c r="JBN40" s="471"/>
      <c r="JBO40" s="471"/>
      <c r="JBP40" s="471"/>
      <c r="JBQ40" s="471"/>
      <c r="JBR40" s="471"/>
      <c r="JBS40" s="471"/>
      <c r="JBT40" s="471"/>
      <c r="JBU40" s="471"/>
      <c r="JBV40" s="471"/>
      <c r="JBW40" s="471"/>
      <c r="JBX40" s="471"/>
      <c r="JBY40" s="471"/>
      <c r="JBZ40" s="471"/>
      <c r="JCA40" s="471"/>
      <c r="JCB40" s="471"/>
      <c r="JCC40" s="471"/>
      <c r="JCD40" s="471"/>
      <c r="JCE40" s="471"/>
      <c r="JCF40" s="471"/>
      <c r="JCG40" s="471"/>
      <c r="JCH40" s="471"/>
      <c r="JCI40" s="471"/>
      <c r="JCJ40" s="471"/>
      <c r="JCK40" s="471"/>
      <c r="JCL40" s="471"/>
      <c r="JCM40" s="471"/>
      <c r="JCN40" s="471"/>
      <c r="JCO40" s="471"/>
      <c r="JCP40" s="471"/>
      <c r="JCQ40" s="471"/>
      <c r="JCR40" s="471"/>
      <c r="JCS40" s="471"/>
      <c r="JCT40" s="471"/>
      <c r="JCU40" s="471"/>
      <c r="JCV40" s="471"/>
      <c r="JCW40" s="471"/>
      <c r="JCX40" s="471"/>
      <c r="JCY40" s="471"/>
      <c r="JCZ40" s="471"/>
      <c r="JDA40" s="471"/>
      <c r="JDB40" s="471"/>
      <c r="JDC40" s="471"/>
      <c r="JDD40" s="471"/>
      <c r="JDE40" s="471"/>
      <c r="JDF40" s="471"/>
      <c r="JDG40" s="471"/>
      <c r="JDH40" s="471"/>
      <c r="JDI40" s="471"/>
      <c r="JDJ40" s="471"/>
      <c r="JDK40" s="471"/>
      <c r="JDL40" s="471"/>
      <c r="JDM40" s="471"/>
      <c r="JDN40" s="471"/>
      <c r="JDO40" s="471"/>
      <c r="JDP40" s="471"/>
      <c r="JDQ40" s="471"/>
      <c r="JDR40" s="471"/>
      <c r="JDS40" s="471"/>
      <c r="JDT40" s="471"/>
      <c r="JDU40" s="471"/>
      <c r="JDV40" s="471"/>
      <c r="JDW40" s="471"/>
      <c r="JDX40" s="471"/>
      <c r="JDY40" s="471"/>
      <c r="JDZ40" s="471"/>
      <c r="JEA40" s="471"/>
      <c r="JEB40" s="471"/>
      <c r="JEC40" s="471"/>
      <c r="JED40" s="471"/>
      <c r="JEE40" s="471"/>
      <c r="JEF40" s="471"/>
      <c r="JEG40" s="471"/>
      <c r="JEH40" s="471"/>
      <c r="JEI40" s="471"/>
      <c r="JEJ40" s="471"/>
      <c r="JEK40" s="471"/>
      <c r="JEL40" s="471"/>
      <c r="JEM40" s="471"/>
      <c r="JEN40" s="471"/>
      <c r="JEO40" s="471"/>
      <c r="JEP40" s="471"/>
      <c r="JEQ40" s="471"/>
      <c r="JER40" s="471"/>
      <c r="JES40" s="471"/>
      <c r="JET40" s="471"/>
      <c r="JEU40" s="471"/>
      <c r="JEV40" s="471"/>
      <c r="JEW40" s="471"/>
      <c r="JEX40" s="471"/>
      <c r="JEY40" s="471"/>
      <c r="JEZ40" s="471"/>
      <c r="JFA40" s="471"/>
      <c r="JFB40" s="471"/>
      <c r="JFC40" s="471"/>
      <c r="JFD40" s="471"/>
      <c r="JFE40" s="471"/>
      <c r="JFF40" s="471"/>
      <c r="JFG40" s="471"/>
      <c r="JFH40" s="471"/>
      <c r="JFI40" s="471"/>
      <c r="JFJ40" s="471"/>
      <c r="JFK40" s="471"/>
      <c r="JFL40" s="471"/>
      <c r="JFM40" s="471"/>
      <c r="JFN40" s="471"/>
      <c r="JFO40" s="471"/>
      <c r="JFP40" s="471"/>
      <c r="JFQ40" s="471"/>
      <c r="JFR40" s="471"/>
      <c r="JFS40" s="471"/>
      <c r="JFT40" s="471"/>
      <c r="JFU40" s="471"/>
      <c r="JFV40" s="471"/>
      <c r="JFW40" s="471"/>
      <c r="JFX40" s="471"/>
      <c r="JFY40" s="471"/>
      <c r="JFZ40" s="471"/>
      <c r="JGA40" s="471"/>
      <c r="JGB40" s="471"/>
      <c r="JGC40" s="471"/>
      <c r="JGD40" s="471"/>
      <c r="JGE40" s="471"/>
      <c r="JGF40" s="471"/>
      <c r="JGG40" s="471"/>
      <c r="JGH40" s="471"/>
      <c r="JGI40" s="471"/>
      <c r="JGJ40" s="471"/>
      <c r="JGK40" s="471"/>
      <c r="JGL40" s="471"/>
      <c r="JGM40" s="471"/>
      <c r="JGN40" s="471"/>
      <c r="JGO40" s="471"/>
      <c r="JGP40" s="471"/>
      <c r="JGQ40" s="471"/>
      <c r="JGR40" s="471"/>
      <c r="JGS40" s="471"/>
      <c r="JGT40" s="471"/>
      <c r="JGU40" s="471"/>
      <c r="JGV40" s="471"/>
      <c r="JGW40" s="471"/>
      <c r="JGX40" s="471"/>
      <c r="JGY40" s="471"/>
      <c r="JGZ40" s="471"/>
      <c r="JHA40" s="471"/>
      <c r="JHB40" s="471"/>
      <c r="JHC40" s="471"/>
      <c r="JHD40" s="471"/>
      <c r="JHE40" s="471"/>
      <c r="JHF40" s="471"/>
      <c r="JHG40" s="471"/>
      <c r="JHH40" s="471"/>
      <c r="JHI40" s="471"/>
      <c r="JHJ40" s="471"/>
      <c r="JHK40" s="471"/>
      <c r="JHL40" s="471"/>
      <c r="JHM40" s="471"/>
      <c r="JHN40" s="471"/>
      <c r="JHO40" s="471"/>
      <c r="JHP40" s="471"/>
      <c r="JHQ40" s="471"/>
      <c r="JHR40" s="471"/>
      <c r="JHS40" s="471"/>
      <c r="JHT40" s="471"/>
      <c r="JHU40" s="471"/>
      <c r="JHV40" s="471"/>
      <c r="JHW40" s="471"/>
      <c r="JHX40" s="471"/>
      <c r="JHY40" s="471"/>
      <c r="JHZ40" s="471"/>
      <c r="JIA40" s="471"/>
      <c r="JIB40" s="471"/>
      <c r="JIC40" s="471"/>
      <c r="JID40" s="471"/>
      <c r="JIE40" s="471"/>
      <c r="JIF40" s="471"/>
      <c r="JIG40" s="471"/>
      <c r="JIH40" s="471"/>
      <c r="JII40" s="471"/>
      <c r="JIJ40" s="471"/>
      <c r="JIK40" s="471"/>
      <c r="JIL40" s="471"/>
      <c r="JIM40" s="471"/>
      <c r="JIN40" s="471"/>
      <c r="JIO40" s="471"/>
      <c r="JIP40" s="471"/>
      <c r="JIQ40" s="471"/>
      <c r="JIR40" s="471"/>
      <c r="JIS40" s="471"/>
      <c r="JIT40" s="471"/>
      <c r="JIU40" s="471"/>
      <c r="JIV40" s="471"/>
      <c r="JIW40" s="471"/>
      <c r="JIX40" s="471"/>
      <c r="JIY40" s="471"/>
      <c r="JIZ40" s="471"/>
      <c r="JJA40" s="471"/>
      <c r="JJB40" s="471"/>
      <c r="JJC40" s="471"/>
      <c r="JJD40" s="471"/>
      <c r="JJE40" s="471"/>
      <c r="JJF40" s="471"/>
      <c r="JJG40" s="471"/>
      <c r="JJH40" s="471"/>
      <c r="JJI40" s="471"/>
      <c r="JJJ40" s="471"/>
      <c r="JJK40" s="471"/>
      <c r="JJL40" s="471"/>
      <c r="JJM40" s="471"/>
      <c r="JJN40" s="471"/>
      <c r="JJO40" s="471"/>
      <c r="JJP40" s="471"/>
      <c r="JJQ40" s="471"/>
      <c r="JJR40" s="471"/>
      <c r="JJS40" s="471"/>
      <c r="JJT40" s="471"/>
      <c r="JJU40" s="471"/>
      <c r="JJV40" s="471"/>
      <c r="JJW40" s="471"/>
      <c r="JJX40" s="471"/>
      <c r="JJY40" s="471"/>
      <c r="JJZ40" s="471"/>
      <c r="JKA40" s="471"/>
      <c r="JKB40" s="471"/>
      <c r="JKC40" s="471"/>
      <c r="JKD40" s="471"/>
      <c r="JKE40" s="471"/>
      <c r="JKF40" s="471"/>
      <c r="JKG40" s="471"/>
      <c r="JKH40" s="471"/>
      <c r="JKI40" s="471"/>
      <c r="JKJ40" s="471"/>
      <c r="JKK40" s="471"/>
      <c r="JKL40" s="471"/>
      <c r="JKM40" s="471"/>
      <c r="JKN40" s="471"/>
      <c r="JKO40" s="471"/>
      <c r="JKP40" s="471"/>
      <c r="JKQ40" s="471"/>
      <c r="JKR40" s="471"/>
      <c r="JKS40" s="471"/>
      <c r="JKT40" s="471"/>
      <c r="JKU40" s="471"/>
      <c r="JKV40" s="471"/>
      <c r="JKW40" s="471"/>
      <c r="JKX40" s="471"/>
      <c r="JKY40" s="471"/>
      <c r="JKZ40" s="471"/>
      <c r="JLA40" s="471"/>
      <c r="JLB40" s="471"/>
      <c r="JLC40" s="471"/>
      <c r="JLD40" s="471"/>
      <c r="JLE40" s="471"/>
      <c r="JLF40" s="471"/>
      <c r="JLG40" s="471"/>
      <c r="JLH40" s="471"/>
      <c r="JLI40" s="471"/>
      <c r="JLJ40" s="471"/>
      <c r="JLK40" s="471"/>
      <c r="JLL40" s="471"/>
      <c r="JLM40" s="471"/>
      <c r="JLN40" s="471"/>
      <c r="JLO40" s="471"/>
      <c r="JLP40" s="471"/>
      <c r="JLQ40" s="471"/>
      <c r="JLR40" s="471"/>
      <c r="JLS40" s="471"/>
      <c r="JLT40" s="471"/>
      <c r="JLU40" s="471"/>
      <c r="JLV40" s="471"/>
      <c r="JLW40" s="471"/>
      <c r="JLX40" s="471"/>
      <c r="JLY40" s="471"/>
      <c r="JLZ40" s="471"/>
      <c r="JMA40" s="471"/>
      <c r="JMB40" s="471"/>
      <c r="JMC40" s="471"/>
      <c r="JMD40" s="471"/>
      <c r="JME40" s="471"/>
      <c r="JMF40" s="471"/>
      <c r="JMG40" s="471"/>
      <c r="JMH40" s="471"/>
      <c r="JMI40" s="471"/>
      <c r="JMJ40" s="471"/>
      <c r="JMK40" s="471"/>
      <c r="JML40" s="471"/>
      <c r="JMM40" s="471"/>
      <c r="JMN40" s="471"/>
      <c r="JMO40" s="471"/>
      <c r="JMP40" s="471"/>
      <c r="JMQ40" s="471"/>
      <c r="JMR40" s="471"/>
      <c r="JMS40" s="471"/>
      <c r="JMT40" s="471"/>
      <c r="JMU40" s="471"/>
      <c r="JMV40" s="471"/>
      <c r="JMW40" s="471"/>
      <c r="JMX40" s="471"/>
      <c r="JMY40" s="471"/>
      <c r="JMZ40" s="471"/>
      <c r="JNA40" s="471"/>
      <c r="JNB40" s="471"/>
      <c r="JNC40" s="471"/>
      <c r="JND40" s="471"/>
      <c r="JNE40" s="471"/>
      <c r="JNF40" s="471"/>
      <c r="JNG40" s="471"/>
      <c r="JNH40" s="471"/>
      <c r="JNI40" s="471"/>
      <c r="JNJ40" s="471"/>
      <c r="JNK40" s="471"/>
      <c r="JNL40" s="471"/>
      <c r="JNM40" s="471"/>
      <c r="JNN40" s="471"/>
      <c r="JNO40" s="471"/>
      <c r="JNP40" s="471"/>
      <c r="JNQ40" s="471"/>
      <c r="JNR40" s="471"/>
      <c r="JNS40" s="471"/>
      <c r="JNT40" s="471"/>
      <c r="JNU40" s="471"/>
      <c r="JNV40" s="471"/>
      <c r="JNW40" s="471"/>
      <c r="JNX40" s="471"/>
      <c r="JNY40" s="471"/>
      <c r="JNZ40" s="471"/>
      <c r="JOA40" s="471"/>
      <c r="JOB40" s="471"/>
      <c r="JOC40" s="471"/>
      <c r="JOD40" s="471"/>
      <c r="JOE40" s="471"/>
      <c r="JOF40" s="471"/>
      <c r="JOG40" s="471"/>
      <c r="JOH40" s="471"/>
      <c r="JOI40" s="471"/>
      <c r="JOJ40" s="471"/>
      <c r="JOK40" s="471"/>
      <c r="JOL40" s="471"/>
      <c r="JOM40" s="471"/>
      <c r="JON40" s="471"/>
      <c r="JOO40" s="471"/>
      <c r="JOP40" s="471"/>
      <c r="JOQ40" s="471"/>
      <c r="JOR40" s="471"/>
      <c r="JOS40" s="471"/>
      <c r="JOT40" s="471"/>
      <c r="JOU40" s="471"/>
      <c r="JOV40" s="471"/>
      <c r="JOW40" s="471"/>
      <c r="JOX40" s="471"/>
      <c r="JOY40" s="471"/>
      <c r="JOZ40" s="471"/>
      <c r="JPA40" s="471"/>
      <c r="JPB40" s="471"/>
      <c r="JPC40" s="471"/>
      <c r="JPD40" s="471"/>
      <c r="JPE40" s="471"/>
      <c r="JPF40" s="471"/>
      <c r="JPG40" s="471"/>
      <c r="JPH40" s="471"/>
      <c r="JPI40" s="471"/>
      <c r="JPJ40" s="471"/>
      <c r="JPK40" s="471"/>
      <c r="JPL40" s="471"/>
      <c r="JPM40" s="471"/>
      <c r="JPN40" s="471"/>
      <c r="JPO40" s="471"/>
      <c r="JPP40" s="471"/>
      <c r="JPQ40" s="471"/>
      <c r="JPR40" s="471"/>
      <c r="JPS40" s="471"/>
      <c r="JPT40" s="471"/>
      <c r="JPU40" s="471"/>
      <c r="JPV40" s="471"/>
      <c r="JPW40" s="471"/>
      <c r="JPX40" s="471"/>
      <c r="JPY40" s="471"/>
      <c r="JPZ40" s="471"/>
      <c r="JQA40" s="471"/>
      <c r="JQB40" s="471"/>
      <c r="JQC40" s="471"/>
      <c r="JQD40" s="471"/>
      <c r="JQE40" s="471"/>
      <c r="JQF40" s="471"/>
      <c r="JQG40" s="471"/>
      <c r="JQH40" s="471"/>
      <c r="JQI40" s="471"/>
      <c r="JQJ40" s="471"/>
      <c r="JQK40" s="471"/>
      <c r="JQL40" s="471"/>
      <c r="JQM40" s="471"/>
      <c r="JQN40" s="471"/>
      <c r="JQO40" s="471"/>
      <c r="JQP40" s="471"/>
      <c r="JQQ40" s="471"/>
      <c r="JQR40" s="471"/>
      <c r="JQS40" s="471"/>
      <c r="JQT40" s="471"/>
      <c r="JQU40" s="471"/>
      <c r="JQV40" s="471"/>
      <c r="JQW40" s="471"/>
      <c r="JQX40" s="471"/>
      <c r="JQY40" s="471"/>
      <c r="JQZ40" s="471"/>
      <c r="JRA40" s="471"/>
      <c r="JRB40" s="471"/>
      <c r="JRC40" s="471"/>
      <c r="JRD40" s="471"/>
      <c r="JRE40" s="471"/>
      <c r="JRF40" s="471"/>
      <c r="JRG40" s="471"/>
      <c r="JRH40" s="471"/>
      <c r="JRI40" s="471"/>
      <c r="JRJ40" s="471"/>
      <c r="JRK40" s="471"/>
      <c r="JRL40" s="471"/>
      <c r="JRM40" s="471"/>
      <c r="JRN40" s="471"/>
      <c r="JRO40" s="471"/>
      <c r="JRP40" s="471"/>
      <c r="JRQ40" s="471"/>
      <c r="JRR40" s="471"/>
      <c r="JRS40" s="471"/>
      <c r="JRT40" s="471"/>
      <c r="JRU40" s="471"/>
      <c r="JRV40" s="471"/>
      <c r="JRW40" s="471"/>
      <c r="JRX40" s="471"/>
      <c r="JRY40" s="471"/>
      <c r="JRZ40" s="471"/>
      <c r="JSA40" s="471"/>
      <c r="JSB40" s="471"/>
      <c r="JSC40" s="471"/>
      <c r="JSD40" s="471"/>
      <c r="JSE40" s="471"/>
      <c r="JSF40" s="471"/>
      <c r="JSG40" s="471"/>
      <c r="JSH40" s="471"/>
      <c r="JSI40" s="471"/>
      <c r="JSJ40" s="471"/>
      <c r="JSK40" s="471"/>
      <c r="JSL40" s="471"/>
      <c r="JSM40" s="471"/>
      <c r="JSN40" s="471"/>
      <c r="JSO40" s="471"/>
      <c r="JSP40" s="471"/>
      <c r="JSQ40" s="471"/>
      <c r="JSR40" s="471"/>
      <c r="JSS40" s="471"/>
      <c r="JST40" s="471"/>
      <c r="JSU40" s="471"/>
      <c r="JSV40" s="471"/>
      <c r="JSW40" s="471"/>
      <c r="JSX40" s="471"/>
      <c r="JSY40" s="471"/>
      <c r="JSZ40" s="471"/>
      <c r="JTA40" s="471"/>
      <c r="JTB40" s="471"/>
      <c r="JTC40" s="471"/>
      <c r="JTD40" s="471"/>
      <c r="JTE40" s="471"/>
      <c r="JTF40" s="471"/>
      <c r="JTG40" s="471"/>
      <c r="JTH40" s="471"/>
      <c r="JTI40" s="471"/>
      <c r="JTJ40" s="471"/>
      <c r="JTK40" s="471"/>
      <c r="JTL40" s="471"/>
      <c r="JTM40" s="471"/>
      <c r="JTN40" s="471"/>
      <c r="JTO40" s="471"/>
      <c r="JTP40" s="471"/>
      <c r="JTQ40" s="471"/>
      <c r="JTR40" s="471"/>
      <c r="JTS40" s="471"/>
      <c r="JTT40" s="471"/>
      <c r="JTU40" s="471"/>
      <c r="JTV40" s="471"/>
      <c r="JTW40" s="471"/>
      <c r="JTX40" s="471"/>
      <c r="JTY40" s="471"/>
      <c r="JTZ40" s="471"/>
      <c r="JUA40" s="471"/>
      <c r="JUB40" s="471"/>
      <c r="JUC40" s="471"/>
      <c r="JUD40" s="471"/>
      <c r="JUE40" s="471"/>
      <c r="JUF40" s="471"/>
      <c r="JUG40" s="471"/>
      <c r="JUH40" s="471"/>
      <c r="JUI40" s="471"/>
      <c r="JUJ40" s="471"/>
      <c r="JUK40" s="471"/>
      <c r="JUL40" s="471"/>
      <c r="JUM40" s="471"/>
      <c r="JUN40" s="471"/>
      <c r="JUO40" s="471"/>
      <c r="JUP40" s="471"/>
      <c r="JUQ40" s="471"/>
      <c r="JUR40" s="471"/>
      <c r="JUS40" s="471"/>
      <c r="JUT40" s="471"/>
      <c r="JUU40" s="471"/>
      <c r="JUV40" s="471"/>
      <c r="JUW40" s="471"/>
      <c r="JUX40" s="471"/>
      <c r="JUY40" s="471"/>
      <c r="JUZ40" s="471"/>
      <c r="JVA40" s="471"/>
      <c r="JVB40" s="471"/>
      <c r="JVC40" s="471"/>
      <c r="JVD40" s="471"/>
      <c r="JVE40" s="471"/>
      <c r="JVF40" s="471"/>
      <c r="JVG40" s="471"/>
      <c r="JVH40" s="471"/>
      <c r="JVI40" s="471"/>
      <c r="JVJ40" s="471"/>
      <c r="JVK40" s="471"/>
      <c r="JVL40" s="471"/>
      <c r="JVM40" s="471"/>
      <c r="JVN40" s="471"/>
      <c r="JVO40" s="471"/>
      <c r="JVP40" s="471"/>
      <c r="JVQ40" s="471"/>
      <c r="JVR40" s="471"/>
      <c r="JVS40" s="471"/>
      <c r="JVT40" s="471"/>
      <c r="JVU40" s="471"/>
      <c r="JVV40" s="471"/>
      <c r="JVW40" s="471"/>
      <c r="JVX40" s="471"/>
      <c r="JVY40" s="471"/>
      <c r="JVZ40" s="471"/>
      <c r="JWA40" s="471"/>
      <c r="JWB40" s="471"/>
      <c r="JWC40" s="471"/>
      <c r="JWD40" s="471"/>
      <c r="JWE40" s="471"/>
      <c r="JWF40" s="471"/>
      <c r="JWG40" s="471"/>
      <c r="JWH40" s="471"/>
      <c r="JWI40" s="471"/>
      <c r="JWJ40" s="471"/>
      <c r="JWK40" s="471"/>
      <c r="JWL40" s="471"/>
      <c r="JWM40" s="471"/>
      <c r="JWN40" s="471"/>
      <c r="JWO40" s="471"/>
      <c r="JWP40" s="471"/>
      <c r="JWQ40" s="471"/>
      <c r="JWR40" s="471"/>
      <c r="JWS40" s="471"/>
      <c r="JWT40" s="471"/>
      <c r="JWU40" s="471"/>
      <c r="JWV40" s="471"/>
      <c r="JWW40" s="471"/>
      <c r="JWX40" s="471"/>
      <c r="JWY40" s="471"/>
      <c r="JWZ40" s="471"/>
      <c r="JXA40" s="471"/>
      <c r="JXB40" s="471"/>
      <c r="JXC40" s="471"/>
      <c r="JXD40" s="471"/>
      <c r="JXE40" s="471"/>
      <c r="JXF40" s="471"/>
      <c r="JXG40" s="471"/>
      <c r="JXH40" s="471"/>
      <c r="JXI40" s="471"/>
      <c r="JXJ40" s="471"/>
      <c r="JXK40" s="471"/>
      <c r="JXL40" s="471"/>
      <c r="JXM40" s="471"/>
      <c r="JXN40" s="471"/>
      <c r="JXO40" s="471"/>
      <c r="JXP40" s="471"/>
      <c r="JXQ40" s="471"/>
      <c r="JXR40" s="471"/>
      <c r="JXS40" s="471"/>
      <c r="JXT40" s="471"/>
      <c r="JXU40" s="471"/>
      <c r="JXV40" s="471"/>
      <c r="JXW40" s="471"/>
      <c r="JXX40" s="471"/>
      <c r="JXY40" s="471"/>
      <c r="JXZ40" s="471"/>
      <c r="JYA40" s="471"/>
      <c r="JYB40" s="471"/>
      <c r="JYC40" s="471"/>
      <c r="JYD40" s="471"/>
      <c r="JYE40" s="471"/>
      <c r="JYF40" s="471"/>
      <c r="JYG40" s="471"/>
      <c r="JYH40" s="471"/>
      <c r="JYI40" s="471"/>
      <c r="JYJ40" s="471"/>
      <c r="JYK40" s="471"/>
      <c r="JYL40" s="471"/>
      <c r="JYM40" s="471"/>
      <c r="JYN40" s="471"/>
      <c r="JYO40" s="471"/>
      <c r="JYP40" s="471"/>
      <c r="JYQ40" s="471"/>
      <c r="JYR40" s="471"/>
      <c r="JYS40" s="471"/>
      <c r="JYT40" s="471"/>
      <c r="JYU40" s="471"/>
      <c r="JYV40" s="471"/>
      <c r="JYW40" s="471"/>
      <c r="JYX40" s="471"/>
      <c r="JYY40" s="471"/>
      <c r="JYZ40" s="471"/>
      <c r="JZA40" s="471"/>
      <c r="JZB40" s="471"/>
      <c r="JZC40" s="471"/>
      <c r="JZD40" s="471"/>
      <c r="JZE40" s="471"/>
      <c r="JZF40" s="471"/>
      <c r="JZG40" s="471"/>
      <c r="JZH40" s="471"/>
      <c r="JZI40" s="471"/>
      <c r="JZJ40" s="471"/>
      <c r="JZK40" s="471"/>
      <c r="JZL40" s="471"/>
      <c r="JZM40" s="471"/>
      <c r="JZN40" s="471"/>
      <c r="JZO40" s="471"/>
      <c r="JZP40" s="471"/>
      <c r="JZQ40" s="471"/>
      <c r="JZR40" s="471"/>
      <c r="JZS40" s="471"/>
      <c r="JZT40" s="471"/>
      <c r="JZU40" s="471"/>
      <c r="JZV40" s="471"/>
      <c r="JZW40" s="471"/>
      <c r="JZX40" s="471"/>
      <c r="JZY40" s="471"/>
      <c r="JZZ40" s="471"/>
      <c r="KAA40" s="471"/>
      <c r="KAB40" s="471"/>
      <c r="KAC40" s="471"/>
      <c r="KAD40" s="471"/>
      <c r="KAE40" s="471"/>
      <c r="KAF40" s="471"/>
      <c r="KAG40" s="471"/>
      <c r="KAH40" s="471"/>
      <c r="KAI40" s="471"/>
      <c r="KAJ40" s="471"/>
      <c r="KAK40" s="471"/>
      <c r="KAL40" s="471"/>
      <c r="KAM40" s="471"/>
      <c r="KAN40" s="471"/>
      <c r="KAO40" s="471"/>
      <c r="KAP40" s="471"/>
      <c r="KAQ40" s="471"/>
      <c r="KAR40" s="471"/>
      <c r="KAS40" s="471"/>
      <c r="KAT40" s="471"/>
      <c r="KAU40" s="471"/>
      <c r="KAV40" s="471"/>
      <c r="KAW40" s="471"/>
      <c r="KAX40" s="471"/>
      <c r="KAY40" s="471"/>
      <c r="KAZ40" s="471"/>
      <c r="KBA40" s="471"/>
      <c r="KBB40" s="471"/>
      <c r="KBC40" s="471"/>
      <c r="KBD40" s="471"/>
      <c r="KBE40" s="471"/>
      <c r="KBF40" s="471"/>
      <c r="KBG40" s="471"/>
      <c r="KBH40" s="471"/>
      <c r="KBI40" s="471"/>
      <c r="KBJ40" s="471"/>
      <c r="KBK40" s="471"/>
      <c r="KBL40" s="471"/>
      <c r="KBM40" s="471"/>
      <c r="KBN40" s="471"/>
      <c r="KBO40" s="471"/>
      <c r="KBP40" s="471"/>
      <c r="KBQ40" s="471"/>
      <c r="KBR40" s="471"/>
      <c r="KBS40" s="471"/>
      <c r="KBT40" s="471"/>
      <c r="KBU40" s="471"/>
      <c r="KBV40" s="471"/>
      <c r="KBW40" s="471"/>
      <c r="KBX40" s="471"/>
      <c r="KBY40" s="471"/>
      <c r="KBZ40" s="471"/>
      <c r="KCA40" s="471"/>
      <c r="KCB40" s="471"/>
      <c r="KCC40" s="471"/>
      <c r="KCD40" s="471"/>
      <c r="KCE40" s="471"/>
      <c r="KCF40" s="471"/>
      <c r="KCG40" s="471"/>
      <c r="KCH40" s="471"/>
      <c r="KCI40" s="471"/>
      <c r="KCJ40" s="471"/>
      <c r="KCK40" s="471"/>
      <c r="KCL40" s="471"/>
      <c r="KCM40" s="471"/>
      <c r="KCN40" s="471"/>
      <c r="KCO40" s="471"/>
      <c r="KCP40" s="471"/>
      <c r="KCQ40" s="471"/>
      <c r="KCR40" s="471"/>
      <c r="KCS40" s="471"/>
      <c r="KCT40" s="471"/>
      <c r="KCU40" s="471"/>
      <c r="KCV40" s="471"/>
      <c r="KCW40" s="471"/>
      <c r="KCX40" s="471"/>
      <c r="KCY40" s="471"/>
      <c r="KCZ40" s="471"/>
      <c r="KDA40" s="471"/>
      <c r="KDB40" s="471"/>
      <c r="KDC40" s="471"/>
      <c r="KDD40" s="471"/>
      <c r="KDE40" s="471"/>
      <c r="KDF40" s="471"/>
      <c r="KDG40" s="471"/>
      <c r="KDH40" s="471"/>
      <c r="KDI40" s="471"/>
      <c r="KDJ40" s="471"/>
      <c r="KDK40" s="471"/>
      <c r="KDL40" s="471"/>
      <c r="KDM40" s="471"/>
      <c r="KDN40" s="471"/>
      <c r="KDO40" s="471"/>
      <c r="KDP40" s="471"/>
      <c r="KDQ40" s="471"/>
      <c r="KDR40" s="471"/>
      <c r="KDS40" s="471"/>
      <c r="KDT40" s="471"/>
      <c r="KDU40" s="471"/>
      <c r="KDV40" s="471"/>
      <c r="KDW40" s="471"/>
      <c r="KDX40" s="471"/>
      <c r="KDY40" s="471"/>
      <c r="KDZ40" s="471"/>
      <c r="KEA40" s="471"/>
      <c r="KEB40" s="471"/>
      <c r="KEC40" s="471"/>
      <c r="KED40" s="471"/>
      <c r="KEE40" s="471"/>
      <c r="KEF40" s="471"/>
      <c r="KEG40" s="471"/>
      <c r="KEH40" s="471"/>
      <c r="KEI40" s="471"/>
      <c r="KEJ40" s="471"/>
      <c r="KEK40" s="471"/>
      <c r="KEL40" s="471"/>
      <c r="KEM40" s="471"/>
      <c r="KEN40" s="471"/>
      <c r="KEO40" s="471"/>
      <c r="KEP40" s="471"/>
      <c r="KEQ40" s="471"/>
      <c r="KER40" s="471"/>
      <c r="KES40" s="471"/>
      <c r="KET40" s="471"/>
      <c r="KEU40" s="471"/>
      <c r="KEV40" s="471"/>
      <c r="KEW40" s="471"/>
      <c r="KEX40" s="471"/>
      <c r="KEY40" s="471"/>
      <c r="KEZ40" s="471"/>
      <c r="KFA40" s="471"/>
      <c r="KFB40" s="471"/>
      <c r="KFC40" s="471"/>
      <c r="KFD40" s="471"/>
      <c r="KFE40" s="471"/>
      <c r="KFF40" s="471"/>
      <c r="KFG40" s="471"/>
      <c r="KFH40" s="471"/>
      <c r="KFI40" s="471"/>
      <c r="KFJ40" s="471"/>
      <c r="KFK40" s="471"/>
      <c r="KFL40" s="471"/>
      <c r="KFM40" s="471"/>
      <c r="KFN40" s="471"/>
      <c r="KFO40" s="471"/>
      <c r="KFP40" s="471"/>
      <c r="KFQ40" s="471"/>
      <c r="KFR40" s="471"/>
      <c r="KFS40" s="471"/>
      <c r="KFT40" s="471"/>
      <c r="KFU40" s="471"/>
      <c r="KFV40" s="471"/>
      <c r="KFW40" s="471"/>
      <c r="KFX40" s="471"/>
      <c r="KFY40" s="471"/>
      <c r="KFZ40" s="471"/>
      <c r="KGA40" s="471"/>
      <c r="KGB40" s="471"/>
      <c r="KGC40" s="471"/>
      <c r="KGD40" s="471"/>
      <c r="KGE40" s="471"/>
      <c r="KGF40" s="471"/>
      <c r="KGG40" s="471"/>
      <c r="KGH40" s="471"/>
      <c r="KGI40" s="471"/>
      <c r="KGJ40" s="471"/>
      <c r="KGK40" s="471"/>
      <c r="KGL40" s="471"/>
      <c r="KGM40" s="471"/>
      <c r="KGN40" s="471"/>
      <c r="KGO40" s="471"/>
      <c r="KGP40" s="471"/>
      <c r="KGQ40" s="471"/>
      <c r="KGR40" s="471"/>
      <c r="KGS40" s="471"/>
      <c r="KGT40" s="471"/>
      <c r="KGU40" s="471"/>
      <c r="KGV40" s="471"/>
      <c r="KGW40" s="471"/>
      <c r="KGX40" s="471"/>
      <c r="KGY40" s="471"/>
      <c r="KGZ40" s="471"/>
      <c r="KHA40" s="471"/>
      <c r="KHB40" s="471"/>
      <c r="KHC40" s="471"/>
      <c r="KHD40" s="471"/>
      <c r="KHE40" s="471"/>
      <c r="KHF40" s="471"/>
      <c r="KHG40" s="471"/>
      <c r="KHH40" s="471"/>
      <c r="KHI40" s="471"/>
      <c r="KHJ40" s="471"/>
      <c r="KHK40" s="471"/>
      <c r="KHL40" s="471"/>
      <c r="KHM40" s="471"/>
      <c r="KHN40" s="471"/>
      <c r="KHO40" s="471"/>
      <c r="KHP40" s="471"/>
      <c r="KHQ40" s="471"/>
      <c r="KHR40" s="471"/>
      <c r="KHS40" s="471"/>
      <c r="KHT40" s="471"/>
      <c r="KHU40" s="471"/>
      <c r="KHV40" s="471"/>
      <c r="KHW40" s="471"/>
      <c r="KHX40" s="471"/>
      <c r="KHY40" s="471"/>
      <c r="KHZ40" s="471"/>
      <c r="KIA40" s="471"/>
      <c r="KIB40" s="471"/>
      <c r="KIC40" s="471"/>
      <c r="KID40" s="471"/>
      <c r="KIE40" s="471"/>
      <c r="KIF40" s="471"/>
      <c r="KIG40" s="471"/>
      <c r="KIH40" s="471"/>
      <c r="KII40" s="471"/>
      <c r="KIJ40" s="471"/>
      <c r="KIK40" s="471"/>
      <c r="KIL40" s="471"/>
      <c r="KIM40" s="471"/>
      <c r="KIN40" s="471"/>
      <c r="KIO40" s="471"/>
      <c r="KIP40" s="471"/>
      <c r="KIQ40" s="471"/>
      <c r="KIR40" s="471"/>
      <c r="KIS40" s="471"/>
      <c r="KIT40" s="471"/>
      <c r="KIU40" s="471"/>
      <c r="KIV40" s="471"/>
      <c r="KIW40" s="471"/>
      <c r="KIX40" s="471"/>
      <c r="KIY40" s="471"/>
      <c r="KIZ40" s="471"/>
      <c r="KJA40" s="471"/>
      <c r="KJB40" s="471"/>
      <c r="KJC40" s="471"/>
      <c r="KJD40" s="471"/>
      <c r="KJE40" s="471"/>
      <c r="KJF40" s="471"/>
      <c r="KJG40" s="471"/>
      <c r="KJH40" s="471"/>
      <c r="KJI40" s="471"/>
      <c r="KJJ40" s="471"/>
      <c r="KJK40" s="471"/>
      <c r="KJL40" s="471"/>
      <c r="KJM40" s="471"/>
      <c r="KJN40" s="471"/>
      <c r="KJO40" s="471"/>
      <c r="KJP40" s="471"/>
      <c r="KJQ40" s="471"/>
      <c r="KJR40" s="471"/>
      <c r="KJS40" s="471"/>
      <c r="KJT40" s="471"/>
      <c r="KJU40" s="471"/>
      <c r="KJV40" s="471"/>
      <c r="KJW40" s="471"/>
      <c r="KJX40" s="471"/>
      <c r="KJY40" s="471"/>
      <c r="KJZ40" s="471"/>
      <c r="KKA40" s="471"/>
      <c r="KKB40" s="471"/>
      <c r="KKC40" s="471"/>
      <c r="KKD40" s="471"/>
      <c r="KKE40" s="471"/>
      <c r="KKF40" s="471"/>
      <c r="KKG40" s="471"/>
      <c r="KKH40" s="471"/>
      <c r="KKI40" s="471"/>
      <c r="KKJ40" s="471"/>
      <c r="KKK40" s="471"/>
      <c r="KKL40" s="471"/>
      <c r="KKM40" s="471"/>
      <c r="KKN40" s="471"/>
      <c r="KKO40" s="471"/>
      <c r="KKP40" s="471"/>
      <c r="KKQ40" s="471"/>
      <c r="KKR40" s="471"/>
      <c r="KKS40" s="471"/>
      <c r="KKT40" s="471"/>
      <c r="KKU40" s="471"/>
      <c r="KKV40" s="471"/>
      <c r="KKW40" s="471"/>
      <c r="KKX40" s="471"/>
      <c r="KKY40" s="471"/>
      <c r="KKZ40" s="471"/>
      <c r="KLA40" s="471"/>
      <c r="KLB40" s="471"/>
      <c r="KLC40" s="471"/>
      <c r="KLD40" s="471"/>
      <c r="KLE40" s="471"/>
      <c r="KLF40" s="471"/>
      <c r="KLG40" s="471"/>
      <c r="KLH40" s="471"/>
      <c r="KLI40" s="471"/>
      <c r="KLJ40" s="471"/>
      <c r="KLK40" s="471"/>
      <c r="KLL40" s="471"/>
      <c r="KLM40" s="471"/>
      <c r="KLN40" s="471"/>
      <c r="KLO40" s="471"/>
      <c r="KLP40" s="471"/>
      <c r="KLQ40" s="471"/>
      <c r="KLR40" s="471"/>
      <c r="KLS40" s="471"/>
      <c r="KLT40" s="471"/>
      <c r="KLU40" s="471"/>
      <c r="KLV40" s="471"/>
      <c r="KLW40" s="471"/>
      <c r="KLX40" s="471"/>
      <c r="KLY40" s="471"/>
      <c r="KLZ40" s="471"/>
      <c r="KMA40" s="471"/>
      <c r="KMB40" s="471"/>
      <c r="KMC40" s="471"/>
      <c r="KMD40" s="471"/>
      <c r="KME40" s="471"/>
      <c r="KMF40" s="471"/>
      <c r="KMG40" s="471"/>
      <c r="KMH40" s="471"/>
      <c r="KMI40" s="471"/>
      <c r="KMJ40" s="471"/>
      <c r="KMK40" s="471"/>
      <c r="KML40" s="471"/>
      <c r="KMM40" s="471"/>
      <c r="KMN40" s="471"/>
      <c r="KMO40" s="471"/>
      <c r="KMP40" s="471"/>
      <c r="KMQ40" s="471"/>
      <c r="KMR40" s="471"/>
      <c r="KMS40" s="471"/>
      <c r="KMT40" s="471"/>
      <c r="KMU40" s="471"/>
      <c r="KMV40" s="471"/>
      <c r="KMW40" s="471"/>
      <c r="KMX40" s="471"/>
      <c r="KMY40" s="471"/>
      <c r="KMZ40" s="471"/>
      <c r="KNA40" s="471"/>
      <c r="KNB40" s="471"/>
      <c r="KNC40" s="471"/>
      <c r="KND40" s="471"/>
      <c r="KNE40" s="471"/>
      <c r="KNF40" s="471"/>
      <c r="KNG40" s="471"/>
      <c r="KNH40" s="471"/>
      <c r="KNI40" s="471"/>
      <c r="KNJ40" s="471"/>
      <c r="KNK40" s="471"/>
      <c r="KNL40" s="471"/>
      <c r="KNM40" s="471"/>
      <c r="KNN40" s="471"/>
      <c r="KNO40" s="471"/>
      <c r="KNP40" s="471"/>
      <c r="KNQ40" s="471"/>
      <c r="KNR40" s="471"/>
      <c r="KNS40" s="471"/>
      <c r="KNT40" s="471"/>
      <c r="KNU40" s="471"/>
      <c r="KNV40" s="471"/>
      <c r="KNW40" s="471"/>
      <c r="KNX40" s="471"/>
      <c r="KNY40" s="471"/>
      <c r="KNZ40" s="471"/>
      <c r="KOA40" s="471"/>
      <c r="KOB40" s="471"/>
      <c r="KOC40" s="471"/>
      <c r="KOD40" s="471"/>
      <c r="KOE40" s="471"/>
      <c r="KOF40" s="471"/>
      <c r="KOG40" s="471"/>
      <c r="KOH40" s="471"/>
      <c r="KOI40" s="471"/>
      <c r="KOJ40" s="471"/>
      <c r="KOK40" s="471"/>
      <c r="KOL40" s="471"/>
      <c r="KOM40" s="471"/>
      <c r="KON40" s="471"/>
      <c r="KOO40" s="471"/>
      <c r="KOP40" s="471"/>
      <c r="KOQ40" s="471"/>
      <c r="KOR40" s="471"/>
      <c r="KOS40" s="471"/>
      <c r="KOT40" s="471"/>
      <c r="KOU40" s="471"/>
      <c r="KOV40" s="471"/>
      <c r="KOW40" s="471"/>
      <c r="KOX40" s="471"/>
      <c r="KOY40" s="471"/>
      <c r="KOZ40" s="471"/>
      <c r="KPA40" s="471"/>
      <c r="KPB40" s="471"/>
      <c r="KPC40" s="471"/>
      <c r="KPD40" s="471"/>
      <c r="KPE40" s="471"/>
      <c r="KPF40" s="471"/>
      <c r="KPG40" s="471"/>
      <c r="KPH40" s="471"/>
      <c r="KPI40" s="471"/>
      <c r="KPJ40" s="471"/>
      <c r="KPK40" s="471"/>
      <c r="KPL40" s="471"/>
      <c r="KPM40" s="471"/>
      <c r="KPN40" s="471"/>
      <c r="KPO40" s="471"/>
      <c r="KPP40" s="471"/>
      <c r="KPQ40" s="471"/>
      <c r="KPR40" s="471"/>
      <c r="KPS40" s="471"/>
      <c r="KPT40" s="471"/>
      <c r="KPU40" s="471"/>
      <c r="KPV40" s="471"/>
      <c r="KPW40" s="471"/>
      <c r="KPX40" s="471"/>
      <c r="KPY40" s="471"/>
      <c r="KPZ40" s="471"/>
      <c r="KQA40" s="471"/>
      <c r="KQB40" s="471"/>
      <c r="KQC40" s="471"/>
      <c r="KQD40" s="471"/>
      <c r="KQE40" s="471"/>
      <c r="KQF40" s="471"/>
      <c r="KQG40" s="471"/>
      <c r="KQH40" s="471"/>
      <c r="KQI40" s="471"/>
      <c r="KQJ40" s="471"/>
      <c r="KQK40" s="471"/>
      <c r="KQL40" s="471"/>
      <c r="KQM40" s="471"/>
      <c r="KQN40" s="471"/>
      <c r="KQO40" s="471"/>
      <c r="KQP40" s="471"/>
      <c r="KQQ40" s="471"/>
      <c r="KQR40" s="471"/>
      <c r="KQS40" s="471"/>
      <c r="KQT40" s="471"/>
      <c r="KQU40" s="471"/>
      <c r="KQV40" s="471"/>
      <c r="KQW40" s="471"/>
      <c r="KQX40" s="471"/>
      <c r="KQY40" s="471"/>
      <c r="KQZ40" s="471"/>
      <c r="KRA40" s="471"/>
      <c r="KRB40" s="471"/>
      <c r="KRC40" s="471"/>
      <c r="KRD40" s="471"/>
      <c r="KRE40" s="471"/>
      <c r="KRF40" s="471"/>
      <c r="KRG40" s="471"/>
      <c r="KRH40" s="471"/>
      <c r="KRI40" s="471"/>
      <c r="KRJ40" s="471"/>
      <c r="KRK40" s="471"/>
      <c r="KRL40" s="471"/>
      <c r="KRM40" s="471"/>
      <c r="KRN40" s="471"/>
      <c r="KRO40" s="471"/>
      <c r="KRP40" s="471"/>
      <c r="KRQ40" s="471"/>
      <c r="KRR40" s="471"/>
      <c r="KRS40" s="471"/>
      <c r="KRT40" s="471"/>
      <c r="KRU40" s="471"/>
      <c r="KRV40" s="471"/>
      <c r="KRW40" s="471"/>
      <c r="KRX40" s="471"/>
      <c r="KRY40" s="471"/>
      <c r="KRZ40" s="471"/>
      <c r="KSA40" s="471"/>
      <c r="KSB40" s="471"/>
      <c r="KSC40" s="471"/>
      <c r="KSD40" s="471"/>
      <c r="KSE40" s="471"/>
      <c r="KSF40" s="471"/>
      <c r="KSG40" s="471"/>
      <c r="KSH40" s="471"/>
      <c r="KSI40" s="471"/>
      <c r="KSJ40" s="471"/>
      <c r="KSK40" s="471"/>
      <c r="KSL40" s="471"/>
      <c r="KSM40" s="471"/>
      <c r="KSN40" s="471"/>
      <c r="KSO40" s="471"/>
      <c r="KSP40" s="471"/>
      <c r="KSQ40" s="471"/>
      <c r="KSR40" s="471"/>
      <c r="KSS40" s="471"/>
      <c r="KST40" s="471"/>
      <c r="KSU40" s="471"/>
      <c r="KSV40" s="471"/>
      <c r="KSW40" s="471"/>
      <c r="KSX40" s="471"/>
      <c r="KSY40" s="471"/>
      <c r="KSZ40" s="471"/>
      <c r="KTA40" s="471"/>
      <c r="KTB40" s="471"/>
      <c r="KTC40" s="471"/>
      <c r="KTD40" s="471"/>
      <c r="KTE40" s="471"/>
      <c r="KTF40" s="471"/>
      <c r="KTG40" s="471"/>
      <c r="KTH40" s="471"/>
      <c r="KTI40" s="471"/>
      <c r="KTJ40" s="471"/>
      <c r="KTK40" s="471"/>
      <c r="KTL40" s="471"/>
      <c r="KTM40" s="471"/>
      <c r="KTN40" s="471"/>
      <c r="KTO40" s="471"/>
      <c r="KTP40" s="471"/>
      <c r="KTQ40" s="471"/>
      <c r="KTR40" s="471"/>
      <c r="KTS40" s="471"/>
      <c r="KTT40" s="471"/>
      <c r="KTU40" s="471"/>
      <c r="KTV40" s="471"/>
      <c r="KTW40" s="471"/>
      <c r="KTX40" s="471"/>
      <c r="KTY40" s="471"/>
      <c r="KTZ40" s="471"/>
      <c r="KUA40" s="471"/>
      <c r="KUB40" s="471"/>
      <c r="KUC40" s="471"/>
      <c r="KUD40" s="471"/>
      <c r="KUE40" s="471"/>
      <c r="KUF40" s="471"/>
      <c r="KUG40" s="471"/>
      <c r="KUH40" s="471"/>
      <c r="KUI40" s="471"/>
      <c r="KUJ40" s="471"/>
      <c r="KUK40" s="471"/>
      <c r="KUL40" s="471"/>
      <c r="KUM40" s="471"/>
      <c r="KUN40" s="471"/>
      <c r="KUO40" s="471"/>
      <c r="KUP40" s="471"/>
      <c r="KUQ40" s="471"/>
      <c r="KUR40" s="471"/>
      <c r="KUS40" s="471"/>
      <c r="KUT40" s="471"/>
      <c r="KUU40" s="471"/>
      <c r="KUV40" s="471"/>
      <c r="KUW40" s="471"/>
      <c r="KUX40" s="471"/>
      <c r="KUY40" s="471"/>
      <c r="KUZ40" s="471"/>
      <c r="KVA40" s="471"/>
      <c r="KVB40" s="471"/>
      <c r="KVC40" s="471"/>
      <c r="KVD40" s="471"/>
      <c r="KVE40" s="471"/>
      <c r="KVF40" s="471"/>
      <c r="KVG40" s="471"/>
      <c r="KVH40" s="471"/>
      <c r="KVI40" s="471"/>
      <c r="KVJ40" s="471"/>
      <c r="KVK40" s="471"/>
      <c r="KVL40" s="471"/>
      <c r="KVM40" s="471"/>
      <c r="KVN40" s="471"/>
      <c r="KVO40" s="471"/>
      <c r="KVP40" s="471"/>
      <c r="KVQ40" s="471"/>
      <c r="KVR40" s="471"/>
      <c r="KVS40" s="471"/>
      <c r="KVT40" s="471"/>
      <c r="KVU40" s="471"/>
      <c r="KVV40" s="471"/>
      <c r="KVW40" s="471"/>
      <c r="KVX40" s="471"/>
      <c r="KVY40" s="471"/>
      <c r="KVZ40" s="471"/>
      <c r="KWA40" s="471"/>
      <c r="KWB40" s="471"/>
      <c r="KWC40" s="471"/>
      <c r="KWD40" s="471"/>
      <c r="KWE40" s="471"/>
      <c r="KWF40" s="471"/>
      <c r="KWG40" s="471"/>
      <c r="KWH40" s="471"/>
      <c r="KWI40" s="471"/>
      <c r="KWJ40" s="471"/>
      <c r="KWK40" s="471"/>
      <c r="KWL40" s="471"/>
      <c r="KWM40" s="471"/>
      <c r="KWN40" s="471"/>
      <c r="KWO40" s="471"/>
      <c r="KWP40" s="471"/>
      <c r="KWQ40" s="471"/>
      <c r="KWR40" s="471"/>
      <c r="KWS40" s="471"/>
      <c r="KWT40" s="471"/>
      <c r="KWU40" s="471"/>
      <c r="KWV40" s="471"/>
      <c r="KWW40" s="471"/>
      <c r="KWX40" s="471"/>
      <c r="KWY40" s="471"/>
      <c r="KWZ40" s="471"/>
      <c r="KXA40" s="471"/>
      <c r="KXB40" s="471"/>
      <c r="KXC40" s="471"/>
      <c r="KXD40" s="471"/>
      <c r="KXE40" s="471"/>
      <c r="KXF40" s="471"/>
      <c r="KXG40" s="471"/>
      <c r="KXH40" s="471"/>
      <c r="KXI40" s="471"/>
      <c r="KXJ40" s="471"/>
      <c r="KXK40" s="471"/>
      <c r="KXL40" s="471"/>
      <c r="KXM40" s="471"/>
      <c r="KXN40" s="471"/>
      <c r="KXO40" s="471"/>
      <c r="KXP40" s="471"/>
      <c r="KXQ40" s="471"/>
      <c r="KXR40" s="471"/>
      <c r="KXS40" s="471"/>
      <c r="KXT40" s="471"/>
      <c r="KXU40" s="471"/>
      <c r="KXV40" s="471"/>
      <c r="KXW40" s="471"/>
      <c r="KXX40" s="471"/>
      <c r="KXY40" s="471"/>
      <c r="KXZ40" s="471"/>
      <c r="KYA40" s="471"/>
      <c r="KYB40" s="471"/>
      <c r="KYC40" s="471"/>
      <c r="KYD40" s="471"/>
      <c r="KYE40" s="471"/>
      <c r="KYF40" s="471"/>
      <c r="KYG40" s="471"/>
      <c r="KYH40" s="471"/>
      <c r="KYI40" s="471"/>
      <c r="KYJ40" s="471"/>
      <c r="KYK40" s="471"/>
      <c r="KYL40" s="471"/>
      <c r="KYM40" s="471"/>
      <c r="KYN40" s="471"/>
      <c r="KYO40" s="471"/>
      <c r="KYP40" s="471"/>
      <c r="KYQ40" s="471"/>
      <c r="KYR40" s="471"/>
      <c r="KYS40" s="471"/>
      <c r="KYT40" s="471"/>
      <c r="KYU40" s="471"/>
      <c r="KYV40" s="471"/>
      <c r="KYW40" s="471"/>
      <c r="KYX40" s="471"/>
      <c r="KYY40" s="471"/>
      <c r="KYZ40" s="471"/>
      <c r="KZA40" s="471"/>
      <c r="KZB40" s="471"/>
      <c r="KZC40" s="471"/>
      <c r="KZD40" s="471"/>
      <c r="KZE40" s="471"/>
      <c r="KZF40" s="471"/>
      <c r="KZG40" s="471"/>
      <c r="KZH40" s="471"/>
      <c r="KZI40" s="471"/>
      <c r="KZJ40" s="471"/>
      <c r="KZK40" s="471"/>
      <c r="KZL40" s="471"/>
      <c r="KZM40" s="471"/>
      <c r="KZN40" s="471"/>
      <c r="KZO40" s="471"/>
      <c r="KZP40" s="471"/>
      <c r="KZQ40" s="471"/>
      <c r="KZR40" s="471"/>
      <c r="KZS40" s="471"/>
      <c r="KZT40" s="471"/>
      <c r="KZU40" s="471"/>
      <c r="KZV40" s="471"/>
      <c r="KZW40" s="471"/>
      <c r="KZX40" s="471"/>
      <c r="KZY40" s="471"/>
      <c r="KZZ40" s="471"/>
      <c r="LAA40" s="471"/>
      <c r="LAB40" s="471"/>
      <c r="LAC40" s="471"/>
      <c r="LAD40" s="471"/>
      <c r="LAE40" s="471"/>
      <c r="LAF40" s="471"/>
      <c r="LAG40" s="471"/>
      <c r="LAH40" s="471"/>
      <c r="LAI40" s="471"/>
      <c r="LAJ40" s="471"/>
      <c r="LAK40" s="471"/>
      <c r="LAL40" s="471"/>
      <c r="LAM40" s="471"/>
      <c r="LAN40" s="471"/>
      <c r="LAO40" s="471"/>
      <c r="LAP40" s="471"/>
      <c r="LAQ40" s="471"/>
      <c r="LAR40" s="471"/>
      <c r="LAS40" s="471"/>
      <c r="LAT40" s="471"/>
      <c r="LAU40" s="471"/>
      <c r="LAV40" s="471"/>
      <c r="LAW40" s="471"/>
      <c r="LAX40" s="471"/>
      <c r="LAY40" s="471"/>
      <c r="LAZ40" s="471"/>
      <c r="LBA40" s="471"/>
      <c r="LBB40" s="471"/>
      <c r="LBC40" s="471"/>
      <c r="LBD40" s="471"/>
      <c r="LBE40" s="471"/>
      <c r="LBF40" s="471"/>
      <c r="LBG40" s="471"/>
      <c r="LBH40" s="471"/>
      <c r="LBI40" s="471"/>
      <c r="LBJ40" s="471"/>
      <c r="LBK40" s="471"/>
      <c r="LBL40" s="471"/>
      <c r="LBM40" s="471"/>
      <c r="LBN40" s="471"/>
      <c r="LBO40" s="471"/>
      <c r="LBP40" s="471"/>
      <c r="LBQ40" s="471"/>
      <c r="LBR40" s="471"/>
      <c r="LBS40" s="471"/>
      <c r="LBT40" s="471"/>
      <c r="LBU40" s="471"/>
      <c r="LBV40" s="471"/>
      <c r="LBW40" s="471"/>
      <c r="LBX40" s="471"/>
      <c r="LBY40" s="471"/>
      <c r="LBZ40" s="471"/>
      <c r="LCA40" s="471"/>
      <c r="LCB40" s="471"/>
      <c r="LCC40" s="471"/>
      <c r="LCD40" s="471"/>
      <c r="LCE40" s="471"/>
      <c r="LCF40" s="471"/>
      <c r="LCG40" s="471"/>
      <c r="LCH40" s="471"/>
      <c r="LCI40" s="471"/>
      <c r="LCJ40" s="471"/>
      <c r="LCK40" s="471"/>
      <c r="LCL40" s="471"/>
      <c r="LCM40" s="471"/>
      <c r="LCN40" s="471"/>
      <c r="LCO40" s="471"/>
      <c r="LCP40" s="471"/>
      <c r="LCQ40" s="471"/>
      <c r="LCR40" s="471"/>
      <c r="LCS40" s="471"/>
      <c r="LCT40" s="471"/>
      <c r="LCU40" s="471"/>
      <c r="LCV40" s="471"/>
      <c r="LCW40" s="471"/>
      <c r="LCX40" s="471"/>
      <c r="LCY40" s="471"/>
      <c r="LCZ40" s="471"/>
      <c r="LDA40" s="471"/>
      <c r="LDB40" s="471"/>
      <c r="LDC40" s="471"/>
      <c r="LDD40" s="471"/>
      <c r="LDE40" s="471"/>
      <c r="LDF40" s="471"/>
      <c r="LDG40" s="471"/>
      <c r="LDH40" s="471"/>
      <c r="LDI40" s="471"/>
      <c r="LDJ40" s="471"/>
      <c r="LDK40" s="471"/>
      <c r="LDL40" s="471"/>
      <c r="LDM40" s="471"/>
      <c r="LDN40" s="471"/>
      <c r="LDO40" s="471"/>
      <c r="LDP40" s="471"/>
      <c r="LDQ40" s="471"/>
      <c r="LDR40" s="471"/>
      <c r="LDS40" s="471"/>
      <c r="LDT40" s="471"/>
      <c r="LDU40" s="471"/>
      <c r="LDV40" s="471"/>
      <c r="LDW40" s="471"/>
      <c r="LDX40" s="471"/>
      <c r="LDY40" s="471"/>
      <c r="LDZ40" s="471"/>
      <c r="LEA40" s="471"/>
      <c r="LEB40" s="471"/>
      <c r="LEC40" s="471"/>
      <c r="LED40" s="471"/>
      <c r="LEE40" s="471"/>
      <c r="LEF40" s="471"/>
      <c r="LEG40" s="471"/>
      <c r="LEH40" s="471"/>
      <c r="LEI40" s="471"/>
      <c r="LEJ40" s="471"/>
      <c r="LEK40" s="471"/>
      <c r="LEL40" s="471"/>
      <c r="LEM40" s="471"/>
      <c r="LEN40" s="471"/>
      <c r="LEO40" s="471"/>
      <c r="LEP40" s="471"/>
      <c r="LEQ40" s="471"/>
      <c r="LER40" s="471"/>
      <c r="LES40" s="471"/>
      <c r="LET40" s="471"/>
      <c r="LEU40" s="471"/>
      <c r="LEV40" s="471"/>
      <c r="LEW40" s="471"/>
      <c r="LEX40" s="471"/>
      <c r="LEY40" s="471"/>
      <c r="LEZ40" s="471"/>
      <c r="LFA40" s="471"/>
      <c r="LFB40" s="471"/>
      <c r="LFC40" s="471"/>
      <c r="LFD40" s="471"/>
      <c r="LFE40" s="471"/>
      <c r="LFF40" s="471"/>
      <c r="LFG40" s="471"/>
      <c r="LFH40" s="471"/>
      <c r="LFI40" s="471"/>
      <c r="LFJ40" s="471"/>
      <c r="LFK40" s="471"/>
      <c r="LFL40" s="471"/>
      <c r="LFM40" s="471"/>
      <c r="LFN40" s="471"/>
      <c r="LFO40" s="471"/>
      <c r="LFP40" s="471"/>
      <c r="LFQ40" s="471"/>
      <c r="LFR40" s="471"/>
      <c r="LFS40" s="471"/>
      <c r="LFT40" s="471"/>
      <c r="LFU40" s="471"/>
      <c r="LFV40" s="471"/>
      <c r="LFW40" s="471"/>
      <c r="LFX40" s="471"/>
      <c r="LFY40" s="471"/>
      <c r="LFZ40" s="471"/>
      <c r="LGA40" s="471"/>
      <c r="LGB40" s="471"/>
      <c r="LGC40" s="471"/>
      <c r="LGD40" s="471"/>
      <c r="LGE40" s="471"/>
      <c r="LGF40" s="471"/>
      <c r="LGG40" s="471"/>
      <c r="LGH40" s="471"/>
      <c r="LGI40" s="471"/>
      <c r="LGJ40" s="471"/>
      <c r="LGK40" s="471"/>
      <c r="LGL40" s="471"/>
      <c r="LGM40" s="471"/>
      <c r="LGN40" s="471"/>
      <c r="LGO40" s="471"/>
      <c r="LGP40" s="471"/>
      <c r="LGQ40" s="471"/>
      <c r="LGR40" s="471"/>
      <c r="LGS40" s="471"/>
      <c r="LGT40" s="471"/>
      <c r="LGU40" s="471"/>
      <c r="LGV40" s="471"/>
      <c r="LGW40" s="471"/>
      <c r="LGX40" s="471"/>
      <c r="LGY40" s="471"/>
      <c r="LGZ40" s="471"/>
      <c r="LHA40" s="471"/>
      <c r="LHB40" s="471"/>
      <c r="LHC40" s="471"/>
      <c r="LHD40" s="471"/>
      <c r="LHE40" s="471"/>
      <c r="LHF40" s="471"/>
      <c r="LHG40" s="471"/>
      <c r="LHH40" s="471"/>
      <c r="LHI40" s="471"/>
      <c r="LHJ40" s="471"/>
      <c r="LHK40" s="471"/>
      <c r="LHL40" s="471"/>
      <c r="LHM40" s="471"/>
      <c r="LHN40" s="471"/>
      <c r="LHO40" s="471"/>
      <c r="LHP40" s="471"/>
      <c r="LHQ40" s="471"/>
      <c r="LHR40" s="471"/>
      <c r="LHS40" s="471"/>
      <c r="LHT40" s="471"/>
      <c r="LHU40" s="471"/>
      <c r="LHV40" s="471"/>
      <c r="LHW40" s="471"/>
      <c r="LHX40" s="471"/>
      <c r="LHY40" s="471"/>
      <c r="LHZ40" s="471"/>
      <c r="LIA40" s="471"/>
      <c r="LIB40" s="471"/>
      <c r="LIC40" s="471"/>
      <c r="LID40" s="471"/>
      <c r="LIE40" s="471"/>
      <c r="LIF40" s="471"/>
      <c r="LIG40" s="471"/>
      <c r="LIH40" s="471"/>
      <c r="LII40" s="471"/>
      <c r="LIJ40" s="471"/>
      <c r="LIK40" s="471"/>
      <c r="LIL40" s="471"/>
      <c r="LIM40" s="471"/>
      <c r="LIN40" s="471"/>
      <c r="LIO40" s="471"/>
      <c r="LIP40" s="471"/>
      <c r="LIQ40" s="471"/>
      <c r="LIR40" s="471"/>
      <c r="LIS40" s="471"/>
      <c r="LIT40" s="471"/>
      <c r="LIU40" s="471"/>
      <c r="LIV40" s="471"/>
      <c r="LIW40" s="471"/>
      <c r="LIX40" s="471"/>
      <c r="LIY40" s="471"/>
      <c r="LIZ40" s="471"/>
      <c r="LJA40" s="471"/>
      <c r="LJB40" s="471"/>
      <c r="LJC40" s="471"/>
      <c r="LJD40" s="471"/>
      <c r="LJE40" s="471"/>
      <c r="LJF40" s="471"/>
      <c r="LJG40" s="471"/>
      <c r="LJH40" s="471"/>
      <c r="LJI40" s="471"/>
      <c r="LJJ40" s="471"/>
      <c r="LJK40" s="471"/>
      <c r="LJL40" s="471"/>
      <c r="LJM40" s="471"/>
      <c r="LJN40" s="471"/>
      <c r="LJO40" s="471"/>
      <c r="LJP40" s="471"/>
      <c r="LJQ40" s="471"/>
      <c r="LJR40" s="471"/>
      <c r="LJS40" s="471"/>
      <c r="LJT40" s="471"/>
      <c r="LJU40" s="471"/>
      <c r="LJV40" s="471"/>
      <c r="LJW40" s="471"/>
      <c r="LJX40" s="471"/>
      <c r="LJY40" s="471"/>
      <c r="LJZ40" s="471"/>
      <c r="LKA40" s="471"/>
      <c r="LKB40" s="471"/>
      <c r="LKC40" s="471"/>
      <c r="LKD40" s="471"/>
      <c r="LKE40" s="471"/>
      <c r="LKF40" s="471"/>
      <c r="LKG40" s="471"/>
      <c r="LKH40" s="471"/>
      <c r="LKI40" s="471"/>
      <c r="LKJ40" s="471"/>
      <c r="LKK40" s="471"/>
      <c r="LKL40" s="471"/>
      <c r="LKM40" s="471"/>
      <c r="LKN40" s="471"/>
      <c r="LKO40" s="471"/>
      <c r="LKP40" s="471"/>
      <c r="LKQ40" s="471"/>
      <c r="LKR40" s="471"/>
      <c r="LKS40" s="471"/>
      <c r="LKT40" s="471"/>
      <c r="LKU40" s="471"/>
      <c r="LKV40" s="471"/>
      <c r="LKW40" s="471"/>
      <c r="LKX40" s="471"/>
      <c r="LKY40" s="471"/>
      <c r="LKZ40" s="471"/>
      <c r="LLA40" s="471"/>
      <c r="LLB40" s="471"/>
      <c r="LLC40" s="471"/>
      <c r="LLD40" s="471"/>
      <c r="LLE40" s="471"/>
      <c r="LLF40" s="471"/>
      <c r="LLG40" s="471"/>
      <c r="LLH40" s="471"/>
      <c r="LLI40" s="471"/>
      <c r="LLJ40" s="471"/>
      <c r="LLK40" s="471"/>
      <c r="LLL40" s="471"/>
      <c r="LLM40" s="471"/>
      <c r="LLN40" s="471"/>
      <c r="LLO40" s="471"/>
      <c r="LLP40" s="471"/>
      <c r="LLQ40" s="471"/>
      <c r="LLR40" s="471"/>
      <c r="LLS40" s="471"/>
      <c r="LLT40" s="471"/>
      <c r="LLU40" s="471"/>
      <c r="LLV40" s="471"/>
      <c r="LLW40" s="471"/>
      <c r="LLX40" s="471"/>
      <c r="LLY40" s="471"/>
      <c r="LLZ40" s="471"/>
      <c r="LMA40" s="471"/>
      <c r="LMB40" s="471"/>
      <c r="LMC40" s="471"/>
      <c r="LMD40" s="471"/>
      <c r="LME40" s="471"/>
      <c r="LMF40" s="471"/>
      <c r="LMG40" s="471"/>
      <c r="LMH40" s="471"/>
      <c r="LMI40" s="471"/>
      <c r="LMJ40" s="471"/>
      <c r="LMK40" s="471"/>
      <c r="LML40" s="471"/>
      <c r="LMM40" s="471"/>
      <c r="LMN40" s="471"/>
      <c r="LMO40" s="471"/>
      <c r="LMP40" s="471"/>
      <c r="LMQ40" s="471"/>
      <c r="LMR40" s="471"/>
      <c r="LMS40" s="471"/>
      <c r="LMT40" s="471"/>
      <c r="LMU40" s="471"/>
      <c r="LMV40" s="471"/>
      <c r="LMW40" s="471"/>
      <c r="LMX40" s="471"/>
      <c r="LMY40" s="471"/>
      <c r="LMZ40" s="471"/>
      <c r="LNA40" s="471"/>
      <c r="LNB40" s="471"/>
      <c r="LNC40" s="471"/>
      <c r="LND40" s="471"/>
      <c r="LNE40" s="471"/>
      <c r="LNF40" s="471"/>
      <c r="LNG40" s="471"/>
      <c r="LNH40" s="471"/>
      <c r="LNI40" s="471"/>
      <c r="LNJ40" s="471"/>
      <c r="LNK40" s="471"/>
      <c r="LNL40" s="471"/>
      <c r="LNM40" s="471"/>
      <c r="LNN40" s="471"/>
      <c r="LNO40" s="471"/>
      <c r="LNP40" s="471"/>
      <c r="LNQ40" s="471"/>
      <c r="LNR40" s="471"/>
      <c r="LNS40" s="471"/>
      <c r="LNT40" s="471"/>
      <c r="LNU40" s="471"/>
      <c r="LNV40" s="471"/>
      <c r="LNW40" s="471"/>
      <c r="LNX40" s="471"/>
      <c r="LNY40" s="471"/>
      <c r="LNZ40" s="471"/>
      <c r="LOA40" s="471"/>
      <c r="LOB40" s="471"/>
      <c r="LOC40" s="471"/>
      <c r="LOD40" s="471"/>
      <c r="LOE40" s="471"/>
      <c r="LOF40" s="471"/>
      <c r="LOG40" s="471"/>
      <c r="LOH40" s="471"/>
      <c r="LOI40" s="471"/>
      <c r="LOJ40" s="471"/>
      <c r="LOK40" s="471"/>
      <c r="LOL40" s="471"/>
      <c r="LOM40" s="471"/>
      <c r="LON40" s="471"/>
      <c r="LOO40" s="471"/>
      <c r="LOP40" s="471"/>
      <c r="LOQ40" s="471"/>
      <c r="LOR40" s="471"/>
      <c r="LOS40" s="471"/>
      <c r="LOT40" s="471"/>
      <c r="LOU40" s="471"/>
      <c r="LOV40" s="471"/>
      <c r="LOW40" s="471"/>
      <c r="LOX40" s="471"/>
      <c r="LOY40" s="471"/>
      <c r="LOZ40" s="471"/>
      <c r="LPA40" s="471"/>
      <c r="LPB40" s="471"/>
      <c r="LPC40" s="471"/>
      <c r="LPD40" s="471"/>
      <c r="LPE40" s="471"/>
      <c r="LPF40" s="471"/>
      <c r="LPG40" s="471"/>
      <c r="LPH40" s="471"/>
      <c r="LPI40" s="471"/>
      <c r="LPJ40" s="471"/>
      <c r="LPK40" s="471"/>
      <c r="LPL40" s="471"/>
      <c r="LPM40" s="471"/>
      <c r="LPN40" s="471"/>
      <c r="LPO40" s="471"/>
      <c r="LPP40" s="471"/>
      <c r="LPQ40" s="471"/>
      <c r="LPR40" s="471"/>
      <c r="LPS40" s="471"/>
      <c r="LPT40" s="471"/>
      <c r="LPU40" s="471"/>
      <c r="LPV40" s="471"/>
      <c r="LPW40" s="471"/>
      <c r="LPX40" s="471"/>
      <c r="LPY40" s="471"/>
      <c r="LPZ40" s="471"/>
      <c r="LQA40" s="471"/>
      <c r="LQB40" s="471"/>
      <c r="LQC40" s="471"/>
      <c r="LQD40" s="471"/>
      <c r="LQE40" s="471"/>
      <c r="LQF40" s="471"/>
      <c r="LQG40" s="471"/>
      <c r="LQH40" s="471"/>
      <c r="LQI40" s="471"/>
      <c r="LQJ40" s="471"/>
      <c r="LQK40" s="471"/>
      <c r="LQL40" s="471"/>
      <c r="LQM40" s="471"/>
      <c r="LQN40" s="471"/>
      <c r="LQO40" s="471"/>
      <c r="LQP40" s="471"/>
      <c r="LQQ40" s="471"/>
      <c r="LQR40" s="471"/>
      <c r="LQS40" s="471"/>
      <c r="LQT40" s="471"/>
      <c r="LQU40" s="471"/>
      <c r="LQV40" s="471"/>
      <c r="LQW40" s="471"/>
      <c r="LQX40" s="471"/>
      <c r="LQY40" s="471"/>
      <c r="LQZ40" s="471"/>
      <c r="LRA40" s="471"/>
      <c r="LRB40" s="471"/>
      <c r="LRC40" s="471"/>
      <c r="LRD40" s="471"/>
      <c r="LRE40" s="471"/>
      <c r="LRF40" s="471"/>
      <c r="LRG40" s="471"/>
      <c r="LRH40" s="471"/>
      <c r="LRI40" s="471"/>
      <c r="LRJ40" s="471"/>
      <c r="LRK40" s="471"/>
      <c r="LRL40" s="471"/>
      <c r="LRM40" s="471"/>
      <c r="LRN40" s="471"/>
      <c r="LRO40" s="471"/>
      <c r="LRP40" s="471"/>
      <c r="LRQ40" s="471"/>
      <c r="LRR40" s="471"/>
      <c r="LRS40" s="471"/>
      <c r="LRT40" s="471"/>
      <c r="LRU40" s="471"/>
      <c r="LRV40" s="471"/>
      <c r="LRW40" s="471"/>
      <c r="LRX40" s="471"/>
      <c r="LRY40" s="471"/>
      <c r="LRZ40" s="471"/>
      <c r="LSA40" s="471"/>
      <c r="LSB40" s="471"/>
      <c r="LSC40" s="471"/>
      <c r="LSD40" s="471"/>
      <c r="LSE40" s="471"/>
      <c r="LSF40" s="471"/>
      <c r="LSG40" s="471"/>
      <c r="LSH40" s="471"/>
      <c r="LSI40" s="471"/>
      <c r="LSJ40" s="471"/>
      <c r="LSK40" s="471"/>
      <c r="LSL40" s="471"/>
      <c r="LSM40" s="471"/>
      <c r="LSN40" s="471"/>
      <c r="LSO40" s="471"/>
      <c r="LSP40" s="471"/>
      <c r="LSQ40" s="471"/>
      <c r="LSR40" s="471"/>
      <c r="LSS40" s="471"/>
      <c r="LST40" s="471"/>
      <c r="LSU40" s="471"/>
      <c r="LSV40" s="471"/>
      <c r="LSW40" s="471"/>
      <c r="LSX40" s="471"/>
      <c r="LSY40" s="471"/>
      <c r="LSZ40" s="471"/>
      <c r="LTA40" s="471"/>
      <c r="LTB40" s="471"/>
      <c r="LTC40" s="471"/>
      <c r="LTD40" s="471"/>
      <c r="LTE40" s="471"/>
      <c r="LTF40" s="471"/>
      <c r="LTG40" s="471"/>
      <c r="LTH40" s="471"/>
      <c r="LTI40" s="471"/>
      <c r="LTJ40" s="471"/>
      <c r="LTK40" s="471"/>
      <c r="LTL40" s="471"/>
      <c r="LTM40" s="471"/>
      <c r="LTN40" s="471"/>
      <c r="LTO40" s="471"/>
      <c r="LTP40" s="471"/>
      <c r="LTQ40" s="471"/>
      <c r="LTR40" s="471"/>
      <c r="LTS40" s="471"/>
      <c r="LTT40" s="471"/>
      <c r="LTU40" s="471"/>
      <c r="LTV40" s="471"/>
      <c r="LTW40" s="471"/>
      <c r="LTX40" s="471"/>
      <c r="LTY40" s="471"/>
      <c r="LTZ40" s="471"/>
      <c r="LUA40" s="471"/>
      <c r="LUB40" s="471"/>
      <c r="LUC40" s="471"/>
      <c r="LUD40" s="471"/>
      <c r="LUE40" s="471"/>
      <c r="LUF40" s="471"/>
      <c r="LUG40" s="471"/>
      <c r="LUH40" s="471"/>
      <c r="LUI40" s="471"/>
      <c r="LUJ40" s="471"/>
      <c r="LUK40" s="471"/>
      <c r="LUL40" s="471"/>
      <c r="LUM40" s="471"/>
      <c r="LUN40" s="471"/>
      <c r="LUO40" s="471"/>
      <c r="LUP40" s="471"/>
      <c r="LUQ40" s="471"/>
      <c r="LUR40" s="471"/>
      <c r="LUS40" s="471"/>
      <c r="LUT40" s="471"/>
      <c r="LUU40" s="471"/>
      <c r="LUV40" s="471"/>
      <c r="LUW40" s="471"/>
      <c r="LUX40" s="471"/>
      <c r="LUY40" s="471"/>
      <c r="LUZ40" s="471"/>
      <c r="LVA40" s="471"/>
      <c r="LVB40" s="471"/>
      <c r="LVC40" s="471"/>
      <c r="LVD40" s="471"/>
      <c r="LVE40" s="471"/>
      <c r="LVF40" s="471"/>
      <c r="LVG40" s="471"/>
      <c r="LVH40" s="471"/>
      <c r="LVI40" s="471"/>
      <c r="LVJ40" s="471"/>
      <c r="LVK40" s="471"/>
      <c r="LVL40" s="471"/>
      <c r="LVM40" s="471"/>
      <c r="LVN40" s="471"/>
      <c r="LVO40" s="471"/>
      <c r="LVP40" s="471"/>
      <c r="LVQ40" s="471"/>
      <c r="LVR40" s="471"/>
      <c r="LVS40" s="471"/>
      <c r="LVT40" s="471"/>
      <c r="LVU40" s="471"/>
      <c r="LVV40" s="471"/>
      <c r="LVW40" s="471"/>
      <c r="LVX40" s="471"/>
      <c r="LVY40" s="471"/>
      <c r="LVZ40" s="471"/>
      <c r="LWA40" s="471"/>
      <c r="LWB40" s="471"/>
      <c r="LWC40" s="471"/>
      <c r="LWD40" s="471"/>
      <c r="LWE40" s="471"/>
      <c r="LWF40" s="471"/>
      <c r="LWG40" s="471"/>
      <c r="LWH40" s="471"/>
      <c r="LWI40" s="471"/>
      <c r="LWJ40" s="471"/>
      <c r="LWK40" s="471"/>
      <c r="LWL40" s="471"/>
      <c r="LWM40" s="471"/>
      <c r="LWN40" s="471"/>
      <c r="LWO40" s="471"/>
      <c r="LWP40" s="471"/>
      <c r="LWQ40" s="471"/>
      <c r="LWR40" s="471"/>
      <c r="LWS40" s="471"/>
      <c r="LWT40" s="471"/>
      <c r="LWU40" s="471"/>
      <c r="LWV40" s="471"/>
      <c r="LWW40" s="471"/>
      <c r="LWX40" s="471"/>
      <c r="LWY40" s="471"/>
      <c r="LWZ40" s="471"/>
      <c r="LXA40" s="471"/>
      <c r="LXB40" s="471"/>
      <c r="LXC40" s="471"/>
      <c r="LXD40" s="471"/>
      <c r="LXE40" s="471"/>
      <c r="LXF40" s="471"/>
      <c r="LXG40" s="471"/>
      <c r="LXH40" s="471"/>
      <c r="LXI40" s="471"/>
      <c r="LXJ40" s="471"/>
      <c r="LXK40" s="471"/>
      <c r="LXL40" s="471"/>
      <c r="LXM40" s="471"/>
      <c r="LXN40" s="471"/>
      <c r="LXO40" s="471"/>
      <c r="LXP40" s="471"/>
      <c r="LXQ40" s="471"/>
      <c r="LXR40" s="471"/>
      <c r="LXS40" s="471"/>
      <c r="LXT40" s="471"/>
      <c r="LXU40" s="471"/>
      <c r="LXV40" s="471"/>
      <c r="LXW40" s="471"/>
      <c r="LXX40" s="471"/>
      <c r="LXY40" s="471"/>
      <c r="LXZ40" s="471"/>
      <c r="LYA40" s="471"/>
      <c r="LYB40" s="471"/>
      <c r="LYC40" s="471"/>
      <c r="LYD40" s="471"/>
      <c r="LYE40" s="471"/>
      <c r="LYF40" s="471"/>
      <c r="LYG40" s="471"/>
      <c r="LYH40" s="471"/>
      <c r="LYI40" s="471"/>
      <c r="LYJ40" s="471"/>
      <c r="LYK40" s="471"/>
      <c r="LYL40" s="471"/>
      <c r="LYM40" s="471"/>
      <c r="LYN40" s="471"/>
      <c r="LYO40" s="471"/>
      <c r="LYP40" s="471"/>
      <c r="LYQ40" s="471"/>
      <c r="LYR40" s="471"/>
      <c r="LYS40" s="471"/>
      <c r="LYT40" s="471"/>
      <c r="LYU40" s="471"/>
      <c r="LYV40" s="471"/>
      <c r="LYW40" s="471"/>
      <c r="LYX40" s="471"/>
      <c r="LYY40" s="471"/>
      <c r="LYZ40" s="471"/>
      <c r="LZA40" s="471"/>
      <c r="LZB40" s="471"/>
      <c r="LZC40" s="471"/>
      <c r="LZD40" s="471"/>
      <c r="LZE40" s="471"/>
      <c r="LZF40" s="471"/>
      <c r="LZG40" s="471"/>
      <c r="LZH40" s="471"/>
      <c r="LZI40" s="471"/>
      <c r="LZJ40" s="471"/>
      <c r="LZK40" s="471"/>
      <c r="LZL40" s="471"/>
      <c r="LZM40" s="471"/>
      <c r="LZN40" s="471"/>
      <c r="LZO40" s="471"/>
      <c r="LZP40" s="471"/>
      <c r="LZQ40" s="471"/>
      <c r="LZR40" s="471"/>
      <c r="LZS40" s="471"/>
      <c r="LZT40" s="471"/>
      <c r="LZU40" s="471"/>
      <c r="LZV40" s="471"/>
      <c r="LZW40" s="471"/>
      <c r="LZX40" s="471"/>
      <c r="LZY40" s="471"/>
      <c r="LZZ40" s="471"/>
      <c r="MAA40" s="471"/>
      <c r="MAB40" s="471"/>
      <c r="MAC40" s="471"/>
      <c r="MAD40" s="471"/>
      <c r="MAE40" s="471"/>
      <c r="MAF40" s="471"/>
      <c r="MAG40" s="471"/>
      <c r="MAH40" s="471"/>
      <c r="MAI40" s="471"/>
      <c r="MAJ40" s="471"/>
      <c r="MAK40" s="471"/>
      <c r="MAL40" s="471"/>
      <c r="MAM40" s="471"/>
      <c r="MAN40" s="471"/>
      <c r="MAO40" s="471"/>
      <c r="MAP40" s="471"/>
      <c r="MAQ40" s="471"/>
      <c r="MAR40" s="471"/>
      <c r="MAS40" s="471"/>
      <c r="MAT40" s="471"/>
      <c r="MAU40" s="471"/>
      <c r="MAV40" s="471"/>
      <c r="MAW40" s="471"/>
      <c r="MAX40" s="471"/>
      <c r="MAY40" s="471"/>
      <c r="MAZ40" s="471"/>
      <c r="MBA40" s="471"/>
      <c r="MBB40" s="471"/>
      <c r="MBC40" s="471"/>
      <c r="MBD40" s="471"/>
      <c r="MBE40" s="471"/>
      <c r="MBF40" s="471"/>
      <c r="MBG40" s="471"/>
      <c r="MBH40" s="471"/>
      <c r="MBI40" s="471"/>
      <c r="MBJ40" s="471"/>
      <c r="MBK40" s="471"/>
      <c r="MBL40" s="471"/>
      <c r="MBM40" s="471"/>
      <c r="MBN40" s="471"/>
      <c r="MBO40" s="471"/>
      <c r="MBP40" s="471"/>
      <c r="MBQ40" s="471"/>
      <c r="MBR40" s="471"/>
      <c r="MBS40" s="471"/>
      <c r="MBT40" s="471"/>
      <c r="MBU40" s="471"/>
      <c r="MBV40" s="471"/>
      <c r="MBW40" s="471"/>
      <c r="MBX40" s="471"/>
      <c r="MBY40" s="471"/>
      <c r="MBZ40" s="471"/>
      <c r="MCA40" s="471"/>
      <c r="MCB40" s="471"/>
      <c r="MCC40" s="471"/>
      <c r="MCD40" s="471"/>
      <c r="MCE40" s="471"/>
      <c r="MCF40" s="471"/>
      <c r="MCG40" s="471"/>
      <c r="MCH40" s="471"/>
      <c r="MCI40" s="471"/>
      <c r="MCJ40" s="471"/>
      <c r="MCK40" s="471"/>
      <c r="MCL40" s="471"/>
      <c r="MCM40" s="471"/>
      <c r="MCN40" s="471"/>
      <c r="MCO40" s="471"/>
      <c r="MCP40" s="471"/>
      <c r="MCQ40" s="471"/>
      <c r="MCR40" s="471"/>
      <c r="MCS40" s="471"/>
      <c r="MCT40" s="471"/>
      <c r="MCU40" s="471"/>
      <c r="MCV40" s="471"/>
      <c r="MCW40" s="471"/>
      <c r="MCX40" s="471"/>
      <c r="MCY40" s="471"/>
      <c r="MCZ40" s="471"/>
      <c r="MDA40" s="471"/>
      <c r="MDB40" s="471"/>
      <c r="MDC40" s="471"/>
      <c r="MDD40" s="471"/>
      <c r="MDE40" s="471"/>
      <c r="MDF40" s="471"/>
      <c r="MDG40" s="471"/>
      <c r="MDH40" s="471"/>
      <c r="MDI40" s="471"/>
      <c r="MDJ40" s="471"/>
      <c r="MDK40" s="471"/>
      <c r="MDL40" s="471"/>
      <c r="MDM40" s="471"/>
      <c r="MDN40" s="471"/>
      <c r="MDO40" s="471"/>
      <c r="MDP40" s="471"/>
      <c r="MDQ40" s="471"/>
      <c r="MDR40" s="471"/>
      <c r="MDS40" s="471"/>
      <c r="MDT40" s="471"/>
      <c r="MDU40" s="471"/>
      <c r="MDV40" s="471"/>
      <c r="MDW40" s="471"/>
      <c r="MDX40" s="471"/>
      <c r="MDY40" s="471"/>
      <c r="MDZ40" s="471"/>
      <c r="MEA40" s="471"/>
      <c r="MEB40" s="471"/>
      <c r="MEC40" s="471"/>
      <c r="MED40" s="471"/>
      <c r="MEE40" s="471"/>
      <c r="MEF40" s="471"/>
      <c r="MEG40" s="471"/>
      <c r="MEH40" s="471"/>
      <c r="MEI40" s="471"/>
      <c r="MEJ40" s="471"/>
      <c r="MEK40" s="471"/>
      <c r="MEL40" s="471"/>
      <c r="MEM40" s="471"/>
      <c r="MEN40" s="471"/>
      <c r="MEO40" s="471"/>
      <c r="MEP40" s="471"/>
      <c r="MEQ40" s="471"/>
      <c r="MER40" s="471"/>
      <c r="MES40" s="471"/>
      <c r="MET40" s="471"/>
      <c r="MEU40" s="471"/>
      <c r="MEV40" s="471"/>
      <c r="MEW40" s="471"/>
      <c r="MEX40" s="471"/>
      <c r="MEY40" s="471"/>
      <c r="MEZ40" s="471"/>
      <c r="MFA40" s="471"/>
      <c r="MFB40" s="471"/>
      <c r="MFC40" s="471"/>
      <c r="MFD40" s="471"/>
      <c r="MFE40" s="471"/>
      <c r="MFF40" s="471"/>
      <c r="MFG40" s="471"/>
      <c r="MFH40" s="471"/>
      <c r="MFI40" s="471"/>
      <c r="MFJ40" s="471"/>
      <c r="MFK40" s="471"/>
      <c r="MFL40" s="471"/>
      <c r="MFM40" s="471"/>
      <c r="MFN40" s="471"/>
      <c r="MFO40" s="471"/>
      <c r="MFP40" s="471"/>
      <c r="MFQ40" s="471"/>
      <c r="MFR40" s="471"/>
      <c r="MFS40" s="471"/>
      <c r="MFT40" s="471"/>
      <c r="MFU40" s="471"/>
      <c r="MFV40" s="471"/>
      <c r="MFW40" s="471"/>
      <c r="MFX40" s="471"/>
      <c r="MFY40" s="471"/>
      <c r="MFZ40" s="471"/>
      <c r="MGA40" s="471"/>
      <c r="MGB40" s="471"/>
      <c r="MGC40" s="471"/>
      <c r="MGD40" s="471"/>
      <c r="MGE40" s="471"/>
      <c r="MGF40" s="471"/>
      <c r="MGG40" s="471"/>
      <c r="MGH40" s="471"/>
      <c r="MGI40" s="471"/>
      <c r="MGJ40" s="471"/>
      <c r="MGK40" s="471"/>
      <c r="MGL40" s="471"/>
      <c r="MGM40" s="471"/>
      <c r="MGN40" s="471"/>
      <c r="MGO40" s="471"/>
      <c r="MGP40" s="471"/>
      <c r="MGQ40" s="471"/>
      <c r="MGR40" s="471"/>
      <c r="MGS40" s="471"/>
      <c r="MGT40" s="471"/>
      <c r="MGU40" s="471"/>
      <c r="MGV40" s="471"/>
      <c r="MGW40" s="471"/>
      <c r="MGX40" s="471"/>
      <c r="MGY40" s="471"/>
      <c r="MGZ40" s="471"/>
      <c r="MHA40" s="471"/>
      <c r="MHB40" s="471"/>
      <c r="MHC40" s="471"/>
      <c r="MHD40" s="471"/>
      <c r="MHE40" s="471"/>
      <c r="MHF40" s="471"/>
      <c r="MHG40" s="471"/>
      <c r="MHH40" s="471"/>
      <c r="MHI40" s="471"/>
      <c r="MHJ40" s="471"/>
      <c r="MHK40" s="471"/>
      <c r="MHL40" s="471"/>
      <c r="MHM40" s="471"/>
      <c r="MHN40" s="471"/>
      <c r="MHO40" s="471"/>
      <c r="MHP40" s="471"/>
      <c r="MHQ40" s="471"/>
      <c r="MHR40" s="471"/>
      <c r="MHS40" s="471"/>
      <c r="MHT40" s="471"/>
      <c r="MHU40" s="471"/>
      <c r="MHV40" s="471"/>
      <c r="MHW40" s="471"/>
      <c r="MHX40" s="471"/>
      <c r="MHY40" s="471"/>
      <c r="MHZ40" s="471"/>
      <c r="MIA40" s="471"/>
      <c r="MIB40" s="471"/>
      <c r="MIC40" s="471"/>
      <c r="MID40" s="471"/>
      <c r="MIE40" s="471"/>
      <c r="MIF40" s="471"/>
      <c r="MIG40" s="471"/>
      <c r="MIH40" s="471"/>
      <c r="MII40" s="471"/>
      <c r="MIJ40" s="471"/>
      <c r="MIK40" s="471"/>
      <c r="MIL40" s="471"/>
      <c r="MIM40" s="471"/>
      <c r="MIN40" s="471"/>
      <c r="MIO40" s="471"/>
      <c r="MIP40" s="471"/>
      <c r="MIQ40" s="471"/>
      <c r="MIR40" s="471"/>
      <c r="MIS40" s="471"/>
      <c r="MIT40" s="471"/>
      <c r="MIU40" s="471"/>
      <c r="MIV40" s="471"/>
      <c r="MIW40" s="471"/>
      <c r="MIX40" s="471"/>
      <c r="MIY40" s="471"/>
      <c r="MIZ40" s="471"/>
      <c r="MJA40" s="471"/>
      <c r="MJB40" s="471"/>
      <c r="MJC40" s="471"/>
      <c r="MJD40" s="471"/>
      <c r="MJE40" s="471"/>
      <c r="MJF40" s="471"/>
      <c r="MJG40" s="471"/>
      <c r="MJH40" s="471"/>
      <c r="MJI40" s="471"/>
      <c r="MJJ40" s="471"/>
      <c r="MJK40" s="471"/>
      <c r="MJL40" s="471"/>
      <c r="MJM40" s="471"/>
      <c r="MJN40" s="471"/>
      <c r="MJO40" s="471"/>
      <c r="MJP40" s="471"/>
      <c r="MJQ40" s="471"/>
      <c r="MJR40" s="471"/>
      <c r="MJS40" s="471"/>
      <c r="MJT40" s="471"/>
      <c r="MJU40" s="471"/>
      <c r="MJV40" s="471"/>
      <c r="MJW40" s="471"/>
      <c r="MJX40" s="471"/>
      <c r="MJY40" s="471"/>
      <c r="MJZ40" s="471"/>
      <c r="MKA40" s="471"/>
      <c r="MKB40" s="471"/>
      <c r="MKC40" s="471"/>
      <c r="MKD40" s="471"/>
      <c r="MKE40" s="471"/>
      <c r="MKF40" s="471"/>
      <c r="MKG40" s="471"/>
      <c r="MKH40" s="471"/>
      <c r="MKI40" s="471"/>
      <c r="MKJ40" s="471"/>
      <c r="MKK40" s="471"/>
      <c r="MKL40" s="471"/>
      <c r="MKM40" s="471"/>
      <c r="MKN40" s="471"/>
      <c r="MKO40" s="471"/>
      <c r="MKP40" s="471"/>
      <c r="MKQ40" s="471"/>
      <c r="MKR40" s="471"/>
      <c r="MKS40" s="471"/>
      <c r="MKT40" s="471"/>
      <c r="MKU40" s="471"/>
      <c r="MKV40" s="471"/>
      <c r="MKW40" s="471"/>
      <c r="MKX40" s="471"/>
      <c r="MKY40" s="471"/>
      <c r="MKZ40" s="471"/>
      <c r="MLA40" s="471"/>
      <c r="MLB40" s="471"/>
      <c r="MLC40" s="471"/>
      <c r="MLD40" s="471"/>
      <c r="MLE40" s="471"/>
      <c r="MLF40" s="471"/>
      <c r="MLG40" s="471"/>
      <c r="MLH40" s="471"/>
      <c r="MLI40" s="471"/>
      <c r="MLJ40" s="471"/>
      <c r="MLK40" s="471"/>
      <c r="MLL40" s="471"/>
      <c r="MLM40" s="471"/>
      <c r="MLN40" s="471"/>
      <c r="MLO40" s="471"/>
      <c r="MLP40" s="471"/>
      <c r="MLQ40" s="471"/>
      <c r="MLR40" s="471"/>
      <c r="MLS40" s="471"/>
      <c r="MLT40" s="471"/>
      <c r="MLU40" s="471"/>
      <c r="MLV40" s="471"/>
      <c r="MLW40" s="471"/>
      <c r="MLX40" s="471"/>
      <c r="MLY40" s="471"/>
      <c r="MLZ40" s="471"/>
      <c r="MMA40" s="471"/>
      <c r="MMB40" s="471"/>
      <c r="MMC40" s="471"/>
      <c r="MMD40" s="471"/>
      <c r="MME40" s="471"/>
      <c r="MMF40" s="471"/>
      <c r="MMG40" s="471"/>
      <c r="MMH40" s="471"/>
      <c r="MMI40" s="471"/>
      <c r="MMJ40" s="471"/>
      <c r="MMK40" s="471"/>
      <c r="MML40" s="471"/>
      <c r="MMM40" s="471"/>
      <c r="MMN40" s="471"/>
      <c r="MMO40" s="471"/>
      <c r="MMP40" s="471"/>
      <c r="MMQ40" s="471"/>
      <c r="MMR40" s="471"/>
      <c r="MMS40" s="471"/>
      <c r="MMT40" s="471"/>
      <c r="MMU40" s="471"/>
      <c r="MMV40" s="471"/>
      <c r="MMW40" s="471"/>
      <c r="MMX40" s="471"/>
      <c r="MMY40" s="471"/>
      <c r="MMZ40" s="471"/>
      <c r="MNA40" s="471"/>
      <c r="MNB40" s="471"/>
      <c r="MNC40" s="471"/>
      <c r="MND40" s="471"/>
      <c r="MNE40" s="471"/>
      <c r="MNF40" s="471"/>
      <c r="MNG40" s="471"/>
      <c r="MNH40" s="471"/>
      <c r="MNI40" s="471"/>
      <c r="MNJ40" s="471"/>
      <c r="MNK40" s="471"/>
      <c r="MNL40" s="471"/>
      <c r="MNM40" s="471"/>
      <c r="MNN40" s="471"/>
      <c r="MNO40" s="471"/>
      <c r="MNP40" s="471"/>
      <c r="MNQ40" s="471"/>
      <c r="MNR40" s="471"/>
      <c r="MNS40" s="471"/>
      <c r="MNT40" s="471"/>
      <c r="MNU40" s="471"/>
      <c r="MNV40" s="471"/>
      <c r="MNW40" s="471"/>
      <c r="MNX40" s="471"/>
      <c r="MNY40" s="471"/>
      <c r="MNZ40" s="471"/>
      <c r="MOA40" s="471"/>
      <c r="MOB40" s="471"/>
      <c r="MOC40" s="471"/>
      <c r="MOD40" s="471"/>
      <c r="MOE40" s="471"/>
      <c r="MOF40" s="471"/>
      <c r="MOG40" s="471"/>
      <c r="MOH40" s="471"/>
      <c r="MOI40" s="471"/>
      <c r="MOJ40" s="471"/>
      <c r="MOK40" s="471"/>
      <c r="MOL40" s="471"/>
      <c r="MOM40" s="471"/>
      <c r="MON40" s="471"/>
      <c r="MOO40" s="471"/>
      <c r="MOP40" s="471"/>
      <c r="MOQ40" s="471"/>
      <c r="MOR40" s="471"/>
      <c r="MOS40" s="471"/>
      <c r="MOT40" s="471"/>
      <c r="MOU40" s="471"/>
      <c r="MOV40" s="471"/>
      <c r="MOW40" s="471"/>
      <c r="MOX40" s="471"/>
      <c r="MOY40" s="471"/>
      <c r="MOZ40" s="471"/>
      <c r="MPA40" s="471"/>
      <c r="MPB40" s="471"/>
      <c r="MPC40" s="471"/>
      <c r="MPD40" s="471"/>
      <c r="MPE40" s="471"/>
      <c r="MPF40" s="471"/>
      <c r="MPG40" s="471"/>
      <c r="MPH40" s="471"/>
      <c r="MPI40" s="471"/>
      <c r="MPJ40" s="471"/>
      <c r="MPK40" s="471"/>
      <c r="MPL40" s="471"/>
      <c r="MPM40" s="471"/>
      <c r="MPN40" s="471"/>
      <c r="MPO40" s="471"/>
      <c r="MPP40" s="471"/>
      <c r="MPQ40" s="471"/>
      <c r="MPR40" s="471"/>
      <c r="MPS40" s="471"/>
      <c r="MPT40" s="471"/>
      <c r="MPU40" s="471"/>
      <c r="MPV40" s="471"/>
      <c r="MPW40" s="471"/>
      <c r="MPX40" s="471"/>
      <c r="MPY40" s="471"/>
      <c r="MPZ40" s="471"/>
      <c r="MQA40" s="471"/>
      <c r="MQB40" s="471"/>
      <c r="MQC40" s="471"/>
      <c r="MQD40" s="471"/>
      <c r="MQE40" s="471"/>
      <c r="MQF40" s="471"/>
      <c r="MQG40" s="471"/>
      <c r="MQH40" s="471"/>
      <c r="MQI40" s="471"/>
      <c r="MQJ40" s="471"/>
      <c r="MQK40" s="471"/>
      <c r="MQL40" s="471"/>
      <c r="MQM40" s="471"/>
      <c r="MQN40" s="471"/>
      <c r="MQO40" s="471"/>
      <c r="MQP40" s="471"/>
      <c r="MQQ40" s="471"/>
      <c r="MQR40" s="471"/>
      <c r="MQS40" s="471"/>
      <c r="MQT40" s="471"/>
      <c r="MQU40" s="471"/>
      <c r="MQV40" s="471"/>
      <c r="MQW40" s="471"/>
      <c r="MQX40" s="471"/>
      <c r="MQY40" s="471"/>
      <c r="MQZ40" s="471"/>
      <c r="MRA40" s="471"/>
      <c r="MRB40" s="471"/>
      <c r="MRC40" s="471"/>
      <c r="MRD40" s="471"/>
      <c r="MRE40" s="471"/>
      <c r="MRF40" s="471"/>
      <c r="MRG40" s="471"/>
      <c r="MRH40" s="471"/>
      <c r="MRI40" s="471"/>
      <c r="MRJ40" s="471"/>
      <c r="MRK40" s="471"/>
      <c r="MRL40" s="471"/>
      <c r="MRM40" s="471"/>
      <c r="MRN40" s="471"/>
      <c r="MRO40" s="471"/>
      <c r="MRP40" s="471"/>
      <c r="MRQ40" s="471"/>
      <c r="MRR40" s="471"/>
      <c r="MRS40" s="471"/>
      <c r="MRT40" s="471"/>
      <c r="MRU40" s="471"/>
      <c r="MRV40" s="471"/>
      <c r="MRW40" s="471"/>
      <c r="MRX40" s="471"/>
      <c r="MRY40" s="471"/>
      <c r="MRZ40" s="471"/>
      <c r="MSA40" s="471"/>
      <c r="MSB40" s="471"/>
      <c r="MSC40" s="471"/>
      <c r="MSD40" s="471"/>
      <c r="MSE40" s="471"/>
      <c r="MSF40" s="471"/>
      <c r="MSG40" s="471"/>
      <c r="MSH40" s="471"/>
      <c r="MSI40" s="471"/>
      <c r="MSJ40" s="471"/>
      <c r="MSK40" s="471"/>
      <c r="MSL40" s="471"/>
      <c r="MSM40" s="471"/>
      <c r="MSN40" s="471"/>
      <c r="MSO40" s="471"/>
      <c r="MSP40" s="471"/>
      <c r="MSQ40" s="471"/>
      <c r="MSR40" s="471"/>
      <c r="MSS40" s="471"/>
      <c r="MST40" s="471"/>
      <c r="MSU40" s="471"/>
      <c r="MSV40" s="471"/>
      <c r="MSW40" s="471"/>
      <c r="MSX40" s="471"/>
      <c r="MSY40" s="471"/>
      <c r="MSZ40" s="471"/>
      <c r="MTA40" s="471"/>
      <c r="MTB40" s="471"/>
      <c r="MTC40" s="471"/>
      <c r="MTD40" s="471"/>
      <c r="MTE40" s="471"/>
      <c r="MTF40" s="471"/>
      <c r="MTG40" s="471"/>
      <c r="MTH40" s="471"/>
      <c r="MTI40" s="471"/>
      <c r="MTJ40" s="471"/>
      <c r="MTK40" s="471"/>
      <c r="MTL40" s="471"/>
      <c r="MTM40" s="471"/>
      <c r="MTN40" s="471"/>
      <c r="MTO40" s="471"/>
      <c r="MTP40" s="471"/>
      <c r="MTQ40" s="471"/>
      <c r="MTR40" s="471"/>
      <c r="MTS40" s="471"/>
      <c r="MTT40" s="471"/>
      <c r="MTU40" s="471"/>
      <c r="MTV40" s="471"/>
      <c r="MTW40" s="471"/>
      <c r="MTX40" s="471"/>
      <c r="MTY40" s="471"/>
      <c r="MTZ40" s="471"/>
      <c r="MUA40" s="471"/>
      <c r="MUB40" s="471"/>
      <c r="MUC40" s="471"/>
      <c r="MUD40" s="471"/>
      <c r="MUE40" s="471"/>
      <c r="MUF40" s="471"/>
      <c r="MUG40" s="471"/>
      <c r="MUH40" s="471"/>
      <c r="MUI40" s="471"/>
      <c r="MUJ40" s="471"/>
      <c r="MUK40" s="471"/>
      <c r="MUL40" s="471"/>
      <c r="MUM40" s="471"/>
      <c r="MUN40" s="471"/>
      <c r="MUO40" s="471"/>
      <c r="MUP40" s="471"/>
      <c r="MUQ40" s="471"/>
      <c r="MUR40" s="471"/>
      <c r="MUS40" s="471"/>
      <c r="MUT40" s="471"/>
      <c r="MUU40" s="471"/>
      <c r="MUV40" s="471"/>
      <c r="MUW40" s="471"/>
      <c r="MUX40" s="471"/>
      <c r="MUY40" s="471"/>
      <c r="MUZ40" s="471"/>
      <c r="MVA40" s="471"/>
      <c r="MVB40" s="471"/>
      <c r="MVC40" s="471"/>
      <c r="MVD40" s="471"/>
      <c r="MVE40" s="471"/>
      <c r="MVF40" s="471"/>
      <c r="MVG40" s="471"/>
      <c r="MVH40" s="471"/>
      <c r="MVI40" s="471"/>
      <c r="MVJ40" s="471"/>
      <c r="MVK40" s="471"/>
      <c r="MVL40" s="471"/>
      <c r="MVM40" s="471"/>
      <c r="MVN40" s="471"/>
      <c r="MVO40" s="471"/>
      <c r="MVP40" s="471"/>
      <c r="MVQ40" s="471"/>
      <c r="MVR40" s="471"/>
      <c r="MVS40" s="471"/>
      <c r="MVT40" s="471"/>
      <c r="MVU40" s="471"/>
      <c r="MVV40" s="471"/>
      <c r="MVW40" s="471"/>
      <c r="MVX40" s="471"/>
      <c r="MVY40" s="471"/>
      <c r="MVZ40" s="471"/>
      <c r="MWA40" s="471"/>
      <c r="MWB40" s="471"/>
      <c r="MWC40" s="471"/>
      <c r="MWD40" s="471"/>
      <c r="MWE40" s="471"/>
      <c r="MWF40" s="471"/>
      <c r="MWG40" s="471"/>
      <c r="MWH40" s="471"/>
      <c r="MWI40" s="471"/>
      <c r="MWJ40" s="471"/>
      <c r="MWK40" s="471"/>
      <c r="MWL40" s="471"/>
      <c r="MWM40" s="471"/>
      <c r="MWN40" s="471"/>
      <c r="MWO40" s="471"/>
      <c r="MWP40" s="471"/>
      <c r="MWQ40" s="471"/>
      <c r="MWR40" s="471"/>
      <c r="MWS40" s="471"/>
      <c r="MWT40" s="471"/>
      <c r="MWU40" s="471"/>
      <c r="MWV40" s="471"/>
      <c r="MWW40" s="471"/>
      <c r="MWX40" s="471"/>
      <c r="MWY40" s="471"/>
      <c r="MWZ40" s="471"/>
      <c r="MXA40" s="471"/>
      <c r="MXB40" s="471"/>
      <c r="MXC40" s="471"/>
      <c r="MXD40" s="471"/>
      <c r="MXE40" s="471"/>
      <c r="MXF40" s="471"/>
      <c r="MXG40" s="471"/>
      <c r="MXH40" s="471"/>
      <c r="MXI40" s="471"/>
      <c r="MXJ40" s="471"/>
      <c r="MXK40" s="471"/>
      <c r="MXL40" s="471"/>
      <c r="MXM40" s="471"/>
      <c r="MXN40" s="471"/>
      <c r="MXO40" s="471"/>
      <c r="MXP40" s="471"/>
      <c r="MXQ40" s="471"/>
      <c r="MXR40" s="471"/>
      <c r="MXS40" s="471"/>
      <c r="MXT40" s="471"/>
      <c r="MXU40" s="471"/>
      <c r="MXV40" s="471"/>
      <c r="MXW40" s="471"/>
      <c r="MXX40" s="471"/>
      <c r="MXY40" s="471"/>
      <c r="MXZ40" s="471"/>
      <c r="MYA40" s="471"/>
      <c r="MYB40" s="471"/>
      <c r="MYC40" s="471"/>
      <c r="MYD40" s="471"/>
      <c r="MYE40" s="471"/>
      <c r="MYF40" s="471"/>
      <c r="MYG40" s="471"/>
      <c r="MYH40" s="471"/>
      <c r="MYI40" s="471"/>
      <c r="MYJ40" s="471"/>
      <c r="MYK40" s="471"/>
      <c r="MYL40" s="471"/>
      <c r="MYM40" s="471"/>
      <c r="MYN40" s="471"/>
      <c r="MYO40" s="471"/>
      <c r="MYP40" s="471"/>
      <c r="MYQ40" s="471"/>
      <c r="MYR40" s="471"/>
      <c r="MYS40" s="471"/>
      <c r="MYT40" s="471"/>
      <c r="MYU40" s="471"/>
      <c r="MYV40" s="471"/>
      <c r="MYW40" s="471"/>
      <c r="MYX40" s="471"/>
      <c r="MYY40" s="471"/>
      <c r="MYZ40" s="471"/>
      <c r="MZA40" s="471"/>
      <c r="MZB40" s="471"/>
      <c r="MZC40" s="471"/>
      <c r="MZD40" s="471"/>
      <c r="MZE40" s="471"/>
      <c r="MZF40" s="471"/>
      <c r="MZG40" s="471"/>
      <c r="MZH40" s="471"/>
      <c r="MZI40" s="471"/>
      <c r="MZJ40" s="471"/>
      <c r="MZK40" s="471"/>
      <c r="MZL40" s="471"/>
      <c r="MZM40" s="471"/>
      <c r="MZN40" s="471"/>
      <c r="MZO40" s="471"/>
      <c r="MZP40" s="471"/>
      <c r="MZQ40" s="471"/>
      <c r="MZR40" s="471"/>
      <c r="MZS40" s="471"/>
      <c r="MZT40" s="471"/>
      <c r="MZU40" s="471"/>
      <c r="MZV40" s="471"/>
      <c r="MZW40" s="471"/>
      <c r="MZX40" s="471"/>
      <c r="MZY40" s="471"/>
      <c r="MZZ40" s="471"/>
      <c r="NAA40" s="471"/>
      <c r="NAB40" s="471"/>
      <c r="NAC40" s="471"/>
      <c r="NAD40" s="471"/>
      <c r="NAE40" s="471"/>
      <c r="NAF40" s="471"/>
      <c r="NAG40" s="471"/>
      <c r="NAH40" s="471"/>
      <c r="NAI40" s="471"/>
      <c r="NAJ40" s="471"/>
      <c r="NAK40" s="471"/>
      <c r="NAL40" s="471"/>
      <c r="NAM40" s="471"/>
      <c r="NAN40" s="471"/>
      <c r="NAO40" s="471"/>
      <c r="NAP40" s="471"/>
      <c r="NAQ40" s="471"/>
      <c r="NAR40" s="471"/>
      <c r="NAS40" s="471"/>
      <c r="NAT40" s="471"/>
      <c r="NAU40" s="471"/>
      <c r="NAV40" s="471"/>
      <c r="NAW40" s="471"/>
      <c r="NAX40" s="471"/>
      <c r="NAY40" s="471"/>
      <c r="NAZ40" s="471"/>
      <c r="NBA40" s="471"/>
      <c r="NBB40" s="471"/>
      <c r="NBC40" s="471"/>
      <c r="NBD40" s="471"/>
      <c r="NBE40" s="471"/>
      <c r="NBF40" s="471"/>
      <c r="NBG40" s="471"/>
      <c r="NBH40" s="471"/>
      <c r="NBI40" s="471"/>
      <c r="NBJ40" s="471"/>
      <c r="NBK40" s="471"/>
      <c r="NBL40" s="471"/>
      <c r="NBM40" s="471"/>
      <c r="NBN40" s="471"/>
      <c r="NBO40" s="471"/>
      <c r="NBP40" s="471"/>
      <c r="NBQ40" s="471"/>
      <c r="NBR40" s="471"/>
      <c r="NBS40" s="471"/>
      <c r="NBT40" s="471"/>
      <c r="NBU40" s="471"/>
      <c r="NBV40" s="471"/>
      <c r="NBW40" s="471"/>
      <c r="NBX40" s="471"/>
      <c r="NBY40" s="471"/>
      <c r="NBZ40" s="471"/>
      <c r="NCA40" s="471"/>
      <c r="NCB40" s="471"/>
      <c r="NCC40" s="471"/>
      <c r="NCD40" s="471"/>
      <c r="NCE40" s="471"/>
      <c r="NCF40" s="471"/>
      <c r="NCG40" s="471"/>
      <c r="NCH40" s="471"/>
      <c r="NCI40" s="471"/>
      <c r="NCJ40" s="471"/>
      <c r="NCK40" s="471"/>
      <c r="NCL40" s="471"/>
      <c r="NCM40" s="471"/>
      <c r="NCN40" s="471"/>
      <c r="NCO40" s="471"/>
      <c r="NCP40" s="471"/>
      <c r="NCQ40" s="471"/>
      <c r="NCR40" s="471"/>
      <c r="NCS40" s="471"/>
      <c r="NCT40" s="471"/>
      <c r="NCU40" s="471"/>
      <c r="NCV40" s="471"/>
      <c r="NCW40" s="471"/>
      <c r="NCX40" s="471"/>
      <c r="NCY40" s="471"/>
      <c r="NCZ40" s="471"/>
      <c r="NDA40" s="471"/>
      <c r="NDB40" s="471"/>
      <c r="NDC40" s="471"/>
      <c r="NDD40" s="471"/>
      <c r="NDE40" s="471"/>
      <c r="NDF40" s="471"/>
      <c r="NDG40" s="471"/>
      <c r="NDH40" s="471"/>
      <c r="NDI40" s="471"/>
      <c r="NDJ40" s="471"/>
      <c r="NDK40" s="471"/>
      <c r="NDL40" s="471"/>
      <c r="NDM40" s="471"/>
      <c r="NDN40" s="471"/>
      <c r="NDO40" s="471"/>
      <c r="NDP40" s="471"/>
      <c r="NDQ40" s="471"/>
      <c r="NDR40" s="471"/>
      <c r="NDS40" s="471"/>
      <c r="NDT40" s="471"/>
      <c r="NDU40" s="471"/>
      <c r="NDV40" s="471"/>
      <c r="NDW40" s="471"/>
      <c r="NDX40" s="471"/>
      <c r="NDY40" s="471"/>
      <c r="NDZ40" s="471"/>
      <c r="NEA40" s="471"/>
      <c r="NEB40" s="471"/>
      <c r="NEC40" s="471"/>
      <c r="NED40" s="471"/>
      <c r="NEE40" s="471"/>
      <c r="NEF40" s="471"/>
      <c r="NEG40" s="471"/>
      <c r="NEH40" s="471"/>
      <c r="NEI40" s="471"/>
      <c r="NEJ40" s="471"/>
      <c r="NEK40" s="471"/>
      <c r="NEL40" s="471"/>
      <c r="NEM40" s="471"/>
      <c r="NEN40" s="471"/>
      <c r="NEO40" s="471"/>
      <c r="NEP40" s="471"/>
      <c r="NEQ40" s="471"/>
      <c r="NER40" s="471"/>
      <c r="NES40" s="471"/>
      <c r="NET40" s="471"/>
      <c r="NEU40" s="471"/>
      <c r="NEV40" s="471"/>
      <c r="NEW40" s="471"/>
      <c r="NEX40" s="471"/>
      <c r="NEY40" s="471"/>
      <c r="NEZ40" s="471"/>
      <c r="NFA40" s="471"/>
      <c r="NFB40" s="471"/>
      <c r="NFC40" s="471"/>
      <c r="NFD40" s="471"/>
      <c r="NFE40" s="471"/>
      <c r="NFF40" s="471"/>
      <c r="NFG40" s="471"/>
      <c r="NFH40" s="471"/>
      <c r="NFI40" s="471"/>
      <c r="NFJ40" s="471"/>
      <c r="NFK40" s="471"/>
      <c r="NFL40" s="471"/>
      <c r="NFM40" s="471"/>
      <c r="NFN40" s="471"/>
      <c r="NFO40" s="471"/>
      <c r="NFP40" s="471"/>
      <c r="NFQ40" s="471"/>
      <c r="NFR40" s="471"/>
      <c r="NFS40" s="471"/>
      <c r="NFT40" s="471"/>
      <c r="NFU40" s="471"/>
      <c r="NFV40" s="471"/>
      <c r="NFW40" s="471"/>
      <c r="NFX40" s="471"/>
      <c r="NFY40" s="471"/>
      <c r="NFZ40" s="471"/>
      <c r="NGA40" s="471"/>
      <c r="NGB40" s="471"/>
      <c r="NGC40" s="471"/>
      <c r="NGD40" s="471"/>
      <c r="NGE40" s="471"/>
      <c r="NGF40" s="471"/>
      <c r="NGG40" s="471"/>
      <c r="NGH40" s="471"/>
      <c r="NGI40" s="471"/>
      <c r="NGJ40" s="471"/>
      <c r="NGK40" s="471"/>
      <c r="NGL40" s="471"/>
      <c r="NGM40" s="471"/>
      <c r="NGN40" s="471"/>
      <c r="NGO40" s="471"/>
      <c r="NGP40" s="471"/>
      <c r="NGQ40" s="471"/>
      <c r="NGR40" s="471"/>
      <c r="NGS40" s="471"/>
      <c r="NGT40" s="471"/>
      <c r="NGU40" s="471"/>
      <c r="NGV40" s="471"/>
      <c r="NGW40" s="471"/>
      <c r="NGX40" s="471"/>
      <c r="NGY40" s="471"/>
      <c r="NGZ40" s="471"/>
      <c r="NHA40" s="471"/>
      <c r="NHB40" s="471"/>
      <c r="NHC40" s="471"/>
      <c r="NHD40" s="471"/>
      <c r="NHE40" s="471"/>
      <c r="NHF40" s="471"/>
      <c r="NHG40" s="471"/>
      <c r="NHH40" s="471"/>
      <c r="NHI40" s="471"/>
      <c r="NHJ40" s="471"/>
      <c r="NHK40" s="471"/>
      <c r="NHL40" s="471"/>
      <c r="NHM40" s="471"/>
      <c r="NHN40" s="471"/>
      <c r="NHO40" s="471"/>
      <c r="NHP40" s="471"/>
      <c r="NHQ40" s="471"/>
      <c r="NHR40" s="471"/>
      <c r="NHS40" s="471"/>
      <c r="NHT40" s="471"/>
      <c r="NHU40" s="471"/>
      <c r="NHV40" s="471"/>
      <c r="NHW40" s="471"/>
      <c r="NHX40" s="471"/>
      <c r="NHY40" s="471"/>
      <c r="NHZ40" s="471"/>
      <c r="NIA40" s="471"/>
      <c r="NIB40" s="471"/>
      <c r="NIC40" s="471"/>
      <c r="NID40" s="471"/>
      <c r="NIE40" s="471"/>
      <c r="NIF40" s="471"/>
      <c r="NIG40" s="471"/>
      <c r="NIH40" s="471"/>
      <c r="NII40" s="471"/>
      <c r="NIJ40" s="471"/>
      <c r="NIK40" s="471"/>
      <c r="NIL40" s="471"/>
      <c r="NIM40" s="471"/>
      <c r="NIN40" s="471"/>
      <c r="NIO40" s="471"/>
      <c r="NIP40" s="471"/>
      <c r="NIQ40" s="471"/>
      <c r="NIR40" s="471"/>
      <c r="NIS40" s="471"/>
      <c r="NIT40" s="471"/>
      <c r="NIU40" s="471"/>
      <c r="NIV40" s="471"/>
      <c r="NIW40" s="471"/>
      <c r="NIX40" s="471"/>
      <c r="NIY40" s="471"/>
      <c r="NIZ40" s="471"/>
      <c r="NJA40" s="471"/>
      <c r="NJB40" s="471"/>
      <c r="NJC40" s="471"/>
      <c r="NJD40" s="471"/>
      <c r="NJE40" s="471"/>
      <c r="NJF40" s="471"/>
      <c r="NJG40" s="471"/>
      <c r="NJH40" s="471"/>
      <c r="NJI40" s="471"/>
      <c r="NJJ40" s="471"/>
      <c r="NJK40" s="471"/>
      <c r="NJL40" s="471"/>
      <c r="NJM40" s="471"/>
      <c r="NJN40" s="471"/>
      <c r="NJO40" s="471"/>
      <c r="NJP40" s="471"/>
      <c r="NJQ40" s="471"/>
      <c r="NJR40" s="471"/>
      <c r="NJS40" s="471"/>
      <c r="NJT40" s="471"/>
      <c r="NJU40" s="471"/>
      <c r="NJV40" s="471"/>
      <c r="NJW40" s="471"/>
      <c r="NJX40" s="471"/>
      <c r="NJY40" s="471"/>
      <c r="NJZ40" s="471"/>
      <c r="NKA40" s="471"/>
      <c r="NKB40" s="471"/>
      <c r="NKC40" s="471"/>
      <c r="NKD40" s="471"/>
      <c r="NKE40" s="471"/>
      <c r="NKF40" s="471"/>
      <c r="NKG40" s="471"/>
      <c r="NKH40" s="471"/>
      <c r="NKI40" s="471"/>
      <c r="NKJ40" s="471"/>
      <c r="NKK40" s="471"/>
      <c r="NKL40" s="471"/>
      <c r="NKM40" s="471"/>
      <c r="NKN40" s="471"/>
      <c r="NKO40" s="471"/>
      <c r="NKP40" s="471"/>
      <c r="NKQ40" s="471"/>
      <c r="NKR40" s="471"/>
      <c r="NKS40" s="471"/>
      <c r="NKT40" s="471"/>
      <c r="NKU40" s="471"/>
      <c r="NKV40" s="471"/>
      <c r="NKW40" s="471"/>
      <c r="NKX40" s="471"/>
      <c r="NKY40" s="471"/>
      <c r="NKZ40" s="471"/>
      <c r="NLA40" s="471"/>
      <c r="NLB40" s="471"/>
      <c r="NLC40" s="471"/>
      <c r="NLD40" s="471"/>
      <c r="NLE40" s="471"/>
      <c r="NLF40" s="471"/>
      <c r="NLG40" s="471"/>
      <c r="NLH40" s="471"/>
      <c r="NLI40" s="471"/>
      <c r="NLJ40" s="471"/>
      <c r="NLK40" s="471"/>
      <c r="NLL40" s="471"/>
      <c r="NLM40" s="471"/>
      <c r="NLN40" s="471"/>
      <c r="NLO40" s="471"/>
      <c r="NLP40" s="471"/>
      <c r="NLQ40" s="471"/>
      <c r="NLR40" s="471"/>
      <c r="NLS40" s="471"/>
      <c r="NLT40" s="471"/>
      <c r="NLU40" s="471"/>
      <c r="NLV40" s="471"/>
      <c r="NLW40" s="471"/>
      <c r="NLX40" s="471"/>
      <c r="NLY40" s="471"/>
      <c r="NLZ40" s="471"/>
      <c r="NMA40" s="471"/>
      <c r="NMB40" s="471"/>
      <c r="NMC40" s="471"/>
      <c r="NMD40" s="471"/>
      <c r="NME40" s="471"/>
      <c r="NMF40" s="471"/>
      <c r="NMG40" s="471"/>
      <c r="NMH40" s="471"/>
      <c r="NMI40" s="471"/>
      <c r="NMJ40" s="471"/>
      <c r="NMK40" s="471"/>
      <c r="NML40" s="471"/>
      <c r="NMM40" s="471"/>
      <c r="NMN40" s="471"/>
      <c r="NMO40" s="471"/>
      <c r="NMP40" s="471"/>
      <c r="NMQ40" s="471"/>
      <c r="NMR40" s="471"/>
      <c r="NMS40" s="471"/>
      <c r="NMT40" s="471"/>
      <c r="NMU40" s="471"/>
      <c r="NMV40" s="471"/>
      <c r="NMW40" s="471"/>
      <c r="NMX40" s="471"/>
      <c r="NMY40" s="471"/>
      <c r="NMZ40" s="471"/>
      <c r="NNA40" s="471"/>
      <c r="NNB40" s="471"/>
      <c r="NNC40" s="471"/>
      <c r="NND40" s="471"/>
      <c r="NNE40" s="471"/>
      <c r="NNF40" s="471"/>
      <c r="NNG40" s="471"/>
      <c r="NNH40" s="471"/>
      <c r="NNI40" s="471"/>
      <c r="NNJ40" s="471"/>
      <c r="NNK40" s="471"/>
      <c r="NNL40" s="471"/>
      <c r="NNM40" s="471"/>
      <c r="NNN40" s="471"/>
      <c r="NNO40" s="471"/>
      <c r="NNP40" s="471"/>
      <c r="NNQ40" s="471"/>
      <c r="NNR40" s="471"/>
      <c r="NNS40" s="471"/>
      <c r="NNT40" s="471"/>
      <c r="NNU40" s="471"/>
      <c r="NNV40" s="471"/>
      <c r="NNW40" s="471"/>
      <c r="NNX40" s="471"/>
      <c r="NNY40" s="471"/>
      <c r="NNZ40" s="471"/>
      <c r="NOA40" s="471"/>
      <c r="NOB40" s="471"/>
      <c r="NOC40" s="471"/>
      <c r="NOD40" s="471"/>
      <c r="NOE40" s="471"/>
      <c r="NOF40" s="471"/>
      <c r="NOG40" s="471"/>
      <c r="NOH40" s="471"/>
      <c r="NOI40" s="471"/>
      <c r="NOJ40" s="471"/>
      <c r="NOK40" s="471"/>
      <c r="NOL40" s="471"/>
      <c r="NOM40" s="471"/>
      <c r="NON40" s="471"/>
      <c r="NOO40" s="471"/>
      <c r="NOP40" s="471"/>
      <c r="NOQ40" s="471"/>
      <c r="NOR40" s="471"/>
      <c r="NOS40" s="471"/>
      <c r="NOT40" s="471"/>
      <c r="NOU40" s="471"/>
      <c r="NOV40" s="471"/>
      <c r="NOW40" s="471"/>
      <c r="NOX40" s="471"/>
      <c r="NOY40" s="471"/>
      <c r="NOZ40" s="471"/>
      <c r="NPA40" s="471"/>
      <c r="NPB40" s="471"/>
      <c r="NPC40" s="471"/>
      <c r="NPD40" s="471"/>
      <c r="NPE40" s="471"/>
      <c r="NPF40" s="471"/>
      <c r="NPG40" s="471"/>
      <c r="NPH40" s="471"/>
      <c r="NPI40" s="471"/>
      <c r="NPJ40" s="471"/>
      <c r="NPK40" s="471"/>
      <c r="NPL40" s="471"/>
      <c r="NPM40" s="471"/>
      <c r="NPN40" s="471"/>
      <c r="NPO40" s="471"/>
      <c r="NPP40" s="471"/>
      <c r="NPQ40" s="471"/>
      <c r="NPR40" s="471"/>
      <c r="NPS40" s="471"/>
      <c r="NPT40" s="471"/>
      <c r="NPU40" s="471"/>
      <c r="NPV40" s="471"/>
      <c r="NPW40" s="471"/>
      <c r="NPX40" s="471"/>
      <c r="NPY40" s="471"/>
      <c r="NPZ40" s="471"/>
      <c r="NQA40" s="471"/>
      <c r="NQB40" s="471"/>
      <c r="NQC40" s="471"/>
      <c r="NQD40" s="471"/>
      <c r="NQE40" s="471"/>
      <c r="NQF40" s="471"/>
      <c r="NQG40" s="471"/>
      <c r="NQH40" s="471"/>
      <c r="NQI40" s="471"/>
      <c r="NQJ40" s="471"/>
      <c r="NQK40" s="471"/>
      <c r="NQL40" s="471"/>
      <c r="NQM40" s="471"/>
      <c r="NQN40" s="471"/>
      <c r="NQO40" s="471"/>
      <c r="NQP40" s="471"/>
      <c r="NQQ40" s="471"/>
      <c r="NQR40" s="471"/>
      <c r="NQS40" s="471"/>
      <c r="NQT40" s="471"/>
      <c r="NQU40" s="471"/>
      <c r="NQV40" s="471"/>
      <c r="NQW40" s="471"/>
      <c r="NQX40" s="471"/>
      <c r="NQY40" s="471"/>
      <c r="NQZ40" s="471"/>
      <c r="NRA40" s="471"/>
      <c r="NRB40" s="471"/>
      <c r="NRC40" s="471"/>
      <c r="NRD40" s="471"/>
      <c r="NRE40" s="471"/>
      <c r="NRF40" s="471"/>
      <c r="NRG40" s="471"/>
      <c r="NRH40" s="471"/>
      <c r="NRI40" s="471"/>
      <c r="NRJ40" s="471"/>
      <c r="NRK40" s="471"/>
      <c r="NRL40" s="471"/>
      <c r="NRM40" s="471"/>
      <c r="NRN40" s="471"/>
      <c r="NRO40" s="471"/>
      <c r="NRP40" s="471"/>
      <c r="NRQ40" s="471"/>
      <c r="NRR40" s="471"/>
      <c r="NRS40" s="471"/>
      <c r="NRT40" s="471"/>
      <c r="NRU40" s="471"/>
      <c r="NRV40" s="471"/>
      <c r="NRW40" s="471"/>
      <c r="NRX40" s="471"/>
      <c r="NRY40" s="471"/>
      <c r="NRZ40" s="471"/>
      <c r="NSA40" s="471"/>
      <c r="NSB40" s="471"/>
      <c r="NSC40" s="471"/>
      <c r="NSD40" s="471"/>
      <c r="NSE40" s="471"/>
      <c r="NSF40" s="471"/>
      <c r="NSG40" s="471"/>
      <c r="NSH40" s="471"/>
      <c r="NSI40" s="471"/>
      <c r="NSJ40" s="471"/>
      <c r="NSK40" s="471"/>
      <c r="NSL40" s="471"/>
      <c r="NSM40" s="471"/>
      <c r="NSN40" s="471"/>
      <c r="NSO40" s="471"/>
      <c r="NSP40" s="471"/>
      <c r="NSQ40" s="471"/>
      <c r="NSR40" s="471"/>
      <c r="NSS40" s="471"/>
      <c r="NST40" s="471"/>
      <c r="NSU40" s="471"/>
      <c r="NSV40" s="471"/>
      <c r="NSW40" s="471"/>
      <c r="NSX40" s="471"/>
      <c r="NSY40" s="471"/>
      <c r="NSZ40" s="471"/>
      <c r="NTA40" s="471"/>
      <c r="NTB40" s="471"/>
      <c r="NTC40" s="471"/>
      <c r="NTD40" s="471"/>
      <c r="NTE40" s="471"/>
      <c r="NTF40" s="471"/>
      <c r="NTG40" s="471"/>
      <c r="NTH40" s="471"/>
      <c r="NTI40" s="471"/>
      <c r="NTJ40" s="471"/>
      <c r="NTK40" s="471"/>
      <c r="NTL40" s="471"/>
      <c r="NTM40" s="471"/>
      <c r="NTN40" s="471"/>
      <c r="NTO40" s="471"/>
      <c r="NTP40" s="471"/>
      <c r="NTQ40" s="471"/>
      <c r="NTR40" s="471"/>
      <c r="NTS40" s="471"/>
      <c r="NTT40" s="471"/>
      <c r="NTU40" s="471"/>
      <c r="NTV40" s="471"/>
      <c r="NTW40" s="471"/>
      <c r="NTX40" s="471"/>
      <c r="NTY40" s="471"/>
      <c r="NTZ40" s="471"/>
      <c r="NUA40" s="471"/>
      <c r="NUB40" s="471"/>
      <c r="NUC40" s="471"/>
      <c r="NUD40" s="471"/>
      <c r="NUE40" s="471"/>
      <c r="NUF40" s="471"/>
      <c r="NUG40" s="471"/>
      <c r="NUH40" s="471"/>
      <c r="NUI40" s="471"/>
      <c r="NUJ40" s="471"/>
      <c r="NUK40" s="471"/>
      <c r="NUL40" s="471"/>
      <c r="NUM40" s="471"/>
      <c r="NUN40" s="471"/>
      <c r="NUO40" s="471"/>
      <c r="NUP40" s="471"/>
      <c r="NUQ40" s="471"/>
      <c r="NUR40" s="471"/>
      <c r="NUS40" s="471"/>
      <c r="NUT40" s="471"/>
      <c r="NUU40" s="471"/>
      <c r="NUV40" s="471"/>
      <c r="NUW40" s="471"/>
      <c r="NUX40" s="471"/>
      <c r="NUY40" s="471"/>
      <c r="NUZ40" s="471"/>
      <c r="NVA40" s="471"/>
      <c r="NVB40" s="471"/>
      <c r="NVC40" s="471"/>
      <c r="NVD40" s="471"/>
      <c r="NVE40" s="471"/>
      <c r="NVF40" s="471"/>
      <c r="NVG40" s="471"/>
      <c r="NVH40" s="471"/>
      <c r="NVI40" s="471"/>
      <c r="NVJ40" s="471"/>
      <c r="NVK40" s="471"/>
      <c r="NVL40" s="471"/>
      <c r="NVM40" s="471"/>
      <c r="NVN40" s="471"/>
      <c r="NVO40" s="471"/>
      <c r="NVP40" s="471"/>
      <c r="NVQ40" s="471"/>
      <c r="NVR40" s="471"/>
      <c r="NVS40" s="471"/>
      <c r="NVT40" s="471"/>
      <c r="NVU40" s="471"/>
      <c r="NVV40" s="471"/>
      <c r="NVW40" s="471"/>
      <c r="NVX40" s="471"/>
      <c r="NVY40" s="471"/>
      <c r="NVZ40" s="471"/>
      <c r="NWA40" s="471"/>
      <c r="NWB40" s="471"/>
      <c r="NWC40" s="471"/>
      <c r="NWD40" s="471"/>
      <c r="NWE40" s="471"/>
      <c r="NWF40" s="471"/>
      <c r="NWG40" s="471"/>
      <c r="NWH40" s="471"/>
      <c r="NWI40" s="471"/>
      <c r="NWJ40" s="471"/>
      <c r="NWK40" s="471"/>
      <c r="NWL40" s="471"/>
      <c r="NWM40" s="471"/>
      <c r="NWN40" s="471"/>
      <c r="NWO40" s="471"/>
      <c r="NWP40" s="471"/>
      <c r="NWQ40" s="471"/>
      <c r="NWR40" s="471"/>
      <c r="NWS40" s="471"/>
      <c r="NWT40" s="471"/>
      <c r="NWU40" s="471"/>
      <c r="NWV40" s="471"/>
      <c r="NWW40" s="471"/>
      <c r="NWX40" s="471"/>
      <c r="NWY40" s="471"/>
      <c r="NWZ40" s="471"/>
      <c r="NXA40" s="471"/>
      <c r="NXB40" s="471"/>
      <c r="NXC40" s="471"/>
      <c r="NXD40" s="471"/>
      <c r="NXE40" s="471"/>
      <c r="NXF40" s="471"/>
      <c r="NXG40" s="471"/>
      <c r="NXH40" s="471"/>
      <c r="NXI40" s="471"/>
      <c r="NXJ40" s="471"/>
      <c r="NXK40" s="471"/>
      <c r="NXL40" s="471"/>
      <c r="NXM40" s="471"/>
      <c r="NXN40" s="471"/>
      <c r="NXO40" s="471"/>
      <c r="NXP40" s="471"/>
      <c r="NXQ40" s="471"/>
      <c r="NXR40" s="471"/>
      <c r="NXS40" s="471"/>
      <c r="NXT40" s="471"/>
      <c r="NXU40" s="471"/>
      <c r="NXV40" s="471"/>
      <c r="NXW40" s="471"/>
      <c r="NXX40" s="471"/>
      <c r="NXY40" s="471"/>
      <c r="NXZ40" s="471"/>
      <c r="NYA40" s="471"/>
      <c r="NYB40" s="471"/>
      <c r="NYC40" s="471"/>
      <c r="NYD40" s="471"/>
      <c r="NYE40" s="471"/>
      <c r="NYF40" s="471"/>
      <c r="NYG40" s="471"/>
      <c r="NYH40" s="471"/>
      <c r="NYI40" s="471"/>
      <c r="NYJ40" s="471"/>
      <c r="NYK40" s="471"/>
      <c r="NYL40" s="471"/>
      <c r="NYM40" s="471"/>
      <c r="NYN40" s="471"/>
      <c r="NYO40" s="471"/>
      <c r="NYP40" s="471"/>
      <c r="NYQ40" s="471"/>
      <c r="NYR40" s="471"/>
      <c r="NYS40" s="471"/>
      <c r="NYT40" s="471"/>
      <c r="NYU40" s="471"/>
      <c r="NYV40" s="471"/>
      <c r="NYW40" s="471"/>
      <c r="NYX40" s="471"/>
      <c r="NYY40" s="471"/>
      <c r="NYZ40" s="471"/>
      <c r="NZA40" s="471"/>
      <c r="NZB40" s="471"/>
      <c r="NZC40" s="471"/>
      <c r="NZD40" s="471"/>
      <c r="NZE40" s="471"/>
      <c r="NZF40" s="471"/>
      <c r="NZG40" s="471"/>
      <c r="NZH40" s="471"/>
      <c r="NZI40" s="471"/>
      <c r="NZJ40" s="471"/>
      <c r="NZK40" s="471"/>
      <c r="NZL40" s="471"/>
      <c r="NZM40" s="471"/>
      <c r="NZN40" s="471"/>
      <c r="NZO40" s="471"/>
      <c r="NZP40" s="471"/>
      <c r="NZQ40" s="471"/>
      <c r="NZR40" s="471"/>
      <c r="NZS40" s="471"/>
      <c r="NZT40" s="471"/>
      <c r="NZU40" s="471"/>
      <c r="NZV40" s="471"/>
      <c r="NZW40" s="471"/>
      <c r="NZX40" s="471"/>
      <c r="NZY40" s="471"/>
      <c r="NZZ40" s="471"/>
      <c r="OAA40" s="471"/>
      <c r="OAB40" s="471"/>
      <c r="OAC40" s="471"/>
      <c r="OAD40" s="471"/>
      <c r="OAE40" s="471"/>
      <c r="OAF40" s="471"/>
      <c r="OAG40" s="471"/>
      <c r="OAH40" s="471"/>
      <c r="OAI40" s="471"/>
      <c r="OAJ40" s="471"/>
      <c r="OAK40" s="471"/>
      <c r="OAL40" s="471"/>
      <c r="OAM40" s="471"/>
      <c r="OAN40" s="471"/>
      <c r="OAO40" s="471"/>
      <c r="OAP40" s="471"/>
      <c r="OAQ40" s="471"/>
      <c r="OAR40" s="471"/>
      <c r="OAS40" s="471"/>
      <c r="OAT40" s="471"/>
      <c r="OAU40" s="471"/>
      <c r="OAV40" s="471"/>
      <c r="OAW40" s="471"/>
      <c r="OAX40" s="471"/>
      <c r="OAY40" s="471"/>
      <c r="OAZ40" s="471"/>
      <c r="OBA40" s="471"/>
      <c r="OBB40" s="471"/>
      <c r="OBC40" s="471"/>
      <c r="OBD40" s="471"/>
      <c r="OBE40" s="471"/>
      <c r="OBF40" s="471"/>
      <c r="OBG40" s="471"/>
      <c r="OBH40" s="471"/>
      <c r="OBI40" s="471"/>
      <c r="OBJ40" s="471"/>
      <c r="OBK40" s="471"/>
      <c r="OBL40" s="471"/>
      <c r="OBM40" s="471"/>
      <c r="OBN40" s="471"/>
      <c r="OBO40" s="471"/>
      <c r="OBP40" s="471"/>
      <c r="OBQ40" s="471"/>
      <c r="OBR40" s="471"/>
      <c r="OBS40" s="471"/>
      <c r="OBT40" s="471"/>
      <c r="OBU40" s="471"/>
      <c r="OBV40" s="471"/>
      <c r="OBW40" s="471"/>
      <c r="OBX40" s="471"/>
      <c r="OBY40" s="471"/>
      <c r="OBZ40" s="471"/>
      <c r="OCA40" s="471"/>
      <c r="OCB40" s="471"/>
      <c r="OCC40" s="471"/>
      <c r="OCD40" s="471"/>
      <c r="OCE40" s="471"/>
      <c r="OCF40" s="471"/>
      <c r="OCG40" s="471"/>
      <c r="OCH40" s="471"/>
      <c r="OCI40" s="471"/>
      <c r="OCJ40" s="471"/>
      <c r="OCK40" s="471"/>
      <c r="OCL40" s="471"/>
      <c r="OCM40" s="471"/>
      <c r="OCN40" s="471"/>
      <c r="OCO40" s="471"/>
      <c r="OCP40" s="471"/>
      <c r="OCQ40" s="471"/>
      <c r="OCR40" s="471"/>
      <c r="OCS40" s="471"/>
      <c r="OCT40" s="471"/>
      <c r="OCU40" s="471"/>
      <c r="OCV40" s="471"/>
      <c r="OCW40" s="471"/>
      <c r="OCX40" s="471"/>
      <c r="OCY40" s="471"/>
      <c r="OCZ40" s="471"/>
      <c r="ODA40" s="471"/>
      <c r="ODB40" s="471"/>
      <c r="ODC40" s="471"/>
      <c r="ODD40" s="471"/>
      <c r="ODE40" s="471"/>
      <c r="ODF40" s="471"/>
      <c r="ODG40" s="471"/>
      <c r="ODH40" s="471"/>
      <c r="ODI40" s="471"/>
      <c r="ODJ40" s="471"/>
      <c r="ODK40" s="471"/>
      <c r="ODL40" s="471"/>
      <c r="ODM40" s="471"/>
      <c r="ODN40" s="471"/>
      <c r="ODO40" s="471"/>
      <c r="ODP40" s="471"/>
      <c r="ODQ40" s="471"/>
      <c r="ODR40" s="471"/>
      <c r="ODS40" s="471"/>
      <c r="ODT40" s="471"/>
      <c r="ODU40" s="471"/>
      <c r="ODV40" s="471"/>
      <c r="ODW40" s="471"/>
      <c r="ODX40" s="471"/>
      <c r="ODY40" s="471"/>
      <c r="ODZ40" s="471"/>
      <c r="OEA40" s="471"/>
      <c r="OEB40" s="471"/>
      <c r="OEC40" s="471"/>
      <c r="OED40" s="471"/>
      <c r="OEE40" s="471"/>
      <c r="OEF40" s="471"/>
      <c r="OEG40" s="471"/>
      <c r="OEH40" s="471"/>
      <c r="OEI40" s="471"/>
      <c r="OEJ40" s="471"/>
      <c r="OEK40" s="471"/>
      <c r="OEL40" s="471"/>
      <c r="OEM40" s="471"/>
      <c r="OEN40" s="471"/>
      <c r="OEO40" s="471"/>
      <c r="OEP40" s="471"/>
      <c r="OEQ40" s="471"/>
      <c r="OER40" s="471"/>
      <c r="OES40" s="471"/>
      <c r="OET40" s="471"/>
      <c r="OEU40" s="471"/>
      <c r="OEV40" s="471"/>
      <c r="OEW40" s="471"/>
      <c r="OEX40" s="471"/>
      <c r="OEY40" s="471"/>
      <c r="OEZ40" s="471"/>
      <c r="OFA40" s="471"/>
      <c r="OFB40" s="471"/>
      <c r="OFC40" s="471"/>
      <c r="OFD40" s="471"/>
      <c r="OFE40" s="471"/>
      <c r="OFF40" s="471"/>
      <c r="OFG40" s="471"/>
      <c r="OFH40" s="471"/>
      <c r="OFI40" s="471"/>
      <c r="OFJ40" s="471"/>
      <c r="OFK40" s="471"/>
      <c r="OFL40" s="471"/>
      <c r="OFM40" s="471"/>
      <c r="OFN40" s="471"/>
      <c r="OFO40" s="471"/>
      <c r="OFP40" s="471"/>
      <c r="OFQ40" s="471"/>
      <c r="OFR40" s="471"/>
      <c r="OFS40" s="471"/>
      <c r="OFT40" s="471"/>
      <c r="OFU40" s="471"/>
      <c r="OFV40" s="471"/>
      <c r="OFW40" s="471"/>
      <c r="OFX40" s="471"/>
      <c r="OFY40" s="471"/>
      <c r="OFZ40" s="471"/>
      <c r="OGA40" s="471"/>
      <c r="OGB40" s="471"/>
      <c r="OGC40" s="471"/>
      <c r="OGD40" s="471"/>
      <c r="OGE40" s="471"/>
      <c r="OGF40" s="471"/>
      <c r="OGG40" s="471"/>
      <c r="OGH40" s="471"/>
      <c r="OGI40" s="471"/>
      <c r="OGJ40" s="471"/>
      <c r="OGK40" s="471"/>
      <c r="OGL40" s="471"/>
      <c r="OGM40" s="471"/>
      <c r="OGN40" s="471"/>
      <c r="OGO40" s="471"/>
      <c r="OGP40" s="471"/>
      <c r="OGQ40" s="471"/>
      <c r="OGR40" s="471"/>
      <c r="OGS40" s="471"/>
      <c r="OGT40" s="471"/>
      <c r="OGU40" s="471"/>
      <c r="OGV40" s="471"/>
      <c r="OGW40" s="471"/>
      <c r="OGX40" s="471"/>
      <c r="OGY40" s="471"/>
      <c r="OGZ40" s="471"/>
      <c r="OHA40" s="471"/>
      <c r="OHB40" s="471"/>
      <c r="OHC40" s="471"/>
      <c r="OHD40" s="471"/>
      <c r="OHE40" s="471"/>
      <c r="OHF40" s="471"/>
      <c r="OHG40" s="471"/>
      <c r="OHH40" s="471"/>
      <c r="OHI40" s="471"/>
      <c r="OHJ40" s="471"/>
      <c r="OHK40" s="471"/>
      <c r="OHL40" s="471"/>
      <c r="OHM40" s="471"/>
      <c r="OHN40" s="471"/>
      <c r="OHO40" s="471"/>
      <c r="OHP40" s="471"/>
      <c r="OHQ40" s="471"/>
      <c r="OHR40" s="471"/>
      <c r="OHS40" s="471"/>
      <c r="OHT40" s="471"/>
      <c r="OHU40" s="471"/>
      <c r="OHV40" s="471"/>
      <c r="OHW40" s="471"/>
      <c r="OHX40" s="471"/>
      <c r="OHY40" s="471"/>
      <c r="OHZ40" s="471"/>
      <c r="OIA40" s="471"/>
      <c r="OIB40" s="471"/>
      <c r="OIC40" s="471"/>
      <c r="OID40" s="471"/>
      <c r="OIE40" s="471"/>
      <c r="OIF40" s="471"/>
      <c r="OIG40" s="471"/>
      <c r="OIH40" s="471"/>
      <c r="OII40" s="471"/>
      <c r="OIJ40" s="471"/>
      <c r="OIK40" s="471"/>
      <c r="OIL40" s="471"/>
      <c r="OIM40" s="471"/>
      <c r="OIN40" s="471"/>
      <c r="OIO40" s="471"/>
      <c r="OIP40" s="471"/>
      <c r="OIQ40" s="471"/>
      <c r="OIR40" s="471"/>
      <c r="OIS40" s="471"/>
      <c r="OIT40" s="471"/>
      <c r="OIU40" s="471"/>
      <c r="OIV40" s="471"/>
      <c r="OIW40" s="471"/>
      <c r="OIX40" s="471"/>
      <c r="OIY40" s="471"/>
      <c r="OIZ40" s="471"/>
      <c r="OJA40" s="471"/>
      <c r="OJB40" s="471"/>
      <c r="OJC40" s="471"/>
      <c r="OJD40" s="471"/>
      <c r="OJE40" s="471"/>
      <c r="OJF40" s="471"/>
      <c r="OJG40" s="471"/>
      <c r="OJH40" s="471"/>
      <c r="OJI40" s="471"/>
      <c r="OJJ40" s="471"/>
      <c r="OJK40" s="471"/>
      <c r="OJL40" s="471"/>
      <c r="OJM40" s="471"/>
      <c r="OJN40" s="471"/>
      <c r="OJO40" s="471"/>
      <c r="OJP40" s="471"/>
      <c r="OJQ40" s="471"/>
      <c r="OJR40" s="471"/>
      <c r="OJS40" s="471"/>
      <c r="OJT40" s="471"/>
      <c r="OJU40" s="471"/>
      <c r="OJV40" s="471"/>
      <c r="OJW40" s="471"/>
      <c r="OJX40" s="471"/>
      <c r="OJY40" s="471"/>
      <c r="OJZ40" s="471"/>
      <c r="OKA40" s="471"/>
      <c r="OKB40" s="471"/>
      <c r="OKC40" s="471"/>
      <c r="OKD40" s="471"/>
      <c r="OKE40" s="471"/>
      <c r="OKF40" s="471"/>
      <c r="OKG40" s="471"/>
      <c r="OKH40" s="471"/>
      <c r="OKI40" s="471"/>
      <c r="OKJ40" s="471"/>
      <c r="OKK40" s="471"/>
      <c r="OKL40" s="471"/>
      <c r="OKM40" s="471"/>
      <c r="OKN40" s="471"/>
      <c r="OKO40" s="471"/>
      <c r="OKP40" s="471"/>
      <c r="OKQ40" s="471"/>
      <c r="OKR40" s="471"/>
      <c r="OKS40" s="471"/>
      <c r="OKT40" s="471"/>
      <c r="OKU40" s="471"/>
      <c r="OKV40" s="471"/>
      <c r="OKW40" s="471"/>
      <c r="OKX40" s="471"/>
      <c r="OKY40" s="471"/>
      <c r="OKZ40" s="471"/>
      <c r="OLA40" s="471"/>
      <c r="OLB40" s="471"/>
      <c r="OLC40" s="471"/>
      <c r="OLD40" s="471"/>
      <c r="OLE40" s="471"/>
      <c r="OLF40" s="471"/>
      <c r="OLG40" s="471"/>
      <c r="OLH40" s="471"/>
      <c r="OLI40" s="471"/>
      <c r="OLJ40" s="471"/>
      <c r="OLK40" s="471"/>
      <c r="OLL40" s="471"/>
      <c r="OLM40" s="471"/>
      <c r="OLN40" s="471"/>
      <c r="OLO40" s="471"/>
      <c r="OLP40" s="471"/>
      <c r="OLQ40" s="471"/>
      <c r="OLR40" s="471"/>
      <c r="OLS40" s="471"/>
      <c r="OLT40" s="471"/>
      <c r="OLU40" s="471"/>
      <c r="OLV40" s="471"/>
      <c r="OLW40" s="471"/>
      <c r="OLX40" s="471"/>
      <c r="OLY40" s="471"/>
      <c r="OLZ40" s="471"/>
      <c r="OMA40" s="471"/>
      <c r="OMB40" s="471"/>
      <c r="OMC40" s="471"/>
      <c r="OMD40" s="471"/>
      <c r="OME40" s="471"/>
      <c r="OMF40" s="471"/>
      <c r="OMG40" s="471"/>
      <c r="OMH40" s="471"/>
      <c r="OMI40" s="471"/>
      <c r="OMJ40" s="471"/>
      <c r="OMK40" s="471"/>
      <c r="OML40" s="471"/>
      <c r="OMM40" s="471"/>
      <c r="OMN40" s="471"/>
      <c r="OMO40" s="471"/>
      <c r="OMP40" s="471"/>
      <c r="OMQ40" s="471"/>
      <c r="OMR40" s="471"/>
      <c r="OMS40" s="471"/>
      <c r="OMT40" s="471"/>
      <c r="OMU40" s="471"/>
      <c r="OMV40" s="471"/>
      <c r="OMW40" s="471"/>
      <c r="OMX40" s="471"/>
      <c r="OMY40" s="471"/>
      <c r="OMZ40" s="471"/>
      <c r="ONA40" s="471"/>
      <c r="ONB40" s="471"/>
      <c r="ONC40" s="471"/>
      <c r="OND40" s="471"/>
      <c r="ONE40" s="471"/>
      <c r="ONF40" s="471"/>
      <c r="ONG40" s="471"/>
      <c r="ONH40" s="471"/>
      <c r="ONI40" s="471"/>
      <c r="ONJ40" s="471"/>
      <c r="ONK40" s="471"/>
      <c r="ONL40" s="471"/>
      <c r="ONM40" s="471"/>
      <c r="ONN40" s="471"/>
      <c r="ONO40" s="471"/>
      <c r="ONP40" s="471"/>
      <c r="ONQ40" s="471"/>
      <c r="ONR40" s="471"/>
      <c r="ONS40" s="471"/>
      <c r="ONT40" s="471"/>
      <c r="ONU40" s="471"/>
      <c r="ONV40" s="471"/>
      <c r="ONW40" s="471"/>
      <c r="ONX40" s="471"/>
      <c r="ONY40" s="471"/>
      <c r="ONZ40" s="471"/>
      <c r="OOA40" s="471"/>
      <c r="OOB40" s="471"/>
      <c r="OOC40" s="471"/>
      <c r="OOD40" s="471"/>
      <c r="OOE40" s="471"/>
      <c r="OOF40" s="471"/>
      <c r="OOG40" s="471"/>
      <c r="OOH40" s="471"/>
      <c r="OOI40" s="471"/>
      <c r="OOJ40" s="471"/>
      <c r="OOK40" s="471"/>
      <c r="OOL40" s="471"/>
      <c r="OOM40" s="471"/>
      <c r="OON40" s="471"/>
      <c r="OOO40" s="471"/>
      <c r="OOP40" s="471"/>
      <c r="OOQ40" s="471"/>
      <c r="OOR40" s="471"/>
      <c r="OOS40" s="471"/>
      <c r="OOT40" s="471"/>
      <c r="OOU40" s="471"/>
      <c r="OOV40" s="471"/>
      <c r="OOW40" s="471"/>
      <c r="OOX40" s="471"/>
      <c r="OOY40" s="471"/>
      <c r="OOZ40" s="471"/>
      <c r="OPA40" s="471"/>
      <c r="OPB40" s="471"/>
      <c r="OPC40" s="471"/>
      <c r="OPD40" s="471"/>
      <c r="OPE40" s="471"/>
      <c r="OPF40" s="471"/>
      <c r="OPG40" s="471"/>
      <c r="OPH40" s="471"/>
      <c r="OPI40" s="471"/>
      <c r="OPJ40" s="471"/>
      <c r="OPK40" s="471"/>
      <c r="OPL40" s="471"/>
      <c r="OPM40" s="471"/>
      <c r="OPN40" s="471"/>
      <c r="OPO40" s="471"/>
      <c r="OPP40" s="471"/>
      <c r="OPQ40" s="471"/>
      <c r="OPR40" s="471"/>
      <c r="OPS40" s="471"/>
      <c r="OPT40" s="471"/>
      <c r="OPU40" s="471"/>
      <c r="OPV40" s="471"/>
      <c r="OPW40" s="471"/>
      <c r="OPX40" s="471"/>
      <c r="OPY40" s="471"/>
      <c r="OPZ40" s="471"/>
      <c r="OQA40" s="471"/>
      <c r="OQB40" s="471"/>
      <c r="OQC40" s="471"/>
      <c r="OQD40" s="471"/>
      <c r="OQE40" s="471"/>
      <c r="OQF40" s="471"/>
      <c r="OQG40" s="471"/>
      <c r="OQH40" s="471"/>
      <c r="OQI40" s="471"/>
      <c r="OQJ40" s="471"/>
      <c r="OQK40" s="471"/>
      <c r="OQL40" s="471"/>
      <c r="OQM40" s="471"/>
      <c r="OQN40" s="471"/>
      <c r="OQO40" s="471"/>
      <c r="OQP40" s="471"/>
      <c r="OQQ40" s="471"/>
      <c r="OQR40" s="471"/>
      <c r="OQS40" s="471"/>
      <c r="OQT40" s="471"/>
      <c r="OQU40" s="471"/>
      <c r="OQV40" s="471"/>
      <c r="OQW40" s="471"/>
      <c r="OQX40" s="471"/>
      <c r="OQY40" s="471"/>
      <c r="OQZ40" s="471"/>
      <c r="ORA40" s="471"/>
      <c r="ORB40" s="471"/>
      <c r="ORC40" s="471"/>
      <c r="ORD40" s="471"/>
      <c r="ORE40" s="471"/>
      <c r="ORF40" s="471"/>
      <c r="ORG40" s="471"/>
      <c r="ORH40" s="471"/>
      <c r="ORI40" s="471"/>
      <c r="ORJ40" s="471"/>
      <c r="ORK40" s="471"/>
      <c r="ORL40" s="471"/>
      <c r="ORM40" s="471"/>
      <c r="ORN40" s="471"/>
      <c r="ORO40" s="471"/>
      <c r="ORP40" s="471"/>
      <c r="ORQ40" s="471"/>
      <c r="ORR40" s="471"/>
      <c r="ORS40" s="471"/>
      <c r="ORT40" s="471"/>
      <c r="ORU40" s="471"/>
      <c r="ORV40" s="471"/>
      <c r="ORW40" s="471"/>
      <c r="ORX40" s="471"/>
      <c r="ORY40" s="471"/>
      <c r="ORZ40" s="471"/>
      <c r="OSA40" s="471"/>
      <c r="OSB40" s="471"/>
      <c r="OSC40" s="471"/>
      <c r="OSD40" s="471"/>
      <c r="OSE40" s="471"/>
      <c r="OSF40" s="471"/>
      <c r="OSG40" s="471"/>
      <c r="OSH40" s="471"/>
      <c r="OSI40" s="471"/>
      <c r="OSJ40" s="471"/>
      <c r="OSK40" s="471"/>
      <c r="OSL40" s="471"/>
      <c r="OSM40" s="471"/>
      <c r="OSN40" s="471"/>
      <c r="OSO40" s="471"/>
      <c r="OSP40" s="471"/>
      <c r="OSQ40" s="471"/>
      <c r="OSR40" s="471"/>
      <c r="OSS40" s="471"/>
      <c r="OST40" s="471"/>
      <c r="OSU40" s="471"/>
      <c r="OSV40" s="471"/>
      <c r="OSW40" s="471"/>
      <c r="OSX40" s="471"/>
      <c r="OSY40" s="471"/>
      <c r="OSZ40" s="471"/>
      <c r="OTA40" s="471"/>
      <c r="OTB40" s="471"/>
      <c r="OTC40" s="471"/>
      <c r="OTD40" s="471"/>
      <c r="OTE40" s="471"/>
      <c r="OTF40" s="471"/>
      <c r="OTG40" s="471"/>
      <c r="OTH40" s="471"/>
      <c r="OTI40" s="471"/>
      <c r="OTJ40" s="471"/>
      <c r="OTK40" s="471"/>
      <c r="OTL40" s="471"/>
      <c r="OTM40" s="471"/>
      <c r="OTN40" s="471"/>
      <c r="OTO40" s="471"/>
      <c r="OTP40" s="471"/>
      <c r="OTQ40" s="471"/>
      <c r="OTR40" s="471"/>
      <c r="OTS40" s="471"/>
      <c r="OTT40" s="471"/>
      <c r="OTU40" s="471"/>
      <c r="OTV40" s="471"/>
      <c r="OTW40" s="471"/>
      <c r="OTX40" s="471"/>
      <c r="OTY40" s="471"/>
      <c r="OTZ40" s="471"/>
      <c r="OUA40" s="471"/>
      <c r="OUB40" s="471"/>
      <c r="OUC40" s="471"/>
      <c r="OUD40" s="471"/>
      <c r="OUE40" s="471"/>
      <c r="OUF40" s="471"/>
      <c r="OUG40" s="471"/>
      <c r="OUH40" s="471"/>
      <c r="OUI40" s="471"/>
      <c r="OUJ40" s="471"/>
      <c r="OUK40" s="471"/>
      <c r="OUL40" s="471"/>
      <c r="OUM40" s="471"/>
      <c r="OUN40" s="471"/>
      <c r="OUO40" s="471"/>
      <c r="OUP40" s="471"/>
      <c r="OUQ40" s="471"/>
      <c r="OUR40" s="471"/>
      <c r="OUS40" s="471"/>
      <c r="OUT40" s="471"/>
      <c r="OUU40" s="471"/>
      <c r="OUV40" s="471"/>
      <c r="OUW40" s="471"/>
      <c r="OUX40" s="471"/>
      <c r="OUY40" s="471"/>
      <c r="OUZ40" s="471"/>
      <c r="OVA40" s="471"/>
      <c r="OVB40" s="471"/>
      <c r="OVC40" s="471"/>
      <c r="OVD40" s="471"/>
      <c r="OVE40" s="471"/>
      <c r="OVF40" s="471"/>
      <c r="OVG40" s="471"/>
      <c r="OVH40" s="471"/>
      <c r="OVI40" s="471"/>
      <c r="OVJ40" s="471"/>
      <c r="OVK40" s="471"/>
      <c r="OVL40" s="471"/>
      <c r="OVM40" s="471"/>
      <c r="OVN40" s="471"/>
      <c r="OVO40" s="471"/>
      <c r="OVP40" s="471"/>
      <c r="OVQ40" s="471"/>
      <c r="OVR40" s="471"/>
      <c r="OVS40" s="471"/>
      <c r="OVT40" s="471"/>
      <c r="OVU40" s="471"/>
      <c r="OVV40" s="471"/>
      <c r="OVW40" s="471"/>
      <c r="OVX40" s="471"/>
      <c r="OVY40" s="471"/>
      <c r="OVZ40" s="471"/>
      <c r="OWA40" s="471"/>
      <c r="OWB40" s="471"/>
      <c r="OWC40" s="471"/>
      <c r="OWD40" s="471"/>
      <c r="OWE40" s="471"/>
      <c r="OWF40" s="471"/>
      <c r="OWG40" s="471"/>
      <c r="OWH40" s="471"/>
      <c r="OWI40" s="471"/>
      <c r="OWJ40" s="471"/>
      <c r="OWK40" s="471"/>
      <c r="OWL40" s="471"/>
      <c r="OWM40" s="471"/>
      <c r="OWN40" s="471"/>
      <c r="OWO40" s="471"/>
      <c r="OWP40" s="471"/>
      <c r="OWQ40" s="471"/>
      <c r="OWR40" s="471"/>
      <c r="OWS40" s="471"/>
      <c r="OWT40" s="471"/>
      <c r="OWU40" s="471"/>
      <c r="OWV40" s="471"/>
      <c r="OWW40" s="471"/>
      <c r="OWX40" s="471"/>
      <c r="OWY40" s="471"/>
      <c r="OWZ40" s="471"/>
      <c r="OXA40" s="471"/>
      <c r="OXB40" s="471"/>
      <c r="OXC40" s="471"/>
      <c r="OXD40" s="471"/>
      <c r="OXE40" s="471"/>
      <c r="OXF40" s="471"/>
      <c r="OXG40" s="471"/>
      <c r="OXH40" s="471"/>
      <c r="OXI40" s="471"/>
      <c r="OXJ40" s="471"/>
      <c r="OXK40" s="471"/>
      <c r="OXL40" s="471"/>
      <c r="OXM40" s="471"/>
      <c r="OXN40" s="471"/>
      <c r="OXO40" s="471"/>
      <c r="OXP40" s="471"/>
      <c r="OXQ40" s="471"/>
      <c r="OXR40" s="471"/>
      <c r="OXS40" s="471"/>
      <c r="OXT40" s="471"/>
      <c r="OXU40" s="471"/>
      <c r="OXV40" s="471"/>
      <c r="OXW40" s="471"/>
      <c r="OXX40" s="471"/>
      <c r="OXY40" s="471"/>
      <c r="OXZ40" s="471"/>
      <c r="OYA40" s="471"/>
      <c r="OYB40" s="471"/>
      <c r="OYC40" s="471"/>
      <c r="OYD40" s="471"/>
      <c r="OYE40" s="471"/>
      <c r="OYF40" s="471"/>
      <c r="OYG40" s="471"/>
      <c r="OYH40" s="471"/>
      <c r="OYI40" s="471"/>
      <c r="OYJ40" s="471"/>
      <c r="OYK40" s="471"/>
      <c r="OYL40" s="471"/>
      <c r="OYM40" s="471"/>
      <c r="OYN40" s="471"/>
      <c r="OYO40" s="471"/>
      <c r="OYP40" s="471"/>
      <c r="OYQ40" s="471"/>
      <c r="OYR40" s="471"/>
      <c r="OYS40" s="471"/>
      <c r="OYT40" s="471"/>
      <c r="OYU40" s="471"/>
      <c r="OYV40" s="471"/>
      <c r="OYW40" s="471"/>
      <c r="OYX40" s="471"/>
      <c r="OYY40" s="471"/>
      <c r="OYZ40" s="471"/>
      <c r="OZA40" s="471"/>
      <c r="OZB40" s="471"/>
      <c r="OZC40" s="471"/>
      <c r="OZD40" s="471"/>
      <c r="OZE40" s="471"/>
      <c r="OZF40" s="471"/>
      <c r="OZG40" s="471"/>
      <c r="OZH40" s="471"/>
      <c r="OZI40" s="471"/>
      <c r="OZJ40" s="471"/>
      <c r="OZK40" s="471"/>
      <c r="OZL40" s="471"/>
      <c r="OZM40" s="471"/>
      <c r="OZN40" s="471"/>
      <c r="OZO40" s="471"/>
      <c r="OZP40" s="471"/>
      <c r="OZQ40" s="471"/>
      <c r="OZR40" s="471"/>
      <c r="OZS40" s="471"/>
      <c r="OZT40" s="471"/>
      <c r="OZU40" s="471"/>
      <c r="OZV40" s="471"/>
      <c r="OZW40" s="471"/>
      <c r="OZX40" s="471"/>
      <c r="OZY40" s="471"/>
      <c r="OZZ40" s="471"/>
      <c r="PAA40" s="471"/>
      <c r="PAB40" s="471"/>
      <c r="PAC40" s="471"/>
      <c r="PAD40" s="471"/>
      <c r="PAE40" s="471"/>
      <c r="PAF40" s="471"/>
      <c r="PAG40" s="471"/>
      <c r="PAH40" s="471"/>
      <c r="PAI40" s="471"/>
      <c r="PAJ40" s="471"/>
      <c r="PAK40" s="471"/>
      <c r="PAL40" s="471"/>
      <c r="PAM40" s="471"/>
      <c r="PAN40" s="471"/>
      <c r="PAO40" s="471"/>
      <c r="PAP40" s="471"/>
      <c r="PAQ40" s="471"/>
      <c r="PAR40" s="471"/>
      <c r="PAS40" s="471"/>
      <c r="PAT40" s="471"/>
      <c r="PAU40" s="471"/>
      <c r="PAV40" s="471"/>
      <c r="PAW40" s="471"/>
      <c r="PAX40" s="471"/>
      <c r="PAY40" s="471"/>
      <c r="PAZ40" s="471"/>
      <c r="PBA40" s="471"/>
      <c r="PBB40" s="471"/>
      <c r="PBC40" s="471"/>
      <c r="PBD40" s="471"/>
      <c r="PBE40" s="471"/>
      <c r="PBF40" s="471"/>
      <c r="PBG40" s="471"/>
      <c r="PBH40" s="471"/>
      <c r="PBI40" s="471"/>
      <c r="PBJ40" s="471"/>
      <c r="PBK40" s="471"/>
      <c r="PBL40" s="471"/>
      <c r="PBM40" s="471"/>
      <c r="PBN40" s="471"/>
      <c r="PBO40" s="471"/>
      <c r="PBP40" s="471"/>
      <c r="PBQ40" s="471"/>
      <c r="PBR40" s="471"/>
      <c r="PBS40" s="471"/>
      <c r="PBT40" s="471"/>
      <c r="PBU40" s="471"/>
      <c r="PBV40" s="471"/>
      <c r="PBW40" s="471"/>
      <c r="PBX40" s="471"/>
      <c r="PBY40" s="471"/>
      <c r="PBZ40" s="471"/>
      <c r="PCA40" s="471"/>
      <c r="PCB40" s="471"/>
      <c r="PCC40" s="471"/>
      <c r="PCD40" s="471"/>
      <c r="PCE40" s="471"/>
      <c r="PCF40" s="471"/>
      <c r="PCG40" s="471"/>
      <c r="PCH40" s="471"/>
      <c r="PCI40" s="471"/>
      <c r="PCJ40" s="471"/>
      <c r="PCK40" s="471"/>
      <c r="PCL40" s="471"/>
      <c r="PCM40" s="471"/>
      <c r="PCN40" s="471"/>
      <c r="PCO40" s="471"/>
      <c r="PCP40" s="471"/>
      <c r="PCQ40" s="471"/>
      <c r="PCR40" s="471"/>
      <c r="PCS40" s="471"/>
      <c r="PCT40" s="471"/>
      <c r="PCU40" s="471"/>
      <c r="PCV40" s="471"/>
      <c r="PCW40" s="471"/>
      <c r="PCX40" s="471"/>
      <c r="PCY40" s="471"/>
      <c r="PCZ40" s="471"/>
      <c r="PDA40" s="471"/>
      <c r="PDB40" s="471"/>
      <c r="PDC40" s="471"/>
      <c r="PDD40" s="471"/>
      <c r="PDE40" s="471"/>
      <c r="PDF40" s="471"/>
      <c r="PDG40" s="471"/>
      <c r="PDH40" s="471"/>
      <c r="PDI40" s="471"/>
      <c r="PDJ40" s="471"/>
      <c r="PDK40" s="471"/>
      <c r="PDL40" s="471"/>
      <c r="PDM40" s="471"/>
      <c r="PDN40" s="471"/>
      <c r="PDO40" s="471"/>
      <c r="PDP40" s="471"/>
      <c r="PDQ40" s="471"/>
      <c r="PDR40" s="471"/>
      <c r="PDS40" s="471"/>
      <c r="PDT40" s="471"/>
      <c r="PDU40" s="471"/>
      <c r="PDV40" s="471"/>
      <c r="PDW40" s="471"/>
      <c r="PDX40" s="471"/>
      <c r="PDY40" s="471"/>
      <c r="PDZ40" s="471"/>
      <c r="PEA40" s="471"/>
      <c r="PEB40" s="471"/>
      <c r="PEC40" s="471"/>
      <c r="PED40" s="471"/>
      <c r="PEE40" s="471"/>
      <c r="PEF40" s="471"/>
      <c r="PEG40" s="471"/>
      <c r="PEH40" s="471"/>
      <c r="PEI40" s="471"/>
      <c r="PEJ40" s="471"/>
      <c r="PEK40" s="471"/>
      <c r="PEL40" s="471"/>
      <c r="PEM40" s="471"/>
      <c r="PEN40" s="471"/>
      <c r="PEO40" s="471"/>
      <c r="PEP40" s="471"/>
      <c r="PEQ40" s="471"/>
      <c r="PER40" s="471"/>
      <c r="PES40" s="471"/>
      <c r="PET40" s="471"/>
      <c r="PEU40" s="471"/>
      <c r="PEV40" s="471"/>
      <c r="PEW40" s="471"/>
      <c r="PEX40" s="471"/>
      <c r="PEY40" s="471"/>
      <c r="PEZ40" s="471"/>
      <c r="PFA40" s="471"/>
      <c r="PFB40" s="471"/>
      <c r="PFC40" s="471"/>
      <c r="PFD40" s="471"/>
      <c r="PFE40" s="471"/>
      <c r="PFF40" s="471"/>
      <c r="PFG40" s="471"/>
      <c r="PFH40" s="471"/>
      <c r="PFI40" s="471"/>
      <c r="PFJ40" s="471"/>
      <c r="PFK40" s="471"/>
      <c r="PFL40" s="471"/>
      <c r="PFM40" s="471"/>
      <c r="PFN40" s="471"/>
      <c r="PFO40" s="471"/>
      <c r="PFP40" s="471"/>
      <c r="PFQ40" s="471"/>
      <c r="PFR40" s="471"/>
      <c r="PFS40" s="471"/>
      <c r="PFT40" s="471"/>
      <c r="PFU40" s="471"/>
      <c r="PFV40" s="471"/>
      <c r="PFW40" s="471"/>
      <c r="PFX40" s="471"/>
      <c r="PFY40" s="471"/>
      <c r="PFZ40" s="471"/>
      <c r="PGA40" s="471"/>
      <c r="PGB40" s="471"/>
      <c r="PGC40" s="471"/>
      <c r="PGD40" s="471"/>
      <c r="PGE40" s="471"/>
      <c r="PGF40" s="471"/>
      <c r="PGG40" s="471"/>
      <c r="PGH40" s="471"/>
      <c r="PGI40" s="471"/>
      <c r="PGJ40" s="471"/>
      <c r="PGK40" s="471"/>
      <c r="PGL40" s="471"/>
      <c r="PGM40" s="471"/>
      <c r="PGN40" s="471"/>
      <c r="PGO40" s="471"/>
      <c r="PGP40" s="471"/>
      <c r="PGQ40" s="471"/>
      <c r="PGR40" s="471"/>
      <c r="PGS40" s="471"/>
      <c r="PGT40" s="471"/>
      <c r="PGU40" s="471"/>
      <c r="PGV40" s="471"/>
      <c r="PGW40" s="471"/>
      <c r="PGX40" s="471"/>
      <c r="PGY40" s="471"/>
      <c r="PGZ40" s="471"/>
      <c r="PHA40" s="471"/>
      <c r="PHB40" s="471"/>
      <c r="PHC40" s="471"/>
      <c r="PHD40" s="471"/>
      <c r="PHE40" s="471"/>
      <c r="PHF40" s="471"/>
      <c r="PHG40" s="471"/>
      <c r="PHH40" s="471"/>
      <c r="PHI40" s="471"/>
      <c r="PHJ40" s="471"/>
      <c r="PHK40" s="471"/>
      <c r="PHL40" s="471"/>
      <c r="PHM40" s="471"/>
      <c r="PHN40" s="471"/>
      <c r="PHO40" s="471"/>
      <c r="PHP40" s="471"/>
      <c r="PHQ40" s="471"/>
      <c r="PHR40" s="471"/>
      <c r="PHS40" s="471"/>
      <c r="PHT40" s="471"/>
      <c r="PHU40" s="471"/>
      <c r="PHV40" s="471"/>
      <c r="PHW40" s="471"/>
      <c r="PHX40" s="471"/>
      <c r="PHY40" s="471"/>
      <c r="PHZ40" s="471"/>
      <c r="PIA40" s="471"/>
      <c r="PIB40" s="471"/>
      <c r="PIC40" s="471"/>
      <c r="PID40" s="471"/>
      <c r="PIE40" s="471"/>
      <c r="PIF40" s="471"/>
      <c r="PIG40" s="471"/>
      <c r="PIH40" s="471"/>
      <c r="PII40" s="471"/>
      <c r="PIJ40" s="471"/>
      <c r="PIK40" s="471"/>
      <c r="PIL40" s="471"/>
      <c r="PIM40" s="471"/>
      <c r="PIN40" s="471"/>
      <c r="PIO40" s="471"/>
      <c r="PIP40" s="471"/>
      <c r="PIQ40" s="471"/>
      <c r="PIR40" s="471"/>
      <c r="PIS40" s="471"/>
      <c r="PIT40" s="471"/>
      <c r="PIU40" s="471"/>
      <c r="PIV40" s="471"/>
      <c r="PIW40" s="471"/>
      <c r="PIX40" s="471"/>
      <c r="PIY40" s="471"/>
      <c r="PIZ40" s="471"/>
      <c r="PJA40" s="471"/>
      <c r="PJB40" s="471"/>
      <c r="PJC40" s="471"/>
      <c r="PJD40" s="471"/>
      <c r="PJE40" s="471"/>
      <c r="PJF40" s="471"/>
      <c r="PJG40" s="471"/>
      <c r="PJH40" s="471"/>
      <c r="PJI40" s="471"/>
      <c r="PJJ40" s="471"/>
      <c r="PJK40" s="471"/>
      <c r="PJL40" s="471"/>
      <c r="PJM40" s="471"/>
      <c r="PJN40" s="471"/>
      <c r="PJO40" s="471"/>
      <c r="PJP40" s="471"/>
      <c r="PJQ40" s="471"/>
      <c r="PJR40" s="471"/>
      <c r="PJS40" s="471"/>
      <c r="PJT40" s="471"/>
      <c r="PJU40" s="471"/>
      <c r="PJV40" s="471"/>
      <c r="PJW40" s="471"/>
      <c r="PJX40" s="471"/>
      <c r="PJY40" s="471"/>
      <c r="PJZ40" s="471"/>
      <c r="PKA40" s="471"/>
      <c r="PKB40" s="471"/>
      <c r="PKC40" s="471"/>
      <c r="PKD40" s="471"/>
      <c r="PKE40" s="471"/>
      <c r="PKF40" s="471"/>
      <c r="PKG40" s="471"/>
      <c r="PKH40" s="471"/>
      <c r="PKI40" s="471"/>
      <c r="PKJ40" s="471"/>
      <c r="PKK40" s="471"/>
      <c r="PKL40" s="471"/>
      <c r="PKM40" s="471"/>
      <c r="PKN40" s="471"/>
      <c r="PKO40" s="471"/>
      <c r="PKP40" s="471"/>
      <c r="PKQ40" s="471"/>
      <c r="PKR40" s="471"/>
      <c r="PKS40" s="471"/>
      <c r="PKT40" s="471"/>
      <c r="PKU40" s="471"/>
      <c r="PKV40" s="471"/>
      <c r="PKW40" s="471"/>
      <c r="PKX40" s="471"/>
      <c r="PKY40" s="471"/>
      <c r="PKZ40" s="471"/>
      <c r="PLA40" s="471"/>
      <c r="PLB40" s="471"/>
      <c r="PLC40" s="471"/>
      <c r="PLD40" s="471"/>
      <c r="PLE40" s="471"/>
      <c r="PLF40" s="471"/>
      <c r="PLG40" s="471"/>
      <c r="PLH40" s="471"/>
      <c r="PLI40" s="471"/>
      <c r="PLJ40" s="471"/>
      <c r="PLK40" s="471"/>
      <c r="PLL40" s="471"/>
      <c r="PLM40" s="471"/>
      <c r="PLN40" s="471"/>
      <c r="PLO40" s="471"/>
      <c r="PLP40" s="471"/>
      <c r="PLQ40" s="471"/>
      <c r="PLR40" s="471"/>
      <c r="PLS40" s="471"/>
      <c r="PLT40" s="471"/>
      <c r="PLU40" s="471"/>
      <c r="PLV40" s="471"/>
      <c r="PLW40" s="471"/>
      <c r="PLX40" s="471"/>
      <c r="PLY40" s="471"/>
      <c r="PLZ40" s="471"/>
      <c r="PMA40" s="471"/>
      <c r="PMB40" s="471"/>
      <c r="PMC40" s="471"/>
      <c r="PMD40" s="471"/>
      <c r="PME40" s="471"/>
      <c r="PMF40" s="471"/>
      <c r="PMG40" s="471"/>
      <c r="PMH40" s="471"/>
      <c r="PMI40" s="471"/>
      <c r="PMJ40" s="471"/>
      <c r="PMK40" s="471"/>
      <c r="PML40" s="471"/>
      <c r="PMM40" s="471"/>
      <c r="PMN40" s="471"/>
      <c r="PMO40" s="471"/>
      <c r="PMP40" s="471"/>
      <c r="PMQ40" s="471"/>
      <c r="PMR40" s="471"/>
      <c r="PMS40" s="471"/>
      <c r="PMT40" s="471"/>
      <c r="PMU40" s="471"/>
      <c r="PMV40" s="471"/>
      <c r="PMW40" s="471"/>
      <c r="PMX40" s="471"/>
      <c r="PMY40" s="471"/>
      <c r="PMZ40" s="471"/>
      <c r="PNA40" s="471"/>
      <c r="PNB40" s="471"/>
      <c r="PNC40" s="471"/>
      <c r="PND40" s="471"/>
      <c r="PNE40" s="471"/>
      <c r="PNF40" s="471"/>
      <c r="PNG40" s="471"/>
      <c r="PNH40" s="471"/>
      <c r="PNI40" s="471"/>
      <c r="PNJ40" s="471"/>
      <c r="PNK40" s="471"/>
      <c r="PNL40" s="471"/>
      <c r="PNM40" s="471"/>
      <c r="PNN40" s="471"/>
      <c r="PNO40" s="471"/>
      <c r="PNP40" s="471"/>
      <c r="PNQ40" s="471"/>
      <c r="PNR40" s="471"/>
      <c r="PNS40" s="471"/>
      <c r="PNT40" s="471"/>
      <c r="PNU40" s="471"/>
      <c r="PNV40" s="471"/>
      <c r="PNW40" s="471"/>
      <c r="PNX40" s="471"/>
      <c r="PNY40" s="471"/>
      <c r="PNZ40" s="471"/>
      <c r="POA40" s="471"/>
      <c r="POB40" s="471"/>
      <c r="POC40" s="471"/>
      <c r="POD40" s="471"/>
      <c r="POE40" s="471"/>
      <c r="POF40" s="471"/>
      <c r="POG40" s="471"/>
      <c r="POH40" s="471"/>
      <c r="POI40" s="471"/>
      <c r="POJ40" s="471"/>
      <c r="POK40" s="471"/>
      <c r="POL40" s="471"/>
      <c r="POM40" s="471"/>
      <c r="PON40" s="471"/>
      <c r="POO40" s="471"/>
      <c r="POP40" s="471"/>
      <c r="POQ40" s="471"/>
      <c r="POR40" s="471"/>
      <c r="POS40" s="471"/>
      <c r="POT40" s="471"/>
      <c r="POU40" s="471"/>
      <c r="POV40" s="471"/>
      <c r="POW40" s="471"/>
      <c r="POX40" s="471"/>
      <c r="POY40" s="471"/>
      <c r="POZ40" s="471"/>
      <c r="PPA40" s="471"/>
      <c r="PPB40" s="471"/>
      <c r="PPC40" s="471"/>
      <c r="PPD40" s="471"/>
      <c r="PPE40" s="471"/>
      <c r="PPF40" s="471"/>
      <c r="PPG40" s="471"/>
      <c r="PPH40" s="471"/>
      <c r="PPI40" s="471"/>
      <c r="PPJ40" s="471"/>
      <c r="PPK40" s="471"/>
      <c r="PPL40" s="471"/>
      <c r="PPM40" s="471"/>
      <c r="PPN40" s="471"/>
      <c r="PPO40" s="471"/>
      <c r="PPP40" s="471"/>
      <c r="PPQ40" s="471"/>
      <c r="PPR40" s="471"/>
      <c r="PPS40" s="471"/>
      <c r="PPT40" s="471"/>
      <c r="PPU40" s="471"/>
      <c r="PPV40" s="471"/>
      <c r="PPW40" s="471"/>
      <c r="PPX40" s="471"/>
      <c r="PPY40" s="471"/>
      <c r="PPZ40" s="471"/>
      <c r="PQA40" s="471"/>
      <c r="PQB40" s="471"/>
      <c r="PQC40" s="471"/>
      <c r="PQD40" s="471"/>
      <c r="PQE40" s="471"/>
      <c r="PQF40" s="471"/>
      <c r="PQG40" s="471"/>
      <c r="PQH40" s="471"/>
      <c r="PQI40" s="471"/>
      <c r="PQJ40" s="471"/>
      <c r="PQK40" s="471"/>
      <c r="PQL40" s="471"/>
      <c r="PQM40" s="471"/>
      <c r="PQN40" s="471"/>
      <c r="PQO40" s="471"/>
      <c r="PQP40" s="471"/>
      <c r="PQQ40" s="471"/>
      <c r="PQR40" s="471"/>
      <c r="PQS40" s="471"/>
      <c r="PQT40" s="471"/>
      <c r="PQU40" s="471"/>
      <c r="PQV40" s="471"/>
      <c r="PQW40" s="471"/>
      <c r="PQX40" s="471"/>
      <c r="PQY40" s="471"/>
      <c r="PQZ40" s="471"/>
      <c r="PRA40" s="471"/>
      <c r="PRB40" s="471"/>
      <c r="PRC40" s="471"/>
      <c r="PRD40" s="471"/>
      <c r="PRE40" s="471"/>
      <c r="PRF40" s="471"/>
      <c r="PRG40" s="471"/>
      <c r="PRH40" s="471"/>
      <c r="PRI40" s="471"/>
      <c r="PRJ40" s="471"/>
      <c r="PRK40" s="471"/>
      <c r="PRL40" s="471"/>
      <c r="PRM40" s="471"/>
      <c r="PRN40" s="471"/>
      <c r="PRO40" s="471"/>
      <c r="PRP40" s="471"/>
      <c r="PRQ40" s="471"/>
      <c r="PRR40" s="471"/>
      <c r="PRS40" s="471"/>
      <c r="PRT40" s="471"/>
      <c r="PRU40" s="471"/>
      <c r="PRV40" s="471"/>
      <c r="PRW40" s="471"/>
      <c r="PRX40" s="471"/>
      <c r="PRY40" s="471"/>
      <c r="PRZ40" s="471"/>
      <c r="PSA40" s="471"/>
      <c r="PSB40" s="471"/>
      <c r="PSC40" s="471"/>
      <c r="PSD40" s="471"/>
      <c r="PSE40" s="471"/>
      <c r="PSF40" s="471"/>
      <c r="PSG40" s="471"/>
      <c r="PSH40" s="471"/>
      <c r="PSI40" s="471"/>
      <c r="PSJ40" s="471"/>
      <c r="PSK40" s="471"/>
      <c r="PSL40" s="471"/>
      <c r="PSM40" s="471"/>
      <c r="PSN40" s="471"/>
      <c r="PSO40" s="471"/>
      <c r="PSP40" s="471"/>
      <c r="PSQ40" s="471"/>
      <c r="PSR40" s="471"/>
      <c r="PSS40" s="471"/>
      <c r="PST40" s="471"/>
      <c r="PSU40" s="471"/>
      <c r="PSV40" s="471"/>
      <c r="PSW40" s="471"/>
      <c r="PSX40" s="471"/>
      <c r="PSY40" s="471"/>
      <c r="PSZ40" s="471"/>
      <c r="PTA40" s="471"/>
      <c r="PTB40" s="471"/>
      <c r="PTC40" s="471"/>
      <c r="PTD40" s="471"/>
      <c r="PTE40" s="471"/>
      <c r="PTF40" s="471"/>
      <c r="PTG40" s="471"/>
      <c r="PTH40" s="471"/>
      <c r="PTI40" s="471"/>
      <c r="PTJ40" s="471"/>
      <c r="PTK40" s="471"/>
      <c r="PTL40" s="471"/>
      <c r="PTM40" s="471"/>
      <c r="PTN40" s="471"/>
      <c r="PTO40" s="471"/>
      <c r="PTP40" s="471"/>
      <c r="PTQ40" s="471"/>
      <c r="PTR40" s="471"/>
      <c r="PTS40" s="471"/>
      <c r="PTT40" s="471"/>
      <c r="PTU40" s="471"/>
      <c r="PTV40" s="471"/>
      <c r="PTW40" s="471"/>
      <c r="PTX40" s="471"/>
      <c r="PTY40" s="471"/>
      <c r="PTZ40" s="471"/>
      <c r="PUA40" s="471"/>
      <c r="PUB40" s="471"/>
      <c r="PUC40" s="471"/>
      <c r="PUD40" s="471"/>
      <c r="PUE40" s="471"/>
      <c r="PUF40" s="471"/>
      <c r="PUG40" s="471"/>
      <c r="PUH40" s="471"/>
      <c r="PUI40" s="471"/>
      <c r="PUJ40" s="471"/>
      <c r="PUK40" s="471"/>
      <c r="PUL40" s="471"/>
      <c r="PUM40" s="471"/>
      <c r="PUN40" s="471"/>
      <c r="PUO40" s="471"/>
      <c r="PUP40" s="471"/>
      <c r="PUQ40" s="471"/>
      <c r="PUR40" s="471"/>
      <c r="PUS40" s="471"/>
      <c r="PUT40" s="471"/>
      <c r="PUU40" s="471"/>
      <c r="PUV40" s="471"/>
      <c r="PUW40" s="471"/>
      <c r="PUX40" s="471"/>
      <c r="PUY40" s="471"/>
      <c r="PUZ40" s="471"/>
      <c r="PVA40" s="471"/>
      <c r="PVB40" s="471"/>
      <c r="PVC40" s="471"/>
      <c r="PVD40" s="471"/>
      <c r="PVE40" s="471"/>
      <c r="PVF40" s="471"/>
      <c r="PVG40" s="471"/>
      <c r="PVH40" s="471"/>
      <c r="PVI40" s="471"/>
      <c r="PVJ40" s="471"/>
      <c r="PVK40" s="471"/>
      <c r="PVL40" s="471"/>
      <c r="PVM40" s="471"/>
      <c r="PVN40" s="471"/>
      <c r="PVO40" s="471"/>
      <c r="PVP40" s="471"/>
      <c r="PVQ40" s="471"/>
      <c r="PVR40" s="471"/>
      <c r="PVS40" s="471"/>
      <c r="PVT40" s="471"/>
      <c r="PVU40" s="471"/>
      <c r="PVV40" s="471"/>
      <c r="PVW40" s="471"/>
      <c r="PVX40" s="471"/>
      <c r="PVY40" s="471"/>
      <c r="PVZ40" s="471"/>
      <c r="PWA40" s="471"/>
      <c r="PWB40" s="471"/>
      <c r="PWC40" s="471"/>
      <c r="PWD40" s="471"/>
      <c r="PWE40" s="471"/>
      <c r="PWF40" s="471"/>
      <c r="PWG40" s="471"/>
      <c r="PWH40" s="471"/>
      <c r="PWI40" s="471"/>
      <c r="PWJ40" s="471"/>
      <c r="PWK40" s="471"/>
      <c r="PWL40" s="471"/>
      <c r="PWM40" s="471"/>
      <c r="PWN40" s="471"/>
      <c r="PWO40" s="471"/>
      <c r="PWP40" s="471"/>
      <c r="PWQ40" s="471"/>
      <c r="PWR40" s="471"/>
      <c r="PWS40" s="471"/>
      <c r="PWT40" s="471"/>
      <c r="PWU40" s="471"/>
      <c r="PWV40" s="471"/>
      <c r="PWW40" s="471"/>
      <c r="PWX40" s="471"/>
      <c r="PWY40" s="471"/>
      <c r="PWZ40" s="471"/>
      <c r="PXA40" s="471"/>
      <c r="PXB40" s="471"/>
      <c r="PXC40" s="471"/>
      <c r="PXD40" s="471"/>
      <c r="PXE40" s="471"/>
      <c r="PXF40" s="471"/>
      <c r="PXG40" s="471"/>
      <c r="PXH40" s="471"/>
      <c r="PXI40" s="471"/>
      <c r="PXJ40" s="471"/>
      <c r="PXK40" s="471"/>
      <c r="PXL40" s="471"/>
      <c r="PXM40" s="471"/>
      <c r="PXN40" s="471"/>
      <c r="PXO40" s="471"/>
      <c r="PXP40" s="471"/>
      <c r="PXQ40" s="471"/>
      <c r="PXR40" s="471"/>
      <c r="PXS40" s="471"/>
      <c r="PXT40" s="471"/>
      <c r="PXU40" s="471"/>
      <c r="PXV40" s="471"/>
      <c r="PXW40" s="471"/>
      <c r="PXX40" s="471"/>
      <c r="PXY40" s="471"/>
      <c r="PXZ40" s="471"/>
      <c r="PYA40" s="471"/>
      <c r="PYB40" s="471"/>
      <c r="PYC40" s="471"/>
      <c r="PYD40" s="471"/>
      <c r="PYE40" s="471"/>
      <c r="PYF40" s="471"/>
      <c r="PYG40" s="471"/>
      <c r="PYH40" s="471"/>
      <c r="PYI40" s="471"/>
      <c r="PYJ40" s="471"/>
      <c r="PYK40" s="471"/>
      <c r="PYL40" s="471"/>
      <c r="PYM40" s="471"/>
      <c r="PYN40" s="471"/>
      <c r="PYO40" s="471"/>
      <c r="PYP40" s="471"/>
      <c r="PYQ40" s="471"/>
      <c r="PYR40" s="471"/>
      <c r="PYS40" s="471"/>
      <c r="PYT40" s="471"/>
      <c r="PYU40" s="471"/>
      <c r="PYV40" s="471"/>
      <c r="PYW40" s="471"/>
      <c r="PYX40" s="471"/>
      <c r="PYY40" s="471"/>
      <c r="PYZ40" s="471"/>
      <c r="PZA40" s="471"/>
      <c r="PZB40" s="471"/>
      <c r="PZC40" s="471"/>
      <c r="PZD40" s="471"/>
      <c r="PZE40" s="471"/>
      <c r="PZF40" s="471"/>
      <c r="PZG40" s="471"/>
      <c r="PZH40" s="471"/>
      <c r="PZI40" s="471"/>
      <c r="PZJ40" s="471"/>
      <c r="PZK40" s="471"/>
      <c r="PZL40" s="471"/>
      <c r="PZM40" s="471"/>
      <c r="PZN40" s="471"/>
      <c r="PZO40" s="471"/>
      <c r="PZP40" s="471"/>
      <c r="PZQ40" s="471"/>
      <c r="PZR40" s="471"/>
      <c r="PZS40" s="471"/>
      <c r="PZT40" s="471"/>
      <c r="PZU40" s="471"/>
      <c r="PZV40" s="471"/>
      <c r="PZW40" s="471"/>
      <c r="PZX40" s="471"/>
      <c r="PZY40" s="471"/>
      <c r="PZZ40" s="471"/>
      <c r="QAA40" s="471"/>
      <c r="QAB40" s="471"/>
      <c r="QAC40" s="471"/>
      <c r="QAD40" s="471"/>
      <c r="QAE40" s="471"/>
      <c r="QAF40" s="471"/>
      <c r="QAG40" s="471"/>
      <c r="QAH40" s="471"/>
      <c r="QAI40" s="471"/>
      <c r="QAJ40" s="471"/>
      <c r="QAK40" s="471"/>
      <c r="QAL40" s="471"/>
      <c r="QAM40" s="471"/>
      <c r="QAN40" s="471"/>
      <c r="QAO40" s="471"/>
      <c r="QAP40" s="471"/>
      <c r="QAQ40" s="471"/>
      <c r="QAR40" s="471"/>
      <c r="QAS40" s="471"/>
      <c r="QAT40" s="471"/>
      <c r="QAU40" s="471"/>
      <c r="QAV40" s="471"/>
      <c r="QAW40" s="471"/>
      <c r="QAX40" s="471"/>
      <c r="QAY40" s="471"/>
      <c r="QAZ40" s="471"/>
      <c r="QBA40" s="471"/>
      <c r="QBB40" s="471"/>
      <c r="QBC40" s="471"/>
      <c r="QBD40" s="471"/>
      <c r="QBE40" s="471"/>
      <c r="QBF40" s="471"/>
      <c r="QBG40" s="471"/>
      <c r="QBH40" s="471"/>
      <c r="QBI40" s="471"/>
      <c r="QBJ40" s="471"/>
      <c r="QBK40" s="471"/>
      <c r="QBL40" s="471"/>
      <c r="QBM40" s="471"/>
      <c r="QBN40" s="471"/>
      <c r="QBO40" s="471"/>
      <c r="QBP40" s="471"/>
      <c r="QBQ40" s="471"/>
      <c r="QBR40" s="471"/>
      <c r="QBS40" s="471"/>
      <c r="QBT40" s="471"/>
      <c r="QBU40" s="471"/>
      <c r="QBV40" s="471"/>
      <c r="QBW40" s="471"/>
      <c r="QBX40" s="471"/>
      <c r="QBY40" s="471"/>
      <c r="QBZ40" s="471"/>
      <c r="QCA40" s="471"/>
      <c r="QCB40" s="471"/>
      <c r="QCC40" s="471"/>
      <c r="QCD40" s="471"/>
      <c r="QCE40" s="471"/>
      <c r="QCF40" s="471"/>
      <c r="QCG40" s="471"/>
      <c r="QCH40" s="471"/>
      <c r="QCI40" s="471"/>
      <c r="QCJ40" s="471"/>
      <c r="QCK40" s="471"/>
      <c r="QCL40" s="471"/>
      <c r="QCM40" s="471"/>
      <c r="QCN40" s="471"/>
      <c r="QCO40" s="471"/>
      <c r="QCP40" s="471"/>
      <c r="QCQ40" s="471"/>
      <c r="QCR40" s="471"/>
      <c r="QCS40" s="471"/>
      <c r="QCT40" s="471"/>
      <c r="QCU40" s="471"/>
      <c r="QCV40" s="471"/>
      <c r="QCW40" s="471"/>
      <c r="QCX40" s="471"/>
      <c r="QCY40" s="471"/>
      <c r="QCZ40" s="471"/>
      <c r="QDA40" s="471"/>
      <c r="QDB40" s="471"/>
      <c r="QDC40" s="471"/>
      <c r="QDD40" s="471"/>
      <c r="QDE40" s="471"/>
      <c r="QDF40" s="471"/>
      <c r="QDG40" s="471"/>
      <c r="QDH40" s="471"/>
      <c r="QDI40" s="471"/>
      <c r="QDJ40" s="471"/>
      <c r="QDK40" s="471"/>
      <c r="QDL40" s="471"/>
      <c r="QDM40" s="471"/>
      <c r="QDN40" s="471"/>
      <c r="QDO40" s="471"/>
      <c r="QDP40" s="471"/>
      <c r="QDQ40" s="471"/>
      <c r="QDR40" s="471"/>
      <c r="QDS40" s="471"/>
      <c r="QDT40" s="471"/>
      <c r="QDU40" s="471"/>
      <c r="QDV40" s="471"/>
      <c r="QDW40" s="471"/>
      <c r="QDX40" s="471"/>
      <c r="QDY40" s="471"/>
      <c r="QDZ40" s="471"/>
      <c r="QEA40" s="471"/>
      <c r="QEB40" s="471"/>
      <c r="QEC40" s="471"/>
      <c r="QED40" s="471"/>
      <c r="QEE40" s="471"/>
      <c r="QEF40" s="471"/>
      <c r="QEG40" s="471"/>
      <c r="QEH40" s="471"/>
      <c r="QEI40" s="471"/>
      <c r="QEJ40" s="471"/>
      <c r="QEK40" s="471"/>
      <c r="QEL40" s="471"/>
      <c r="QEM40" s="471"/>
      <c r="QEN40" s="471"/>
      <c r="QEO40" s="471"/>
      <c r="QEP40" s="471"/>
      <c r="QEQ40" s="471"/>
      <c r="QER40" s="471"/>
      <c r="QES40" s="471"/>
      <c r="QET40" s="471"/>
      <c r="QEU40" s="471"/>
      <c r="QEV40" s="471"/>
      <c r="QEW40" s="471"/>
      <c r="QEX40" s="471"/>
      <c r="QEY40" s="471"/>
      <c r="QEZ40" s="471"/>
      <c r="QFA40" s="471"/>
      <c r="QFB40" s="471"/>
      <c r="QFC40" s="471"/>
      <c r="QFD40" s="471"/>
      <c r="QFE40" s="471"/>
      <c r="QFF40" s="471"/>
      <c r="QFG40" s="471"/>
      <c r="QFH40" s="471"/>
      <c r="QFI40" s="471"/>
      <c r="QFJ40" s="471"/>
      <c r="QFK40" s="471"/>
      <c r="QFL40" s="471"/>
      <c r="QFM40" s="471"/>
      <c r="QFN40" s="471"/>
      <c r="QFO40" s="471"/>
      <c r="QFP40" s="471"/>
      <c r="QFQ40" s="471"/>
      <c r="QFR40" s="471"/>
      <c r="QFS40" s="471"/>
      <c r="QFT40" s="471"/>
      <c r="QFU40" s="471"/>
      <c r="QFV40" s="471"/>
      <c r="QFW40" s="471"/>
      <c r="QFX40" s="471"/>
      <c r="QFY40" s="471"/>
      <c r="QFZ40" s="471"/>
      <c r="QGA40" s="471"/>
      <c r="QGB40" s="471"/>
      <c r="QGC40" s="471"/>
      <c r="QGD40" s="471"/>
      <c r="QGE40" s="471"/>
      <c r="QGF40" s="471"/>
      <c r="QGG40" s="471"/>
      <c r="QGH40" s="471"/>
      <c r="QGI40" s="471"/>
      <c r="QGJ40" s="471"/>
      <c r="QGK40" s="471"/>
      <c r="QGL40" s="471"/>
      <c r="QGM40" s="471"/>
      <c r="QGN40" s="471"/>
      <c r="QGO40" s="471"/>
      <c r="QGP40" s="471"/>
      <c r="QGQ40" s="471"/>
      <c r="QGR40" s="471"/>
      <c r="QGS40" s="471"/>
      <c r="QGT40" s="471"/>
      <c r="QGU40" s="471"/>
      <c r="QGV40" s="471"/>
      <c r="QGW40" s="471"/>
      <c r="QGX40" s="471"/>
      <c r="QGY40" s="471"/>
      <c r="QGZ40" s="471"/>
      <c r="QHA40" s="471"/>
      <c r="QHB40" s="471"/>
      <c r="QHC40" s="471"/>
      <c r="QHD40" s="471"/>
      <c r="QHE40" s="471"/>
      <c r="QHF40" s="471"/>
      <c r="QHG40" s="471"/>
      <c r="QHH40" s="471"/>
      <c r="QHI40" s="471"/>
      <c r="QHJ40" s="471"/>
      <c r="QHK40" s="471"/>
      <c r="QHL40" s="471"/>
      <c r="QHM40" s="471"/>
      <c r="QHN40" s="471"/>
      <c r="QHO40" s="471"/>
      <c r="QHP40" s="471"/>
      <c r="QHQ40" s="471"/>
      <c r="QHR40" s="471"/>
      <c r="QHS40" s="471"/>
      <c r="QHT40" s="471"/>
      <c r="QHU40" s="471"/>
      <c r="QHV40" s="471"/>
      <c r="QHW40" s="471"/>
      <c r="QHX40" s="471"/>
      <c r="QHY40" s="471"/>
      <c r="QHZ40" s="471"/>
      <c r="QIA40" s="471"/>
      <c r="QIB40" s="471"/>
      <c r="QIC40" s="471"/>
      <c r="QID40" s="471"/>
      <c r="QIE40" s="471"/>
      <c r="QIF40" s="471"/>
      <c r="QIG40" s="471"/>
      <c r="QIH40" s="471"/>
      <c r="QII40" s="471"/>
      <c r="QIJ40" s="471"/>
      <c r="QIK40" s="471"/>
      <c r="QIL40" s="471"/>
      <c r="QIM40" s="471"/>
      <c r="QIN40" s="471"/>
      <c r="QIO40" s="471"/>
      <c r="QIP40" s="471"/>
      <c r="QIQ40" s="471"/>
      <c r="QIR40" s="471"/>
      <c r="QIS40" s="471"/>
      <c r="QIT40" s="471"/>
      <c r="QIU40" s="471"/>
      <c r="QIV40" s="471"/>
      <c r="QIW40" s="471"/>
      <c r="QIX40" s="471"/>
      <c r="QIY40" s="471"/>
      <c r="QIZ40" s="471"/>
      <c r="QJA40" s="471"/>
      <c r="QJB40" s="471"/>
      <c r="QJC40" s="471"/>
      <c r="QJD40" s="471"/>
      <c r="QJE40" s="471"/>
      <c r="QJF40" s="471"/>
      <c r="QJG40" s="471"/>
      <c r="QJH40" s="471"/>
      <c r="QJI40" s="471"/>
      <c r="QJJ40" s="471"/>
      <c r="QJK40" s="471"/>
      <c r="QJL40" s="471"/>
      <c r="QJM40" s="471"/>
      <c r="QJN40" s="471"/>
      <c r="QJO40" s="471"/>
      <c r="QJP40" s="471"/>
      <c r="QJQ40" s="471"/>
      <c r="QJR40" s="471"/>
      <c r="QJS40" s="471"/>
      <c r="QJT40" s="471"/>
      <c r="QJU40" s="471"/>
      <c r="QJV40" s="471"/>
      <c r="QJW40" s="471"/>
      <c r="QJX40" s="471"/>
      <c r="QJY40" s="471"/>
      <c r="QJZ40" s="471"/>
      <c r="QKA40" s="471"/>
      <c r="QKB40" s="471"/>
      <c r="QKC40" s="471"/>
      <c r="QKD40" s="471"/>
      <c r="QKE40" s="471"/>
      <c r="QKF40" s="471"/>
      <c r="QKG40" s="471"/>
      <c r="QKH40" s="471"/>
      <c r="QKI40" s="471"/>
      <c r="QKJ40" s="471"/>
      <c r="QKK40" s="471"/>
      <c r="QKL40" s="471"/>
      <c r="QKM40" s="471"/>
      <c r="QKN40" s="471"/>
      <c r="QKO40" s="471"/>
      <c r="QKP40" s="471"/>
      <c r="QKQ40" s="471"/>
      <c r="QKR40" s="471"/>
      <c r="QKS40" s="471"/>
      <c r="QKT40" s="471"/>
      <c r="QKU40" s="471"/>
      <c r="QKV40" s="471"/>
      <c r="QKW40" s="471"/>
      <c r="QKX40" s="471"/>
      <c r="QKY40" s="471"/>
      <c r="QKZ40" s="471"/>
      <c r="QLA40" s="471"/>
      <c r="QLB40" s="471"/>
      <c r="QLC40" s="471"/>
      <c r="QLD40" s="471"/>
      <c r="QLE40" s="471"/>
      <c r="QLF40" s="471"/>
      <c r="QLG40" s="471"/>
      <c r="QLH40" s="471"/>
      <c r="QLI40" s="471"/>
      <c r="QLJ40" s="471"/>
      <c r="QLK40" s="471"/>
      <c r="QLL40" s="471"/>
      <c r="QLM40" s="471"/>
      <c r="QLN40" s="471"/>
      <c r="QLO40" s="471"/>
      <c r="QLP40" s="471"/>
      <c r="QLQ40" s="471"/>
      <c r="QLR40" s="471"/>
      <c r="QLS40" s="471"/>
      <c r="QLT40" s="471"/>
      <c r="QLU40" s="471"/>
      <c r="QLV40" s="471"/>
      <c r="QLW40" s="471"/>
      <c r="QLX40" s="471"/>
      <c r="QLY40" s="471"/>
      <c r="QLZ40" s="471"/>
      <c r="QMA40" s="471"/>
      <c r="QMB40" s="471"/>
      <c r="QMC40" s="471"/>
      <c r="QMD40" s="471"/>
      <c r="QME40" s="471"/>
      <c r="QMF40" s="471"/>
      <c r="QMG40" s="471"/>
      <c r="QMH40" s="471"/>
      <c r="QMI40" s="471"/>
      <c r="QMJ40" s="471"/>
      <c r="QMK40" s="471"/>
      <c r="QML40" s="471"/>
      <c r="QMM40" s="471"/>
      <c r="QMN40" s="471"/>
      <c r="QMO40" s="471"/>
      <c r="QMP40" s="471"/>
      <c r="QMQ40" s="471"/>
      <c r="QMR40" s="471"/>
      <c r="QMS40" s="471"/>
      <c r="QMT40" s="471"/>
      <c r="QMU40" s="471"/>
      <c r="QMV40" s="471"/>
      <c r="QMW40" s="471"/>
      <c r="QMX40" s="471"/>
      <c r="QMY40" s="471"/>
      <c r="QMZ40" s="471"/>
      <c r="QNA40" s="471"/>
      <c r="QNB40" s="471"/>
      <c r="QNC40" s="471"/>
      <c r="QND40" s="471"/>
      <c r="QNE40" s="471"/>
      <c r="QNF40" s="471"/>
      <c r="QNG40" s="471"/>
      <c r="QNH40" s="471"/>
      <c r="QNI40" s="471"/>
      <c r="QNJ40" s="471"/>
      <c r="QNK40" s="471"/>
      <c r="QNL40" s="471"/>
      <c r="QNM40" s="471"/>
      <c r="QNN40" s="471"/>
      <c r="QNO40" s="471"/>
      <c r="QNP40" s="471"/>
      <c r="QNQ40" s="471"/>
      <c r="QNR40" s="471"/>
      <c r="QNS40" s="471"/>
      <c r="QNT40" s="471"/>
      <c r="QNU40" s="471"/>
      <c r="QNV40" s="471"/>
      <c r="QNW40" s="471"/>
      <c r="QNX40" s="471"/>
      <c r="QNY40" s="471"/>
      <c r="QNZ40" s="471"/>
      <c r="QOA40" s="471"/>
      <c r="QOB40" s="471"/>
      <c r="QOC40" s="471"/>
      <c r="QOD40" s="471"/>
      <c r="QOE40" s="471"/>
      <c r="QOF40" s="471"/>
      <c r="QOG40" s="471"/>
      <c r="QOH40" s="471"/>
      <c r="QOI40" s="471"/>
      <c r="QOJ40" s="471"/>
      <c r="QOK40" s="471"/>
      <c r="QOL40" s="471"/>
      <c r="QOM40" s="471"/>
      <c r="QON40" s="471"/>
      <c r="QOO40" s="471"/>
      <c r="QOP40" s="471"/>
      <c r="QOQ40" s="471"/>
      <c r="QOR40" s="471"/>
      <c r="QOS40" s="471"/>
      <c r="QOT40" s="471"/>
      <c r="QOU40" s="471"/>
      <c r="QOV40" s="471"/>
      <c r="QOW40" s="471"/>
      <c r="QOX40" s="471"/>
      <c r="QOY40" s="471"/>
      <c r="QOZ40" s="471"/>
      <c r="QPA40" s="471"/>
      <c r="QPB40" s="471"/>
      <c r="QPC40" s="471"/>
      <c r="QPD40" s="471"/>
      <c r="QPE40" s="471"/>
      <c r="QPF40" s="471"/>
      <c r="QPG40" s="471"/>
      <c r="QPH40" s="471"/>
      <c r="QPI40" s="471"/>
      <c r="QPJ40" s="471"/>
      <c r="QPK40" s="471"/>
      <c r="QPL40" s="471"/>
      <c r="QPM40" s="471"/>
      <c r="QPN40" s="471"/>
      <c r="QPO40" s="471"/>
      <c r="QPP40" s="471"/>
      <c r="QPQ40" s="471"/>
      <c r="QPR40" s="471"/>
      <c r="QPS40" s="471"/>
      <c r="QPT40" s="471"/>
      <c r="QPU40" s="471"/>
      <c r="QPV40" s="471"/>
      <c r="QPW40" s="471"/>
      <c r="QPX40" s="471"/>
      <c r="QPY40" s="471"/>
      <c r="QPZ40" s="471"/>
      <c r="QQA40" s="471"/>
      <c r="QQB40" s="471"/>
      <c r="QQC40" s="471"/>
      <c r="QQD40" s="471"/>
      <c r="QQE40" s="471"/>
      <c r="QQF40" s="471"/>
      <c r="QQG40" s="471"/>
      <c r="QQH40" s="471"/>
      <c r="QQI40" s="471"/>
      <c r="QQJ40" s="471"/>
      <c r="QQK40" s="471"/>
      <c r="QQL40" s="471"/>
      <c r="QQM40" s="471"/>
      <c r="QQN40" s="471"/>
      <c r="QQO40" s="471"/>
      <c r="QQP40" s="471"/>
      <c r="QQQ40" s="471"/>
      <c r="QQR40" s="471"/>
      <c r="QQS40" s="471"/>
      <c r="QQT40" s="471"/>
      <c r="QQU40" s="471"/>
      <c r="QQV40" s="471"/>
      <c r="QQW40" s="471"/>
      <c r="QQX40" s="471"/>
      <c r="QQY40" s="471"/>
      <c r="QQZ40" s="471"/>
      <c r="QRA40" s="471"/>
      <c r="QRB40" s="471"/>
      <c r="QRC40" s="471"/>
      <c r="QRD40" s="471"/>
      <c r="QRE40" s="471"/>
      <c r="QRF40" s="471"/>
      <c r="QRG40" s="471"/>
      <c r="QRH40" s="471"/>
      <c r="QRI40" s="471"/>
      <c r="QRJ40" s="471"/>
      <c r="QRK40" s="471"/>
      <c r="QRL40" s="471"/>
      <c r="QRM40" s="471"/>
      <c r="QRN40" s="471"/>
      <c r="QRO40" s="471"/>
      <c r="QRP40" s="471"/>
      <c r="QRQ40" s="471"/>
      <c r="QRR40" s="471"/>
      <c r="QRS40" s="471"/>
      <c r="QRT40" s="471"/>
      <c r="QRU40" s="471"/>
      <c r="QRV40" s="471"/>
      <c r="QRW40" s="471"/>
      <c r="QRX40" s="471"/>
      <c r="QRY40" s="471"/>
      <c r="QRZ40" s="471"/>
      <c r="QSA40" s="471"/>
      <c r="QSB40" s="471"/>
      <c r="QSC40" s="471"/>
      <c r="QSD40" s="471"/>
      <c r="QSE40" s="471"/>
      <c r="QSF40" s="471"/>
      <c r="QSG40" s="471"/>
      <c r="QSH40" s="471"/>
      <c r="QSI40" s="471"/>
      <c r="QSJ40" s="471"/>
      <c r="QSK40" s="471"/>
      <c r="QSL40" s="471"/>
      <c r="QSM40" s="471"/>
      <c r="QSN40" s="471"/>
      <c r="QSO40" s="471"/>
      <c r="QSP40" s="471"/>
      <c r="QSQ40" s="471"/>
      <c r="QSR40" s="471"/>
      <c r="QSS40" s="471"/>
      <c r="QST40" s="471"/>
      <c r="QSU40" s="471"/>
      <c r="QSV40" s="471"/>
      <c r="QSW40" s="471"/>
      <c r="QSX40" s="471"/>
      <c r="QSY40" s="471"/>
      <c r="QSZ40" s="471"/>
      <c r="QTA40" s="471"/>
      <c r="QTB40" s="471"/>
      <c r="QTC40" s="471"/>
      <c r="QTD40" s="471"/>
      <c r="QTE40" s="471"/>
      <c r="QTF40" s="471"/>
      <c r="QTG40" s="471"/>
      <c r="QTH40" s="471"/>
      <c r="QTI40" s="471"/>
      <c r="QTJ40" s="471"/>
      <c r="QTK40" s="471"/>
      <c r="QTL40" s="471"/>
      <c r="QTM40" s="471"/>
      <c r="QTN40" s="471"/>
      <c r="QTO40" s="471"/>
      <c r="QTP40" s="471"/>
      <c r="QTQ40" s="471"/>
      <c r="QTR40" s="471"/>
      <c r="QTS40" s="471"/>
      <c r="QTT40" s="471"/>
      <c r="QTU40" s="471"/>
      <c r="QTV40" s="471"/>
      <c r="QTW40" s="471"/>
      <c r="QTX40" s="471"/>
      <c r="QTY40" s="471"/>
      <c r="QTZ40" s="471"/>
      <c r="QUA40" s="471"/>
      <c r="QUB40" s="471"/>
      <c r="QUC40" s="471"/>
      <c r="QUD40" s="471"/>
      <c r="QUE40" s="471"/>
      <c r="QUF40" s="471"/>
      <c r="QUG40" s="471"/>
      <c r="QUH40" s="471"/>
      <c r="QUI40" s="471"/>
      <c r="QUJ40" s="471"/>
      <c r="QUK40" s="471"/>
      <c r="QUL40" s="471"/>
      <c r="QUM40" s="471"/>
      <c r="QUN40" s="471"/>
      <c r="QUO40" s="471"/>
      <c r="QUP40" s="471"/>
      <c r="QUQ40" s="471"/>
      <c r="QUR40" s="471"/>
      <c r="QUS40" s="471"/>
      <c r="QUT40" s="471"/>
      <c r="QUU40" s="471"/>
      <c r="QUV40" s="471"/>
      <c r="QUW40" s="471"/>
      <c r="QUX40" s="471"/>
      <c r="QUY40" s="471"/>
      <c r="QUZ40" s="471"/>
      <c r="QVA40" s="471"/>
      <c r="QVB40" s="471"/>
      <c r="QVC40" s="471"/>
      <c r="QVD40" s="471"/>
      <c r="QVE40" s="471"/>
      <c r="QVF40" s="471"/>
      <c r="QVG40" s="471"/>
      <c r="QVH40" s="471"/>
      <c r="QVI40" s="471"/>
      <c r="QVJ40" s="471"/>
      <c r="QVK40" s="471"/>
      <c r="QVL40" s="471"/>
      <c r="QVM40" s="471"/>
      <c r="QVN40" s="471"/>
      <c r="QVO40" s="471"/>
      <c r="QVP40" s="471"/>
      <c r="QVQ40" s="471"/>
      <c r="QVR40" s="471"/>
      <c r="QVS40" s="471"/>
      <c r="QVT40" s="471"/>
      <c r="QVU40" s="471"/>
      <c r="QVV40" s="471"/>
      <c r="QVW40" s="471"/>
      <c r="QVX40" s="471"/>
      <c r="QVY40" s="471"/>
      <c r="QVZ40" s="471"/>
      <c r="QWA40" s="471"/>
      <c r="QWB40" s="471"/>
      <c r="QWC40" s="471"/>
      <c r="QWD40" s="471"/>
      <c r="QWE40" s="471"/>
      <c r="QWF40" s="471"/>
      <c r="QWG40" s="471"/>
      <c r="QWH40" s="471"/>
      <c r="QWI40" s="471"/>
      <c r="QWJ40" s="471"/>
      <c r="QWK40" s="471"/>
      <c r="QWL40" s="471"/>
      <c r="QWM40" s="471"/>
      <c r="QWN40" s="471"/>
      <c r="QWO40" s="471"/>
      <c r="QWP40" s="471"/>
      <c r="QWQ40" s="471"/>
      <c r="QWR40" s="471"/>
      <c r="QWS40" s="471"/>
      <c r="QWT40" s="471"/>
      <c r="QWU40" s="471"/>
      <c r="QWV40" s="471"/>
      <c r="QWW40" s="471"/>
      <c r="QWX40" s="471"/>
      <c r="QWY40" s="471"/>
      <c r="QWZ40" s="471"/>
      <c r="QXA40" s="471"/>
      <c r="QXB40" s="471"/>
      <c r="QXC40" s="471"/>
      <c r="QXD40" s="471"/>
      <c r="QXE40" s="471"/>
      <c r="QXF40" s="471"/>
      <c r="QXG40" s="471"/>
      <c r="QXH40" s="471"/>
      <c r="QXI40" s="471"/>
      <c r="QXJ40" s="471"/>
      <c r="QXK40" s="471"/>
      <c r="QXL40" s="471"/>
      <c r="QXM40" s="471"/>
      <c r="QXN40" s="471"/>
      <c r="QXO40" s="471"/>
      <c r="QXP40" s="471"/>
      <c r="QXQ40" s="471"/>
      <c r="QXR40" s="471"/>
      <c r="QXS40" s="471"/>
      <c r="QXT40" s="471"/>
      <c r="QXU40" s="471"/>
      <c r="QXV40" s="471"/>
      <c r="QXW40" s="471"/>
      <c r="QXX40" s="471"/>
      <c r="QXY40" s="471"/>
      <c r="QXZ40" s="471"/>
      <c r="QYA40" s="471"/>
      <c r="QYB40" s="471"/>
      <c r="QYC40" s="471"/>
      <c r="QYD40" s="471"/>
      <c r="QYE40" s="471"/>
      <c r="QYF40" s="471"/>
      <c r="QYG40" s="471"/>
      <c r="QYH40" s="471"/>
      <c r="QYI40" s="471"/>
      <c r="QYJ40" s="471"/>
      <c r="QYK40" s="471"/>
      <c r="QYL40" s="471"/>
      <c r="QYM40" s="471"/>
      <c r="QYN40" s="471"/>
      <c r="QYO40" s="471"/>
      <c r="QYP40" s="471"/>
      <c r="QYQ40" s="471"/>
      <c r="QYR40" s="471"/>
      <c r="QYS40" s="471"/>
      <c r="QYT40" s="471"/>
      <c r="QYU40" s="471"/>
      <c r="QYV40" s="471"/>
      <c r="QYW40" s="471"/>
      <c r="QYX40" s="471"/>
      <c r="QYY40" s="471"/>
      <c r="QYZ40" s="471"/>
      <c r="QZA40" s="471"/>
      <c r="QZB40" s="471"/>
      <c r="QZC40" s="471"/>
      <c r="QZD40" s="471"/>
      <c r="QZE40" s="471"/>
      <c r="QZF40" s="471"/>
      <c r="QZG40" s="471"/>
      <c r="QZH40" s="471"/>
      <c r="QZI40" s="471"/>
      <c r="QZJ40" s="471"/>
      <c r="QZK40" s="471"/>
      <c r="QZL40" s="471"/>
      <c r="QZM40" s="471"/>
      <c r="QZN40" s="471"/>
      <c r="QZO40" s="471"/>
      <c r="QZP40" s="471"/>
      <c r="QZQ40" s="471"/>
      <c r="QZR40" s="471"/>
      <c r="QZS40" s="471"/>
      <c r="QZT40" s="471"/>
      <c r="QZU40" s="471"/>
      <c r="QZV40" s="471"/>
      <c r="QZW40" s="471"/>
      <c r="QZX40" s="471"/>
      <c r="QZY40" s="471"/>
      <c r="QZZ40" s="471"/>
      <c r="RAA40" s="471"/>
      <c r="RAB40" s="471"/>
      <c r="RAC40" s="471"/>
      <c r="RAD40" s="471"/>
      <c r="RAE40" s="471"/>
      <c r="RAF40" s="471"/>
      <c r="RAG40" s="471"/>
      <c r="RAH40" s="471"/>
      <c r="RAI40" s="471"/>
      <c r="RAJ40" s="471"/>
      <c r="RAK40" s="471"/>
      <c r="RAL40" s="471"/>
      <c r="RAM40" s="471"/>
      <c r="RAN40" s="471"/>
      <c r="RAO40" s="471"/>
      <c r="RAP40" s="471"/>
      <c r="RAQ40" s="471"/>
      <c r="RAR40" s="471"/>
      <c r="RAS40" s="471"/>
      <c r="RAT40" s="471"/>
      <c r="RAU40" s="471"/>
      <c r="RAV40" s="471"/>
      <c r="RAW40" s="471"/>
      <c r="RAX40" s="471"/>
      <c r="RAY40" s="471"/>
      <c r="RAZ40" s="471"/>
      <c r="RBA40" s="471"/>
      <c r="RBB40" s="471"/>
      <c r="RBC40" s="471"/>
      <c r="RBD40" s="471"/>
      <c r="RBE40" s="471"/>
      <c r="RBF40" s="471"/>
      <c r="RBG40" s="471"/>
      <c r="RBH40" s="471"/>
      <c r="RBI40" s="471"/>
      <c r="RBJ40" s="471"/>
      <c r="RBK40" s="471"/>
      <c r="RBL40" s="471"/>
      <c r="RBM40" s="471"/>
      <c r="RBN40" s="471"/>
      <c r="RBO40" s="471"/>
      <c r="RBP40" s="471"/>
      <c r="RBQ40" s="471"/>
      <c r="RBR40" s="471"/>
      <c r="RBS40" s="471"/>
      <c r="RBT40" s="471"/>
      <c r="RBU40" s="471"/>
      <c r="RBV40" s="471"/>
      <c r="RBW40" s="471"/>
      <c r="RBX40" s="471"/>
      <c r="RBY40" s="471"/>
      <c r="RBZ40" s="471"/>
      <c r="RCA40" s="471"/>
      <c r="RCB40" s="471"/>
      <c r="RCC40" s="471"/>
      <c r="RCD40" s="471"/>
      <c r="RCE40" s="471"/>
      <c r="RCF40" s="471"/>
      <c r="RCG40" s="471"/>
      <c r="RCH40" s="471"/>
      <c r="RCI40" s="471"/>
      <c r="RCJ40" s="471"/>
      <c r="RCK40" s="471"/>
      <c r="RCL40" s="471"/>
      <c r="RCM40" s="471"/>
      <c r="RCN40" s="471"/>
      <c r="RCO40" s="471"/>
      <c r="RCP40" s="471"/>
      <c r="RCQ40" s="471"/>
      <c r="RCR40" s="471"/>
      <c r="RCS40" s="471"/>
      <c r="RCT40" s="471"/>
      <c r="RCU40" s="471"/>
      <c r="RCV40" s="471"/>
      <c r="RCW40" s="471"/>
      <c r="RCX40" s="471"/>
      <c r="RCY40" s="471"/>
      <c r="RCZ40" s="471"/>
      <c r="RDA40" s="471"/>
      <c r="RDB40" s="471"/>
      <c r="RDC40" s="471"/>
      <c r="RDD40" s="471"/>
      <c r="RDE40" s="471"/>
      <c r="RDF40" s="471"/>
      <c r="RDG40" s="471"/>
      <c r="RDH40" s="471"/>
      <c r="RDI40" s="471"/>
      <c r="RDJ40" s="471"/>
      <c r="RDK40" s="471"/>
      <c r="RDL40" s="471"/>
      <c r="RDM40" s="471"/>
      <c r="RDN40" s="471"/>
      <c r="RDO40" s="471"/>
      <c r="RDP40" s="471"/>
      <c r="RDQ40" s="471"/>
      <c r="RDR40" s="471"/>
      <c r="RDS40" s="471"/>
      <c r="RDT40" s="471"/>
      <c r="RDU40" s="471"/>
      <c r="RDV40" s="471"/>
      <c r="RDW40" s="471"/>
      <c r="RDX40" s="471"/>
      <c r="RDY40" s="471"/>
      <c r="RDZ40" s="471"/>
      <c r="REA40" s="471"/>
      <c r="REB40" s="471"/>
      <c r="REC40" s="471"/>
      <c r="RED40" s="471"/>
      <c r="REE40" s="471"/>
      <c r="REF40" s="471"/>
      <c r="REG40" s="471"/>
      <c r="REH40" s="471"/>
      <c r="REI40" s="471"/>
      <c r="REJ40" s="471"/>
      <c r="REK40" s="471"/>
      <c r="REL40" s="471"/>
      <c r="REM40" s="471"/>
      <c r="REN40" s="471"/>
      <c r="REO40" s="471"/>
      <c r="REP40" s="471"/>
      <c r="REQ40" s="471"/>
      <c r="RER40" s="471"/>
      <c r="RES40" s="471"/>
      <c r="RET40" s="471"/>
      <c r="REU40" s="471"/>
      <c r="REV40" s="471"/>
      <c r="REW40" s="471"/>
      <c r="REX40" s="471"/>
      <c r="REY40" s="471"/>
      <c r="REZ40" s="471"/>
      <c r="RFA40" s="471"/>
      <c r="RFB40" s="471"/>
      <c r="RFC40" s="471"/>
      <c r="RFD40" s="471"/>
      <c r="RFE40" s="471"/>
      <c r="RFF40" s="471"/>
      <c r="RFG40" s="471"/>
      <c r="RFH40" s="471"/>
      <c r="RFI40" s="471"/>
      <c r="RFJ40" s="471"/>
      <c r="RFK40" s="471"/>
      <c r="RFL40" s="471"/>
      <c r="RFM40" s="471"/>
      <c r="RFN40" s="471"/>
      <c r="RFO40" s="471"/>
      <c r="RFP40" s="471"/>
      <c r="RFQ40" s="471"/>
      <c r="RFR40" s="471"/>
      <c r="RFS40" s="471"/>
      <c r="RFT40" s="471"/>
      <c r="RFU40" s="471"/>
      <c r="RFV40" s="471"/>
      <c r="RFW40" s="471"/>
      <c r="RFX40" s="471"/>
      <c r="RFY40" s="471"/>
      <c r="RFZ40" s="471"/>
      <c r="RGA40" s="471"/>
      <c r="RGB40" s="471"/>
      <c r="RGC40" s="471"/>
      <c r="RGD40" s="471"/>
      <c r="RGE40" s="471"/>
      <c r="RGF40" s="471"/>
      <c r="RGG40" s="471"/>
      <c r="RGH40" s="471"/>
      <c r="RGI40" s="471"/>
      <c r="RGJ40" s="471"/>
      <c r="RGK40" s="471"/>
      <c r="RGL40" s="471"/>
      <c r="RGM40" s="471"/>
      <c r="RGN40" s="471"/>
      <c r="RGO40" s="471"/>
      <c r="RGP40" s="471"/>
      <c r="RGQ40" s="471"/>
      <c r="RGR40" s="471"/>
      <c r="RGS40" s="471"/>
      <c r="RGT40" s="471"/>
      <c r="RGU40" s="471"/>
      <c r="RGV40" s="471"/>
      <c r="RGW40" s="471"/>
      <c r="RGX40" s="471"/>
      <c r="RGY40" s="471"/>
      <c r="RGZ40" s="471"/>
      <c r="RHA40" s="471"/>
      <c r="RHB40" s="471"/>
      <c r="RHC40" s="471"/>
      <c r="RHD40" s="471"/>
      <c r="RHE40" s="471"/>
      <c r="RHF40" s="471"/>
      <c r="RHG40" s="471"/>
      <c r="RHH40" s="471"/>
      <c r="RHI40" s="471"/>
      <c r="RHJ40" s="471"/>
      <c r="RHK40" s="471"/>
      <c r="RHL40" s="471"/>
      <c r="RHM40" s="471"/>
      <c r="RHN40" s="471"/>
      <c r="RHO40" s="471"/>
      <c r="RHP40" s="471"/>
      <c r="RHQ40" s="471"/>
      <c r="RHR40" s="471"/>
      <c r="RHS40" s="471"/>
      <c r="RHT40" s="471"/>
      <c r="RHU40" s="471"/>
      <c r="RHV40" s="471"/>
      <c r="RHW40" s="471"/>
      <c r="RHX40" s="471"/>
      <c r="RHY40" s="471"/>
      <c r="RHZ40" s="471"/>
      <c r="RIA40" s="471"/>
      <c r="RIB40" s="471"/>
      <c r="RIC40" s="471"/>
      <c r="RID40" s="471"/>
      <c r="RIE40" s="471"/>
      <c r="RIF40" s="471"/>
      <c r="RIG40" s="471"/>
      <c r="RIH40" s="471"/>
      <c r="RII40" s="471"/>
      <c r="RIJ40" s="471"/>
      <c r="RIK40" s="471"/>
      <c r="RIL40" s="471"/>
      <c r="RIM40" s="471"/>
      <c r="RIN40" s="471"/>
      <c r="RIO40" s="471"/>
      <c r="RIP40" s="471"/>
      <c r="RIQ40" s="471"/>
      <c r="RIR40" s="471"/>
      <c r="RIS40" s="471"/>
      <c r="RIT40" s="471"/>
      <c r="RIU40" s="471"/>
      <c r="RIV40" s="471"/>
      <c r="RIW40" s="471"/>
      <c r="RIX40" s="471"/>
      <c r="RIY40" s="471"/>
      <c r="RIZ40" s="471"/>
      <c r="RJA40" s="471"/>
      <c r="RJB40" s="471"/>
      <c r="RJC40" s="471"/>
      <c r="RJD40" s="471"/>
      <c r="RJE40" s="471"/>
      <c r="RJF40" s="471"/>
      <c r="RJG40" s="471"/>
      <c r="RJH40" s="471"/>
      <c r="RJI40" s="471"/>
      <c r="RJJ40" s="471"/>
      <c r="RJK40" s="471"/>
      <c r="RJL40" s="471"/>
      <c r="RJM40" s="471"/>
      <c r="RJN40" s="471"/>
      <c r="RJO40" s="471"/>
      <c r="RJP40" s="471"/>
      <c r="RJQ40" s="471"/>
      <c r="RJR40" s="471"/>
      <c r="RJS40" s="471"/>
      <c r="RJT40" s="471"/>
      <c r="RJU40" s="471"/>
      <c r="RJV40" s="471"/>
      <c r="RJW40" s="471"/>
      <c r="RJX40" s="471"/>
      <c r="RJY40" s="471"/>
      <c r="RJZ40" s="471"/>
      <c r="RKA40" s="471"/>
      <c r="RKB40" s="471"/>
      <c r="RKC40" s="471"/>
      <c r="RKD40" s="471"/>
      <c r="RKE40" s="471"/>
      <c r="RKF40" s="471"/>
      <c r="RKG40" s="471"/>
      <c r="RKH40" s="471"/>
      <c r="RKI40" s="471"/>
      <c r="RKJ40" s="471"/>
      <c r="RKK40" s="471"/>
      <c r="RKL40" s="471"/>
      <c r="RKM40" s="471"/>
      <c r="RKN40" s="471"/>
      <c r="RKO40" s="471"/>
      <c r="RKP40" s="471"/>
      <c r="RKQ40" s="471"/>
      <c r="RKR40" s="471"/>
      <c r="RKS40" s="471"/>
      <c r="RKT40" s="471"/>
      <c r="RKU40" s="471"/>
      <c r="RKV40" s="471"/>
      <c r="RKW40" s="471"/>
      <c r="RKX40" s="471"/>
      <c r="RKY40" s="471"/>
      <c r="RKZ40" s="471"/>
      <c r="RLA40" s="471"/>
      <c r="RLB40" s="471"/>
      <c r="RLC40" s="471"/>
      <c r="RLD40" s="471"/>
      <c r="RLE40" s="471"/>
      <c r="RLF40" s="471"/>
      <c r="RLG40" s="471"/>
      <c r="RLH40" s="471"/>
      <c r="RLI40" s="471"/>
      <c r="RLJ40" s="471"/>
      <c r="RLK40" s="471"/>
      <c r="RLL40" s="471"/>
      <c r="RLM40" s="471"/>
      <c r="RLN40" s="471"/>
      <c r="RLO40" s="471"/>
      <c r="RLP40" s="471"/>
      <c r="RLQ40" s="471"/>
      <c r="RLR40" s="471"/>
      <c r="RLS40" s="471"/>
      <c r="RLT40" s="471"/>
      <c r="RLU40" s="471"/>
      <c r="RLV40" s="471"/>
      <c r="RLW40" s="471"/>
      <c r="RLX40" s="471"/>
      <c r="RLY40" s="471"/>
      <c r="RLZ40" s="471"/>
      <c r="RMA40" s="471"/>
      <c r="RMB40" s="471"/>
      <c r="RMC40" s="471"/>
      <c r="RMD40" s="471"/>
      <c r="RME40" s="471"/>
      <c r="RMF40" s="471"/>
      <c r="RMG40" s="471"/>
      <c r="RMH40" s="471"/>
      <c r="RMI40" s="471"/>
      <c r="RMJ40" s="471"/>
      <c r="RMK40" s="471"/>
      <c r="RML40" s="471"/>
      <c r="RMM40" s="471"/>
      <c r="RMN40" s="471"/>
      <c r="RMO40" s="471"/>
      <c r="RMP40" s="471"/>
      <c r="RMQ40" s="471"/>
      <c r="RMR40" s="471"/>
      <c r="RMS40" s="471"/>
      <c r="RMT40" s="471"/>
      <c r="RMU40" s="471"/>
      <c r="RMV40" s="471"/>
      <c r="RMW40" s="471"/>
      <c r="RMX40" s="471"/>
      <c r="RMY40" s="471"/>
      <c r="RMZ40" s="471"/>
      <c r="RNA40" s="471"/>
      <c r="RNB40" s="471"/>
      <c r="RNC40" s="471"/>
      <c r="RND40" s="471"/>
      <c r="RNE40" s="471"/>
      <c r="RNF40" s="471"/>
      <c r="RNG40" s="471"/>
      <c r="RNH40" s="471"/>
      <c r="RNI40" s="471"/>
      <c r="RNJ40" s="471"/>
      <c r="RNK40" s="471"/>
      <c r="RNL40" s="471"/>
      <c r="RNM40" s="471"/>
      <c r="RNN40" s="471"/>
      <c r="RNO40" s="471"/>
      <c r="RNP40" s="471"/>
      <c r="RNQ40" s="471"/>
      <c r="RNR40" s="471"/>
      <c r="RNS40" s="471"/>
      <c r="RNT40" s="471"/>
      <c r="RNU40" s="471"/>
      <c r="RNV40" s="471"/>
      <c r="RNW40" s="471"/>
      <c r="RNX40" s="471"/>
      <c r="RNY40" s="471"/>
      <c r="RNZ40" s="471"/>
      <c r="ROA40" s="471"/>
      <c r="ROB40" s="471"/>
      <c r="ROC40" s="471"/>
      <c r="ROD40" s="471"/>
      <c r="ROE40" s="471"/>
      <c r="ROF40" s="471"/>
      <c r="ROG40" s="471"/>
      <c r="ROH40" s="471"/>
      <c r="ROI40" s="471"/>
      <c r="ROJ40" s="471"/>
      <c r="ROK40" s="471"/>
      <c r="ROL40" s="471"/>
      <c r="ROM40" s="471"/>
      <c r="RON40" s="471"/>
      <c r="ROO40" s="471"/>
      <c r="ROP40" s="471"/>
      <c r="ROQ40" s="471"/>
      <c r="ROR40" s="471"/>
      <c r="ROS40" s="471"/>
      <c r="ROT40" s="471"/>
      <c r="ROU40" s="471"/>
      <c r="ROV40" s="471"/>
      <c r="ROW40" s="471"/>
      <c r="ROX40" s="471"/>
      <c r="ROY40" s="471"/>
      <c r="ROZ40" s="471"/>
      <c r="RPA40" s="471"/>
      <c r="RPB40" s="471"/>
      <c r="RPC40" s="471"/>
      <c r="RPD40" s="471"/>
      <c r="RPE40" s="471"/>
      <c r="RPF40" s="471"/>
      <c r="RPG40" s="471"/>
      <c r="RPH40" s="471"/>
      <c r="RPI40" s="471"/>
      <c r="RPJ40" s="471"/>
      <c r="RPK40" s="471"/>
      <c r="RPL40" s="471"/>
      <c r="RPM40" s="471"/>
      <c r="RPN40" s="471"/>
      <c r="RPO40" s="471"/>
      <c r="RPP40" s="471"/>
      <c r="RPQ40" s="471"/>
      <c r="RPR40" s="471"/>
      <c r="RPS40" s="471"/>
      <c r="RPT40" s="471"/>
      <c r="RPU40" s="471"/>
      <c r="RPV40" s="471"/>
      <c r="RPW40" s="471"/>
      <c r="RPX40" s="471"/>
      <c r="RPY40" s="471"/>
      <c r="RPZ40" s="471"/>
      <c r="RQA40" s="471"/>
      <c r="RQB40" s="471"/>
      <c r="RQC40" s="471"/>
      <c r="RQD40" s="471"/>
      <c r="RQE40" s="471"/>
      <c r="RQF40" s="471"/>
      <c r="RQG40" s="471"/>
      <c r="RQH40" s="471"/>
      <c r="RQI40" s="471"/>
      <c r="RQJ40" s="471"/>
      <c r="RQK40" s="471"/>
      <c r="RQL40" s="471"/>
      <c r="RQM40" s="471"/>
      <c r="RQN40" s="471"/>
      <c r="RQO40" s="471"/>
      <c r="RQP40" s="471"/>
      <c r="RQQ40" s="471"/>
      <c r="RQR40" s="471"/>
      <c r="RQS40" s="471"/>
      <c r="RQT40" s="471"/>
      <c r="RQU40" s="471"/>
      <c r="RQV40" s="471"/>
      <c r="RQW40" s="471"/>
      <c r="RQX40" s="471"/>
      <c r="RQY40" s="471"/>
      <c r="RQZ40" s="471"/>
      <c r="RRA40" s="471"/>
      <c r="RRB40" s="471"/>
      <c r="RRC40" s="471"/>
      <c r="RRD40" s="471"/>
      <c r="RRE40" s="471"/>
      <c r="RRF40" s="471"/>
      <c r="RRG40" s="471"/>
      <c r="RRH40" s="471"/>
      <c r="RRI40" s="471"/>
      <c r="RRJ40" s="471"/>
      <c r="RRK40" s="471"/>
      <c r="RRL40" s="471"/>
      <c r="RRM40" s="471"/>
      <c r="RRN40" s="471"/>
      <c r="RRO40" s="471"/>
      <c r="RRP40" s="471"/>
      <c r="RRQ40" s="471"/>
      <c r="RRR40" s="471"/>
      <c r="RRS40" s="471"/>
      <c r="RRT40" s="471"/>
      <c r="RRU40" s="471"/>
      <c r="RRV40" s="471"/>
      <c r="RRW40" s="471"/>
      <c r="RRX40" s="471"/>
      <c r="RRY40" s="471"/>
      <c r="RRZ40" s="471"/>
      <c r="RSA40" s="471"/>
      <c r="RSB40" s="471"/>
      <c r="RSC40" s="471"/>
      <c r="RSD40" s="471"/>
      <c r="RSE40" s="471"/>
      <c r="RSF40" s="471"/>
      <c r="RSG40" s="471"/>
      <c r="RSH40" s="471"/>
      <c r="RSI40" s="471"/>
      <c r="RSJ40" s="471"/>
      <c r="RSK40" s="471"/>
      <c r="RSL40" s="471"/>
      <c r="RSM40" s="471"/>
      <c r="RSN40" s="471"/>
      <c r="RSO40" s="471"/>
      <c r="RSP40" s="471"/>
      <c r="RSQ40" s="471"/>
      <c r="RSR40" s="471"/>
      <c r="RSS40" s="471"/>
      <c r="RST40" s="471"/>
      <c r="RSU40" s="471"/>
      <c r="RSV40" s="471"/>
      <c r="RSW40" s="471"/>
      <c r="RSX40" s="471"/>
      <c r="RSY40" s="471"/>
      <c r="RSZ40" s="471"/>
      <c r="RTA40" s="471"/>
      <c r="RTB40" s="471"/>
      <c r="RTC40" s="471"/>
      <c r="RTD40" s="471"/>
      <c r="RTE40" s="471"/>
      <c r="RTF40" s="471"/>
      <c r="RTG40" s="471"/>
      <c r="RTH40" s="471"/>
      <c r="RTI40" s="471"/>
      <c r="RTJ40" s="471"/>
      <c r="RTK40" s="471"/>
      <c r="RTL40" s="471"/>
      <c r="RTM40" s="471"/>
      <c r="RTN40" s="471"/>
      <c r="RTO40" s="471"/>
      <c r="RTP40" s="471"/>
      <c r="RTQ40" s="471"/>
      <c r="RTR40" s="471"/>
      <c r="RTS40" s="471"/>
      <c r="RTT40" s="471"/>
      <c r="RTU40" s="471"/>
      <c r="RTV40" s="471"/>
      <c r="RTW40" s="471"/>
      <c r="RTX40" s="471"/>
      <c r="RTY40" s="471"/>
      <c r="RTZ40" s="471"/>
      <c r="RUA40" s="471"/>
      <c r="RUB40" s="471"/>
      <c r="RUC40" s="471"/>
      <c r="RUD40" s="471"/>
      <c r="RUE40" s="471"/>
      <c r="RUF40" s="471"/>
      <c r="RUG40" s="471"/>
      <c r="RUH40" s="471"/>
      <c r="RUI40" s="471"/>
      <c r="RUJ40" s="471"/>
      <c r="RUK40" s="471"/>
      <c r="RUL40" s="471"/>
      <c r="RUM40" s="471"/>
      <c r="RUN40" s="471"/>
      <c r="RUO40" s="471"/>
      <c r="RUP40" s="471"/>
      <c r="RUQ40" s="471"/>
      <c r="RUR40" s="471"/>
      <c r="RUS40" s="471"/>
      <c r="RUT40" s="471"/>
      <c r="RUU40" s="471"/>
      <c r="RUV40" s="471"/>
      <c r="RUW40" s="471"/>
      <c r="RUX40" s="471"/>
      <c r="RUY40" s="471"/>
      <c r="RUZ40" s="471"/>
      <c r="RVA40" s="471"/>
      <c r="RVB40" s="471"/>
      <c r="RVC40" s="471"/>
      <c r="RVD40" s="471"/>
      <c r="RVE40" s="471"/>
      <c r="RVF40" s="471"/>
      <c r="RVG40" s="471"/>
      <c r="RVH40" s="471"/>
      <c r="RVI40" s="471"/>
      <c r="RVJ40" s="471"/>
      <c r="RVK40" s="471"/>
      <c r="RVL40" s="471"/>
      <c r="RVM40" s="471"/>
      <c r="RVN40" s="471"/>
      <c r="RVO40" s="471"/>
      <c r="RVP40" s="471"/>
      <c r="RVQ40" s="471"/>
      <c r="RVR40" s="471"/>
      <c r="RVS40" s="471"/>
      <c r="RVT40" s="471"/>
      <c r="RVU40" s="471"/>
      <c r="RVV40" s="471"/>
      <c r="RVW40" s="471"/>
      <c r="RVX40" s="471"/>
      <c r="RVY40" s="471"/>
      <c r="RVZ40" s="471"/>
      <c r="RWA40" s="471"/>
      <c r="RWB40" s="471"/>
      <c r="RWC40" s="471"/>
      <c r="RWD40" s="471"/>
      <c r="RWE40" s="471"/>
      <c r="RWF40" s="471"/>
      <c r="RWG40" s="471"/>
      <c r="RWH40" s="471"/>
      <c r="RWI40" s="471"/>
      <c r="RWJ40" s="471"/>
      <c r="RWK40" s="471"/>
      <c r="RWL40" s="471"/>
      <c r="RWM40" s="471"/>
      <c r="RWN40" s="471"/>
      <c r="RWO40" s="471"/>
      <c r="RWP40" s="471"/>
      <c r="RWQ40" s="471"/>
      <c r="RWR40" s="471"/>
      <c r="RWS40" s="471"/>
      <c r="RWT40" s="471"/>
      <c r="RWU40" s="471"/>
      <c r="RWV40" s="471"/>
      <c r="RWW40" s="471"/>
      <c r="RWX40" s="471"/>
      <c r="RWY40" s="471"/>
      <c r="RWZ40" s="471"/>
      <c r="RXA40" s="471"/>
      <c r="RXB40" s="471"/>
      <c r="RXC40" s="471"/>
      <c r="RXD40" s="471"/>
      <c r="RXE40" s="471"/>
      <c r="RXF40" s="471"/>
      <c r="RXG40" s="471"/>
      <c r="RXH40" s="471"/>
      <c r="RXI40" s="471"/>
      <c r="RXJ40" s="471"/>
      <c r="RXK40" s="471"/>
      <c r="RXL40" s="471"/>
      <c r="RXM40" s="471"/>
      <c r="RXN40" s="471"/>
      <c r="RXO40" s="471"/>
      <c r="RXP40" s="471"/>
      <c r="RXQ40" s="471"/>
      <c r="RXR40" s="471"/>
      <c r="RXS40" s="471"/>
      <c r="RXT40" s="471"/>
      <c r="RXU40" s="471"/>
      <c r="RXV40" s="471"/>
      <c r="RXW40" s="471"/>
      <c r="RXX40" s="471"/>
      <c r="RXY40" s="471"/>
      <c r="RXZ40" s="471"/>
      <c r="RYA40" s="471"/>
      <c r="RYB40" s="471"/>
      <c r="RYC40" s="471"/>
      <c r="RYD40" s="471"/>
      <c r="RYE40" s="471"/>
      <c r="RYF40" s="471"/>
      <c r="RYG40" s="471"/>
      <c r="RYH40" s="471"/>
      <c r="RYI40" s="471"/>
      <c r="RYJ40" s="471"/>
      <c r="RYK40" s="471"/>
      <c r="RYL40" s="471"/>
      <c r="RYM40" s="471"/>
      <c r="RYN40" s="471"/>
      <c r="RYO40" s="471"/>
      <c r="RYP40" s="471"/>
      <c r="RYQ40" s="471"/>
      <c r="RYR40" s="471"/>
      <c r="RYS40" s="471"/>
      <c r="RYT40" s="471"/>
      <c r="RYU40" s="471"/>
      <c r="RYV40" s="471"/>
      <c r="RYW40" s="471"/>
      <c r="RYX40" s="471"/>
      <c r="RYY40" s="471"/>
      <c r="RYZ40" s="471"/>
      <c r="RZA40" s="471"/>
      <c r="RZB40" s="471"/>
      <c r="RZC40" s="471"/>
      <c r="RZD40" s="471"/>
      <c r="RZE40" s="471"/>
      <c r="RZF40" s="471"/>
      <c r="RZG40" s="471"/>
      <c r="RZH40" s="471"/>
      <c r="RZI40" s="471"/>
      <c r="RZJ40" s="471"/>
      <c r="RZK40" s="471"/>
      <c r="RZL40" s="471"/>
      <c r="RZM40" s="471"/>
      <c r="RZN40" s="471"/>
      <c r="RZO40" s="471"/>
      <c r="RZP40" s="471"/>
      <c r="RZQ40" s="471"/>
      <c r="RZR40" s="471"/>
      <c r="RZS40" s="471"/>
      <c r="RZT40" s="471"/>
      <c r="RZU40" s="471"/>
      <c r="RZV40" s="471"/>
      <c r="RZW40" s="471"/>
      <c r="RZX40" s="471"/>
      <c r="RZY40" s="471"/>
      <c r="RZZ40" s="471"/>
      <c r="SAA40" s="471"/>
      <c r="SAB40" s="471"/>
      <c r="SAC40" s="471"/>
      <c r="SAD40" s="471"/>
      <c r="SAE40" s="471"/>
      <c r="SAF40" s="471"/>
      <c r="SAG40" s="471"/>
      <c r="SAH40" s="471"/>
      <c r="SAI40" s="471"/>
      <c r="SAJ40" s="471"/>
      <c r="SAK40" s="471"/>
      <c r="SAL40" s="471"/>
      <c r="SAM40" s="471"/>
      <c r="SAN40" s="471"/>
      <c r="SAO40" s="471"/>
      <c r="SAP40" s="471"/>
      <c r="SAQ40" s="471"/>
      <c r="SAR40" s="471"/>
      <c r="SAS40" s="471"/>
      <c r="SAT40" s="471"/>
      <c r="SAU40" s="471"/>
      <c r="SAV40" s="471"/>
      <c r="SAW40" s="471"/>
      <c r="SAX40" s="471"/>
      <c r="SAY40" s="471"/>
      <c r="SAZ40" s="471"/>
      <c r="SBA40" s="471"/>
      <c r="SBB40" s="471"/>
      <c r="SBC40" s="471"/>
      <c r="SBD40" s="471"/>
      <c r="SBE40" s="471"/>
      <c r="SBF40" s="471"/>
      <c r="SBG40" s="471"/>
      <c r="SBH40" s="471"/>
      <c r="SBI40" s="471"/>
      <c r="SBJ40" s="471"/>
      <c r="SBK40" s="471"/>
      <c r="SBL40" s="471"/>
      <c r="SBM40" s="471"/>
      <c r="SBN40" s="471"/>
      <c r="SBO40" s="471"/>
      <c r="SBP40" s="471"/>
      <c r="SBQ40" s="471"/>
      <c r="SBR40" s="471"/>
      <c r="SBS40" s="471"/>
      <c r="SBT40" s="471"/>
      <c r="SBU40" s="471"/>
      <c r="SBV40" s="471"/>
      <c r="SBW40" s="471"/>
      <c r="SBX40" s="471"/>
      <c r="SBY40" s="471"/>
      <c r="SBZ40" s="471"/>
      <c r="SCA40" s="471"/>
      <c r="SCB40" s="471"/>
      <c r="SCC40" s="471"/>
      <c r="SCD40" s="471"/>
      <c r="SCE40" s="471"/>
      <c r="SCF40" s="471"/>
      <c r="SCG40" s="471"/>
      <c r="SCH40" s="471"/>
      <c r="SCI40" s="471"/>
      <c r="SCJ40" s="471"/>
      <c r="SCK40" s="471"/>
      <c r="SCL40" s="471"/>
      <c r="SCM40" s="471"/>
      <c r="SCN40" s="471"/>
      <c r="SCO40" s="471"/>
      <c r="SCP40" s="471"/>
      <c r="SCQ40" s="471"/>
      <c r="SCR40" s="471"/>
      <c r="SCS40" s="471"/>
      <c r="SCT40" s="471"/>
      <c r="SCU40" s="471"/>
      <c r="SCV40" s="471"/>
      <c r="SCW40" s="471"/>
      <c r="SCX40" s="471"/>
      <c r="SCY40" s="471"/>
      <c r="SCZ40" s="471"/>
      <c r="SDA40" s="471"/>
      <c r="SDB40" s="471"/>
      <c r="SDC40" s="471"/>
      <c r="SDD40" s="471"/>
      <c r="SDE40" s="471"/>
      <c r="SDF40" s="471"/>
      <c r="SDG40" s="471"/>
      <c r="SDH40" s="471"/>
      <c r="SDI40" s="471"/>
      <c r="SDJ40" s="471"/>
      <c r="SDK40" s="471"/>
      <c r="SDL40" s="471"/>
      <c r="SDM40" s="471"/>
      <c r="SDN40" s="471"/>
      <c r="SDO40" s="471"/>
      <c r="SDP40" s="471"/>
      <c r="SDQ40" s="471"/>
      <c r="SDR40" s="471"/>
      <c r="SDS40" s="471"/>
      <c r="SDT40" s="471"/>
      <c r="SDU40" s="471"/>
      <c r="SDV40" s="471"/>
      <c r="SDW40" s="471"/>
      <c r="SDX40" s="471"/>
      <c r="SDY40" s="471"/>
      <c r="SDZ40" s="471"/>
      <c r="SEA40" s="471"/>
      <c r="SEB40" s="471"/>
      <c r="SEC40" s="471"/>
      <c r="SED40" s="471"/>
      <c r="SEE40" s="471"/>
      <c r="SEF40" s="471"/>
      <c r="SEG40" s="471"/>
      <c r="SEH40" s="471"/>
      <c r="SEI40" s="471"/>
      <c r="SEJ40" s="471"/>
      <c r="SEK40" s="471"/>
      <c r="SEL40" s="471"/>
      <c r="SEM40" s="471"/>
      <c r="SEN40" s="471"/>
      <c r="SEO40" s="471"/>
      <c r="SEP40" s="471"/>
      <c r="SEQ40" s="471"/>
      <c r="SER40" s="471"/>
      <c r="SES40" s="471"/>
      <c r="SET40" s="471"/>
      <c r="SEU40" s="471"/>
      <c r="SEV40" s="471"/>
      <c r="SEW40" s="471"/>
      <c r="SEX40" s="471"/>
      <c r="SEY40" s="471"/>
      <c r="SEZ40" s="471"/>
      <c r="SFA40" s="471"/>
      <c r="SFB40" s="471"/>
      <c r="SFC40" s="471"/>
      <c r="SFD40" s="471"/>
      <c r="SFE40" s="471"/>
      <c r="SFF40" s="471"/>
      <c r="SFG40" s="471"/>
      <c r="SFH40" s="471"/>
      <c r="SFI40" s="471"/>
      <c r="SFJ40" s="471"/>
      <c r="SFK40" s="471"/>
      <c r="SFL40" s="471"/>
      <c r="SFM40" s="471"/>
      <c r="SFN40" s="471"/>
      <c r="SFO40" s="471"/>
      <c r="SFP40" s="471"/>
      <c r="SFQ40" s="471"/>
      <c r="SFR40" s="471"/>
      <c r="SFS40" s="471"/>
      <c r="SFT40" s="471"/>
      <c r="SFU40" s="471"/>
      <c r="SFV40" s="471"/>
      <c r="SFW40" s="471"/>
      <c r="SFX40" s="471"/>
      <c r="SFY40" s="471"/>
      <c r="SFZ40" s="471"/>
      <c r="SGA40" s="471"/>
      <c r="SGB40" s="471"/>
      <c r="SGC40" s="471"/>
      <c r="SGD40" s="471"/>
      <c r="SGE40" s="471"/>
      <c r="SGF40" s="471"/>
      <c r="SGG40" s="471"/>
      <c r="SGH40" s="471"/>
      <c r="SGI40" s="471"/>
      <c r="SGJ40" s="471"/>
      <c r="SGK40" s="471"/>
      <c r="SGL40" s="471"/>
      <c r="SGM40" s="471"/>
      <c r="SGN40" s="471"/>
      <c r="SGO40" s="471"/>
      <c r="SGP40" s="471"/>
      <c r="SGQ40" s="471"/>
      <c r="SGR40" s="471"/>
      <c r="SGS40" s="471"/>
      <c r="SGT40" s="471"/>
      <c r="SGU40" s="471"/>
      <c r="SGV40" s="471"/>
      <c r="SGW40" s="471"/>
      <c r="SGX40" s="471"/>
      <c r="SGY40" s="471"/>
      <c r="SGZ40" s="471"/>
      <c r="SHA40" s="471"/>
      <c r="SHB40" s="471"/>
      <c r="SHC40" s="471"/>
      <c r="SHD40" s="471"/>
      <c r="SHE40" s="471"/>
      <c r="SHF40" s="471"/>
      <c r="SHG40" s="471"/>
      <c r="SHH40" s="471"/>
      <c r="SHI40" s="471"/>
      <c r="SHJ40" s="471"/>
      <c r="SHK40" s="471"/>
      <c r="SHL40" s="471"/>
      <c r="SHM40" s="471"/>
      <c r="SHN40" s="471"/>
      <c r="SHO40" s="471"/>
      <c r="SHP40" s="471"/>
      <c r="SHQ40" s="471"/>
      <c r="SHR40" s="471"/>
      <c r="SHS40" s="471"/>
      <c r="SHT40" s="471"/>
      <c r="SHU40" s="471"/>
      <c r="SHV40" s="471"/>
      <c r="SHW40" s="471"/>
      <c r="SHX40" s="471"/>
      <c r="SHY40" s="471"/>
      <c r="SHZ40" s="471"/>
      <c r="SIA40" s="471"/>
      <c r="SIB40" s="471"/>
      <c r="SIC40" s="471"/>
      <c r="SID40" s="471"/>
      <c r="SIE40" s="471"/>
      <c r="SIF40" s="471"/>
      <c r="SIG40" s="471"/>
      <c r="SIH40" s="471"/>
      <c r="SII40" s="471"/>
      <c r="SIJ40" s="471"/>
      <c r="SIK40" s="471"/>
      <c r="SIL40" s="471"/>
      <c r="SIM40" s="471"/>
      <c r="SIN40" s="471"/>
      <c r="SIO40" s="471"/>
      <c r="SIP40" s="471"/>
      <c r="SIQ40" s="471"/>
      <c r="SIR40" s="471"/>
      <c r="SIS40" s="471"/>
      <c r="SIT40" s="471"/>
      <c r="SIU40" s="471"/>
      <c r="SIV40" s="471"/>
      <c r="SIW40" s="471"/>
      <c r="SIX40" s="471"/>
      <c r="SIY40" s="471"/>
      <c r="SIZ40" s="471"/>
      <c r="SJA40" s="471"/>
      <c r="SJB40" s="471"/>
      <c r="SJC40" s="471"/>
      <c r="SJD40" s="471"/>
      <c r="SJE40" s="471"/>
      <c r="SJF40" s="471"/>
      <c r="SJG40" s="471"/>
      <c r="SJH40" s="471"/>
      <c r="SJI40" s="471"/>
      <c r="SJJ40" s="471"/>
      <c r="SJK40" s="471"/>
      <c r="SJL40" s="471"/>
      <c r="SJM40" s="471"/>
      <c r="SJN40" s="471"/>
      <c r="SJO40" s="471"/>
      <c r="SJP40" s="471"/>
      <c r="SJQ40" s="471"/>
      <c r="SJR40" s="471"/>
      <c r="SJS40" s="471"/>
      <c r="SJT40" s="471"/>
      <c r="SJU40" s="471"/>
      <c r="SJV40" s="471"/>
      <c r="SJW40" s="471"/>
      <c r="SJX40" s="471"/>
      <c r="SJY40" s="471"/>
      <c r="SJZ40" s="471"/>
      <c r="SKA40" s="471"/>
      <c r="SKB40" s="471"/>
      <c r="SKC40" s="471"/>
      <c r="SKD40" s="471"/>
      <c r="SKE40" s="471"/>
      <c r="SKF40" s="471"/>
      <c r="SKG40" s="471"/>
      <c r="SKH40" s="471"/>
      <c r="SKI40" s="471"/>
      <c r="SKJ40" s="471"/>
      <c r="SKK40" s="471"/>
      <c r="SKL40" s="471"/>
      <c r="SKM40" s="471"/>
      <c r="SKN40" s="471"/>
      <c r="SKO40" s="471"/>
      <c r="SKP40" s="471"/>
      <c r="SKQ40" s="471"/>
      <c r="SKR40" s="471"/>
      <c r="SKS40" s="471"/>
      <c r="SKT40" s="471"/>
      <c r="SKU40" s="471"/>
      <c r="SKV40" s="471"/>
      <c r="SKW40" s="471"/>
      <c r="SKX40" s="471"/>
      <c r="SKY40" s="471"/>
      <c r="SKZ40" s="471"/>
      <c r="SLA40" s="471"/>
      <c r="SLB40" s="471"/>
      <c r="SLC40" s="471"/>
      <c r="SLD40" s="471"/>
      <c r="SLE40" s="471"/>
      <c r="SLF40" s="471"/>
      <c r="SLG40" s="471"/>
      <c r="SLH40" s="471"/>
      <c r="SLI40" s="471"/>
      <c r="SLJ40" s="471"/>
      <c r="SLK40" s="471"/>
      <c r="SLL40" s="471"/>
      <c r="SLM40" s="471"/>
      <c r="SLN40" s="471"/>
      <c r="SLO40" s="471"/>
      <c r="SLP40" s="471"/>
      <c r="SLQ40" s="471"/>
      <c r="SLR40" s="471"/>
      <c r="SLS40" s="471"/>
      <c r="SLT40" s="471"/>
      <c r="SLU40" s="471"/>
      <c r="SLV40" s="471"/>
      <c r="SLW40" s="471"/>
      <c r="SLX40" s="471"/>
      <c r="SLY40" s="471"/>
      <c r="SLZ40" s="471"/>
      <c r="SMA40" s="471"/>
      <c r="SMB40" s="471"/>
      <c r="SMC40" s="471"/>
      <c r="SMD40" s="471"/>
      <c r="SME40" s="471"/>
      <c r="SMF40" s="471"/>
      <c r="SMG40" s="471"/>
      <c r="SMH40" s="471"/>
      <c r="SMI40" s="471"/>
      <c r="SMJ40" s="471"/>
      <c r="SMK40" s="471"/>
      <c r="SML40" s="471"/>
      <c r="SMM40" s="471"/>
      <c r="SMN40" s="471"/>
      <c r="SMO40" s="471"/>
      <c r="SMP40" s="471"/>
      <c r="SMQ40" s="471"/>
      <c r="SMR40" s="471"/>
      <c r="SMS40" s="471"/>
      <c r="SMT40" s="471"/>
      <c r="SMU40" s="471"/>
      <c r="SMV40" s="471"/>
      <c r="SMW40" s="471"/>
      <c r="SMX40" s="471"/>
      <c r="SMY40" s="471"/>
      <c r="SMZ40" s="471"/>
      <c r="SNA40" s="471"/>
      <c r="SNB40" s="471"/>
      <c r="SNC40" s="471"/>
      <c r="SND40" s="471"/>
      <c r="SNE40" s="471"/>
      <c r="SNF40" s="471"/>
      <c r="SNG40" s="471"/>
      <c r="SNH40" s="471"/>
      <c r="SNI40" s="471"/>
      <c r="SNJ40" s="471"/>
      <c r="SNK40" s="471"/>
      <c r="SNL40" s="471"/>
      <c r="SNM40" s="471"/>
      <c r="SNN40" s="471"/>
      <c r="SNO40" s="471"/>
      <c r="SNP40" s="471"/>
      <c r="SNQ40" s="471"/>
      <c r="SNR40" s="471"/>
      <c r="SNS40" s="471"/>
      <c r="SNT40" s="471"/>
      <c r="SNU40" s="471"/>
      <c r="SNV40" s="471"/>
      <c r="SNW40" s="471"/>
      <c r="SNX40" s="471"/>
      <c r="SNY40" s="471"/>
      <c r="SNZ40" s="471"/>
      <c r="SOA40" s="471"/>
      <c r="SOB40" s="471"/>
      <c r="SOC40" s="471"/>
      <c r="SOD40" s="471"/>
      <c r="SOE40" s="471"/>
      <c r="SOF40" s="471"/>
      <c r="SOG40" s="471"/>
      <c r="SOH40" s="471"/>
      <c r="SOI40" s="471"/>
      <c r="SOJ40" s="471"/>
      <c r="SOK40" s="471"/>
      <c r="SOL40" s="471"/>
      <c r="SOM40" s="471"/>
      <c r="SON40" s="471"/>
      <c r="SOO40" s="471"/>
      <c r="SOP40" s="471"/>
      <c r="SOQ40" s="471"/>
      <c r="SOR40" s="471"/>
      <c r="SOS40" s="471"/>
      <c r="SOT40" s="471"/>
      <c r="SOU40" s="471"/>
      <c r="SOV40" s="471"/>
      <c r="SOW40" s="471"/>
      <c r="SOX40" s="471"/>
      <c r="SOY40" s="471"/>
      <c r="SOZ40" s="471"/>
      <c r="SPA40" s="471"/>
      <c r="SPB40" s="471"/>
      <c r="SPC40" s="471"/>
      <c r="SPD40" s="471"/>
      <c r="SPE40" s="471"/>
      <c r="SPF40" s="471"/>
      <c r="SPG40" s="471"/>
      <c r="SPH40" s="471"/>
      <c r="SPI40" s="471"/>
      <c r="SPJ40" s="471"/>
      <c r="SPK40" s="471"/>
      <c r="SPL40" s="471"/>
      <c r="SPM40" s="471"/>
      <c r="SPN40" s="471"/>
      <c r="SPO40" s="471"/>
      <c r="SPP40" s="471"/>
      <c r="SPQ40" s="471"/>
      <c r="SPR40" s="471"/>
      <c r="SPS40" s="471"/>
      <c r="SPT40" s="471"/>
      <c r="SPU40" s="471"/>
      <c r="SPV40" s="471"/>
      <c r="SPW40" s="471"/>
      <c r="SPX40" s="471"/>
      <c r="SPY40" s="471"/>
      <c r="SPZ40" s="471"/>
      <c r="SQA40" s="471"/>
      <c r="SQB40" s="471"/>
      <c r="SQC40" s="471"/>
      <c r="SQD40" s="471"/>
      <c r="SQE40" s="471"/>
      <c r="SQF40" s="471"/>
      <c r="SQG40" s="471"/>
      <c r="SQH40" s="471"/>
      <c r="SQI40" s="471"/>
      <c r="SQJ40" s="471"/>
      <c r="SQK40" s="471"/>
      <c r="SQL40" s="471"/>
      <c r="SQM40" s="471"/>
      <c r="SQN40" s="471"/>
      <c r="SQO40" s="471"/>
      <c r="SQP40" s="471"/>
      <c r="SQQ40" s="471"/>
      <c r="SQR40" s="471"/>
      <c r="SQS40" s="471"/>
      <c r="SQT40" s="471"/>
      <c r="SQU40" s="471"/>
      <c r="SQV40" s="471"/>
      <c r="SQW40" s="471"/>
      <c r="SQX40" s="471"/>
      <c r="SQY40" s="471"/>
      <c r="SQZ40" s="471"/>
      <c r="SRA40" s="471"/>
      <c r="SRB40" s="471"/>
      <c r="SRC40" s="471"/>
      <c r="SRD40" s="471"/>
      <c r="SRE40" s="471"/>
      <c r="SRF40" s="471"/>
      <c r="SRG40" s="471"/>
      <c r="SRH40" s="471"/>
      <c r="SRI40" s="471"/>
      <c r="SRJ40" s="471"/>
      <c r="SRK40" s="471"/>
      <c r="SRL40" s="471"/>
      <c r="SRM40" s="471"/>
      <c r="SRN40" s="471"/>
      <c r="SRO40" s="471"/>
      <c r="SRP40" s="471"/>
      <c r="SRQ40" s="471"/>
      <c r="SRR40" s="471"/>
      <c r="SRS40" s="471"/>
      <c r="SRT40" s="471"/>
      <c r="SRU40" s="471"/>
      <c r="SRV40" s="471"/>
      <c r="SRW40" s="471"/>
      <c r="SRX40" s="471"/>
      <c r="SRY40" s="471"/>
      <c r="SRZ40" s="471"/>
      <c r="SSA40" s="471"/>
      <c r="SSB40" s="471"/>
      <c r="SSC40" s="471"/>
      <c r="SSD40" s="471"/>
      <c r="SSE40" s="471"/>
      <c r="SSF40" s="471"/>
      <c r="SSG40" s="471"/>
      <c r="SSH40" s="471"/>
      <c r="SSI40" s="471"/>
      <c r="SSJ40" s="471"/>
      <c r="SSK40" s="471"/>
      <c r="SSL40" s="471"/>
      <c r="SSM40" s="471"/>
      <c r="SSN40" s="471"/>
      <c r="SSO40" s="471"/>
      <c r="SSP40" s="471"/>
      <c r="SSQ40" s="471"/>
      <c r="SSR40" s="471"/>
      <c r="SSS40" s="471"/>
      <c r="SST40" s="471"/>
      <c r="SSU40" s="471"/>
      <c r="SSV40" s="471"/>
      <c r="SSW40" s="471"/>
      <c r="SSX40" s="471"/>
      <c r="SSY40" s="471"/>
      <c r="SSZ40" s="471"/>
      <c r="STA40" s="471"/>
      <c r="STB40" s="471"/>
      <c r="STC40" s="471"/>
      <c r="STD40" s="471"/>
      <c r="STE40" s="471"/>
      <c r="STF40" s="471"/>
      <c r="STG40" s="471"/>
      <c r="STH40" s="471"/>
      <c r="STI40" s="471"/>
      <c r="STJ40" s="471"/>
      <c r="STK40" s="471"/>
      <c r="STL40" s="471"/>
      <c r="STM40" s="471"/>
      <c r="STN40" s="471"/>
      <c r="STO40" s="471"/>
      <c r="STP40" s="471"/>
      <c r="STQ40" s="471"/>
      <c r="STR40" s="471"/>
      <c r="STS40" s="471"/>
      <c r="STT40" s="471"/>
      <c r="STU40" s="471"/>
      <c r="STV40" s="471"/>
      <c r="STW40" s="471"/>
      <c r="STX40" s="471"/>
      <c r="STY40" s="471"/>
      <c r="STZ40" s="471"/>
      <c r="SUA40" s="471"/>
      <c r="SUB40" s="471"/>
      <c r="SUC40" s="471"/>
      <c r="SUD40" s="471"/>
      <c r="SUE40" s="471"/>
      <c r="SUF40" s="471"/>
      <c r="SUG40" s="471"/>
      <c r="SUH40" s="471"/>
      <c r="SUI40" s="471"/>
      <c r="SUJ40" s="471"/>
      <c r="SUK40" s="471"/>
      <c r="SUL40" s="471"/>
      <c r="SUM40" s="471"/>
      <c r="SUN40" s="471"/>
      <c r="SUO40" s="471"/>
      <c r="SUP40" s="471"/>
      <c r="SUQ40" s="471"/>
      <c r="SUR40" s="471"/>
      <c r="SUS40" s="471"/>
      <c r="SUT40" s="471"/>
      <c r="SUU40" s="471"/>
      <c r="SUV40" s="471"/>
      <c r="SUW40" s="471"/>
      <c r="SUX40" s="471"/>
      <c r="SUY40" s="471"/>
      <c r="SUZ40" s="471"/>
      <c r="SVA40" s="471"/>
      <c r="SVB40" s="471"/>
      <c r="SVC40" s="471"/>
      <c r="SVD40" s="471"/>
      <c r="SVE40" s="471"/>
      <c r="SVF40" s="471"/>
      <c r="SVG40" s="471"/>
      <c r="SVH40" s="471"/>
      <c r="SVI40" s="471"/>
      <c r="SVJ40" s="471"/>
      <c r="SVK40" s="471"/>
      <c r="SVL40" s="471"/>
      <c r="SVM40" s="471"/>
      <c r="SVN40" s="471"/>
      <c r="SVO40" s="471"/>
      <c r="SVP40" s="471"/>
      <c r="SVQ40" s="471"/>
      <c r="SVR40" s="471"/>
      <c r="SVS40" s="471"/>
      <c r="SVT40" s="471"/>
      <c r="SVU40" s="471"/>
      <c r="SVV40" s="471"/>
      <c r="SVW40" s="471"/>
      <c r="SVX40" s="471"/>
      <c r="SVY40" s="471"/>
      <c r="SVZ40" s="471"/>
      <c r="SWA40" s="471"/>
      <c r="SWB40" s="471"/>
      <c r="SWC40" s="471"/>
      <c r="SWD40" s="471"/>
      <c r="SWE40" s="471"/>
      <c r="SWF40" s="471"/>
      <c r="SWG40" s="471"/>
      <c r="SWH40" s="471"/>
      <c r="SWI40" s="471"/>
      <c r="SWJ40" s="471"/>
      <c r="SWK40" s="471"/>
      <c r="SWL40" s="471"/>
      <c r="SWM40" s="471"/>
      <c r="SWN40" s="471"/>
      <c r="SWO40" s="471"/>
      <c r="SWP40" s="471"/>
      <c r="SWQ40" s="471"/>
      <c r="SWR40" s="471"/>
      <c r="SWS40" s="471"/>
      <c r="SWT40" s="471"/>
      <c r="SWU40" s="471"/>
      <c r="SWV40" s="471"/>
      <c r="SWW40" s="471"/>
      <c r="SWX40" s="471"/>
      <c r="SWY40" s="471"/>
      <c r="SWZ40" s="471"/>
      <c r="SXA40" s="471"/>
      <c r="SXB40" s="471"/>
      <c r="SXC40" s="471"/>
      <c r="SXD40" s="471"/>
      <c r="SXE40" s="471"/>
      <c r="SXF40" s="471"/>
      <c r="SXG40" s="471"/>
      <c r="SXH40" s="471"/>
      <c r="SXI40" s="471"/>
      <c r="SXJ40" s="471"/>
      <c r="SXK40" s="471"/>
      <c r="SXL40" s="471"/>
      <c r="SXM40" s="471"/>
      <c r="SXN40" s="471"/>
      <c r="SXO40" s="471"/>
      <c r="SXP40" s="471"/>
      <c r="SXQ40" s="471"/>
      <c r="SXR40" s="471"/>
      <c r="SXS40" s="471"/>
      <c r="SXT40" s="471"/>
      <c r="SXU40" s="471"/>
      <c r="SXV40" s="471"/>
      <c r="SXW40" s="471"/>
      <c r="SXX40" s="471"/>
      <c r="SXY40" s="471"/>
      <c r="SXZ40" s="471"/>
      <c r="SYA40" s="471"/>
      <c r="SYB40" s="471"/>
      <c r="SYC40" s="471"/>
      <c r="SYD40" s="471"/>
      <c r="SYE40" s="471"/>
      <c r="SYF40" s="471"/>
      <c r="SYG40" s="471"/>
      <c r="SYH40" s="471"/>
      <c r="SYI40" s="471"/>
      <c r="SYJ40" s="471"/>
      <c r="SYK40" s="471"/>
      <c r="SYL40" s="471"/>
      <c r="SYM40" s="471"/>
      <c r="SYN40" s="471"/>
      <c r="SYO40" s="471"/>
      <c r="SYP40" s="471"/>
      <c r="SYQ40" s="471"/>
      <c r="SYR40" s="471"/>
      <c r="SYS40" s="471"/>
      <c r="SYT40" s="471"/>
      <c r="SYU40" s="471"/>
      <c r="SYV40" s="471"/>
      <c r="SYW40" s="471"/>
      <c r="SYX40" s="471"/>
      <c r="SYY40" s="471"/>
      <c r="SYZ40" s="471"/>
      <c r="SZA40" s="471"/>
      <c r="SZB40" s="471"/>
      <c r="SZC40" s="471"/>
      <c r="SZD40" s="471"/>
      <c r="SZE40" s="471"/>
      <c r="SZF40" s="471"/>
      <c r="SZG40" s="471"/>
      <c r="SZH40" s="471"/>
      <c r="SZI40" s="471"/>
      <c r="SZJ40" s="471"/>
      <c r="SZK40" s="471"/>
      <c r="SZL40" s="471"/>
      <c r="SZM40" s="471"/>
      <c r="SZN40" s="471"/>
      <c r="SZO40" s="471"/>
      <c r="SZP40" s="471"/>
      <c r="SZQ40" s="471"/>
      <c r="SZR40" s="471"/>
      <c r="SZS40" s="471"/>
      <c r="SZT40" s="471"/>
      <c r="SZU40" s="471"/>
      <c r="SZV40" s="471"/>
      <c r="SZW40" s="471"/>
      <c r="SZX40" s="471"/>
      <c r="SZY40" s="471"/>
      <c r="SZZ40" s="471"/>
      <c r="TAA40" s="471"/>
      <c r="TAB40" s="471"/>
      <c r="TAC40" s="471"/>
      <c r="TAD40" s="471"/>
      <c r="TAE40" s="471"/>
      <c r="TAF40" s="471"/>
      <c r="TAG40" s="471"/>
      <c r="TAH40" s="471"/>
      <c r="TAI40" s="471"/>
      <c r="TAJ40" s="471"/>
      <c r="TAK40" s="471"/>
      <c r="TAL40" s="471"/>
      <c r="TAM40" s="471"/>
      <c r="TAN40" s="471"/>
      <c r="TAO40" s="471"/>
      <c r="TAP40" s="471"/>
      <c r="TAQ40" s="471"/>
      <c r="TAR40" s="471"/>
      <c r="TAS40" s="471"/>
      <c r="TAT40" s="471"/>
      <c r="TAU40" s="471"/>
      <c r="TAV40" s="471"/>
      <c r="TAW40" s="471"/>
      <c r="TAX40" s="471"/>
      <c r="TAY40" s="471"/>
      <c r="TAZ40" s="471"/>
      <c r="TBA40" s="471"/>
      <c r="TBB40" s="471"/>
      <c r="TBC40" s="471"/>
      <c r="TBD40" s="471"/>
      <c r="TBE40" s="471"/>
      <c r="TBF40" s="471"/>
      <c r="TBG40" s="471"/>
      <c r="TBH40" s="471"/>
      <c r="TBI40" s="471"/>
      <c r="TBJ40" s="471"/>
      <c r="TBK40" s="471"/>
      <c r="TBL40" s="471"/>
      <c r="TBM40" s="471"/>
      <c r="TBN40" s="471"/>
      <c r="TBO40" s="471"/>
      <c r="TBP40" s="471"/>
      <c r="TBQ40" s="471"/>
      <c r="TBR40" s="471"/>
      <c r="TBS40" s="471"/>
      <c r="TBT40" s="471"/>
      <c r="TBU40" s="471"/>
      <c r="TBV40" s="471"/>
      <c r="TBW40" s="471"/>
      <c r="TBX40" s="471"/>
      <c r="TBY40" s="471"/>
      <c r="TBZ40" s="471"/>
      <c r="TCA40" s="471"/>
      <c r="TCB40" s="471"/>
      <c r="TCC40" s="471"/>
      <c r="TCD40" s="471"/>
      <c r="TCE40" s="471"/>
      <c r="TCF40" s="471"/>
      <c r="TCG40" s="471"/>
      <c r="TCH40" s="471"/>
      <c r="TCI40" s="471"/>
      <c r="TCJ40" s="471"/>
      <c r="TCK40" s="471"/>
      <c r="TCL40" s="471"/>
      <c r="TCM40" s="471"/>
      <c r="TCN40" s="471"/>
      <c r="TCO40" s="471"/>
      <c r="TCP40" s="471"/>
      <c r="TCQ40" s="471"/>
      <c r="TCR40" s="471"/>
      <c r="TCS40" s="471"/>
      <c r="TCT40" s="471"/>
      <c r="TCU40" s="471"/>
      <c r="TCV40" s="471"/>
      <c r="TCW40" s="471"/>
      <c r="TCX40" s="471"/>
      <c r="TCY40" s="471"/>
      <c r="TCZ40" s="471"/>
      <c r="TDA40" s="471"/>
      <c r="TDB40" s="471"/>
      <c r="TDC40" s="471"/>
      <c r="TDD40" s="471"/>
      <c r="TDE40" s="471"/>
      <c r="TDF40" s="471"/>
      <c r="TDG40" s="471"/>
      <c r="TDH40" s="471"/>
      <c r="TDI40" s="471"/>
      <c r="TDJ40" s="471"/>
      <c r="TDK40" s="471"/>
      <c r="TDL40" s="471"/>
      <c r="TDM40" s="471"/>
      <c r="TDN40" s="471"/>
      <c r="TDO40" s="471"/>
      <c r="TDP40" s="471"/>
      <c r="TDQ40" s="471"/>
      <c r="TDR40" s="471"/>
      <c r="TDS40" s="471"/>
      <c r="TDT40" s="471"/>
      <c r="TDU40" s="471"/>
      <c r="TDV40" s="471"/>
      <c r="TDW40" s="471"/>
      <c r="TDX40" s="471"/>
      <c r="TDY40" s="471"/>
      <c r="TDZ40" s="471"/>
      <c r="TEA40" s="471"/>
      <c r="TEB40" s="471"/>
      <c r="TEC40" s="471"/>
      <c r="TED40" s="471"/>
      <c r="TEE40" s="471"/>
      <c r="TEF40" s="471"/>
      <c r="TEG40" s="471"/>
      <c r="TEH40" s="471"/>
      <c r="TEI40" s="471"/>
      <c r="TEJ40" s="471"/>
      <c r="TEK40" s="471"/>
      <c r="TEL40" s="471"/>
      <c r="TEM40" s="471"/>
      <c r="TEN40" s="471"/>
      <c r="TEO40" s="471"/>
      <c r="TEP40" s="471"/>
      <c r="TEQ40" s="471"/>
      <c r="TER40" s="471"/>
      <c r="TES40" s="471"/>
      <c r="TET40" s="471"/>
      <c r="TEU40" s="471"/>
      <c r="TEV40" s="471"/>
      <c r="TEW40" s="471"/>
      <c r="TEX40" s="471"/>
      <c r="TEY40" s="471"/>
      <c r="TEZ40" s="471"/>
      <c r="TFA40" s="471"/>
      <c r="TFB40" s="471"/>
      <c r="TFC40" s="471"/>
      <c r="TFD40" s="471"/>
      <c r="TFE40" s="471"/>
      <c r="TFF40" s="471"/>
      <c r="TFG40" s="471"/>
      <c r="TFH40" s="471"/>
      <c r="TFI40" s="471"/>
      <c r="TFJ40" s="471"/>
      <c r="TFK40" s="471"/>
      <c r="TFL40" s="471"/>
      <c r="TFM40" s="471"/>
      <c r="TFN40" s="471"/>
      <c r="TFO40" s="471"/>
      <c r="TFP40" s="471"/>
      <c r="TFQ40" s="471"/>
      <c r="TFR40" s="471"/>
      <c r="TFS40" s="471"/>
      <c r="TFT40" s="471"/>
      <c r="TFU40" s="471"/>
      <c r="TFV40" s="471"/>
      <c r="TFW40" s="471"/>
      <c r="TFX40" s="471"/>
      <c r="TFY40" s="471"/>
      <c r="TFZ40" s="471"/>
      <c r="TGA40" s="471"/>
      <c r="TGB40" s="471"/>
      <c r="TGC40" s="471"/>
      <c r="TGD40" s="471"/>
      <c r="TGE40" s="471"/>
      <c r="TGF40" s="471"/>
      <c r="TGG40" s="471"/>
      <c r="TGH40" s="471"/>
      <c r="TGI40" s="471"/>
      <c r="TGJ40" s="471"/>
      <c r="TGK40" s="471"/>
      <c r="TGL40" s="471"/>
      <c r="TGM40" s="471"/>
      <c r="TGN40" s="471"/>
      <c r="TGO40" s="471"/>
      <c r="TGP40" s="471"/>
      <c r="TGQ40" s="471"/>
      <c r="TGR40" s="471"/>
      <c r="TGS40" s="471"/>
      <c r="TGT40" s="471"/>
      <c r="TGU40" s="471"/>
      <c r="TGV40" s="471"/>
      <c r="TGW40" s="471"/>
      <c r="TGX40" s="471"/>
      <c r="TGY40" s="471"/>
      <c r="TGZ40" s="471"/>
      <c r="THA40" s="471"/>
      <c r="THB40" s="471"/>
      <c r="THC40" s="471"/>
      <c r="THD40" s="471"/>
      <c r="THE40" s="471"/>
      <c r="THF40" s="471"/>
      <c r="THG40" s="471"/>
      <c r="THH40" s="471"/>
      <c r="THI40" s="471"/>
      <c r="THJ40" s="471"/>
      <c r="THK40" s="471"/>
      <c r="THL40" s="471"/>
      <c r="THM40" s="471"/>
      <c r="THN40" s="471"/>
      <c r="THO40" s="471"/>
      <c r="THP40" s="471"/>
      <c r="THQ40" s="471"/>
      <c r="THR40" s="471"/>
      <c r="THS40" s="471"/>
      <c r="THT40" s="471"/>
      <c r="THU40" s="471"/>
      <c r="THV40" s="471"/>
      <c r="THW40" s="471"/>
      <c r="THX40" s="471"/>
      <c r="THY40" s="471"/>
      <c r="THZ40" s="471"/>
      <c r="TIA40" s="471"/>
      <c r="TIB40" s="471"/>
      <c r="TIC40" s="471"/>
      <c r="TID40" s="471"/>
      <c r="TIE40" s="471"/>
      <c r="TIF40" s="471"/>
      <c r="TIG40" s="471"/>
      <c r="TIH40" s="471"/>
      <c r="TII40" s="471"/>
      <c r="TIJ40" s="471"/>
      <c r="TIK40" s="471"/>
      <c r="TIL40" s="471"/>
      <c r="TIM40" s="471"/>
      <c r="TIN40" s="471"/>
      <c r="TIO40" s="471"/>
      <c r="TIP40" s="471"/>
      <c r="TIQ40" s="471"/>
      <c r="TIR40" s="471"/>
      <c r="TIS40" s="471"/>
      <c r="TIT40" s="471"/>
      <c r="TIU40" s="471"/>
      <c r="TIV40" s="471"/>
      <c r="TIW40" s="471"/>
      <c r="TIX40" s="471"/>
      <c r="TIY40" s="471"/>
      <c r="TIZ40" s="471"/>
      <c r="TJA40" s="471"/>
      <c r="TJB40" s="471"/>
      <c r="TJC40" s="471"/>
      <c r="TJD40" s="471"/>
      <c r="TJE40" s="471"/>
      <c r="TJF40" s="471"/>
      <c r="TJG40" s="471"/>
      <c r="TJH40" s="471"/>
      <c r="TJI40" s="471"/>
      <c r="TJJ40" s="471"/>
      <c r="TJK40" s="471"/>
      <c r="TJL40" s="471"/>
      <c r="TJM40" s="471"/>
      <c r="TJN40" s="471"/>
      <c r="TJO40" s="471"/>
      <c r="TJP40" s="471"/>
      <c r="TJQ40" s="471"/>
      <c r="TJR40" s="471"/>
      <c r="TJS40" s="471"/>
      <c r="TJT40" s="471"/>
      <c r="TJU40" s="471"/>
      <c r="TJV40" s="471"/>
      <c r="TJW40" s="471"/>
      <c r="TJX40" s="471"/>
      <c r="TJY40" s="471"/>
      <c r="TJZ40" s="471"/>
      <c r="TKA40" s="471"/>
      <c r="TKB40" s="471"/>
      <c r="TKC40" s="471"/>
      <c r="TKD40" s="471"/>
      <c r="TKE40" s="471"/>
      <c r="TKF40" s="471"/>
      <c r="TKG40" s="471"/>
      <c r="TKH40" s="471"/>
      <c r="TKI40" s="471"/>
      <c r="TKJ40" s="471"/>
      <c r="TKK40" s="471"/>
      <c r="TKL40" s="471"/>
      <c r="TKM40" s="471"/>
      <c r="TKN40" s="471"/>
      <c r="TKO40" s="471"/>
      <c r="TKP40" s="471"/>
      <c r="TKQ40" s="471"/>
      <c r="TKR40" s="471"/>
      <c r="TKS40" s="471"/>
      <c r="TKT40" s="471"/>
      <c r="TKU40" s="471"/>
      <c r="TKV40" s="471"/>
      <c r="TKW40" s="471"/>
      <c r="TKX40" s="471"/>
      <c r="TKY40" s="471"/>
      <c r="TKZ40" s="471"/>
      <c r="TLA40" s="471"/>
      <c r="TLB40" s="471"/>
      <c r="TLC40" s="471"/>
      <c r="TLD40" s="471"/>
      <c r="TLE40" s="471"/>
      <c r="TLF40" s="471"/>
      <c r="TLG40" s="471"/>
      <c r="TLH40" s="471"/>
      <c r="TLI40" s="471"/>
      <c r="TLJ40" s="471"/>
      <c r="TLK40" s="471"/>
      <c r="TLL40" s="471"/>
      <c r="TLM40" s="471"/>
      <c r="TLN40" s="471"/>
      <c r="TLO40" s="471"/>
      <c r="TLP40" s="471"/>
      <c r="TLQ40" s="471"/>
      <c r="TLR40" s="471"/>
      <c r="TLS40" s="471"/>
      <c r="TLT40" s="471"/>
      <c r="TLU40" s="471"/>
      <c r="TLV40" s="471"/>
      <c r="TLW40" s="471"/>
      <c r="TLX40" s="471"/>
      <c r="TLY40" s="471"/>
      <c r="TLZ40" s="471"/>
      <c r="TMA40" s="471"/>
      <c r="TMB40" s="471"/>
      <c r="TMC40" s="471"/>
      <c r="TMD40" s="471"/>
      <c r="TME40" s="471"/>
      <c r="TMF40" s="471"/>
      <c r="TMG40" s="471"/>
      <c r="TMH40" s="471"/>
      <c r="TMI40" s="471"/>
      <c r="TMJ40" s="471"/>
      <c r="TMK40" s="471"/>
      <c r="TML40" s="471"/>
      <c r="TMM40" s="471"/>
      <c r="TMN40" s="471"/>
      <c r="TMO40" s="471"/>
      <c r="TMP40" s="471"/>
      <c r="TMQ40" s="471"/>
      <c r="TMR40" s="471"/>
      <c r="TMS40" s="471"/>
      <c r="TMT40" s="471"/>
      <c r="TMU40" s="471"/>
      <c r="TMV40" s="471"/>
      <c r="TMW40" s="471"/>
      <c r="TMX40" s="471"/>
      <c r="TMY40" s="471"/>
      <c r="TMZ40" s="471"/>
      <c r="TNA40" s="471"/>
      <c r="TNB40" s="471"/>
      <c r="TNC40" s="471"/>
      <c r="TND40" s="471"/>
      <c r="TNE40" s="471"/>
      <c r="TNF40" s="471"/>
      <c r="TNG40" s="471"/>
      <c r="TNH40" s="471"/>
      <c r="TNI40" s="471"/>
      <c r="TNJ40" s="471"/>
      <c r="TNK40" s="471"/>
      <c r="TNL40" s="471"/>
      <c r="TNM40" s="471"/>
      <c r="TNN40" s="471"/>
      <c r="TNO40" s="471"/>
      <c r="TNP40" s="471"/>
      <c r="TNQ40" s="471"/>
      <c r="TNR40" s="471"/>
      <c r="TNS40" s="471"/>
      <c r="TNT40" s="471"/>
      <c r="TNU40" s="471"/>
      <c r="TNV40" s="471"/>
      <c r="TNW40" s="471"/>
      <c r="TNX40" s="471"/>
      <c r="TNY40" s="471"/>
      <c r="TNZ40" s="471"/>
      <c r="TOA40" s="471"/>
      <c r="TOB40" s="471"/>
      <c r="TOC40" s="471"/>
      <c r="TOD40" s="471"/>
      <c r="TOE40" s="471"/>
      <c r="TOF40" s="471"/>
      <c r="TOG40" s="471"/>
      <c r="TOH40" s="471"/>
      <c r="TOI40" s="471"/>
      <c r="TOJ40" s="471"/>
      <c r="TOK40" s="471"/>
      <c r="TOL40" s="471"/>
      <c r="TOM40" s="471"/>
      <c r="TON40" s="471"/>
      <c r="TOO40" s="471"/>
      <c r="TOP40" s="471"/>
      <c r="TOQ40" s="471"/>
      <c r="TOR40" s="471"/>
      <c r="TOS40" s="471"/>
      <c r="TOT40" s="471"/>
      <c r="TOU40" s="471"/>
      <c r="TOV40" s="471"/>
      <c r="TOW40" s="471"/>
      <c r="TOX40" s="471"/>
      <c r="TOY40" s="471"/>
      <c r="TOZ40" s="471"/>
      <c r="TPA40" s="471"/>
      <c r="TPB40" s="471"/>
      <c r="TPC40" s="471"/>
      <c r="TPD40" s="471"/>
      <c r="TPE40" s="471"/>
      <c r="TPF40" s="471"/>
      <c r="TPG40" s="471"/>
      <c r="TPH40" s="471"/>
      <c r="TPI40" s="471"/>
      <c r="TPJ40" s="471"/>
      <c r="TPK40" s="471"/>
      <c r="TPL40" s="471"/>
      <c r="TPM40" s="471"/>
      <c r="TPN40" s="471"/>
      <c r="TPO40" s="471"/>
      <c r="TPP40" s="471"/>
      <c r="TPQ40" s="471"/>
      <c r="TPR40" s="471"/>
      <c r="TPS40" s="471"/>
      <c r="TPT40" s="471"/>
      <c r="TPU40" s="471"/>
      <c r="TPV40" s="471"/>
      <c r="TPW40" s="471"/>
      <c r="TPX40" s="471"/>
      <c r="TPY40" s="471"/>
      <c r="TPZ40" s="471"/>
      <c r="TQA40" s="471"/>
      <c r="TQB40" s="471"/>
      <c r="TQC40" s="471"/>
      <c r="TQD40" s="471"/>
      <c r="TQE40" s="471"/>
      <c r="TQF40" s="471"/>
      <c r="TQG40" s="471"/>
      <c r="TQH40" s="471"/>
      <c r="TQI40" s="471"/>
      <c r="TQJ40" s="471"/>
      <c r="TQK40" s="471"/>
      <c r="TQL40" s="471"/>
      <c r="TQM40" s="471"/>
      <c r="TQN40" s="471"/>
      <c r="TQO40" s="471"/>
      <c r="TQP40" s="471"/>
      <c r="TQQ40" s="471"/>
      <c r="TQR40" s="471"/>
      <c r="TQS40" s="471"/>
      <c r="TQT40" s="471"/>
      <c r="TQU40" s="471"/>
      <c r="TQV40" s="471"/>
      <c r="TQW40" s="471"/>
      <c r="TQX40" s="471"/>
      <c r="TQY40" s="471"/>
      <c r="TQZ40" s="471"/>
      <c r="TRA40" s="471"/>
      <c r="TRB40" s="471"/>
      <c r="TRC40" s="471"/>
      <c r="TRD40" s="471"/>
      <c r="TRE40" s="471"/>
      <c r="TRF40" s="471"/>
      <c r="TRG40" s="471"/>
      <c r="TRH40" s="471"/>
      <c r="TRI40" s="471"/>
      <c r="TRJ40" s="471"/>
      <c r="TRK40" s="471"/>
      <c r="TRL40" s="471"/>
      <c r="TRM40" s="471"/>
      <c r="TRN40" s="471"/>
      <c r="TRO40" s="471"/>
      <c r="TRP40" s="471"/>
      <c r="TRQ40" s="471"/>
      <c r="TRR40" s="471"/>
      <c r="TRS40" s="471"/>
      <c r="TRT40" s="471"/>
      <c r="TRU40" s="471"/>
      <c r="TRV40" s="471"/>
      <c r="TRW40" s="471"/>
      <c r="TRX40" s="471"/>
      <c r="TRY40" s="471"/>
      <c r="TRZ40" s="471"/>
      <c r="TSA40" s="471"/>
      <c r="TSB40" s="471"/>
      <c r="TSC40" s="471"/>
      <c r="TSD40" s="471"/>
      <c r="TSE40" s="471"/>
      <c r="TSF40" s="471"/>
      <c r="TSG40" s="471"/>
      <c r="TSH40" s="471"/>
      <c r="TSI40" s="471"/>
      <c r="TSJ40" s="471"/>
      <c r="TSK40" s="471"/>
      <c r="TSL40" s="471"/>
      <c r="TSM40" s="471"/>
      <c r="TSN40" s="471"/>
      <c r="TSO40" s="471"/>
      <c r="TSP40" s="471"/>
      <c r="TSQ40" s="471"/>
      <c r="TSR40" s="471"/>
      <c r="TSS40" s="471"/>
      <c r="TST40" s="471"/>
      <c r="TSU40" s="471"/>
      <c r="TSV40" s="471"/>
      <c r="TSW40" s="471"/>
      <c r="TSX40" s="471"/>
      <c r="TSY40" s="471"/>
      <c r="TSZ40" s="471"/>
      <c r="TTA40" s="471"/>
      <c r="TTB40" s="471"/>
      <c r="TTC40" s="471"/>
      <c r="TTD40" s="471"/>
      <c r="TTE40" s="471"/>
      <c r="TTF40" s="471"/>
      <c r="TTG40" s="471"/>
      <c r="TTH40" s="471"/>
      <c r="TTI40" s="471"/>
      <c r="TTJ40" s="471"/>
      <c r="TTK40" s="471"/>
      <c r="TTL40" s="471"/>
      <c r="TTM40" s="471"/>
      <c r="TTN40" s="471"/>
      <c r="TTO40" s="471"/>
      <c r="TTP40" s="471"/>
      <c r="TTQ40" s="471"/>
      <c r="TTR40" s="471"/>
      <c r="TTS40" s="471"/>
      <c r="TTT40" s="471"/>
      <c r="TTU40" s="471"/>
      <c r="TTV40" s="471"/>
      <c r="TTW40" s="471"/>
      <c r="TTX40" s="471"/>
      <c r="TTY40" s="471"/>
      <c r="TTZ40" s="471"/>
      <c r="TUA40" s="471"/>
      <c r="TUB40" s="471"/>
      <c r="TUC40" s="471"/>
      <c r="TUD40" s="471"/>
      <c r="TUE40" s="471"/>
      <c r="TUF40" s="471"/>
      <c r="TUG40" s="471"/>
      <c r="TUH40" s="471"/>
      <c r="TUI40" s="471"/>
      <c r="TUJ40" s="471"/>
      <c r="TUK40" s="471"/>
      <c r="TUL40" s="471"/>
      <c r="TUM40" s="471"/>
      <c r="TUN40" s="471"/>
      <c r="TUO40" s="471"/>
      <c r="TUP40" s="471"/>
      <c r="TUQ40" s="471"/>
      <c r="TUR40" s="471"/>
      <c r="TUS40" s="471"/>
      <c r="TUT40" s="471"/>
      <c r="TUU40" s="471"/>
      <c r="TUV40" s="471"/>
      <c r="TUW40" s="471"/>
      <c r="TUX40" s="471"/>
      <c r="TUY40" s="471"/>
      <c r="TUZ40" s="471"/>
      <c r="TVA40" s="471"/>
      <c r="TVB40" s="471"/>
      <c r="TVC40" s="471"/>
      <c r="TVD40" s="471"/>
      <c r="TVE40" s="471"/>
      <c r="TVF40" s="471"/>
      <c r="TVG40" s="471"/>
      <c r="TVH40" s="471"/>
      <c r="TVI40" s="471"/>
      <c r="TVJ40" s="471"/>
      <c r="TVK40" s="471"/>
      <c r="TVL40" s="471"/>
      <c r="TVM40" s="471"/>
      <c r="TVN40" s="471"/>
      <c r="TVO40" s="471"/>
      <c r="TVP40" s="471"/>
      <c r="TVQ40" s="471"/>
      <c r="TVR40" s="471"/>
      <c r="TVS40" s="471"/>
      <c r="TVT40" s="471"/>
      <c r="TVU40" s="471"/>
      <c r="TVV40" s="471"/>
      <c r="TVW40" s="471"/>
      <c r="TVX40" s="471"/>
      <c r="TVY40" s="471"/>
      <c r="TVZ40" s="471"/>
      <c r="TWA40" s="471"/>
      <c r="TWB40" s="471"/>
      <c r="TWC40" s="471"/>
      <c r="TWD40" s="471"/>
      <c r="TWE40" s="471"/>
      <c r="TWF40" s="471"/>
      <c r="TWG40" s="471"/>
      <c r="TWH40" s="471"/>
      <c r="TWI40" s="471"/>
      <c r="TWJ40" s="471"/>
      <c r="TWK40" s="471"/>
      <c r="TWL40" s="471"/>
      <c r="TWM40" s="471"/>
      <c r="TWN40" s="471"/>
      <c r="TWO40" s="471"/>
      <c r="TWP40" s="471"/>
      <c r="TWQ40" s="471"/>
      <c r="TWR40" s="471"/>
      <c r="TWS40" s="471"/>
      <c r="TWT40" s="471"/>
      <c r="TWU40" s="471"/>
      <c r="TWV40" s="471"/>
      <c r="TWW40" s="471"/>
      <c r="TWX40" s="471"/>
      <c r="TWY40" s="471"/>
      <c r="TWZ40" s="471"/>
      <c r="TXA40" s="471"/>
      <c r="TXB40" s="471"/>
      <c r="TXC40" s="471"/>
      <c r="TXD40" s="471"/>
      <c r="TXE40" s="471"/>
      <c r="TXF40" s="471"/>
      <c r="TXG40" s="471"/>
      <c r="TXH40" s="471"/>
      <c r="TXI40" s="471"/>
      <c r="TXJ40" s="471"/>
      <c r="TXK40" s="471"/>
      <c r="TXL40" s="471"/>
      <c r="TXM40" s="471"/>
      <c r="TXN40" s="471"/>
      <c r="TXO40" s="471"/>
      <c r="TXP40" s="471"/>
      <c r="TXQ40" s="471"/>
      <c r="TXR40" s="471"/>
      <c r="TXS40" s="471"/>
      <c r="TXT40" s="471"/>
      <c r="TXU40" s="471"/>
      <c r="TXV40" s="471"/>
      <c r="TXW40" s="471"/>
      <c r="TXX40" s="471"/>
      <c r="TXY40" s="471"/>
      <c r="TXZ40" s="471"/>
      <c r="TYA40" s="471"/>
      <c r="TYB40" s="471"/>
      <c r="TYC40" s="471"/>
      <c r="TYD40" s="471"/>
      <c r="TYE40" s="471"/>
      <c r="TYF40" s="471"/>
      <c r="TYG40" s="471"/>
      <c r="TYH40" s="471"/>
      <c r="TYI40" s="471"/>
      <c r="TYJ40" s="471"/>
      <c r="TYK40" s="471"/>
      <c r="TYL40" s="471"/>
      <c r="TYM40" s="471"/>
      <c r="TYN40" s="471"/>
      <c r="TYO40" s="471"/>
      <c r="TYP40" s="471"/>
      <c r="TYQ40" s="471"/>
      <c r="TYR40" s="471"/>
      <c r="TYS40" s="471"/>
      <c r="TYT40" s="471"/>
      <c r="TYU40" s="471"/>
      <c r="TYV40" s="471"/>
      <c r="TYW40" s="471"/>
      <c r="TYX40" s="471"/>
      <c r="TYY40" s="471"/>
      <c r="TYZ40" s="471"/>
      <c r="TZA40" s="471"/>
      <c r="TZB40" s="471"/>
      <c r="TZC40" s="471"/>
      <c r="TZD40" s="471"/>
      <c r="TZE40" s="471"/>
      <c r="TZF40" s="471"/>
      <c r="TZG40" s="471"/>
      <c r="TZH40" s="471"/>
      <c r="TZI40" s="471"/>
      <c r="TZJ40" s="471"/>
      <c r="TZK40" s="471"/>
      <c r="TZL40" s="471"/>
      <c r="TZM40" s="471"/>
      <c r="TZN40" s="471"/>
      <c r="TZO40" s="471"/>
      <c r="TZP40" s="471"/>
      <c r="TZQ40" s="471"/>
      <c r="TZR40" s="471"/>
      <c r="TZS40" s="471"/>
      <c r="TZT40" s="471"/>
      <c r="TZU40" s="471"/>
      <c r="TZV40" s="471"/>
      <c r="TZW40" s="471"/>
      <c r="TZX40" s="471"/>
      <c r="TZY40" s="471"/>
      <c r="TZZ40" s="471"/>
      <c r="UAA40" s="471"/>
      <c r="UAB40" s="471"/>
      <c r="UAC40" s="471"/>
      <c r="UAD40" s="471"/>
      <c r="UAE40" s="471"/>
      <c r="UAF40" s="471"/>
      <c r="UAG40" s="471"/>
      <c r="UAH40" s="471"/>
      <c r="UAI40" s="471"/>
      <c r="UAJ40" s="471"/>
      <c r="UAK40" s="471"/>
      <c r="UAL40" s="471"/>
      <c r="UAM40" s="471"/>
      <c r="UAN40" s="471"/>
      <c r="UAO40" s="471"/>
      <c r="UAP40" s="471"/>
      <c r="UAQ40" s="471"/>
      <c r="UAR40" s="471"/>
      <c r="UAS40" s="471"/>
      <c r="UAT40" s="471"/>
      <c r="UAU40" s="471"/>
      <c r="UAV40" s="471"/>
      <c r="UAW40" s="471"/>
      <c r="UAX40" s="471"/>
      <c r="UAY40" s="471"/>
      <c r="UAZ40" s="471"/>
      <c r="UBA40" s="471"/>
      <c r="UBB40" s="471"/>
      <c r="UBC40" s="471"/>
      <c r="UBD40" s="471"/>
      <c r="UBE40" s="471"/>
      <c r="UBF40" s="471"/>
      <c r="UBG40" s="471"/>
      <c r="UBH40" s="471"/>
      <c r="UBI40" s="471"/>
      <c r="UBJ40" s="471"/>
      <c r="UBK40" s="471"/>
      <c r="UBL40" s="471"/>
      <c r="UBM40" s="471"/>
      <c r="UBN40" s="471"/>
      <c r="UBO40" s="471"/>
      <c r="UBP40" s="471"/>
      <c r="UBQ40" s="471"/>
      <c r="UBR40" s="471"/>
      <c r="UBS40" s="471"/>
      <c r="UBT40" s="471"/>
      <c r="UBU40" s="471"/>
      <c r="UBV40" s="471"/>
      <c r="UBW40" s="471"/>
      <c r="UBX40" s="471"/>
      <c r="UBY40" s="471"/>
      <c r="UBZ40" s="471"/>
      <c r="UCA40" s="471"/>
      <c r="UCB40" s="471"/>
      <c r="UCC40" s="471"/>
      <c r="UCD40" s="471"/>
      <c r="UCE40" s="471"/>
      <c r="UCF40" s="471"/>
      <c r="UCG40" s="471"/>
      <c r="UCH40" s="471"/>
      <c r="UCI40" s="471"/>
      <c r="UCJ40" s="471"/>
      <c r="UCK40" s="471"/>
      <c r="UCL40" s="471"/>
      <c r="UCM40" s="471"/>
      <c r="UCN40" s="471"/>
      <c r="UCO40" s="471"/>
      <c r="UCP40" s="471"/>
      <c r="UCQ40" s="471"/>
      <c r="UCR40" s="471"/>
      <c r="UCS40" s="471"/>
      <c r="UCT40" s="471"/>
      <c r="UCU40" s="471"/>
      <c r="UCV40" s="471"/>
      <c r="UCW40" s="471"/>
      <c r="UCX40" s="471"/>
      <c r="UCY40" s="471"/>
      <c r="UCZ40" s="471"/>
      <c r="UDA40" s="471"/>
      <c r="UDB40" s="471"/>
      <c r="UDC40" s="471"/>
      <c r="UDD40" s="471"/>
      <c r="UDE40" s="471"/>
      <c r="UDF40" s="471"/>
      <c r="UDG40" s="471"/>
      <c r="UDH40" s="471"/>
      <c r="UDI40" s="471"/>
      <c r="UDJ40" s="471"/>
      <c r="UDK40" s="471"/>
      <c r="UDL40" s="471"/>
      <c r="UDM40" s="471"/>
      <c r="UDN40" s="471"/>
      <c r="UDO40" s="471"/>
      <c r="UDP40" s="471"/>
      <c r="UDQ40" s="471"/>
      <c r="UDR40" s="471"/>
      <c r="UDS40" s="471"/>
      <c r="UDT40" s="471"/>
      <c r="UDU40" s="471"/>
      <c r="UDV40" s="471"/>
      <c r="UDW40" s="471"/>
      <c r="UDX40" s="471"/>
      <c r="UDY40" s="471"/>
      <c r="UDZ40" s="471"/>
      <c r="UEA40" s="471"/>
      <c r="UEB40" s="471"/>
      <c r="UEC40" s="471"/>
      <c r="UED40" s="471"/>
      <c r="UEE40" s="471"/>
      <c r="UEF40" s="471"/>
      <c r="UEG40" s="471"/>
      <c r="UEH40" s="471"/>
      <c r="UEI40" s="471"/>
      <c r="UEJ40" s="471"/>
      <c r="UEK40" s="471"/>
      <c r="UEL40" s="471"/>
      <c r="UEM40" s="471"/>
      <c r="UEN40" s="471"/>
      <c r="UEO40" s="471"/>
      <c r="UEP40" s="471"/>
      <c r="UEQ40" s="471"/>
      <c r="UER40" s="471"/>
      <c r="UES40" s="471"/>
      <c r="UET40" s="471"/>
      <c r="UEU40" s="471"/>
      <c r="UEV40" s="471"/>
      <c r="UEW40" s="471"/>
      <c r="UEX40" s="471"/>
      <c r="UEY40" s="471"/>
      <c r="UEZ40" s="471"/>
      <c r="UFA40" s="471"/>
      <c r="UFB40" s="471"/>
      <c r="UFC40" s="471"/>
      <c r="UFD40" s="471"/>
      <c r="UFE40" s="471"/>
      <c r="UFF40" s="471"/>
      <c r="UFG40" s="471"/>
      <c r="UFH40" s="471"/>
      <c r="UFI40" s="471"/>
      <c r="UFJ40" s="471"/>
      <c r="UFK40" s="471"/>
      <c r="UFL40" s="471"/>
      <c r="UFM40" s="471"/>
      <c r="UFN40" s="471"/>
      <c r="UFO40" s="471"/>
      <c r="UFP40" s="471"/>
      <c r="UFQ40" s="471"/>
      <c r="UFR40" s="471"/>
      <c r="UFS40" s="471"/>
      <c r="UFT40" s="471"/>
      <c r="UFU40" s="471"/>
      <c r="UFV40" s="471"/>
      <c r="UFW40" s="471"/>
      <c r="UFX40" s="471"/>
      <c r="UFY40" s="471"/>
      <c r="UFZ40" s="471"/>
      <c r="UGA40" s="471"/>
      <c r="UGB40" s="471"/>
      <c r="UGC40" s="471"/>
      <c r="UGD40" s="471"/>
      <c r="UGE40" s="471"/>
      <c r="UGF40" s="471"/>
      <c r="UGG40" s="471"/>
      <c r="UGH40" s="471"/>
      <c r="UGI40" s="471"/>
      <c r="UGJ40" s="471"/>
      <c r="UGK40" s="471"/>
      <c r="UGL40" s="471"/>
      <c r="UGM40" s="471"/>
      <c r="UGN40" s="471"/>
      <c r="UGO40" s="471"/>
      <c r="UGP40" s="471"/>
      <c r="UGQ40" s="471"/>
      <c r="UGR40" s="471"/>
      <c r="UGS40" s="471"/>
      <c r="UGT40" s="471"/>
      <c r="UGU40" s="471"/>
      <c r="UGV40" s="471"/>
      <c r="UGW40" s="471"/>
      <c r="UGX40" s="471"/>
      <c r="UGY40" s="471"/>
      <c r="UGZ40" s="471"/>
      <c r="UHA40" s="471"/>
      <c r="UHB40" s="471"/>
      <c r="UHC40" s="471"/>
      <c r="UHD40" s="471"/>
      <c r="UHE40" s="471"/>
      <c r="UHF40" s="471"/>
      <c r="UHG40" s="471"/>
      <c r="UHH40" s="471"/>
      <c r="UHI40" s="471"/>
      <c r="UHJ40" s="471"/>
      <c r="UHK40" s="471"/>
      <c r="UHL40" s="471"/>
      <c r="UHM40" s="471"/>
      <c r="UHN40" s="471"/>
      <c r="UHO40" s="471"/>
      <c r="UHP40" s="471"/>
      <c r="UHQ40" s="471"/>
      <c r="UHR40" s="471"/>
      <c r="UHS40" s="471"/>
      <c r="UHT40" s="471"/>
      <c r="UHU40" s="471"/>
      <c r="UHV40" s="471"/>
      <c r="UHW40" s="471"/>
      <c r="UHX40" s="471"/>
      <c r="UHY40" s="471"/>
      <c r="UHZ40" s="471"/>
      <c r="UIA40" s="471"/>
      <c r="UIB40" s="471"/>
      <c r="UIC40" s="471"/>
      <c r="UID40" s="471"/>
      <c r="UIE40" s="471"/>
      <c r="UIF40" s="471"/>
      <c r="UIG40" s="471"/>
      <c r="UIH40" s="471"/>
      <c r="UII40" s="471"/>
      <c r="UIJ40" s="471"/>
      <c r="UIK40" s="471"/>
      <c r="UIL40" s="471"/>
      <c r="UIM40" s="471"/>
      <c r="UIN40" s="471"/>
      <c r="UIO40" s="471"/>
      <c r="UIP40" s="471"/>
      <c r="UIQ40" s="471"/>
      <c r="UIR40" s="471"/>
      <c r="UIS40" s="471"/>
      <c r="UIT40" s="471"/>
      <c r="UIU40" s="471"/>
      <c r="UIV40" s="471"/>
      <c r="UIW40" s="471"/>
      <c r="UIX40" s="471"/>
      <c r="UIY40" s="471"/>
      <c r="UIZ40" s="471"/>
      <c r="UJA40" s="471"/>
      <c r="UJB40" s="471"/>
      <c r="UJC40" s="471"/>
      <c r="UJD40" s="471"/>
      <c r="UJE40" s="471"/>
      <c r="UJF40" s="471"/>
      <c r="UJG40" s="471"/>
      <c r="UJH40" s="471"/>
      <c r="UJI40" s="471"/>
      <c r="UJJ40" s="471"/>
      <c r="UJK40" s="471"/>
      <c r="UJL40" s="471"/>
      <c r="UJM40" s="471"/>
      <c r="UJN40" s="471"/>
      <c r="UJO40" s="471"/>
      <c r="UJP40" s="471"/>
      <c r="UJQ40" s="471"/>
      <c r="UJR40" s="471"/>
      <c r="UJS40" s="471"/>
      <c r="UJT40" s="471"/>
      <c r="UJU40" s="471"/>
      <c r="UJV40" s="471"/>
      <c r="UJW40" s="471"/>
      <c r="UJX40" s="471"/>
      <c r="UJY40" s="471"/>
      <c r="UJZ40" s="471"/>
      <c r="UKA40" s="471"/>
      <c r="UKB40" s="471"/>
      <c r="UKC40" s="471"/>
      <c r="UKD40" s="471"/>
      <c r="UKE40" s="471"/>
      <c r="UKF40" s="471"/>
      <c r="UKG40" s="471"/>
      <c r="UKH40" s="471"/>
      <c r="UKI40" s="471"/>
      <c r="UKJ40" s="471"/>
      <c r="UKK40" s="471"/>
      <c r="UKL40" s="471"/>
      <c r="UKM40" s="471"/>
      <c r="UKN40" s="471"/>
      <c r="UKO40" s="471"/>
      <c r="UKP40" s="471"/>
      <c r="UKQ40" s="471"/>
      <c r="UKR40" s="471"/>
      <c r="UKS40" s="471"/>
      <c r="UKT40" s="471"/>
      <c r="UKU40" s="471"/>
      <c r="UKV40" s="471"/>
      <c r="UKW40" s="471"/>
      <c r="UKX40" s="471"/>
      <c r="UKY40" s="471"/>
      <c r="UKZ40" s="471"/>
      <c r="ULA40" s="471"/>
      <c r="ULB40" s="471"/>
      <c r="ULC40" s="471"/>
      <c r="ULD40" s="471"/>
      <c r="ULE40" s="471"/>
      <c r="ULF40" s="471"/>
      <c r="ULG40" s="471"/>
      <c r="ULH40" s="471"/>
      <c r="ULI40" s="471"/>
      <c r="ULJ40" s="471"/>
      <c r="ULK40" s="471"/>
      <c r="ULL40" s="471"/>
      <c r="ULM40" s="471"/>
      <c r="ULN40" s="471"/>
      <c r="ULO40" s="471"/>
      <c r="ULP40" s="471"/>
      <c r="ULQ40" s="471"/>
      <c r="ULR40" s="471"/>
      <c r="ULS40" s="471"/>
      <c r="ULT40" s="471"/>
      <c r="ULU40" s="471"/>
      <c r="ULV40" s="471"/>
      <c r="ULW40" s="471"/>
      <c r="ULX40" s="471"/>
      <c r="ULY40" s="471"/>
      <c r="ULZ40" s="471"/>
      <c r="UMA40" s="471"/>
      <c r="UMB40" s="471"/>
      <c r="UMC40" s="471"/>
      <c r="UMD40" s="471"/>
      <c r="UME40" s="471"/>
      <c r="UMF40" s="471"/>
      <c r="UMG40" s="471"/>
      <c r="UMH40" s="471"/>
      <c r="UMI40" s="471"/>
      <c r="UMJ40" s="471"/>
      <c r="UMK40" s="471"/>
      <c r="UML40" s="471"/>
      <c r="UMM40" s="471"/>
      <c r="UMN40" s="471"/>
      <c r="UMO40" s="471"/>
      <c r="UMP40" s="471"/>
      <c r="UMQ40" s="471"/>
      <c r="UMR40" s="471"/>
      <c r="UMS40" s="471"/>
      <c r="UMT40" s="471"/>
      <c r="UMU40" s="471"/>
      <c r="UMV40" s="471"/>
      <c r="UMW40" s="471"/>
      <c r="UMX40" s="471"/>
      <c r="UMY40" s="471"/>
      <c r="UMZ40" s="471"/>
      <c r="UNA40" s="471"/>
      <c r="UNB40" s="471"/>
      <c r="UNC40" s="471"/>
      <c r="UND40" s="471"/>
      <c r="UNE40" s="471"/>
      <c r="UNF40" s="471"/>
      <c r="UNG40" s="471"/>
      <c r="UNH40" s="471"/>
      <c r="UNI40" s="471"/>
      <c r="UNJ40" s="471"/>
      <c r="UNK40" s="471"/>
      <c r="UNL40" s="471"/>
      <c r="UNM40" s="471"/>
      <c r="UNN40" s="471"/>
      <c r="UNO40" s="471"/>
      <c r="UNP40" s="471"/>
      <c r="UNQ40" s="471"/>
      <c r="UNR40" s="471"/>
      <c r="UNS40" s="471"/>
      <c r="UNT40" s="471"/>
      <c r="UNU40" s="471"/>
      <c r="UNV40" s="471"/>
      <c r="UNW40" s="471"/>
      <c r="UNX40" s="471"/>
      <c r="UNY40" s="471"/>
      <c r="UNZ40" s="471"/>
      <c r="UOA40" s="471"/>
      <c r="UOB40" s="471"/>
      <c r="UOC40" s="471"/>
      <c r="UOD40" s="471"/>
      <c r="UOE40" s="471"/>
      <c r="UOF40" s="471"/>
      <c r="UOG40" s="471"/>
      <c r="UOH40" s="471"/>
      <c r="UOI40" s="471"/>
      <c r="UOJ40" s="471"/>
      <c r="UOK40" s="471"/>
      <c r="UOL40" s="471"/>
      <c r="UOM40" s="471"/>
      <c r="UON40" s="471"/>
      <c r="UOO40" s="471"/>
      <c r="UOP40" s="471"/>
      <c r="UOQ40" s="471"/>
      <c r="UOR40" s="471"/>
      <c r="UOS40" s="471"/>
      <c r="UOT40" s="471"/>
      <c r="UOU40" s="471"/>
      <c r="UOV40" s="471"/>
      <c r="UOW40" s="471"/>
      <c r="UOX40" s="471"/>
      <c r="UOY40" s="471"/>
      <c r="UOZ40" s="471"/>
      <c r="UPA40" s="471"/>
      <c r="UPB40" s="471"/>
      <c r="UPC40" s="471"/>
      <c r="UPD40" s="471"/>
      <c r="UPE40" s="471"/>
      <c r="UPF40" s="471"/>
      <c r="UPG40" s="471"/>
      <c r="UPH40" s="471"/>
      <c r="UPI40" s="471"/>
      <c r="UPJ40" s="471"/>
      <c r="UPK40" s="471"/>
      <c r="UPL40" s="471"/>
      <c r="UPM40" s="471"/>
      <c r="UPN40" s="471"/>
      <c r="UPO40" s="471"/>
      <c r="UPP40" s="471"/>
      <c r="UPQ40" s="471"/>
      <c r="UPR40" s="471"/>
      <c r="UPS40" s="471"/>
      <c r="UPT40" s="471"/>
      <c r="UPU40" s="471"/>
      <c r="UPV40" s="471"/>
      <c r="UPW40" s="471"/>
      <c r="UPX40" s="471"/>
      <c r="UPY40" s="471"/>
      <c r="UPZ40" s="471"/>
      <c r="UQA40" s="471"/>
      <c r="UQB40" s="471"/>
      <c r="UQC40" s="471"/>
      <c r="UQD40" s="471"/>
      <c r="UQE40" s="471"/>
      <c r="UQF40" s="471"/>
      <c r="UQG40" s="471"/>
      <c r="UQH40" s="471"/>
      <c r="UQI40" s="471"/>
      <c r="UQJ40" s="471"/>
      <c r="UQK40" s="471"/>
      <c r="UQL40" s="471"/>
      <c r="UQM40" s="471"/>
      <c r="UQN40" s="471"/>
      <c r="UQO40" s="471"/>
      <c r="UQP40" s="471"/>
      <c r="UQQ40" s="471"/>
      <c r="UQR40" s="471"/>
      <c r="UQS40" s="471"/>
      <c r="UQT40" s="471"/>
      <c r="UQU40" s="471"/>
      <c r="UQV40" s="471"/>
      <c r="UQW40" s="471"/>
      <c r="UQX40" s="471"/>
      <c r="UQY40" s="471"/>
      <c r="UQZ40" s="471"/>
      <c r="URA40" s="471"/>
      <c r="URB40" s="471"/>
      <c r="URC40" s="471"/>
      <c r="URD40" s="471"/>
      <c r="URE40" s="471"/>
      <c r="URF40" s="471"/>
      <c r="URG40" s="471"/>
      <c r="URH40" s="471"/>
      <c r="URI40" s="471"/>
      <c r="URJ40" s="471"/>
      <c r="URK40" s="471"/>
      <c r="URL40" s="471"/>
      <c r="URM40" s="471"/>
      <c r="URN40" s="471"/>
      <c r="URO40" s="471"/>
      <c r="URP40" s="471"/>
      <c r="URQ40" s="471"/>
      <c r="URR40" s="471"/>
      <c r="URS40" s="471"/>
      <c r="URT40" s="471"/>
      <c r="URU40" s="471"/>
      <c r="URV40" s="471"/>
      <c r="URW40" s="471"/>
      <c r="URX40" s="471"/>
      <c r="URY40" s="471"/>
      <c r="URZ40" s="471"/>
      <c r="USA40" s="471"/>
      <c r="USB40" s="471"/>
      <c r="USC40" s="471"/>
      <c r="USD40" s="471"/>
      <c r="USE40" s="471"/>
      <c r="USF40" s="471"/>
      <c r="USG40" s="471"/>
      <c r="USH40" s="471"/>
      <c r="USI40" s="471"/>
      <c r="USJ40" s="471"/>
      <c r="USK40" s="471"/>
      <c r="USL40" s="471"/>
      <c r="USM40" s="471"/>
      <c r="USN40" s="471"/>
      <c r="USO40" s="471"/>
      <c r="USP40" s="471"/>
      <c r="USQ40" s="471"/>
      <c r="USR40" s="471"/>
      <c r="USS40" s="471"/>
      <c r="UST40" s="471"/>
      <c r="USU40" s="471"/>
      <c r="USV40" s="471"/>
      <c r="USW40" s="471"/>
      <c r="USX40" s="471"/>
      <c r="USY40" s="471"/>
      <c r="USZ40" s="471"/>
      <c r="UTA40" s="471"/>
      <c r="UTB40" s="471"/>
      <c r="UTC40" s="471"/>
      <c r="UTD40" s="471"/>
      <c r="UTE40" s="471"/>
      <c r="UTF40" s="471"/>
      <c r="UTG40" s="471"/>
      <c r="UTH40" s="471"/>
      <c r="UTI40" s="471"/>
      <c r="UTJ40" s="471"/>
      <c r="UTK40" s="471"/>
      <c r="UTL40" s="471"/>
      <c r="UTM40" s="471"/>
      <c r="UTN40" s="471"/>
      <c r="UTO40" s="471"/>
      <c r="UTP40" s="471"/>
      <c r="UTQ40" s="471"/>
      <c r="UTR40" s="471"/>
      <c r="UTS40" s="471"/>
      <c r="UTT40" s="471"/>
      <c r="UTU40" s="471"/>
      <c r="UTV40" s="471"/>
      <c r="UTW40" s="471"/>
      <c r="UTX40" s="471"/>
      <c r="UTY40" s="471"/>
      <c r="UTZ40" s="471"/>
      <c r="UUA40" s="471"/>
      <c r="UUB40" s="471"/>
      <c r="UUC40" s="471"/>
      <c r="UUD40" s="471"/>
      <c r="UUE40" s="471"/>
      <c r="UUF40" s="471"/>
      <c r="UUG40" s="471"/>
      <c r="UUH40" s="471"/>
      <c r="UUI40" s="471"/>
      <c r="UUJ40" s="471"/>
      <c r="UUK40" s="471"/>
      <c r="UUL40" s="471"/>
      <c r="UUM40" s="471"/>
      <c r="UUN40" s="471"/>
      <c r="UUO40" s="471"/>
      <c r="UUP40" s="471"/>
      <c r="UUQ40" s="471"/>
      <c r="UUR40" s="471"/>
      <c r="UUS40" s="471"/>
      <c r="UUT40" s="471"/>
      <c r="UUU40" s="471"/>
      <c r="UUV40" s="471"/>
      <c r="UUW40" s="471"/>
      <c r="UUX40" s="471"/>
      <c r="UUY40" s="471"/>
      <c r="UUZ40" s="471"/>
      <c r="UVA40" s="471"/>
      <c r="UVB40" s="471"/>
      <c r="UVC40" s="471"/>
      <c r="UVD40" s="471"/>
      <c r="UVE40" s="471"/>
      <c r="UVF40" s="471"/>
      <c r="UVG40" s="471"/>
      <c r="UVH40" s="471"/>
      <c r="UVI40" s="471"/>
      <c r="UVJ40" s="471"/>
      <c r="UVK40" s="471"/>
      <c r="UVL40" s="471"/>
      <c r="UVM40" s="471"/>
      <c r="UVN40" s="471"/>
      <c r="UVO40" s="471"/>
      <c r="UVP40" s="471"/>
      <c r="UVQ40" s="471"/>
      <c r="UVR40" s="471"/>
      <c r="UVS40" s="471"/>
      <c r="UVT40" s="471"/>
      <c r="UVU40" s="471"/>
      <c r="UVV40" s="471"/>
      <c r="UVW40" s="471"/>
      <c r="UVX40" s="471"/>
      <c r="UVY40" s="471"/>
      <c r="UVZ40" s="471"/>
      <c r="UWA40" s="471"/>
      <c r="UWB40" s="471"/>
      <c r="UWC40" s="471"/>
      <c r="UWD40" s="471"/>
      <c r="UWE40" s="471"/>
      <c r="UWF40" s="471"/>
      <c r="UWG40" s="471"/>
      <c r="UWH40" s="471"/>
      <c r="UWI40" s="471"/>
      <c r="UWJ40" s="471"/>
      <c r="UWK40" s="471"/>
      <c r="UWL40" s="471"/>
      <c r="UWM40" s="471"/>
      <c r="UWN40" s="471"/>
      <c r="UWO40" s="471"/>
      <c r="UWP40" s="471"/>
      <c r="UWQ40" s="471"/>
      <c r="UWR40" s="471"/>
      <c r="UWS40" s="471"/>
      <c r="UWT40" s="471"/>
      <c r="UWU40" s="471"/>
      <c r="UWV40" s="471"/>
      <c r="UWW40" s="471"/>
      <c r="UWX40" s="471"/>
      <c r="UWY40" s="471"/>
      <c r="UWZ40" s="471"/>
      <c r="UXA40" s="471"/>
      <c r="UXB40" s="471"/>
      <c r="UXC40" s="471"/>
      <c r="UXD40" s="471"/>
      <c r="UXE40" s="471"/>
      <c r="UXF40" s="471"/>
      <c r="UXG40" s="471"/>
      <c r="UXH40" s="471"/>
      <c r="UXI40" s="471"/>
      <c r="UXJ40" s="471"/>
      <c r="UXK40" s="471"/>
      <c r="UXL40" s="471"/>
      <c r="UXM40" s="471"/>
      <c r="UXN40" s="471"/>
      <c r="UXO40" s="471"/>
      <c r="UXP40" s="471"/>
      <c r="UXQ40" s="471"/>
      <c r="UXR40" s="471"/>
      <c r="UXS40" s="471"/>
      <c r="UXT40" s="471"/>
      <c r="UXU40" s="471"/>
      <c r="UXV40" s="471"/>
      <c r="UXW40" s="471"/>
      <c r="UXX40" s="471"/>
      <c r="UXY40" s="471"/>
      <c r="UXZ40" s="471"/>
      <c r="UYA40" s="471"/>
      <c r="UYB40" s="471"/>
      <c r="UYC40" s="471"/>
      <c r="UYD40" s="471"/>
      <c r="UYE40" s="471"/>
      <c r="UYF40" s="471"/>
      <c r="UYG40" s="471"/>
      <c r="UYH40" s="471"/>
      <c r="UYI40" s="471"/>
      <c r="UYJ40" s="471"/>
      <c r="UYK40" s="471"/>
      <c r="UYL40" s="471"/>
      <c r="UYM40" s="471"/>
      <c r="UYN40" s="471"/>
      <c r="UYO40" s="471"/>
      <c r="UYP40" s="471"/>
      <c r="UYQ40" s="471"/>
      <c r="UYR40" s="471"/>
      <c r="UYS40" s="471"/>
      <c r="UYT40" s="471"/>
      <c r="UYU40" s="471"/>
      <c r="UYV40" s="471"/>
      <c r="UYW40" s="471"/>
      <c r="UYX40" s="471"/>
      <c r="UYY40" s="471"/>
      <c r="UYZ40" s="471"/>
      <c r="UZA40" s="471"/>
      <c r="UZB40" s="471"/>
      <c r="UZC40" s="471"/>
      <c r="UZD40" s="471"/>
      <c r="UZE40" s="471"/>
      <c r="UZF40" s="471"/>
      <c r="UZG40" s="471"/>
      <c r="UZH40" s="471"/>
      <c r="UZI40" s="471"/>
      <c r="UZJ40" s="471"/>
      <c r="UZK40" s="471"/>
      <c r="UZL40" s="471"/>
      <c r="UZM40" s="471"/>
      <c r="UZN40" s="471"/>
      <c r="UZO40" s="471"/>
      <c r="UZP40" s="471"/>
      <c r="UZQ40" s="471"/>
      <c r="UZR40" s="471"/>
      <c r="UZS40" s="471"/>
      <c r="UZT40" s="471"/>
      <c r="UZU40" s="471"/>
      <c r="UZV40" s="471"/>
      <c r="UZW40" s="471"/>
      <c r="UZX40" s="471"/>
      <c r="UZY40" s="471"/>
      <c r="UZZ40" s="471"/>
      <c r="VAA40" s="471"/>
      <c r="VAB40" s="471"/>
      <c r="VAC40" s="471"/>
      <c r="VAD40" s="471"/>
      <c r="VAE40" s="471"/>
      <c r="VAF40" s="471"/>
      <c r="VAG40" s="471"/>
      <c r="VAH40" s="471"/>
      <c r="VAI40" s="471"/>
      <c r="VAJ40" s="471"/>
      <c r="VAK40" s="471"/>
      <c r="VAL40" s="471"/>
      <c r="VAM40" s="471"/>
      <c r="VAN40" s="471"/>
      <c r="VAO40" s="471"/>
      <c r="VAP40" s="471"/>
      <c r="VAQ40" s="471"/>
      <c r="VAR40" s="471"/>
      <c r="VAS40" s="471"/>
      <c r="VAT40" s="471"/>
      <c r="VAU40" s="471"/>
      <c r="VAV40" s="471"/>
      <c r="VAW40" s="471"/>
      <c r="VAX40" s="471"/>
      <c r="VAY40" s="471"/>
      <c r="VAZ40" s="471"/>
      <c r="VBA40" s="471"/>
      <c r="VBB40" s="471"/>
      <c r="VBC40" s="471"/>
      <c r="VBD40" s="471"/>
      <c r="VBE40" s="471"/>
      <c r="VBF40" s="471"/>
      <c r="VBG40" s="471"/>
      <c r="VBH40" s="471"/>
      <c r="VBI40" s="471"/>
      <c r="VBJ40" s="471"/>
      <c r="VBK40" s="471"/>
      <c r="VBL40" s="471"/>
      <c r="VBM40" s="471"/>
      <c r="VBN40" s="471"/>
      <c r="VBO40" s="471"/>
      <c r="VBP40" s="471"/>
      <c r="VBQ40" s="471"/>
      <c r="VBR40" s="471"/>
      <c r="VBS40" s="471"/>
      <c r="VBT40" s="471"/>
      <c r="VBU40" s="471"/>
      <c r="VBV40" s="471"/>
      <c r="VBW40" s="471"/>
      <c r="VBX40" s="471"/>
      <c r="VBY40" s="471"/>
      <c r="VBZ40" s="471"/>
      <c r="VCA40" s="471"/>
      <c r="VCB40" s="471"/>
      <c r="VCC40" s="471"/>
      <c r="VCD40" s="471"/>
      <c r="VCE40" s="471"/>
      <c r="VCF40" s="471"/>
      <c r="VCG40" s="471"/>
      <c r="VCH40" s="471"/>
      <c r="VCI40" s="471"/>
      <c r="VCJ40" s="471"/>
      <c r="VCK40" s="471"/>
      <c r="VCL40" s="471"/>
      <c r="VCM40" s="471"/>
      <c r="VCN40" s="471"/>
      <c r="VCO40" s="471"/>
      <c r="VCP40" s="471"/>
      <c r="VCQ40" s="471"/>
      <c r="VCR40" s="471"/>
      <c r="VCS40" s="471"/>
      <c r="VCT40" s="471"/>
      <c r="VCU40" s="471"/>
      <c r="VCV40" s="471"/>
      <c r="VCW40" s="471"/>
      <c r="VCX40" s="471"/>
      <c r="VCY40" s="471"/>
      <c r="VCZ40" s="471"/>
      <c r="VDA40" s="471"/>
      <c r="VDB40" s="471"/>
      <c r="VDC40" s="471"/>
      <c r="VDD40" s="471"/>
      <c r="VDE40" s="471"/>
      <c r="VDF40" s="471"/>
      <c r="VDG40" s="471"/>
      <c r="VDH40" s="471"/>
      <c r="VDI40" s="471"/>
      <c r="VDJ40" s="471"/>
      <c r="VDK40" s="471"/>
      <c r="VDL40" s="471"/>
      <c r="VDM40" s="471"/>
      <c r="VDN40" s="471"/>
      <c r="VDO40" s="471"/>
      <c r="VDP40" s="471"/>
      <c r="VDQ40" s="471"/>
      <c r="VDR40" s="471"/>
      <c r="VDS40" s="471"/>
      <c r="VDT40" s="471"/>
      <c r="VDU40" s="471"/>
      <c r="VDV40" s="471"/>
      <c r="VDW40" s="471"/>
      <c r="VDX40" s="471"/>
      <c r="VDY40" s="471"/>
      <c r="VDZ40" s="471"/>
      <c r="VEA40" s="471"/>
      <c r="VEB40" s="471"/>
      <c r="VEC40" s="471"/>
      <c r="VED40" s="471"/>
      <c r="VEE40" s="471"/>
      <c r="VEF40" s="471"/>
      <c r="VEG40" s="471"/>
      <c r="VEH40" s="471"/>
      <c r="VEI40" s="471"/>
      <c r="VEJ40" s="471"/>
      <c r="VEK40" s="471"/>
      <c r="VEL40" s="471"/>
      <c r="VEM40" s="471"/>
      <c r="VEN40" s="471"/>
      <c r="VEO40" s="471"/>
      <c r="VEP40" s="471"/>
      <c r="VEQ40" s="471"/>
      <c r="VER40" s="471"/>
      <c r="VES40" s="471"/>
      <c r="VET40" s="471"/>
      <c r="VEU40" s="471"/>
      <c r="VEV40" s="471"/>
      <c r="VEW40" s="471"/>
      <c r="VEX40" s="471"/>
      <c r="VEY40" s="471"/>
      <c r="VEZ40" s="471"/>
      <c r="VFA40" s="471"/>
      <c r="VFB40" s="471"/>
      <c r="VFC40" s="471"/>
      <c r="VFD40" s="471"/>
      <c r="VFE40" s="471"/>
      <c r="VFF40" s="471"/>
      <c r="VFG40" s="471"/>
      <c r="VFH40" s="471"/>
      <c r="VFI40" s="471"/>
      <c r="VFJ40" s="471"/>
      <c r="VFK40" s="471"/>
      <c r="VFL40" s="471"/>
      <c r="VFM40" s="471"/>
      <c r="VFN40" s="471"/>
      <c r="VFO40" s="471"/>
      <c r="VFP40" s="471"/>
      <c r="VFQ40" s="471"/>
      <c r="VFR40" s="471"/>
      <c r="VFS40" s="471"/>
      <c r="VFT40" s="471"/>
      <c r="VFU40" s="471"/>
      <c r="VFV40" s="471"/>
      <c r="VFW40" s="471"/>
      <c r="VFX40" s="471"/>
      <c r="VFY40" s="471"/>
      <c r="VFZ40" s="471"/>
      <c r="VGA40" s="471"/>
      <c r="VGB40" s="471"/>
      <c r="VGC40" s="471"/>
      <c r="VGD40" s="471"/>
      <c r="VGE40" s="471"/>
      <c r="VGF40" s="471"/>
      <c r="VGG40" s="471"/>
      <c r="VGH40" s="471"/>
      <c r="VGI40" s="471"/>
      <c r="VGJ40" s="471"/>
      <c r="VGK40" s="471"/>
      <c r="VGL40" s="471"/>
      <c r="VGM40" s="471"/>
      <c r="VGN40" s="471"/>
      <c r="VGO40" s="471"/>
      <c r="VGP40" s="471"/>
      <c r="VGQ40" s="471"/>
      <c r="VGR40" s="471"/>
      <c r="VGS40" s="471"/>
      <c r="VGT40" s="471"/>
      <c r="VGU40" s="471"/>
      <c r="VGV40" s="471"/>
      <c r="VGW40" s="471"/>
      <c r="VGX40" s="471"/>
      <c r="VGY40" s="471"/>
      <c r="VGZ40" s="471"/>
      <c r="VHA40" s="471"/>
      <c r="VHB40" s="471"/>
      <c r="VHC40" s="471"/>
      <c r="VHD40" s="471"/>
      <c r="VHE40" s="471"/>
      <c r="VHF40" s="471"/>
      <c r="VHG40" s="471"/>
      <c r="VHH40" s="471"/>
      <c r="VHI40" s="471"/>
      <c r="VHJ40" s="471"/>
      <c r="VHK40" s="471"/>
      <c r="VHL40" s="471"/>
      <c r="VHM40" s="471"/>
      <c r="VHN40" s="471"/>
      <c r="VHO40" s="471"/>
      <c r="VHP40" s="471"/>
      <c r="VHQ40" s="471"/>
      <c r="VHR40" s="471"/>
      <c r="VHS40" s="471"/>
      <c r="VHT40" s="471"/>
      <c r="VHU40" s="471"/>
      <c r="VHV40" s="471"/>
      <c r="VHW40" s="471"/>
      <c r="VHX40" s="471"/>
      <c r="VHY40" s="471"/>
      <c r="VHZ40" s="471"/>
      <c r="VIA40" s="471"/>
      <c r="VIB40" s="471"/>
      <c r="VIC40" s="471"/>
      <c r="VID40" s="471"/>
      <c r="VIE40" s="471"/>
      <c r="VIF40" s="471"/>
      <c r="VIG40" s="471"/>
      <c r="VIH40" s="471"/>
      <c r="VII40" s="471"/>
      <c r="VIJ40" s="471"/>
      <c r="VIK40" s="471"/>
      <c r="VIL40" s="471"/>
      <c r="VIM40" s="471"/>
      <c r="VIN40" s="471"/>
      <c r="VIO40" s="471"/>
      <c r="VIP40" s="471"/>
      <c r="VIQ40" s="471"/>
      <c r="VIR40" s="471"/>
      <c r="VIS40" s="471"/>
      <c r="VIT40" s="471"/>
      <c r="VIU40" s="471"/>
      <c r="VIV40" s="471"/>
      <c r="VIW40" s="471"/>
      <c r="VIX40" s="471"/>
      <c r="VIY40" s="471"/>
      <c r="VIZ40" s="471"/>
      <c r="VJA40" s="471"/>
      <c r="VJB40" s="471"/>
      <c r="VJC40" s="471"/>
      <c r="VJD40" s="471"/>
      <c r="VJE40" s="471"/>
      <c r="VJF40" s="471"/>
      <c r="VJG40" s="471"/>
      <c r="VJH40" s="471"/>
      <c r="VJI40" s="471"/>
      <c r="VJJ40" s="471"/>
      <c r="VJK40" s="471"/>
      <c r="VJL40" s="471"/>
      <c r="VJM40" s="471"/>
      <c r="VJN40" s="471"/>
      <c r="VJO40" s="471"/>
      <c r="VJP40" s="471"/>
      <c r="VJQ40" s="471"/>
      <c r="VJR40" s="471"/>
      <c r="VJS40" s="471"/>
      <c r="VJT40" s="471"/>
      <c r="VJU40" s="471"/>
      <c r="VJV40" s="471"/>
      <c r="VJW40" s="471"/>
      <c r="VJX40" s="471"/>
      <c r="VJY40" s="471"/>
      <c r="VJZ40" s="471"/>
      <c r="VKA40" s="471"/>
      <c r="VKB40" s="471"/>
      <c r="VKC40" s="471"/>
      <c r="VKD40" s="471"/>
      <c r="VKE40" s="471"/>
      <c r="VKF40" s="471"/>
      <c r="VKG40" s="471"/>
      <c r="VKH40" s="471"/>
      <c r="VKI40" s="471"/>
      <c r="VKJ40" s="471"/>
      <c r="VKK40" s="471"/>
      <c r="VKL40" s="471"/>
      <c r="VKM40" s="471"/>
      <c r="VKN40" s="471"/>
      <c r="VKO40" s="471"/>
      <c r="VKP40" s="471"/>
      <c r="VKQ40" s="471"/>
      <c r="VKR40" s="471"/>
      <c r="VKS40" s="471"/>
      <c r="VKT40" s="471"/>
      <c r="VKU40" s="471"/>
      <c r="VKV40" s="471"/>
      <c r="VKW40" s="471"/>
      <c r="VKX40" s="471"/>
      <c r="VKY40" s="471"/>
      <c r="VKZ40" s="471"/>
      <c r="VLA40" s="471"/>
      <c r="VLB40" s="471"/>
      <c r="VLC40" s="471"/>
      <c r="VLD40" s="471"/>
      <c r="VLE40" s="471"/>
      <c r="VLF40" s="471"/>
      <c r="VLG40" s="471"/>
      <c r="VLH40" s="471"/>
      <c r="VLI40" s="471"/>
      <c r="VLJ40" s="471"/>
      <c r="VLK40" s="471"/>
      <c r="VLL40" s="471"/>
      <c r="VLM40" s="471"/>
      <c r="VLN40" s="471"/>
      <c r="VLO40" s="471"/>
      <c r="VLP40" s="471"/>
      <c r="VLQ40" s="471"/>
      <c r="VLR40" s="471"/>
      <c r="VLS40" s="471"/>
      <c r="VLT40" s="471"/>
      <c r="VLU40" s="471"/>
      <c r="VLV40" s="471"/>
      <c r="VLW40" s="471"/>
      <c r="VLX40" s="471"/>
      <c r="VLY40" s="471"/>
      <c r="VLZ40" s="471"/>
      <c r="VMA40" s="471"/>
      <c r="VMB40" s="471"/>
      <c r="VMC40" s="471"/>
      <c r="VMD40" s="471"/>
      <c r="VME40" s="471"/>
      <c r="VMF40" s="471"/>
      <c r="VMG40" s="471"/>
      <c r="VMH40" s="471"/>
      <c r="VMI40" s="471"/>
      <c r="VMJ40" s="471"/>
      <c r="VMK40" s="471"/>
      <c r="VML40" s="471"/>
      <c r="VMM40" s="471"/>
      <c r="VMN40" s="471"/>
      <c r="VMO40" s="471"/>
      <c r="VMP40" s="471"/>
      <c r="VMQ40" s="471"/>
      <c r="VMR40" s="471"/>
      <c r="VMS40" s="471"/>
      <c r="VMT40" s="471"/>
      <c r="VMU40" s="471"/>
      <c r="VMV40" s="471"/>
      <c r="VMW40" s="471"/>
      <c r="VMX40" s="471"/>
      <c r="VMY40" s="471"/>
      <c r="VMZ40" s="471"/>
      <c r="VNA40" s="471"/>
      <c r="VNB40" s="471"/>
      <c r="VNC40" s="471"/>
      <c r="VND40" s="471"/>
      <c r="VNE40" s="471"/>
      <c r="VNF40" s="471"/>
      <c r="VNG40" s="471"/>
      <c r="VNH40" s="471"/>
      <c r="VNI40" s="471"/>
      <c r="VNJ40" s="471"/>
      <c r="VNK40" s="471"/>
      <c r="VNL40" s="471"/>
      <c r="VNM40" s="471"/>
      <c r="VNN40" s="471"/>
      <c r="VNO40" s="471"/>
      <c r="VNP40" s="471"/>
      <c r="VNQ40" s="471"/>
      <c r="VNR40" s="471"/>
      <c r="VNS40" s="471"/>
      <c r="VNT40" s="471"/>
      <c r="VNU40" s="471"/>
      <c r="VNV40" s="471"/>
      <c r="VNW40" s="471"/>
      <c r="VNX40" s="471"/>
      <c r="VNY40" s="471"/>
      <c r="VNZ40" s="471"/>
      <c r="VOA40" s="471"/>
      <c r="VOB40" s="471"/>
      <c r="VOC40" s="471"/>
      <c r="VOD40" s="471"/>
      <c r="VOE40" s="471"/>
      <c r="VOF40" s="471"/>
      <c r="VOG40" s="471"/>
      <c r="VOH40" s="471"/>
      <c r="VOI40" s="471"/>
      <c r="VOJ40" s="471"/>
      <c r="VOK40" s="471"/>
      <c r="VOL40" s="471"/>
      <c r="VOM40" s="471"/>
      <c r="VON40" s="471"/>
      <c r="VOO40" s="471"/>
      <c r="VOP40" s="471"/>
      <c r="VOQ40" s="471"/>
      <c r="VOR40" s="471"/>
      <c r="VOS40" s="471"/>
      <c r="VOT40" s="471"/>
      <c r="VOU40" s="471"/>
      <c r="VOV40" s="471"/>
      <c r="VOW40" s="471"/>
      <c r="VOX40" s="471"/>
      <c r="VOY40" s="471"/>
      <c r="VOZ40" s="471"/>
      <c r="VPA40" s="471"/>
      <c r="VPB40" s="471"/>
      <c r="VPC40" s="471"/>
      <c r="VPD40" s="471"/>
      <c r="VPE40" s="471"/>
      <c r="VPF40" s="471"/>
      <c r="VPG40" s="471"/>
      <c r="VPH40" s="471"/>
      <c r="VPI40" s="471"/>
      <c r="VPJ40" s="471"/>
      <c r="VPK40" s="471"/>
      <c r="VPL40" s="471"/>
      <c r="VPM40" s="471"/>
      <c r="VPN40" s="471"/>
      <c r="VPO40" s="471"/>
      <c r="VPP40" s="471"/>
      <c r="VPQ40" s="471"/>
      <c r="VPR40" s="471"/>
      <c r="VPS40" s="471"/>
      <c r="VPT40" s="471"/>
      <c r="VPU40" s="471"/>
      <c r="VPV40" s="471"/>
      <c r="VPW40" s="471"/>
      <c r="VPX40" s="471"/>
      <c r="VPY40" s="471"/>
      <c r="VPZ40" s="471"/>
      <c r="VQA40" s="471"/>
      <c r="VQB40" s="471"/>
      <c r="VQC40" s="471"/>
      <c r="VQD40" s="471"/>
      <c r="VQE40" s="471"/>
      <c r="VQF40" s="471"/>
      <c r="VQG40" s="471"/>
      <c r="VQH40" s="471"/>
      <c r="VQI40" s="471"/>
      <c r="VQJ40" s="471"/>
      <c r="VQK40" s="471"/>
      <c r="VQL40" s="471"/>
      <c r="VQM40" s="471"/>
      <c r="VQN40" s="471"/>
      <c r="VQO40" s="471"/>
      <c r="VQP40" s="471"/>
      <c r="VQQ40" s="471"/>
      <c r="VQR40" s="471"/>
      <c r="VQS40" s="471"/>
      <c r="VQT40" s="471"/>
      <c r="VQU40" s="471"/>
      <c r="VQV40" s="471"/>
      <c r="VQW40" s="471"/>
      <c r="VQX40" s="471"/>
      <c r="VQY40" s="471"/>
      <c r="VQZ40" s="471"/>
      <c r="VRA40" s="471"/>
      <c r="VRB40" s="471"/>
      <c r="VRC40" s="471"/>
      <c r="VRD40" s="471"/>
      <c r="VRE40" s="471"/>
      <c r="VRF40" s="471"/>
      <c r="VRG40" s="471"/>
      <c r="VRH40" s="471"/>
      <c r="VRI40" s="471"/>
      <c r="VRJ40" s="471"/>
      <c r="VRK40" s="471"/>
      <c r="VRL40" s="471"/>
      <c r="VRM40" s="471"/>
      <c r="VRN40" s="471"/>
      <c r="VRO40" s="471"/>
      <c r="VRP40" s="471"/>
      <c r="VRQ40" s="471"/>
      <c r="VRR40" s="471"/>
      <c r="VRS40" s="471"/>
      <c r="VRT40" s="471"/>
      <c r="VRU40" s="471"/>
      <c r="VRV40" s="471"/>
      <c r="VRW40" s="471"/>
      <c r="VRX40" s="471"/>
      <c r="VRY40" s="471"/>
      <c r="VRZ40" s="471"/>
      <c r="VSA40" s="471"/>
      <c r="VSB40" s="471"/>
      <c r="VSC40" s="471"/>
      <c r="VSD40" s="471"/>
      <c r="VSE40" s="471"/>
      <c r="VSF40" s="471"/>
      <c r="VSG40" s="471"/>
      <c r="VSH40" s="471"/>
      <c r="VSI40" s="471"/>
      <c r="VSJ40" s="471"/>
      <c r="VSK40" s="471"/>
      <c r="VSL40" s="471"/>
      <c r="VSM40" s="471"/>
      <c r="VSN40" s="471"/>
      <c r="VSO40" s="471"/>
      <c r="VSP40" s="471"/>
      <c r="VSQ40" s="471"/>
      <c r="VSR40" s="471"/>
      <c r="VSS40" s="471"/>
      <c r="VST40" s="471"/>
      <c r="VSU40" s="471"/>
      <c r="VSV40" s="471"/>
      <c r="VSW40" s="471"/>
      <c r="VSX40" s="471"/>
      <c r="VSY40" s="471"/>
      <c r="VSZ40" s="471"/>
      <c r="VTA40" s="471"/>
      <c r="VTB40" s="471"/>
      <c r="VTC40" s="471"/>
      <c r="VTD40" s="471"/>
      <c r="VTE40" s="471"/>
      <c r="VTF40" s="471"/>
      <c r="VTG40" s="471"/>
      <c r="VTH40" s="471"/>
      <c r="VTI40" s="471"/>
      <c r="VTJ40" s="471"/>
      <c r="VTK40" s="471"/>
      <c r="VTL40" s="471"/>
      <c r="VTM40" s="471"/>
      <c r="VTN40" s="471"/>
      <c r="VTO40" s="471"/>
      <c r="VTP40" s="471"/>
      <c r="VTQ40" s="471"/>
      <c r="VTR40" s="471"/>
      <c r="VTS40" s="471"/>
      <c r="VTT40" s="471"/>
      <c r="VTU40" s="471"/>
      <c r="VTV40" s="471"/>
      <c r="VTW40" s="471"/>
      <c r="VTX40" s="471"/>
      <c r="VTY40" s="471"/>
      <c r="VTZ40" s="471"/>
      <c r="VUA40" s="471"/>
      <c r="VUB40" s="471"/>
      <c r="VUC40" s="471"/>
      <c r="VUD40" s="471"/>
      <c r="VUE40" s="471"/>
      <c r="VUF40" s="471"/>
      <c r="VUG40" s="471"/>
      <c r="VUH40" s="471"/>
      <c r="VUI40" s="471"/>
      <c r="VUJ40" s="471"/>
      <c r="VUK40" s="471"/>
      <c r="VUL40" s="471"/>
      <c r="VUM40" s="471"/>
      <c r="VUN40" s="471"/>
      <c r="VUO40" s="471"/>
      <c r="VUP40" s="471"/>
      <c r="VUQ40" s="471"/>
      <c r="VUR40" s="471"/>
      <c r="VUS40" s="471"/>
      <c r="VUT40" s="471"/>
      <c r="VUU40" s="471"/>
      <c r="VUV40" s="471"/>
      <c r="VUW40" s="471"/>
      <c r="VUX40" s="471"/>
      <c r="VUY40" s="471"/>
      <c r="VUZ40" s="471"/>
      <c r="VVA40" s="471"/>
      <c r="VVB40" s="471"/>
      <c r="VVC40" s="471"/>
      <c r="VVD40" s="471"/>
      <c r="VVE40" s="471"/>
      <c r="VVF40" s="471"/>
      <c r="VVG40" s="471"/>
      <c r="VVH40" s="471"/>
      <c r="VVI40" s="471"/>
      <c r="VVJ40" s="471"/>
      <c r="VVK40" s="471"/>
      <c r="VVL40" s="471"/>
      <c r="VVM40" s="471"/>
      <c r="VVN40" s="471"/>
      <c r="VVO40" s="471"/>
      <c r="VVP40" s="471"/>
      <c r="VVQ40" s="471"/>
      <c r="VVR40" s="471"/>
      <c r="VVS40" s="471"/>
      <c r="VVT40" s="471"/>
      <c r="VVU40" s="471"/>
      <c r="VVV40" s="471"/>
      <c r="VVW40" s="471"/>
      <c r="VVX40" s="471"/>
      <c r="VVY40" s="471"/>
      <c r="VVZ40" s="471"/>
      <c r="VWA40" s="471"/>
      <c r="VWB40" s="471"/>
      <c r="VWC40" s="471"/>
      <c r="VWD40" s="471"/>
      <c r="VWE40" s="471"/>
      <c r="VWF40" s="471"/>
      <c r="VWG40" s="471"/>
      <c r="VWH40" s="471"/>
      <c r="VWI40" s="471"/>
      <c r="VWJ40" s="471"/>
      <c r="VWK40" s="471"/>
      <c r="VWL40" s="471"/>
      <c r="VWM40" s="471"/>
      <c r="VWN40" s="471"/>
      <c r="VWO40" s="471"/>
      <c r="VWP40" s="471"/>
      <c r="VWQ40" s="471"/>
      <c r="VWR40" s="471"/>
      <c r="VWS40" s="471"/>
      <c r="VWT40" s="471"/>
      <c r="VWU40" s="471"/>
      <c r="VWV40" s="471"/>
      <c r="VWW40" s="471"/>
      <c r="VWX40" s="471"/>
      <c r="VWY40" s="471"/>
      <c r="VWZ40" s="471"/>
      <c r="VXA40" s="471"/>
      <c r="VXB40" s="471"/>
      <c r="VXC40" s="471"/>
      <c r="VXD40" s="471"/>
      <c r="VXE40" s="471"/>
      <c r="VXF40" s="471"/>
      <c r="VXG40" s="471"/>
      <c r="VXH40" s="471"/>
      <c r="VXI40" s="471"/>
      <c r="VXJ40" s="471"/>
      <c r="VXK40" s="471"/>
      <c r="VXL40" s="471"/>
      <c r="VXM40" s="471"/>
      <c r="VXN40" s="471"/>
      <c r="VXO40" s="471"/>
      <c r="VXP40" s="471"/>
      <c r="VXQ40" s="471"/>
      <c r="VXR40" s="471"/>
      <c r="VXS40" s="471"/>
      <c r="VXT40" s="471"/>
      <c r="VXU40" s="471"/>
      <c r="VXV40" s="471"/>
      <c r="VXW40" s="471"/>
      <c r="VXX40" s="471"/>
      <c r="VXY40" s="471"/>
      <c r="VXZ40" s="471"/>
      <c r="VYA40" s="471"/>
      <c r="VYB40" s="471"/>
      <c r="VYC40" s="471"/>
      <c r="VYD40" s="471"/>
      <c r="VYE40" s="471"/>
      <c r="VYF40" s="471"/>
      <c r="VYG40" s="471"/>
      <c r="VYH40" s="471"/>
      <c r="VYI40" s="471"/>
      <c r="VYJ40" s="471"/>
      <c r="VYK40" s="471"/>
      <c r="VYL40" s="471"/>
      <c r="VYM40" s="471"/>
      <c r="VYN40" s="471"/>
      <c r="VYO40" s="471"/>
      <c r="VYP40" s="471"/>
      <c r="VYQ40" s="471"/>
      <c r="VYR40" s="471"/>
      <c r="VYS40" s="471"/>
      <c r="VYT40" s="471"/>
      <c r="VYU40" s="471"/>
      <c r="VYV40" s="471"/>
      <c r="VYW40" s="471"/>
      <c r="VYX40" s="471"/>
      <c r="VYY40" s="471"/>
      <c r="VYZ40" s="471"/>
      <c r="VZA40" s="471"/>
      <c r="VZB40" s="471"/>
      <c r="VZC40" s="471"/>
      <c r="VZD40" s="471"/>
      <c r="VZE40" s="471"/>
      <c r="VZF40" s="471"/>
      <c r="VZG40" s="471"/>
      <c r="VZH40" s="471"/>
      <c r="VZI40" s="471"/>
      <c r="VZJ40" s="471"/>
      <c r="VZK40" s="471"/>
      <c r="VZL40" s="471"/>
      <c r="VZM40" s="471"/>
      <c r="VZN40" s="471"/>
      <c r="VZO40" s="471"/>
      <c r="VZP40" s="471"/>
      <c r="VZQ40" s="471"/>
      <c r="VZR40" s="471"/>
      <c r="VZS40" s="471"/>
      <c r="VZT40" s="471"/>
      <c r="VZU40" s="471"/>
      <c r="VZV40" s="471"/>
      <c r="VZW40" s="471"/>
      <c r="VZX40" s="471"/>
      <c r="VZY40" s="471"/>
      <c r="VZZ40" s="471"/>
      <c r="WAA40" s="471"/>
      <c r="WAB40" s="471"/>
      <c r="WAC40" s="471"/>
      <c r="WAD40" s="471"/>
      <c r="WAE40" s="471"/>
      <c r="WAF40" s="471"/>
      <c r="WAG40" s="471"/>
      <c r="WAH40" s="471"/>
      <c r="WAI40" s="471"/>
      <c r="WAJ40" s="471"/>
      <c r="WAK40" s="471"/>
      <c r="WAL40" s="471"/>
      <c r="WAM40" s="471"/>
      <c r="WAN40" s="471"/>
      <c r="WAO40" s="471"/>
      <c r="WAP40" s="471"/>
      <c r="WAQ40" s="471"/>
      <c r="WAR40" s="471"/>
      <c r="WAS40" s="471"/>
      <c r="WAT40" s="471"/>
      <c r="WAU40" s="471"/>
      <c r="WAV40" s="471"/>
      <c r="WAW40" s="471"/>
      <c r="WAX40" s="471"/>
      <c r="WAY40" s="471"/>
      <c r="WAZ40" s="471"/>
      <c r="WBA40" s="471"/>
      <c r="WBB40" s="471"/>
      <c r="WBC40" s="471"/>
      <c r="WBD40" s="471"/>
      <c r="WBE40" s="471"/>
      <c r="WBF40" s="471"/>
      <c r="WBG40" s="471"/>
      <c r="WBH40" s="471"/>
      <c r="WBI40" s="471"/>
      <c r="WBJ40" s="471"/>
      <c r="WBK40" s="471"/>
      <c r="WBL40" s="471"/>
      <c r="WBM40" s="471"/>
      <c r="WBN40" s="471"/>
      <c r="WBO40" s="471"/>
      <c r="WBP40" s="471"/>
      <c r="WBQ40" s="471"/>
      <c r="WBR40" s="471"/>
      <c r="WBS40" s="471"/>
      <c r="WBT40" s="471"/>
      <c r="WBU40" s="471"/>
      <c r="WBV40" s="471"/>
      <c r="WBW40" s="471"/>
      <c r="WBX40" s="471"/>
      <c r="WBY40" s="471"/>
      <c r="WBZ40" s="471"/>
      <c r="WCA40" s="471"/>
      <c r="WCB40" s="471"/>
      <c r="WCC40" s="471"/>
      <c r="WCD40" s="471"/>
      <c r="WCE40" s="471"/>
      <c r="WCF40" s="471"/>
      <c r="WCG40" s="471"/>
      <c r="WCH40" s="471"/>
      <c r="WCI40" s="471"/>
      <c r="WCJ40" s="471"/>
      <c r="WCK40" s="471"/>
      <c r="WCL40" s="471"/>
      <c r="WCM40" s="471"/>
      <c r="WCN40" s="471"/>
      <c r="WCO40" s="471"/>
      <c r="WCP40" s="471"/>
      <c r="WCQ40" s="471"/>
      <c r="WCR40" s="471"/>
      <c r="WCS40" s="471"/>
      <c r="WCT40" s="471"/>
      <c r="WCU40" s="471"/>
      <c r="WCV40" s="471"/>
      <c r="WCW40" s="471"/>
      <c r="WCX40" s="471"/>
      <c r="WCY40" s="471"/>
      <c r="WCZ40" s="471"/>
      <c r="WDA40" s="471"/>
      <c r="WDB40" s="471"/>
      <c r="WDC40" s="471"/>
      <c r="WDD40" s="471"/>
      <c r="WDE40" s="471"/>
      <c r="WDF40" s="471"/>
      <c r="WDG40" s="471"/>
      <c r="WDH40" s="471"/>
      <c r="WDI40" s="471"/>
      <c r="WDJ40" s="471"/>
      <c r="WDK40" s="471"/>
      <c r="WDL40" s="471"/>
      <c r="WDM40" s="471"/>
      <c r="WDN40" s="471"/>
      <c r="WDO40" s="471"/>
      <c r="WDP40" s="471"/>
      <c r="WDQ40" s="471"/>
      <c r="WDR40" s="471"/>
      <c r="WDS40" s="471"/>
      <c r="WDT40" s="471"/>
      <c r="WDU40" s="471"/>
      <c r="WDV40" s="471"/>
      <c r="WDW40" s="471"/>
      <c r="WDX40" s="471"/>
      <c r="WDY40" s="471"/>
      <c r="WDZ40" s="471"/>
      <c r="WEA40" s="471"/>
      <c r="WEB40" s="471"/>
      <c r="WEC40" s="471"/>
      <c r="WED40" s="471"/>
      <c r="WEE40" s="471"/>
      <c r="WEF40" s="471"/>
      <c r="WEG40" s="471"/>
      <c r="WEH40" s="471"/>
      <c r="WEI40" s="471"/>
      <c r="WEJ40" s="471"/>
      <c r="WEK40" s="471"/>
      <c r="WEL40" s="471"/>
      <c r="WEM40" s="471"/>
      <c r="WEN40" s="471"/>
      <c r="WEO40" s="471"/>
      <c r="WEP40" s="471"/>
      <c r="WEQ40" s="471"/>
      <c r="WER40" s="471"/>
      <c r="WES40" s="471"/>
      <c r="WET40" s="471"/>
      <c r="WEU40" s="471"/>
      <c r="WEV40" s="471"/>
      <c r="WEW40" s="471"/>
      <c r="WEX40" s="471"/>
      <c r="WEY40" s="471"/>
      <c r="WEZ40" s="471"/>
      <c r="WFA40" s="471"/>
      <c r="WFB40" s="471"/>
      <c r="WFC40" s="471"/>
      <c r="WFD40" s="471"/>
      <c r="WFE40" s="471"/>
      <c r="WFF40" s="471"/>
      <c r="WFG40" s="471"/>
      <c r="WFH40" s="471"/>
      <c r="WFI40" s="471"/>
      <c r="WFJ40" s="471"/>
      <c r="WFK40" s="471"/>
      <c r="WFL40" s="471"/>
      <c r="WFM40" s="471"/>
      <c r="WFN40" s="471"/>
      <c r="WFO40" s="471"/>
      <c r="WFP40" s="471"/>
      <c r="WFQ40" s="471"/>
      <c r="WFR40" s="471"/>
      <c r="WFS40" s="471"/>
      <c r="WFT40" s="471"/>
      <c r="WFU40" s="471"/>
      <c r="WFV40" s="471"/>
      <c r="WFW40" s="471"/>
      <c r="WFX40" s="471"/>
      <c r="WFY40" s="471"/>
      <c r="WFZ40" s="471"/>
      <c r="WGA40" s="471"/>
      <c r="WGB40" s="471"/>
      <c r="WGC40" s="471"/>
      <c r="WGD40" s="471"/>
      <c r="WGE40" s="471"/>
      <c r="WGF40" s="471"/>
      <c r="WGG40" s="471"/>
      <c r="WGH40" s="471"/>
      <c r="WGI40" s="471"/>
      <c r="WGJ40" s="471"/>
      <c r="WGK40" s="471"/>
      <c r="WGL40" s="471"/>
      <c r="WGM40" s="471"/>
      <c r="WGN40" s="471"/>
      <c r="WGO40" s="471"/>
      <c r="WGP40" s="471"/>
      <c r="WGQ40" s="471"/>
      <c r="WGR40" s="471"/>
      <c r="WGS40" s="471"/>
      <c r="WGT40" s="471"/>
      <c r="WGU40" s="471"/>
      <c r="WGV40" s="471"/>
      <c r="WGW40" s="471"/>
      <c r="WGX40" s="471"/>
      <c r="WGY40" s="471"/>
      <c r="WGZ40" s="471"/>
      <c r="WHA40" s="471"/>
      <c r="WHB40" s="471"/>
      <c r="WHC40" s="471"/>
      <c r="WHD40" s="471"/>
      <c r="WHE40" s="471"/>
      <c r="WHF40" s="471"/>
      <c r="WHG40" s="471"/>
      <c r="WHH40" s="471"/>
      <c r="WHI40" s="471"/>
      <c r="WHJ40" s="471"/>
      <c r="WHK40" s="471"/>
      <c r="WHL40" s="471"/>
      <c r="WHM40" s="471"/>
      <c r="WHN40" s="471"/>
      <c r="WHO40" s="471"/>
      <c r="WHP40" s="471"/>
      <c r="WHQ40" s="471"/>
      <c r="WHR40" s="471"/>
      <c r="WHS40" s="471"/>
      <c r="WHT40" s="471"/>
      <c r="WHU40" s="471"/>
      <c r="WHV40" s="471"/>
      <c r="WHW40" s="471"/>
      <c r="WHX40" s="471"/>
      <c r="WHY40" s="471"/>
      <c r="WHZ40" s="471"/>
      <c r="WIA40" s="471"/>
      <c r="WIB40" s="471"/>
      <c r="WIC40" s="471"/>
      <c r="WID40" s="471"/>
      <c r="WIE40" s="471"/>
      <c r="WIF40" s="471"/>
      <c r="WIG40" s="471"/>
      <c r="WIH40" s="471"/>
      <c r="WII40" s="471"/>
      <c r="WIJ40" s="471"/>
      <c r="WIK40" s="471"/>
      <c r="WIL40" s="471"/>
      <c r="WIM40" s="471"/>
      <c r="WIN40" s="471"/>
      <c r="WIO40" s="471"/>
      <c r="WIP40" s="471"/>
      <c r="WIQ40" s="471"/>
      <c r="WIR40" s="471"/>
      <c r="WIS40" s="471"/>
      <c r="WIT40" s="471"/>
      <c r="WIU40" s="471"/>
      <c r="WIV40" s="471"/>
      <c r="WIW40" s="471"/>
      <c r="WIX40" s="471"/>
      <c r="WIY40" s="471"/>
      <c r="WIZ40" s="471"/>
      <c r="WJA40" s="471"/>
      <c r="WJB40" s="471"/>
      <c r="WJC40" s="471"/>
      <c r="WJD40" s="471"/>
      <c r="WJE40" s="471"/>
      <c r="WJF40" s="471"/>
      <c r="WJG40" s="471"/>
      <c r="WJH40" s="471"/>
      <c r="WJI40" s="471"/>
      <c r="WJJ40" s="471"/>
      <c r="WJK40" s="471"/>
      <c r="WJL40" s="471"/>
      <c r="WJM40" s="471"/>
      <c r="WJN40" s="471"/>
      <c r="WJO40" s="471"/>
      <c r="WJP40" s="471"/>
      <c r="WJQ40" s="471"/>
      <c r="WJR40" s="471"/>
      <c r="WJS40" s="471"/>
      <c r="WJT40" s="471"/>
      <c r="WJU40" s="471"/>
      <c r="WJV40" s="471"/>
      <c r="WJW40" s="471"/>
      <c r="WJX40" s="471"/>
      <c r="WJY40" s="471"/>
      <c r="WJZ40" s="471"/>
      <c r="WKA40" s="471"/>
      <c r="WKB40" s="471"/>
      <c r="WKC40" s="471"/>
      <c r="WKD40" s="471"/>
      <c r="WKE40" s="471"/>
      <c r="WKF40" s="471"/>
      <c r="WKG40" s="471"/>
      <c r="WKH40" s="471"/>
      <c r="WKI40" s="471"/>
      <c r="WKJ40" s="471"/>
      <c r="WKK40" s="471"/>
      <c r="WKL40" s="471"/>
      <c r="WKM40" s="471"/>
      <c r="WKN40" s="471"/>
      <c r="WKO40" s="471"/>
      <c r="WKP40" s="471"/>
      <c r="WKQ40" s="471"/>
      <c r="WKR40" s="471"/>
      <c r="WKS40" s="471"/>
      <c r="WKT40" s="471"/>
      <c r="WKU40" s="471"/>
      <c r="WKV40" s="471"/>
      <c r="WKW40" s="471"/>
      <c r="WKX40" s="471"/>
      <c r="WKY40" s="471"/>
      <c r="WKZ40" s="471"/>
      <c r="WLA40" s="471"/>
      <c r="WLB40" s="471"/>
      <c r="WLC40" s="471"/>
      <c r="WLD40" s="471"/>
      <c r="WLE40" s="471"/>
      <c r="WLF40" s="471"/>
      <c r="WLG40" s="471"/>
      <c r="WLH40" s="471"/>
      <c r="WLI40" s="471"/>
      <c r="WLJ40" s="471"/>
      <c r="WLK40" s="471"/>
      <c r="WLL40" s="471"/>
      <c r="WLM40" s="471"/>
      <c r="WLN40" s="471"/>
      <c r="WLO40" s="471"/>
      <c r="WLP40" s="471"/>
      <c r="WLQ40" s="471"/>
      <c r="WLR40" s="471"/>
      <c r="WLS40" s="471"/>
      <c r="WLT40" s="471"/>
      <c r="WLU40" s="471"/>
      <c r="WLV40" s="471"/>
      <c r="WLW40" s="471"/>
      <c r="WLX40" s="471"/>
      <c r="WLY40" s="471"/>
      <c r="WLZ40" s="471"/>
      <c r="WMA40" s="471"/>
      <c r="WMB40" s="471"/>
      <c r="WMC40" s="471"/>
      <c r="WMD40" s="471"/>
      <c r="WME40" s="471"/>
      <c r="WMF40" s="471"/>
      <c r="WMG40" s="471"/>
      <c r="WMH40" s="471"/>
      <c r="WMI40" s="471"/>
      <c r="WMJ40" s="471"/>
      <c r="WMK40" s="471"/>
      <c r="WML40" s="471"/>
      <c r="WMM40" s="471"/>
      <c r="WMN40" s="471"/>
      <c r="WMO40" s="471"/>
      <c r="WMP40" s="471"/>
      <c r="WMQ40" s="471"/>
      <c r="WMR40" s="471"/>
      <c r="WMS40" s="471"/>
      <c r="WMT40" s="471"/>
      <c r="WMU40" s="471"/>
      <c r="WMV40" s="471"/>
      <c r="WMW40" s="471"/>
      <c r="WMX40" s="471"/>
      <c r="WMY40" s="471"/>
      <c r="WMZ40" s="471"/>
      <c r="WNA40" s="471"/>
      <c r="WNB40" s="471"/>
      <c r="WNC40" s="471"/>
      <c r="WND40" s="471"/>
      <c r="WNE40" s="471"/>
      <c r="WNF40" s="471"/>
      <c r="WNG40" s="471"/>
      <c r="WNH40" s="471"/>
      <c r="WNI40" s="471"/>
      <c r="WNJ40" s="471"/>
      <c r="WNK40" s="471"/>
      <c r="WNL40" s="471"/>
      <c r="WNM40" s="471"/>
      <c r="WNN40" s="471"/>
      <c r="WNO40" s="471"/>
      <c r="WNP40" s="471"/>
      <c r="WNQ40" s="471"/>
      <c r="WNR40" s="471"/>
      <c r="WNS40" s="471"/>
      <c r="WNT40" s="471"/>
      <c r="WNU40" s="471"/>
      <c r="WNV40" s="471"/>
      <c r="WNW40" s="471"/>
      <c r="WNX40" s="471"/>
      <c r="WNY40" s="471"/>
      <c r="WNZ40" s="471"/>
      <c r="WOA40" s="471"/>
      <c r="WOB40" s="471"/>
      <c r="WOC40" s="471"/>
      <c r="WOD40" s="471"/>
      <c r="WOE40" s="471"/>
      <c r="WOF40" s="471"/>
      <c r="WOG40" s="471"/>
      <c r="WOH40" s="471"/>
      <c r="WOI40" s="471"/>
      <c r="WOJ40" s="471"/>
      <c r="WOK40" s="471"/>
      <c r="WOL40" s="471"/>
      <c r="WOM40" s="471"/>
      <c r="WON40" s="471"/>
      <c r="WOO40" s="471"/>
      <c r="WOP40" s="471"/>
      <c r="WOQ40" s="471"/>
      <c r="WOR40" s="471"/>
      <c r="WOS40" s="471"/>
      <c r="WOT40" s="471"/>
      <c r="WOU40" s="471"/>
      <c r="WOV40" s="471"/>
      <c r="WOW40" s="471"/>
      <c r="WOX40" s="471"/>
      <c r="WOY40" s="471"/>
      <c r="WOZ40" s="471"/>
      <c r="WPA40" s="471"/>
      <c r="WPB40" s="471"/>
      <c r="WPC40" s="471"/>
      <c r="WPD40" s="471"/>
      <c r="WPE40" s="471"/>
      <c r="WPF40" s="471"/>
      <c r="WPG40" s="471"/>
      <c r="WPH40" s="471"/>
      <c r="WPI40" s="471"/>
      <c r="WPJ40" s="471"/>
      <c r="WPK40" s="471"/>
      <c r="WPL40" s="471"/>
      <c r="WPM40" s="471"/>
      <c r="WPN40" s="471"/>
      <c r="WPO40" s="471"/>
      <c r="WPP40" s="471"/>
      <c r="WPQ40" s="471"/>
      <c r="WPR40" s="471"/>
      <c r="WPS40" s="471"/>
      <c r="WPT40" s="471"/>
      <c r="WPU40" s="471"/>
      <c r="WPV40" s="471"/>
      <c r="WPW40" s="471"/>
      <c r="WPX40" s="471"/>
      <c r="WPY40" s="471"/>
      <c r="WPZ40" s="471"/>
      <c r="WQA40" s="471"/>
      <c r="WQB40" s="471"/>
      <c r="WQC40" s="471"/>
      <c r="WQD40" s="471"/>
      <c r="WQE40" s="471"/>
      <c r="WQF40" s="471"/>
      <c r="WQG40" s="471"/>
      <c r="WQH40" s="471"/>
      <c r="WQI40" s="471"/>
      <c r="WQJ40" s="471"/>
      <c r="WQK40" s="471"/>
      <c r="WQL40" s="471"/>
      <c r="WQM40" s="471"/>
      <c r="WQN40" s="471"/>
      <c r="WQO40" s="471"/>
      <c r="WQP40" s="471"/>
      <c r="WQQ40" s="471"/>
      <c r="WQR40" s="471"/>
      <c r="WQS40" s="471"/>
      <c r="WQT40" s="471"/>
      <c r="WQU40" s="471"/>
      <c r="WQV40" s="471"/>
      <c r="WQW40" s="471"/>
      <c r="WQX40" s="471"/>
      <c r="WQY40" s="471"/>
      <c r="WQZ40" s="471"/>
      <c r="WRA40" s="471"/>
      <c r="WRB40" s="471"/>
      <c r="WRC40" s="471"/>
      <c r="WRD40" s="471"/>
      <c r="WRE40" s="471"/>
      <c r="WRF40" s="471"/>
      <c r="WRG40" s="471"/>
      <c r="WRH40" s="471"/>
      <c r="WRI40" s="471"/>
      <c r="WRJ40" s="471"/>
      <c r="WRK40" s="471"/>
      <c r="WRL40" s="471"/>
      <c r="WRM40" s="471"/>
      <c r="WRN40" s="471"/>
      <c r="WRO40" s="471"/>
      <c r="WRP40" s="471"/>
      <c r="WRQ40" s="471"/>
      <c r="WRR40" s="471"/>
      <c r="WRS40" s="471"/>
      <c r="WRT40" s="471"/>
      <c r="WRU40" s="471"/>
      <c r="WRV40" s="471"/>
      <c r="WRW40" s="471"/>
      <c r="WRX40" s="471"/>
      <c r="WRY40" s="471"/>
      <c r="WRZ40" s="471"/>
      <c r="WSA40" s="471"/>
      <c r="WSB40" s="471"/>
      <c r="WSC40" s="471"/>
      <c r="WSD40" s="471"/>
      <c r="WSE40" s="471"/>
      <c r="WSF40" s="471"/>
      <c r="WSG40" s="471"/>
      <c r="WSH40" s="471"/>
      <c r="WSI40" s="471"/>
      <c r="WSJ40" s="471"/>
      <c r="WSK40" s="471"/>
      <c r="WSL40" s="471"/>
      <c r="WSM40" s="471"/>
      <c r="WSN40" s="471"/>
      <c r="WSO40" s="471"/>
      <c r="WSP40" s="471"/>
      <c r="WSQ40" s="471"/>
      <c r="WSR40" s="471"/>
      <c r="WSS40" s="471"/>
      <c r="WST40" s="471"/>
      <c r="WSU40" s="471"/>
      <c r="WSV40" s="471"/>
      <c r="WSW40" s="471"/>
      <c r="WSX40" s="471"/>
      <c r="WSY40" s="471"/>
      <c r="WSZ40" s="471"/>
      <c r="WTA40" s="471"/>
      <c r="WTB40" s="471"/>
      <c r="WTC40" s="471"/>
      <c r="WTD40" s="471"/>
      <c r="WTE40" s="471"/>
      <c r="WTF40" s="471"/>
      <c r="WTG40" s="471"/>
      <c r="WTH40" s="471"/>
      <c r="WTI40" s="471"/>
      <c r="WTJ40" s="471"/>
      <c r="WTK40" s="471"/>
      <c r="WTL40" s="471"/>
      <c r="WTM40" s="471"/>
      <c r="WTN40" s="471"/>
      <c r="WTO40" s="471"/>
      <c r="WTP40" s="471"/>
      <c r="WTQ40" s="471"/>
      <c r="WTR40" s="471"/>
      <c r="WTS40" s="471"/>
      <c r="WTT40" s="471"/>
      <c r="WTU40" s="471"/>
      <c r="WTV40" s="471"/>
      <c r="WTW40" s="471"/>
      <c r="WTX40" s="471"/>
      <c r="WTY40" s="471"/>
      <c r="WTZ40" s="471"/>
      <c r="WUA40" s="471"/>
      <c r="WUB40" s="471"/>
      <c r="WUC40" s="471"/>
      <c r="WUD40" s="471"/>
      <c r="WUE40" s="471"/>
      <c r="WUF40" s="471"/>
      <c r="WUG40" s="471"/>
      <c r="WUH40" s="471"/>
      <c r="WUI40" s="471"/>
      <c r="WUJ40" s="471"/>
      <c r="WUK40" s="471"/>
      <c r="WUL40" s="471"/>
      <c r="WUM40" s="471"/>
      <c r="WUN40" s="471"/>
      <c r="WUO40" s="471"/>
      <c r="WUP40" s="471"/>
      <c r="WUQ40" s="471"/>
      <c r="WUR40" s="471"/>
      <c r="WUS40" s="471"/>
      <c r="WUT40" s="471"/>
      <c r="WUU40" s="471"/>
      <c r="WUV40" s="471"/>
      <c r="WUW40" s="471"/>
      <c r="WUX40" s="471"/>
      <c r="WUY40" s="471"/>
      <c r="WUZ40" s="471"/>
      <c r="WVA40" s="471"/>
      <c r="WVB40" s="471"/>
      <c r="WVC40" s="471"/>
      <c r="WVD40" s="471"/>
      <c r="WVE40" s="471"/>
      <c r="WVF40" s="471"/>
      <c r="WVG40" s="471"/>
      <c r="WVH40" s="471"/>
      <c r="WVI40" s="471"/>
      <c r="WVJ40" s="471"/>
      <c r="WVK40" s="471"/>
      <c r="WVL40" s="471"/>
      <c r="WVM40" s="471"/>
      <c r="WVN40" s="471"/>
      <c r="WVO40" s="471"/>
      <c r="WVP40" s="471"/>
      <c r="WVQ40" s="471"/>
      <c r="WVR40" s="471"/>
      <c r="WVS40" s="471"/>
      <c r="WVT40" s="471"/>
      <c r="WVU40" s="471"/>
      <c r="WVV40" s="471"/>
      <c r="WVW40" s="471"/>
      <c r="WVX40" s="471"/>
      <c r="WVY40" s="471"/>
      <c r="WVZ40" s="471"/>
      <c r="WWA40" s="471"/>
      <c r="WWB40" s="471"/>
      <c r="WWC40" s="471"/>
      <c r="WWD40" s="471"/>
      <c r="WWE40" s="471"/>
      <c r="WWF40" s="471"/>
      <c r="WWG40" s="471"/>
      <c r="WWH40" s="471"/>
      <c r="WWI40" s="471"/>
      <c r="WWJ40" s="471"/>
      <c r="WWK40" s="471"/>
      <c r="WWL40" s="471"/>
      <c r="WWM40" s="471"/>
      <c r="WWN40" s="471"/>
      <c r="WWO40" s="471"/>
      <c r="WWP40" s="471"/>
      <c r="WWQ40" s="471"/>
      <c r="WWR40" s="471"/>
      <c r="WWS40" s="471"/>
      <c r="WWT40" s="471"/>
      <c r="WWU40" s="471"/>
      <c r="WWV40" s="471"/>
      <c r="WWW40" s="471"/>
      <c r="WWX40" s="471"/>
      <c r="WWY40" s="471"/>
      <c r="WWZ40" s="471"/>
      <c r="WXA40" s="471"/>
      <c r="WXB40" s="471"/>
      <c r="WXC40" s="471"/>
      <c r="WXD40" s="471"/>
      <c r="WXE40" s="471"/>
      <c r="WXF40" s="471"/>
      <c r="WXG40" s="471"/>
      <c r="WXH40" s="471"/>
      <c r="WXI40" s="471"/>
      <c r="WXJ40" s="471"/>
      <c r="WXK40" s="471"/>
      <c r="WXL40" s="471"/>
      <c r="WXM40" s="471"/>
      <c r="WXN40" s="471"/>
      <c r="WXO40" s="471"/>
      <c r="WXP40" s="471"/>
      <c r="WXQ40" s="471"/>
      <c r="WXR40" s="471"/>
      <c r="WXS40" s="471"/>
      <c r="WXT40" s="471"/>
      <c r="WXU40" s="471"/>
      <c r="WXV40" s="471"/>
      <c r="WXW40" s="471"/>
      <c r="WXX40" s="471"/>
      <c r="WXY40" s="471"/>
      <c r="WXZ40" s="471"/>
      <c r="WYA40" s="471"/>
      <c r="WYB40" s="471"/>
      <c r="WYC40" s="471"/>
      <c r="WYD40" s="471"/>
      <c r="WYE40" s="471"/>
      <c r="WYF40" s="471"/>
      <c r="WYG40" s="471"/>
      <c r="WYH40" s="471"/>
      <c r="WYI40" s="471"/>
      <c r="WYJ40" s="471"/>
      <c r="WYK40" s="471"/>
      <c r="WYL40" s="471"/>
      <c r="WYM40" s="471"/>
      <c r="WYN40" s="471"/>
      <c r="WYO40" s="471"/>
      <c r="WYP40" s="471"/>
      <c r="WYQ40" s="471"/>
      <c r="WYR40" s="471"/>
      <c r="WYS40" s="471"/>
      <c r="WYT40" s="471"/>
      <c r="WYU40" s="471"/>
      <c r="WYV40" s="471"/>
      <c r="WYW40" s="471"/>
      <c r="WYX40" s="471"/>
      <c r="WYY40" s="471"/>
      <c r="WYZ40" s="471"/>
      <c r="WZA40" s="471"/>
      <c r="WZB40" s="471"/>
      <c r="WZC40" s="471"/>
      <c r="WZD40" s="471"/>
      <c r="WZE40" s="471"/>
      <c r="WZF40" s="471"/>
      <c r="WZG40" s="471"/>
      <c r="WZH40" s="471"/>
      <c r="WZI40" s="471"/>
      <c r="WZJ40" s="471"/>
      <c r="WZK40" s="471"/>
      <c r="WZL40" s="471"/>
      <c r="WZM40" s="471"/>
      <c r="WZN40" s="471"/>
      <c r="WZO40" s="471"/>
      <c r="WZP40" s="471"/>
      <c r="WZQ40" s="471"/>
      <c r="WZR40" s="471"/>
      <c r="WZS40" s="471"/>
      <c r="WZT40" s="471"/>
      <c r="WZU40" s="471"/>
      <c r="WZV40" s="471"/>
      <c r="WZW40" s="471"/>
      <c r="WZX40" s="471"/>
      <c r="WZY40" s="471"/>
      <c r="WZZ40" s="471"/>
      <c r="XAA40" s="471"/>
      <c r="XAB40" s="471"/>
      <c r="XAC40" s="471"/>
      <c r="XAD40" s="471"/>
      <c r="XAE40" s="471"/>
      <c r="XAF40" s="471"/>
      <c r="XAG40" s="471"/>
      <c r="XAH40" s="471"/>
      <c r="XAI40" s="471"/>
      <c r="XAJ40" s="471"/>
      <c r="XAK40" s="471"/>
      <c r="XAL40" s="471"/>
      <c r="XAM40" s="471"/>
      <c r="XAN40" s="471"/>
      <c r="XAO40" s="471"/>
      <c r="XAP40" s="471"/>
      <c r="XAQ40" s="471"/>
      <c r="XAR40" s="471"/>
      <c r="XAS40" s="471"/>
      <c r="XAT40" s="471"/>
      <c r="XAU40" s="471"/>
      <c r="XAV40" s="471"/>
      <c r="XAW40" s="471"/>
      <c r="XAX40" s="471"/>
      <c r="XAY40" s="471"/>
      <c r="XAZ40" s="471"/>
      <c r="XBA40" s="471"/>
      <c r="XBB40" s="471"/>
      <c r="XBC40" s="471"/>
      <c r="XBD40" s="471"/>
      <c r="XBE40" s="471"/>
      <c r="XBF40" s="471"/>
      <c r="XBG40" s="471"/>
      <c r="XBH40" s="471"/>
      <c r="XBI40" s="471"/>
      <c r="XBJ40" s="471"/>
      <c r="XBK40" s="471"/>
      <c r="XBL40" s="471"/>
      <c r="XBM40" s="471"/>
      <c r="XBN40" s="471"/>
      <c r="XBO40" s="471"/>
      <c r="XBP40" s="471"/>
      <c r="XBQ40" s="471"/>
      <c r="XBR40" s="471"/>
      <c r="XBS40" s="471"/>
      <c r="XBT40" s="471"/>
      <c r="XBU40" s="471"/>
      <c r="XBV40" s="471"/>
      <c r="XBW40" s="471"/>
      <c r="XBX40" s="471"/>
      <c r="XBY40" s="471"/>
      <c r="XBZ40" s="471"/>
      <c r="XCA40" s="471"/>
      <c r="XCB40" s="471"/>
      <c r="XCC40" s="471"/>
      <c r="XCD40" s="471"/>
      <c r="XCE40" s="471"/>
      <c r="XCF40" s="471"/>
      <c r="XCG40" s="471"/>
      <c r="XCH40" s="471"/>
      <c r="XCI40" s="471"/>
      <c r="XCJ40" s="471"/>
      <c r="XCK40" s="471"/>
      <c r="XCL40" s="471"/>
      <c r="XCM40" s="471"/>
      <c r="XCN40" s="471"/>
      <c r="XCO40" s="471"/>
      <c r="XCP40" s="471"/>
      <c r="XCQ40" s="471"/>
      <c r="XCR40" s="471"/>
      <c r="XCS40" s="471"/>
      <c r="XCT40" s="471"/>
      <c r="XCU40" s="471"/>
      <c r="XCV40" s="471"/>
      <c r="XCW40" s="471"/>
      <c r="XCX40" s="471"/>
      <c r="XCY40" s="471"/>
      <c r="XCZ40" s="471"/>
      <c r="XDA40" s="471"/>
      <c r="XDB40" s="471"/>
      <c r="XDC40" s="471"/>
      <c r="XDD40" s="471"/>
      <c r="XDE40" s="471"/>
      <c r="XDF40" s="471"/>
      <c r="XDG40" s="471"/>
      <c r="XDH40" s="471"/>
      <c r="XDI40" s="471"/>
      <c r="XDJ40" s="471"/>
      <c r="XDK40" s="471"/>
      <c r="XDL40" s="471"/>
      <c r="XDM40" s="471"/>
      <c r="XDN40" s="471"/>
      <c r="XDO40" s="471"/>
      <c r="XDP40" s="471"/>
      <c r="XDQ40" s="471"/>
      <c r="XDR40" s="471"/>
      <c r="XDS40" s="471"/>
      <c r="XDT40" s="471"/>
      <c r="XDU40" s="471"/>
      <c r="XDV40" s="471"/>
      <c r="XDW40" s="471"/>
      <c r="XDX40" s="471"/>
      <c r="XDY40" s="471"/>
      <c r="XDZ40" s="471"/>
      <c r="XEA40" s="471"/>
      <c r="XEB40" s="471"/>
      <c r="XEC40" s="471"/>
      <c r="XED40" s="471"/>
      <c r="XEE40" s="471"/>
      <c r="XEF40" s="471"/>
      <c r="XEG40" s="471"/>
      <c r="XEH40" s="471"/>
      <c r="XEI40" s="471"/>
      <c r="XEJ40" s="471"/>
      <c r="XEK40" s="471"/>
      <c r="XEL40" s="471"/>
      <c r="XEM40" s="471"/>
      <c r="XEN40" s="471"/>
      <c r="XEO40" s="471"/>
      <c r="XEP40" s="471"/>
      <c r="XEQ40" s="471"/>
      <c r="XER40" s="471"/>
      <c r="XES40" s="471"/>
      <c r="XET40" s="471"/>
      <c r="XEU40" s="471"/>
      <c r="XEV40" s="471"/>
      <c r="XEW40" s="471"/>
      <c r="XEX40" s="471"/>
      <c r="XEY40" s="471"/>
      <c r="XEZ40" s="471"/>
      <c r="XFA40" s="471"/>
      <c r="XFB40" s="471"/>
      <c r="XFC40" s="471"/>
      <c r="XFD40" s="471"/>
    </row>
    <row r="42" spans="1:16384" x14ac:dyDescent="0.3">
      <c r="B42" s="91"/>
      <c r="C42" s="89"/>
      <c r="D42" s="89"/>
      <c r="E42" s="89"/>
      <c r="F42" s="91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493" t="str" vm="12">
        <f>CUBEMEMBER("ThisWorkbookDataModel","[EDTN_PQ].[N3].&amp;[0.0 Actividades preliminares]")</f>
        <v>0.0 Actividades preliminares</v>
      </c>
      <c r="S42" s="494"/>
      <c r="T42" s="494"/>
      <c r="U42" s="495"/>
    </row>
    <row r="43" spans="1:16384" x14ac:dyDescent="0.3">
      <c r="B43" s="92"/>
      <c r="F43" s="92"/>
      <c r="R43" s="500"/>
      <c r="S43" s="501"/>
      <c r="T43" s="501"/>
      <c r="U43" s="502"/>
    </row>
    <row r="44" spans="1:16384" x14ac:dyDescent="0.3">
      <c r="B44" s="92"/>
      <c r="F44" s="92"/>
      <c r="R44" s="91"/>
      <c r="S44" s="89"/>
      <c r="T44" s="89"/>
      <c r="U44" s="90"/>
    </row>
    <row r="45" spans="1:16384" x14ac:dyDescent="0.3">
      <c r="B45" s="92"/>
      <c r="F45" s="92"/>
      <c r="R45" s="92"/>
      <c r="S45" s="116" t="s">
        <v>243</v>
      </c>
      <c r="T45" s="139" vm="72">
        <f>CUBEVALUE("ThisWorkbookDataModel","[Measures].[Avance Plan B39 base 100 Acumulado Semanal]",SegmentaciónDeDatos_Calendario,R42)</f>
        <v>1</v>
      </c>
      <c r="U45" s="88"/>
    </row>
    <row r="46" spans="1:16384" x14ac:dyDescent="0.3">
      <c r="B46" s="92"/>
      <c r="F46" s="92"/>
      <c r="R46" s="92"/>
      <c r="S46" s="116" t="s">
        <v>244</v>
      </c>
      <c r="T46" s="139" vm="114">
        <f>CUBEVALUE("ThisWorkbookDataModel","[Measures].[Avance Real B39 base 100 Acumulado Semanal]",SegmentaciónDeDatos_Calendario,R42)</f>
        <v>1</v>
      </c>
      <c r="U46" s="88"/>
    </row>
    <row r="47" spans="1:16384" x14ac:dyDescent="0.3">
      <c r="B47" s="92"/>
      <c r="F47" s="92"/>
      <c r="R47" s="92"/>
      <c r="S47" s="116" t="s">
        <v>245</v>
      </c>
      <c r="T47" s="139">
        <f>T46-T45</f>
        <v>0</v>
      </c>
      <c r="U47" s="88"/>
    </row>
    <row r="48" spans="1:16384" x14ac:dyDescent="0.3">
      <c r="B48" s="92"/>
      <c r="F48" s="92"/>
      <c r="R48" s="92"/>
      <c r="S48" s="485" t="s">
        <v>246</v>
      </c>
      <c r="T48" s="499" vm="103">
        <f>CUBEVALUE("ThisWorkbookDataModel","[Measures].[Aporte a la Desviación B39]",SegmentaciónDeDatos_Calendario,R42)</f>
        <v>0</v>
      </c>
      <c r="U48" s="88"/>
    </row>
    <row r="49" spans="2:21" x14ac:dyDescent="0.3">
      <c r="B49" s="92"/>
      <c r="F49" s="92"/>
      <c r="R49" s="92"/>
      <c r="S49" s="485"/>
      <c r="T49" s="499"/>
      <c r="U49" s="88"/>
    </row>
    <row r="50" spans="2:21" x14ac:dyDescent="0.3">
      <c r="B50" s="92"/>
      <c r="F50" s="92"/>
      <c r="R50" s="95"/>
      <c r="S50" s="93"/>
      <c r="T50" s="93"/>
      <c r="U50" s="94"/>
    </row>
    <row r="51" spans="2:21" x14ac:dyDescent="0.3">
      <c r="B51" s="92"/>
      <c r="F51" s="92"/>
      <c r="R51" s="493" t="str" vm="13">
        <f>CUBEMEMBER("ThisWorkbookDataModel","[EDTN_PQ].[N3].&amp;[2.4 Reparación de componentes en talleres]")</f>
        <v>2.4 Reparación de componentes en talleres</v>
      </c>
      <c r="S51" s="494"/>
      <c r="T51" s="494"/>
      <c r="U51" s="495"/>
    </row>
    <row r="52" spans="2:21" x14ac:dyDescent="0.3">
      <c r="B52" s="92"/>
      <c r="F52" s="92"/>
      <c r="R52" s="500"/>
      <c r="S52" s="501"/>
      <c r="T52" s="501"/>
      <c r="U52" s="502"/>
    </row>
    <row r="53" spans="2:21" x14ac:dyDescent="0.3">
      <c r="B53" s="92"/>
      <c r="F53" s="92"/>
      <c r="R53" s="91"/>
      <c r="S53" s="89"/>
      <c r="T53" s="89"/>
      <c r="U53" s="90"/>
    </row>
    <row r="54" spans="2:21" x14ac:dyDescent="0.3">
      <c r="B54" s="92"/>
      <c r="F54" s="92"/>
      <c r="R54" s="92"/>
      <c r="S54" s="116" t="s">
        <v>243</v>
      </c>
      <c r="T54" s="139" vm="67">
        <f>CUBEVALUE("ThisWorkbookDataModel","[Measures].[Avance Plan B39 base 100 Acumulado Semanal]",SegmentaciónDeDatos_Calendario,R51)</f>
        <v>1</v>
      </c>
      <c r="U54" s="88"/>
    </row>
    <row r="55" spans="2:21" x14ac:dyDescent="0.3">
      <c r="B55" s="147"/>
      <c r="C55" s="148" t="s">
        <v>245</v>
      </c>
      <c r="D55" s="149">
        <f>Z5</f>
        <v>-0.39938650192474179</v>
      </c>
      <c r="F55" s="92"/>
      <c r="R55" s="92"/>
      <c r="S55" s="116" t="s">
        <v>244</v>
      </c>
      <c r="T55" s="139" vm="59">
        <f>CUBEVALUE("ThisWorkbookDataModel","[Measures].[Avance Real B39 base 100 Acumulado Semanal]",SegmentaciónDeDatos_Calendario,R51)</f>
        <v>0.91461538461538461</v>
      </c>
      <c r="U55" s="88"/>
    </row>
    <row r="56" spans="2:21" x14ac:dyDescent="0.3">
      <c r="B56" s="147"/>
      <c r="C56" s="148" t="s">
        <v>247</v>
      </c>
      <c r="D56" s="150" vm="51">
        <f>CUBEVALUE("ThisWorkbookDataModel","[Measures].[Aporte a la Desviación B39]",W3,SegmentaciónDeDatos_Calendario)</f>
        <v>-9.0730431212411325E-2</v>
      </c>
      <c r="F56" s="92"/>
      <c r="R56" s="92"/>
      <c r="S56" s="116" t="s">
        <v>245</v>
      </c>
      <c r="T56" s="139">
        <f>T55-T54</f>
        <v>-8.5384615384615392E-2</v>
      </c>
      <c r="U56" s="88"/>
    </row>
    <row r="57" spans="2:21" x14ac:dyDescent="0.3">
      <c r="B57" s="507" t="s">
        <v>248</v>
      </c>
      <c r="C57" s="508"/>
      <c r="D57" s="150" vm="66">
        <f>CUBEVALUE("ThisWorkbookDataModel","[Measures].[Avance Real B39 Periodo (1 mes)]",SegmentaciónDeDatos_Calendario,W3)</f>
        <v>2.546717780917529E-3</v>
      </c>
      <c r="F57" s="92"/>
      <c r="R57" s="92"/>
      <c r="S57" s="485" t="s">
        <v>246</v>
      </c>
      <c r="T57" s="499" vm="100">
        <f>CUBEVALUE("ThisWorkbookDataModel","[Measures].[Aporte a la Desviación B39]",SegmentaciónDeDatos_Calendario,R51)</f>
        <v>-3.5456837076103757E-3</v>
      </c>
      <c r="U57" s="88"/>
    </row>
    <row r="58" spans="2:21" x14ac:dyDescent="0.3">
      <c r="B58" s="92"/>
      <c r="F58" s="92"/>
      <c r="R58" s="92"/>
      <c r="S58" s="485"/>
      <c r="T58" s="499"/>
      <c r="U58" s="88"/>
    </row>
    <row r="59" spans="2:21" x14ac:dyDescent="0.3">
      <c r="B59" s="95"/>
      <c r="C59" s="93"/>
      <c r="D59" s="93"/>
      <c r="E59" s="93"/>
      <c r="F59" s="95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5"/>
      <c r="S59" s="93"/>
      <c r="T59" s="93"/>
      <c r="U59" s="94"/>
    </row>
    <row r="60" spans="2:21" x14ac:dyDescent="0.3">
      <c r="B60" s="493" t="str" vm="14">
        <f>CUBEMEMBER("ThisWorkbookDataModel","[EDTN_PQ].[N3].&amp;[2.6 Pruebas de ensayos no destructivos]")</f>
        <v>2.6 Pruebas de ensayos no destructivos</v>
      </c>
      <c r="C60" s="494"/>
      <c r="D60" s="494"/>
      <c r="E60" s="495"/>
      <c r="F60" s="493" t="str" vm="15">
        <f>CUBEMEMBER("ThisWorkbookDataModel","[EDTN_PQ].[N3].&amp;[2.7 Alineación de la turbina]")</f>
        <v>2.7 Alineación de la turbina</v>
      </c>
      <c r="G60" s="494"/>
      <c r="H60" s="494"/>
      <c r="I60" s="495"/>
      <c r="J60" s="493" t="str" vm="16">
        <f>CUBEMEMBER("ThisWorkbookDataModel","[EDTN_PQ].[N3].&amp;[2.9 Limpieza del sistema de lubricación y control]")</f>
        <v>2.9 Limpieza del sistema de lubricación y control</v>
      </c>
      <c r="K60" s="494"/>
      <c r="L60" s="494"/>
      <c r="M60" s="495"/>
      <c r="N60" s="493" t="str" vm="17">
        <f>CUBEMEMBER("ThisWorkbookDataModel","[EDTN_PQ].[N3].&amp;[2.10 Aislamiento térmico]")</f>
        <v>2.10 Aislamiento térmico</v>
      </c>
      <c r="O60" s="494"/>
      <c r="P60" s="494"/>
      <c r="Q60" s="495"/>
      <c r="R60" s="493" t="str" vm="18">
        <f>CUBEMEMBER("ThisWorkbookDataModel","[EDTN_PQ].[N3].&amp;[2.11 Inspección y pruebas eléctricas del generador]")</f>
        <v>2.11 Inspección y pruebas eléctricas del generador</v>
      </c>
      <c r="S60" s="494"/>
      <c r="T60" s="494"/>
      <c r="U60" s="495"/>
    </row>
    <row r="61" spans="2:21" x14ac:dyDescent="0.3">
      <c r="B61" s="500"/>
      <c r="C61" s="501"/>
      <c r="D61" s="501"/>
      <c r="E61" s="502"/>
      <c r="F61" s="500"/>
      <c r="G61" s="501"/>
      <c r="H61" s="501"/>
      <c r="I61" s="502"/>
      <c r="J61" s="500"/>
      <c r="K61" s="501"/>
      <c r="L61" s="501"/>
      <c r="M61" s="502"/>
      <c r="N61" s="500"/>
      <c r="O61" s="501"/>
      <c r="P61" s="501"/>
      <c r="Q61" s="502"/>
      <c r="R61" s="500"/>
      <c r="S61" s="501"/>
      <c r="T61" s="501"/>
      <c r="U61" s="502"/>
    </row>
    <row r="62" spans="2:21" x14ac:dyDescent="0.3">
      <c r="B62" s="91"/>
      <c r="C62" s="89"/>
      <c r="D62" s="89"/>
      <c r="E62" s="90"/>
      <c r="F62" s="91"/>
      <c r="G62" s="89"/>
      <c r="H62" s="89"/>
      <c r="I62" s="90"/>
      <c r="J62" s="91"/>
      <c r="K62" s="89"/>
      <c r="L62" s="89"/>
      <c r="M62" s="90"/>
      <c r="N62" s="91"/>
      <c r="O62" s="89"/>
      <c r="P62" s="89"/>
      <c r="Q62" s="90"/>
      <c r="R62" s="91"/>
      <c r="S62" s="89"/>
      <c r="T62" s="89"/>
      <c r="U62" s="90"/>
    </row>
    <row r="63" spans="2:21" x14ac:dyDescent="0.3">
      <c r="B63" s="92"/>
      <c r="C63" s="116" t="s">
        <v>243</v>
      </c>
      <c r="D63" s="139" vm="96">
        <f>CUBEVALUE("ThisWorkbookDataModel","[Measures].[Avance Plan B39 base 100 Acumulado Semanal]",SegmentaciónDeDatos_Calendario,B60)</f>
        <v>1</v>
      </c>
      <c r="E63" s="88"/>
      <c r="F63" s="92"/>
      <c r="G63" s="116" t="s">
        <v>243</v>
      </c>
      <c r="H63" s="139" vm="92">
        <f>CUBEVALUE("ThisWorkbookDataModel","[Measures].[Avance Plan B39 base 100 Acumulado Semanal]",SegmentaciónDeDatos_Calendario,F60)</f>
        <v>1</v>
      </c>
      <c r="I63" s="88"/>
      <c r="J63" s="92"/>
      <c r="K63" s="116" t="s">
        <v>243</v>
      </c>
      <c r="L63" s="139" vm="64">
        <f>CUBEVALUE("ThisWorkbookDataModel","[Measures].[Avance Plan B39 base 100 Acumulado Semanal]",SegmentaciónDeDatos_Calendario,J60)</f>
        <v>1</v>
      </c>
      <c r="M63" s="88"/>
      <c r="N63" s="92"/>
      <c r="O63" s="116" t="s">
        <v>243</v>
      </c>
      <c r="P63" s="139" vm="58">
        <f>CUBEVALUE("ThisWorkbookDataModel","[Measures].[Avance Plan B39 base 100 Acumulado Semanal]",SegmentaciónDeDatos_Calendario,N60)</f>
        <v>1</v>
      </c>
      <c r="Q63" s="88"/>
      <c r="R63" s="92"/>
      <c r="S63" s="116" t="s">
        <v>243</v>
      </c>
      <c r="T63" s="139" vm="57">
        <f>CUBEVALUE("ThisWorkbookDataModel","[Measures].[Avance Plan B39 base 100 Acumulado Semanal]",SegmentaciónDeDatos_Calendario,R60)</f>
        <v>1</v>
      </c>
      <c r="U63" s="88"/>
    </row>
    <row r="64" spans="2:21" x14ac:dyDescent="0.3">
      <c r="B64" s="92"/>
      <c r="C64" s="116" t="s">
        <v>244</v>
      </c>
      <c r="D64" s="139" vm="74">
        <f>CUBEVALUE("ThisWorkbookDataModel","[Measures].[Avance Real B39 base 100 Acumulado Semanal]",SegmentaciónDeDatos_Calendario,B60)</f>
        <v>1</v>
      </c>
      <c r="E64" s="88"/>
      <c r="F64" s="92"/>
      <c r="G64" s="116" t="s">
        <v>244</v>
      </c>
      <c r="H64" s="139" vm="62">
        <f>CUBEVALUE("ThisWorkbookDataModel","[Measures].[Avance Real B39 base 100 Acumulado Semanal]",SegmentaciónDeDatos_Calendario,F60)</f>
        <v>0</v>
      </c>
      <c r="I64" s="88"/>
      <c r="J64" s="92"/>
      <c r="K64" s="116" t="s">
        <v>244</v>
      </c>
      <c r="L64" s="139" vm="61">
        <f>CUBEVALUE("ThisWorkbookDataModel","[Measures].[Avance Real B39 base 100 Acumulado Semanal]",SegmentaciónDeDatos_Calendario,J60)</f>
        <v>0.47500000000000003</v>
      </c>
      <c r="M64" s="88"/>
      <c r="N64" s="92"/>
      <c r="O64" s="116" t="s">
        <v>244</v>
      </c>
      <c r="P64" s="139" vm="50">
        <f>CUBEVALUE("ThisWorkbookDataModel","[Measures].[Avance Real B39 base 100 Acumulado Semanal]",SegmentaciónDeDatos_Calendario,N60)</f>
        <v>0.22199999999999998</v>
      </c>
      <c r="Q64" s="88"/>
      <c r="R64" s="92"/>
      <c r="S64" s="116" t="s">
        <v>244</v>
      </c>
      <c r="T64" s="139" vm="106">
        <f>CUBEVALUE("ThisWorkbookDataModel","[Measures].[Avance Real B39 base 100 Acumulado Semanal]",SegmentaciónDeDatos_Calendario,R60)</f>
        <v>0.96681149235422892</v>
      </c>
      <c r="U64" s="88"/>
    </row>
    <row r="65" spans="2:25" x14ac:dyDescent="0.3">
      <c r="B65" s="92"/>
      <c r="C65" s="116" t="s">
        <v>245</v>
      </c>
      <c r="D65" s="139">
        <f>D64-D63</f>
        <v>0</v>
      </c>
      <c r="E65" s="88"/>
      <c r="F65" s="92"/>
      <c r="G65" s="116" t="s">
        <v>245</v>
      </c>
      <c r="H65" s="139">
        <f>H64-H63</f>
        <v>-1</v>
      </c>
      <c r="I65" s="88"/>
      <c r="J65" s="92"/>
      <c r="K65" s="116" t="s">
        <v>245</v>
      </c>
      <c r="L65" s="139">
        <f>L64-L63</f>
        <v>-0.52499999999999991</v>
      </c>
      <c r="M65" s="88"/>
      <c r="N65" s="92"/>
      <c r="O65" s="116" t="s">
        <v>245</v>
      </c>
      <c r="P65" s="139">
        <f>P64-P63</f>
        <v>-0.77800000000000002</v>
      </c>
      <c r="Q65" s="88"/>
      <c r="R65" s="92"/>
      <c r="S65" s="116" t="s">
        <v>245</v>
      </c>
      <c r="T65" s="139">
        <f>T64-T63</f>
        <v>-3.3188507645771081E-2</v>
      </c>
      <c r="U65" s="88"/>
      <c r="V65" s="92"/>
    </row>
    <row r="66" spans="2:25" x14ac:dyDescent="0.3">
      <c r="B66" s="92"/>
      <c r="C66" s="485" t="s">
        <v>246</v>
      </c>
      <c r="D66" s="499" vm="87">
        <f>CUBEVALUE("ThisWorkbookDataModel","[Measures].[Aporte a la Desviación B39]",SegmentaciónDeDatos_Calendario,B60)</f>
        <v>0</v>
      </c>
      <c r="E66" s="88"/>
      <c r="F66" s="92"/>
      <c r="G66" s="485" t="s">
        <v>246</v>
      </c>
      <c r="H66" s="499" vm="53">
        <f>CUBEVALUE("ThisWorkbookDataModel","[Measures].[Aporte a la Desviación B39]",SegmentaciónDeDatos_Calendario,F60)</f>
        <v>-1.1493334856891172E-2</v>
      </c>
      <c r="I66" s="88"/>
      <c r="J66" s="92"/>
      <c r="K66" s="485" t="s">
        <v>246</v>
      </c>
      <c r="L66" s="499" vm="85">
        <f>CUBEVALUE("ThisWorkbookDataModel","[Measures].[Aporte a la Desviación B39]",SegmentaciónDeDatos_Calendario,J60)</f>
        <v>-5.105692984503577E-3</v>
      </c>
      <c r="M66" s="88"/>
      <c r="N66" s="92"/>
      <c r="O66" s="485" t="s">
        <v>246</v>
      </c>
      <c r="P66" s="499" vm="77">
        <f>CUBEVALUE("ThisWorkbookDataModel","[Measures].[Aporte a la Desviación B39]",SegmentaciónDeDatos_Calendario,N60)</f>
        <v>-1.4444469607068305E-2</v>
      </c>
      <c r="Q66" s="88"/>
      <c r="R66" s="92"/>
      <c r="S66" s="485" t="s">
        <v>246</v>
      </c>
      <c r="T66" s="499" vm="69">
        <f>CUBEVALUE("ThisWorkbookDataModel","[Measures].[Aporte a la Desviación B39]",SegmentaciónDeDatos_Calendario,R60)</f>
        <v>-1.8472253958676408E-3</v>
      </c>
      <c r="U66" s="88"/>
      <c r="V66" s="92"/>
    </row>
    <row r="67" spans="2:25" x14ac:dyDescent="0.3">
      <c r="B67" s="92"/>
      <c r="C67" s="485"/>
      <c r="D67" s="499"/>
      <c r="E67" s="88"/>
      <c r="F67" s="92"/>
      <c r="G67" s="485"/>
      <c r="H67" s="499"/>
      <c r="I67" s="88"/>
      <c r="J67" s="92"/>
      <c r="K67" s="485"/>
      <c r="L67" s="499"/>
      <c r="M67" s="88"/>
      <c r="N67" s="92"/>
      <c r="O67" s="485"/>
      <c r="P67" s="499"/>
      <c r="Q67" s="88"/>
      <c r="R67" s="92"/>
      <c r="S67" s="485"/>
      <c r="T67" s="499"/>
      <c r="U67" s="88"/>
      <c r="V67" s="92"/>
    </row>
    <row r="68" spans="2:25" x14ac:dyDescent="0.3">
      <c r="B68" s="95"/>
      <c r="C68" s="93"/>
      <c r="D68" s="93"/>
      <c r="E68" s="94"/>
      <c r="F68" s="95"/>
      <c r="G68" s="93"/>
      <c r="H68" s="93"/>
      <c r="I68" s="94"/>
      <c r="J68" s="95"/>
      <c r="K68" s="93"/>
      <c r="L68" s="93"/>
      <c r="M68" s="94"/>
      <c r="N68" s="95"/>
      <c r="O68" s="93"/>
      <c r="P68" s="93"/>
      <c r="Q68" s="94"/>
      <c r="R68" s="95"/>
      <c r="S68" s="93"/>
      <c r="T68" s="93"/>
      <c r="U68" s="94"/>
      <c r="V68" s="92"/>
    </row>
    <row r="69" spans="2:25" ht="15" customHeight="1" x14ac:dyDescent="0.3">
      <c r="B69" s="493" t="str" vm="19">
        <f>CUBEMEMBER("ThisWorkbookDataModel","[EDTN_PQ].[N3].&amp;[2.12 Preparación de superficie metálica y cubrimiento]")</f>
        <v>2.12 Preparación de superficie metálica y cubrimiento</v>
      </c>
      <c r="C69" s="494"/>
      <c r="D69" s="494"/>
      <c r="E69" s="495"/>
      <c r="F69" s="493" t="str" vm="20">
        <f>CUBEMEMBER("ThisWorkbookDataModel","[EDTN_PQ].[N3].&amp;[2.13 Mantenimiento de válvulas principales]")</f>
        <v>2.13 Mantenimiento de válvulas principales</v>
      </c>
      <c r="G69" s="494"/>
      <c r="H69" s="494"/>
      <c r="I69" s="495"/>
      <c r="J69" s="493" t="str" vm="21">
        <f>CUBEMEMBER("ThisWorkbookDataModel","[EDTN_PQ].[N3].&amp;[2.14 Mantenimiento de equipos auxiliares]")</f>
        <v>2.14 Mantenimiento de equipos auxiliares</v>
      </c>
      <c r="K69" s="494"/>
      <c r="L69" s="494"/>
      <c r="M69" s="495"/>
      <c r="N69" s="493" t="str" vm="22">
        <f>CUBEMEMBER("ThisWorkbookDataModel","[EDTN_PQ].[N3].&amp;[2.15 Desarmado de componentes y mantenimientos]")</f>
        <v>2.15 Desarmado de componentes y mantenimientos</v>
      </c>
      <c r="O69" s="494"/>
      <c r="P69" s="494"/>
      <c r="Q69" s="495"/>
      <c r="R69" s="493" t="str" vm="23">
        <f>CUBEMEMBER("ThisWorkbookDataModel","[EDTN_PQ].[N3].&amp;[2.16 Armado y ajustes]")</f>
        <v>2.16 Armado y ajustes</v>
      </c>
      <c r="S69" s="494"/>
      <c r="T69" s="494"/>
      <c r="U69" s="495"/>
      <c r="V69" s="505"/>
      <c r="W69" s="506"/>
      <c r="X69" s="506"/>
      <c r="Y69" s="506"/>
    </row>
    <row r="70" spans="2:25" x14ac:dyDescent="0.3">
      <c r="B70" s="496"/>
      <c r="C70" s="497"/>
      <c r="D70" s="497"/>
      <c r="E70" s="498"/>
      <c r="F70" s="500"/>
      <c r="G70" s="501"/>
      <c r="H70" s="501"/>
      <c r="I70" s="502"/>
      <c r="J70" s="500"/>
      <c r="K70" s="501"/>
      <c r="L70" s="501"/>
      <c r="M70" s="502"/>
      <c r="N70" s="500"/>
      <c r="O70" s="501"/>
      <c r="P70" s="501"/>
      <c r="Q70" s="502"/>
      <c r="R70" s="500"/>
      <c r="S70" s="501"/>
      <c r="T70" s="501"/>
      <c r="U70" s="502"/>
      <c r="V70" s="505"/>
      <c r="W70" s="506"/>
      <c r="X70" s="506"/>
      <c r="Y70" s="506"/>
    </row>
    <row r="71" spans="2:25" x14ac:dyDescent="0.3">
      <c r="B71" s="91"/>
      <c r="C71" s="89"/>
      <c r="D71" s="89"/>
      <c r="E71" s="90"/>
      <c r="F71" s="91"/>
      <c r="G71" s="89"/>
      <c r="H71" s="89"/>
      <c r="I71" s="90"/>
      <c r="J71" s="91"/>
      <c r="K71" s="89"/>
      <c r="L71" s="89"/>
      <c r="M71" s="90"/>
      <c r="N71" s="91"/>
      <c r="O71" s="89"/>
      <c r="P71" s="89"/>
      <c r="Q71" s="90"/>
      <c r="R71" s="91"/>
      <c r="S71" s="89"/>
      <c r="T71" s="89"/>
      <c r="U71" s="90"/>
      <c r="V71" s="92"/>
    </row>
    <row r="72" spans="2:25" x14ac:dyDescent="0.3">
      <c r="B72" s="92"/>
      <c r="C72" s="116" t="s">
        <v>243</v>
      </c>
      <c r="D72" s="139" vm="76">
        <f>CUBEVALUE("ThisWorkbookDataModel","[Measures].[Avance Plan B39 base 100 Acumulado Semanal]",SegmentaciónDeDatos_Calendario,B69)</f>
        <v>1</v>
      </c>
      <c r="E72" s="88"/>
      <c r="F72" s="92"/>
      <c r="G72" s="116" t="s">
        <v>243</v>
      </c>
      <c r="H72" s="139" vm="41">
        <f>CUBEVALUE("ThisWorkbookDataModel","[Measures].[Avance Plan B39 base 100 Acumulado Semanal]",SegmentaciónDeDatos_Calendario,F69)</f>
        <v>1</v>
      </c>
      <c r="I72" s="88"/>
      <c r="J72" s="92"/>
      <c r="K72" s="116" t="s">
        <v>243</v>
      </c>
      <c r="L72" s="139" vm="113">
        <f>CUBEVALUE("ThisWorkbookDataModel","[Measures].[Avance Plan B39 base 100 Acumulado Semanal]",SegmentaciónDeDatos_Calendario,J69)</f>
        <v>1</v>
      </c>
      <c r="M72" s="88"/>
      <c r="N72" s="92"/>
      <c r="O72" s="116" t="s">
        <v>243</v>
      </c>
      <c r="P72" s="139" vm="95">
        <f>CUBEVALUE("ThisWorkbookDataModel","[Measures].[Avance Plan B39 base 100 Acumulado Semanal]",SegmentaciónDeDatos_Calendario,N69)</f>
        <v>1</v>
      </c>
      <c r="Q72" s="88"/>
      <c r="R72" s="92"/>
      <c r="S72" s="116" t="s">
        <v>243</v>
      </c>
      <c r="T72" s="139" vm="48">
        <f>CUBEVALUE("ThisWorkbookDataModel","[Measures].[Avance Plan B39 base 100 Acumulado Semanal]",SegmentaciónDeDatos_Calendario,R69)</f>
        <v>1</v>
      </c>
      <c r="U72" s="88"/>
      <c r="V72" s="92"/>
      <c r="W72" s="116"/>
      <c r="X72" s="139"/>
    </row>
    <row r="73" spans="2:25" x14ac:dyDescent="0.3">
      <c r="B73" s="92"/>
      <c r="C73" s="116" t="s">
        <v>244</v>
      </c>
      <c r="D73" s="139" vm="56">
        <f>CUBEVALUE("ThisWorkbookDataModel","[Measures].[Avance Real B39 base 100 Acumulado Semanal]",SegmentaciónDeDatos_Calendario,B69)</f>
        <v>0</v>
      </c>
      <c r="E73" s="88"/>
      <c r="F73" s="92"/>
      <c r="G73" s="116" t="s">
        <v>244</v>
      </c>
      <c r="H73" s="139" vm="47">
        <f>CUBEVALUE("ThisWorkbookDataModel","[Measures].[Avance Real B39 base 100 Acumulado Semanal]",SegmentaciónDeDatos_Calendario,F69)</f>
        <v>1</v>
      </c>
      <c r="I73" s="88"/>
      <c r="J73" s="92"/>
      <c r="K73" s="116" t="s">
        <v>244</v>
      </c>
      <c r="L73" s="139" vm="115">
        <f>CUBEVALUE("ThisWorkbookDataModel","[Measures].[Avance Real B39 base 100 Acumulado Semanal]",SegmentaciónDeDatos_Calendario,J69)</f>
        <v>0.11111111111111112</v>
      </c>
      <c r="M73" s="88"/>
      <c r="N73" s="92"/>
      <c r="O73" s="116" t="s">
        <v>244</v>
      </c>
      <c r="P73" s="139" vm="73">
        <f>CUBEVALUE("ThisWorkbookDataModel","[Measures].[Avance Real B39 base 100 Acumulado Semanal]",SegmentaciónDeDatos_Calendario,N69)</f>
        <v>0.17981999999999998</v>
      </c>
      <c r="Q73" s="88"/>
      <c r="R73" s="92"/>
      <c r="S73" s="116" t="s">
        <v>244</v>
      </c>
      <c r="T73" s="139" vm="60">
        <f>CUBEVALUE("ThisWorkbookDataModel","[Measures].[Avance Real B39 base 100 Acumulado Semanal]",SegmentaciónDeDatos_Calendario,R69)</f>
        <v>0.499</v>
      </c>
      <c r="U73" s="88"/>
      <c r="V73" s="92"/>
      <c r="W73" s="116"/>
      <c r="X73" s="139"/>
    </row>
    <row r="74" spans="2:25" x14ac:dyDescent="0.3">
      <c r="B74" s="92"/>
      <c r="C74" s="116" t="s">
        <v>245</v>
      </c>
      <c r="D74" s="139">
        <f>D73-D72</f>
        <v>-1</v>
      </c>
      <c r="E74" s="88"/>
      <c r="F74" s="92"/>
      <c r="G74" s="116" t="s">
        <v>245</v>
      </c>
      <c r="H74" s="139">
        <f>H73-H72</f>
        <v>0</v>
      </c>
      <c r="I74" s="88"/>
      <c r="J74" s="92"/>
      <c r="K74" s="116" t="s">
        <v>245</v>
      </c>
      <c r="L74" s="139">
        <f>L73-L72</f>
        <v>-0.88888888888888884</v>
      </c>
      <c r="M74" s="88"/>
      <c r="N74" s="92"/>
      <c r="O74" s="116" t="s">
        <v>245</v>
      </c>
      <c r="P74" s="139">
        <f>P73-P72</f>
        <v>-0.82018000000000002</v>
      </c>
      <c r="Q74" s="88"/>
      <c r="R74" s="92"/>
      <c r="S74" s="116" t="s">
        <v>245</v>
      </c>
      <c r="T74" s="139">
        <f>T73-T72</f>
        <v>-0.501</v>
      </c>
      <c r="U74" s="88"/>
      <c r="V74" s="92"/>
      <c r="W74" s="116"/>
      <c r="X74" s="139"/>
    </row>
    <row r="75" spans="2:25" ht="15" customHeight="1" x14ac:dyDescent="0.3">
      <c r="B75" s="92"/>
      <c r="C75" s="437" t="s">
        <v>246</v>
      </c>
      <c r="D75" s="139" vm="54">
        <f>CUBEVALUE("ThisWorkbookDataModel","[Measures].[Aporte a la Desviación B39]",SegmentaciónDeDatos_Calendario,B69)</f>
        <v>-1.326154021948981E-2</v>
      </c>
      <c r="E75" s="88"/>
      <c r="F75" s="92"/>
      <c r="G75" s="485" t="s">
        <v>246</v>
      </c>
      <c r="H75" s="499" vm="55">
        <f>CUBEVALUE("ThisWorkbookDataModel","[Measures].[Aporte a la Desviación B39]",SegmentaciónDeDatos_Calendario,F69)</f>
        <v>0</v>
      </c>
      <c r="I75" s="88"/>
      <c r="J75" s="92"/>
      <c r="K75" s="485" t="s">
        <v>246</v>
      </c>
      <c r="L75" s="499" vm="46">
        <f>CUBEVALUE("ThisWorkbookDataModel","[Measures].[Aporte a la Desviación B39]",SegmentaciónDeDatos_Calendario,J69)</f>
        <v>-1.6503250050920657E-2</v>
      </c>
      <c r="M75" s="88"/>
      <c r="N75" s="92"/>
      <c r="O75" s="485" t="s">
        <v>246</v>
      </c>
      <c r="P75" s="499" vm="112">
        <f>CUBEVALUE("ThisWorkbookDataModel","[Measures].[Aporte a la Desviación B39]",SegmentaciónDeDatos_Calendario,N69)</f>
        <v>-1.5227590080109621E-2</v>
      </c>
      <c r="Q75" s="88"/>
      <c r="R75" s="92"/>
      <c r="S75" s="485" t="s">
        <v>246</v>
      </c>
      <c r="T75" s="499" vm="52">
        <f>CUBEVALUE("ThisWorkbookDataModel","[Measures].[Aporte a la Desviación B39]",SegmentaciónDeDatos_Calendario,R69)</f>
        <v>-9.3016443099501554E-3</v>
      </c>
      <c r="U75" s="88"/>
      <c r="V75" s="92"/>
      <c r="W75" s="485"/>
      <c r="X75" s="499"/>
    </row>
    <row r="76" spans="2:25" x14ac:dyDescent="0.3">
      <c r="B76" s="92"/>
      <c r="C76" s="437"/>
      <c r="D76" s="139"/>
      <c r="E76" s="88"/>
      <c r="F76" s="92"/>
      <c r="G76" s="485"/>
      <c r="H76" s="499"/>
      <c r="I76" s="88"/>
      <c r="J76" s="92"/>
      <c r="K76" s="485"/>
      <c r="L76" s="499"/>
      <c r="M76" s="88"/>
      <c r="N76" s="92"/>
      <c r="O76" s="485"/>
      <c r="P76" s="499"/>
      <c r="Q76" s="88"/>
      <c r="R76" s="92"/>
      <c r="S76" s="485"/>
      <c r="T76" s="499"/>
      <c r="U76" s="88"/>
      <c r="V76" s="92"/>
      <c r="W76" s="485"/>
      <c r="X76" s="499"/>
    </row>
    <row r="77" spans="2:25" x14ac:dyDescent="0.3">
      <c r="B77" s="95"/>
      <c r="C77" s="93"/>
      <c r="D77" s="93"/>
      <c r="E77" s="94"/>
      <c r="F77" s="95"/>
      <c r="G77" s="93"/>
      <c r="H77" s="93"/>
      <c r="I77" s="94"/>
      <c r="J77" s="95"/>
      <c r="K77" s="93"/>
      <c r="L77" s="93"/>
      <c r="M77" s="94"/>
      <c r="N77" s="95"/>
      <c r="O77" s="93"/>
      <c r="P77" s="93"/>
      <c r="Q77" s="94"/>
      <c r="R77" s="95"/>
      <c r="S77" s="93"/>
      <c r="T77" s="93"/>
      <c r="U77" s="94"/>
      <c r="V77" s="92"/>
    </row>
    <row r="78" spans="2:25" x14ac:dyDescent="0.3"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</row>
  </sheetData>
  <mergeCells count="623">
    <mergeCell ref="XFA40:XFD40"/>
    <mergeCell ref="W3:AB3"/>
    <mergeCell ref="WZG40:XAJ40"/>
    <mergeCell ref="XAK40:XBN40"/>
    <mergeCell ref="XBO40:XCR40"/>
    <mergeCell ref="XCS40:XDV40"/>
    <mergeCell ref="XDW40:XEZ40"/>
    <mergeCell ref="WTM40:WUP40"/>
    <mergeCell ref="WUQ40:WVT40"/>
    <mergeCell ref="WVU40:WWX40"/>
    <mergeCell ref="WWY40:WYB40"/>
    <mergeCell ref="WYC40:WZF40"/>
    <mergeCell ref="WNS40:WOV40"/>
    <mergeCell ref="WOW40:WPZ40"/>
    <mergeCell ref="WQA40:WRD40"/>
    <mergeCell ref="WRE40:WSH40"/>
    <mergeCell ref="WSI40:WTL40"/>
    <mergeCell ref="WHY40:WJB40"/>
    <mergeCell ref="WJC40:WKF40"/>
    <mergeCell ref="WKG40:WLJ40"/>
    <mergeCell ref="WLK40:WMN40"/>
    <mergeCell ref="WMO40:WNR40"/>
    <mergeCell ref="WCE40:WDH40"/>
    <mergeCell ref="WDI40:WEL40"/>
    <mergeCell ref="WEM40:WFP40"/>
    <mergeCell ref="WFQ40:WGT40"/>
    <mergeCell ref="WGU40:WHX40"/>
    <mergeCell ref="VWK40:VXN40"/>
    <mergeCell ref="VXO40:VYR40"/>
    <mergeCell ref="VYS40:VZV40"/>
    <mergeCell ref="VZW40:WAZ40"/>
    <mergeCell ref="WBA40:WCD40"/>
    <mergeCell ref="VQQ40:VRT40"/>
    <mergeCell ref="VRU40:VSX40"/>
    <mergeCell ref="VSY40:VUB40"/>
    <mergeCell ref="VUC40:VVF40"/>
    <mergeCell ref="VVG40:VWJ40"/>
    <mergeCell ref="VKW40:VLZ40"/>
    <mergeCell ref="VMA40:VND40"/>
    <mergeCell ref="VNE40:VOH40"/>
    <mergeCell ref="VOI40:VPL40"/>
    <mergeCell ref="VPM40:VQP40"/>
    <mergeCell ref="VFC40:VGF40"/>
    <mergeCell ref="VGG40:VHJ40"/>
    <mergeCell ref="VHK40:VIN40"/>
    <mergeCell ref="VIO40:VJR40"/>
    <mergeCell ref="VJS40:VKV40"/>
    <mergeCell ref="UZI40:VAL40"/>
    <mergeCell ref="VAM40:VBP40"/>
    <mergeCell ref="VBQ40:VCT40"/>
    <mergeCell ref="VCU40:VDX40"/>
    <mergeCell ref="VDY40:VFB40"/>
    <mergeCell ref="UTO40:UUR40"/>
    <mergeCell ref="UUS40:UVV40"/>
    <mergeCell ref="UVW40:UWZ40"/>
    <mergeCell ref="UXA40:UYD40"/>
    <mergeCell ref="UYE40:UZH40"/>
    <mergeCell ref="UNU40:UOX40"/>
    <mergeCell ref="UOY40:UQB40"/>
    <mergeCell ref="UQC40:URF40"/>
    <mergeCell ref="URG40:USJ40"/>
    <mergeCell ref="USK40:UTN40"/>
    <mergeCell ref="UIA40:UJD40"/>
    <mergeCell ref="UJE40:UKH40"/>
    <mergeCell ref="UKI40:ULL40"/>
    <mergeCell ref="ULM40:UMP40"/>
    <mergeCell ref="UMQ40:UNT40"/>
    <mergeCell ref="UCG40:UDJ40"/>
    <mergeCell ref="UDK40:UEN40"/>
    <mergeCell ref="UEO40:UFR40"/>
    <mergeCell ref="UFS40:UGV40"/>
    <mergeCell ref="UGW40:UHZ40"/>
    <mergeCell ref="TWM40:TXP40"/>
    <mergeCell ref="TXQ40:TYT40"/>
    <mergeCell ref="TYU40:TZX40"/>
    <mergeCell ref="TZY40:UBB40"/>
    <mergeCell ref="UBC40:UCF40"/>
    <mergeCell ref="TQS40:TRV40"/>
    <mergeCell ref="TRW40:TSZ40"/>
    <mergeCell ref="TTA40:TUD40"/>
    <mergeCell ref="TUE40:TVH40"/>
    <mergeCell ref="TVI40:TWL40"/>
    <mergeCell ref="TKY40:TMB40"/>
    <mergeCell ref="TMC40:TNF40"/>
    <mergeCell ref="TNG40:TOJ40"/>
    <mergeCell ref="TOK40:TPN40"/>
    <mergeCell ref="TPO40:TQR40"/>
    <mergeCell ref="TFE40:TGH40"/>
    <mergeCell ref="TGI40:THL40"/>
    <mergeCell ref="THM40:TIP40"/>
    <mergeCell ref="TIQ40:TJT40"/>
    <mergeCell ref="TJU40:TKX40"/>
    <mergeCell ref="SZK40:TAN40"/>
    <mergeCell ref="TAO40:TBR40"/>
    <mergeCell ref="TBS40:TCV40"/>
    <mergeCell ref="TCW40:TDZ40"/>
    <mergeCell ref="TEA40:TFD40"/>
    <mergeCell ref="STQ40:SUT40"/>
    <mergeCell ref="SUU40:SVX40"/>
    <mergeCell ref="SVY40:SXB40"/>
    <mergeCell ref="SXC40:SYF40"/>
    <mergeCell ref="SYG40:SZJ40"/>
    <mergeCell ref="SNW40:SOZ40"/>
    <mergeCell ref="SPA40:SQD40"/>
    <mergeCell ref="SQE40:SRH40"/>
    <mergeCell ref="SRI40:SSL40"/>
    <mergeCell ref="SSM40:STP40"/>
    <mergeCell ref="SIC40:SJF40"/>
    <mergeCell ref="SJG40:SKJ40"/>
    <mergeCell ref="SKK40:SLN40"/>
    <mergeCell ref="SLO40:SMR40"/>
    <mergeCell ref="SMS40:SNV40"/>
    <mergeCell ref="SCI40:SDL40"/>
    <mergeCell ref="SDM40:SEP40"/>
    <mergeCell ref="SEQ40:SFT40"/>
    <mergeCell ref="SFU40:SGX40"/>
    <mergeCell ref="SGY40:SIB40"/>
    <mergeCell ref="RWO40:RXR40"/>
    <mergeCell ref="RXS40:RYV40"/>
    <mergeCell ref="RYW40:RZZ40"/>
    <mergeCell ref="SAA40:SBD40"/>
    <mergeCell ref="SBE40:SCH40"/>
    <mergeCell ref="RQU40:RRX40"/>
    <mergeCell ref="RRY40:RTB40"/>
    <mergeCell ref="RTC40:RUF40"/>
    <mergeCell ref="RUG40:RVJ40"/>
    <mergeCell ref="RVK40:RWN40"/>
    <mergeCell ref="RLA40:RMD40"/>
    <mergeCell ref="RME40:RNH40"/>
    <mergeCell ref="RNI40:ROL40"/>
    <mergeCell ref="ROM40:RPP40"/>
    <mergeCell ref="RPQ40:RQT40"/>
    <mergeCell ref="RFG40:RGJ40"/>
    <mergeCell ref="RGK40:RHN40"/>
    <mergeCell ref="RHO40:RIR40"/>
    <mergeCell ref="RIS40:RJV40"/>
    <mergeCell ref="RJW40:RKZ40"/>
    <mergeCell ref="QZM40:RAP40"/>
    <mergeCell ref="RAQ40:RBT40"/>
    <mergeCell ref="RBU40:RCX40"/>
    <mergeCell ref="RCY40:REB40"/>
    <mergeCell ref="REC40:RFF40"/>
    <mergeCell ref="QTS40:QUV40"/>
    <mergeCell ref="QUW40:QVZ40"/>
    <mergeCell ref="QWA40:QXD40"/>
    <mergeCell ref="QXE40:QYH40"/>
    <mergeCell ref="QYI40:QZL40"/>
    <mergeCell ref="QNY40:QPB40"/>
    <mergeCell ref="QPC40:QQF40"/>
    <mergeCell ref="QQG40:QRJ40"/>
    <mergeCell ref="QRK40:QSN40"/>
    <mergeCell ref="QSO40:QTR40"/>
    <mergeCell ref="QIE40:QJH40"/>
    <mergeCell ref="QJI40:QKL40"/>
    <mergeCell ref="QKM40:QLP40"/>
    <mergeCell ref="QLQ40:QMT40"/>
    <mergeCell ref="QMU40:QNX40"/>
    <mergeCell ref="QCK40:QDN40"/>
    <mergeCell ref="QDO40:QER40"/>
    <mergeCell ref="QES40:QFV40"/>
    <mergeCell ref="QFW40:QGZ40"/>
    <mergeCell ref="QHA40:QID40"/>
    <mergeCell ref="PWQ40:PXT40"/>
    <mergeCell ref="PXU40:PYX40"/>
    <mergeCell ref="PYY40:QAB40"/>
    <mergeCell ref="QAC40:QBF40"/>
    <mergeCell ref="QBG40:QCJ40"/>
    <mergeCell ref="PQW40:PRZ40"/>
    <mergeCell ref="PSA40:PTD40"/>
    <mergeCell ref="PTE40:PUH40"/>
    <mergeCell ref="PUI40:PVL40"/>
    <mergeCell ref="PVM40:PWP40"/>
    <mergeCell ref="PLC40:PMF40"/>
    <mergeCell ref="PMG40:PNJ40"/>
    <mergeCell ref="PNK40:PON40"/>
    <mergeCell ref="POO40:PPR40"/>
    <mergeCell ref="PPS40:PQV40"/>
    <mergeCell ref="PFI40:PGL40"/>
    <mergeCell ref="PGM40:PHP40"/>
    <mergeCell ref="PHQ40:PIT40"/>
    <mergeCell ref="PIU40:PJX40"/>
    <mergeCell ref="PJY40:PLB40"/>
    <mergeCell ref="OZO40:PAR40"/>
    <mergeCell ref="PAS40:PBV40"/>
    <mergeCell ref="PBW40:PCZ40"/>
    <mergeCell ref="PDA40:PED40"/>
    <mergeCell ref="PEE40:PFH40"/>
    <mergeCell ref="OTU40:OUX40"/>
    <mergeCell ref="OUY40:OWB40"/>
    <mergeCell ref="OWC40:OXF40"/>
    <mergeCell ref="OXG40:OYJ40"/>
    <mergeCell ref="OYK40:OZN40"/>
    <mergeCell ref="OOA40:OPD40"/>
    <mergeCell ref="OPE40:OQH40"/>
    <mergeCell ref="OQI40:ORL40"/>
    <mergeCell ref="ORM40:OSP40"/>
    <mergeCell ref="OSQ40:OTT40"/>
    <mergeCell ref="OIG40:OJJ40"/>
    <mergeCell ref="OJK40:OKN40"/>
    <mergeCell ref="OKO40:OLR40"/>
    <mergeCell ref="OLS40:OMV40"/>
    <mergeCell ref="OMW40:ONZ40"/>
    <mergeCell ref="OCM40:ODP40"/>
    <mergeCell ref="ODQ40:OET40"/>
    <mergeCell ref="OEU40:OFX40"/>
    <mergeCell ref="OFY40:OHB40"/>
    <mergeCell ref="OHC40:OIF40"/>
    <mergeCell ref="NWS40:NXV40"/>
    <mergeCell ref="NXW40:NYZ40"/>
    <mergeCell ref="NZA40:OAD40"/>
    <mergeCell ref="OAE40:OBH40"/>
    <mergeCell ref="OBI40:OCL40"/>
    <mergeCell ref="NQY40:NSB40"/>
    <mergeCell ref="NSC40:NTF40"/>
    <mergeCell ref="NTG40:NUJ40"/>
    <mergeCell ref="NUK40:NVN40"/>
    <mergeCell ref="NVO40:NWR40"/>
    <mergeCell ref="NLE40:NMH40"/>
    <mergeCell ref="NMI40:NNL40"/>
    <mergeCell ref="NNM40:NOP40"/>
    <mergeCell ref="NOQ40:NPT40"/>
    <mergeCell ref="NPU40:NQX40"/>
    <mergeCell ref="NFK40:NGN40"/>
    <mergeCell ref="NGO40:NHR40"/>
    <mergeCell ref="NHS40:NIV40"/>
    <mergeCell ref="NIW40:NJZ40"/>
    <mergeCell ref="NKA40:NLD40"/>
    <mergeCell ref="MZQ40:NAT40"/>
    <mergeCell ref="NAU40:NBX40"/>
    <mergeCell ref="NBY40:NDB40"/>
    <mergeCell ref="NDC40:NEF40"/>
    <mergeCell ref="NEG40:NFJ40"/>
    <mergeCell ref="MTW40:MUZ40"/>
    <mergeCell ref="MVA40:MWD40"/>
    <mergeCell ref="MWE40:MXH40"/>
    <mergeCell ref="MXI40:MYL40"/>
    <mergeCell ref="MYM40:MZP40"/>
    <mergeCell ref="MOC40:MPF40"/>
    <mergeCell ref="MPG40:MQJ40"/>
    <mergeCell ref="MQK40:MRN40"/>
    <mergeCell ref="MRO40:MSR40"/>
    <mergeCell ref="MSS40:MTV40"/>
    <mergeCell ref="MII40:MJL40"/>
    <mergeCell ref="MJM40:MKP40"/>
    <mergeCell ref="MKQ40:MLT40"/>
    <mergeCell ref="MLU40:MMX40"/>
    <mergeCell ref="MMY40:MOB40"/>
    <mergeCell ref="MCO40:MDR40"/>
    <mergeCell ref="MDS40:MEV40"/>
    <mergeCell ref="MEW40:MFZ40"/>
    <mergeCell ref="MGA40:MHD40"/>
    <mergeCell ref="MHE40:MIH40"/>
    <mergeCell ref="LWU40:LXX40"/>
    <mergeCell ref="LXY40:LZB40"/>
    <mergeCell ref="LZC40:MAF40"/>
    <mergeCell ref="MAG40:MBJ40"/>
    <mergeCell ref="MBK40:MCN40"/>
    <mergeCell ref="LRA40:LSD40"/>
    <mergeCell ref="LSE40:LTH40"/>
    <mergeCell ref="LTI40:LUL40"/>
    <mergeCell ref="LUM40:LVP40"/>
    <mergeCell ref="LVQ40:LWT40"/>
    <mergeCell ref="LLG40:LMJ40"/>
    <mergeCell ref="LMK40:LNN40"/>
    <mergeCell ref="LNO40:LOR40"/>
    <mergeCell ref="LOS40:LPV40"/>
    <mergeCell ref="LPW40:LQZ40"/>
    <mergeCell ref="LFM40:LGP40"/>
    <mergeCell ref="LGQ40:LHT40"/>
    <mergeCell ref="LHU40:LIX40"/>
    <mergeCell ref="LIY40:LKB40"/>
    <mergeCell ref="LKC40:LLF40"/>
    <mergeCell ref="KZS40:LAV40"/>
    <mergeCell ref="LAW40:LBZ40"/>
    <mergeCell ref="LCA40:LDD40"/>
    <mergeCell ref="LDE40:LEH40"/>
    <mergeCell ref="LEI40:LFL40"/>
    <mergeCell ref="KTY40:KVB40"/>
    <mergeCell ref="KVC40:KWF40"/>
    <mergeCell ref="KWG40:KXJ40"/>
    <mergeCell ref="KXK40:KYN40"/>
    <mergeCell ref="KYO40:KZR40"/>
    <mergeCell ref="KOE40:KPH40"/>
    <mergeCell ref="KPI40:KQL40"/>
    <mergeCell ref="KQM40:KRP40"/>
    <mergeCell ref="KRQ40:KST40"/>
    <mergeCell ref="KSU40:KTX40"/>
    <mergeCell ref="KIK40:KJN40"/>
    <mergeCell ref="KJO40:KKR40"/>
    <mergeCell ref="KKS40:KLV40"/>
    <mergeCell ref="KLW40:KMZ40"/>
    <mergeCell ref="KNA40:KOD40"/>
    <mergeCell ref="KCQ40:KDT40"/>
    <mergeCell ref="KDU40:KEX40"/>
    <mergeCell ref="KEY40:KGB40"/>
    <mergeCell ref="KGC40:KHF40"/>
    <mergeCell ref="KHG40:KIJ40"/>
    <mergeCell ref="JWW40:JXZ40"/>
    <mergeCell ref="JYA40:JZD40"/>
    <mergeCell ref="JZE40:KAH40"/>
    <mergeCell ref="KAI40:KBL40"/>
    <mergeCell ref="KBM40:KCP40"/>
    <mergeCell ref="JRC40:JSF40"/>
    <mergeCell ref="JSG40:JTJ40"/>
    <mergeCell ref="JTK40:JUN40"/>
    <mergeCell ref="JUO40:JVR40"/>
    <mergeCell ref="JVS40:JWV40"/>
    <mergeCell ref="JLI40:JML40"/>
    <mergeCell ref="JMM40:JNP40"/>
    <mergeCell ref="JNQ40:JOT40"/>
    <mergeCell ref="JOU40:JPX40"/>
    <mergeCell ref="JPY40:JRB40"/>
    <mergeCell ref="JFO40:JGR40"/>
    <mergeCell ref="JGS40:JHV40"/>
    <mergeCell ref="JHW40:JIZ40"/>
    <mergeCell ref="JJA40:JKD40"/>
    <mergeCell ref="JKE40:JLH40"/>
    <mergeCell ref="IZU40:JAX40"/>
    <mergeCell ref="JAY40:JCB40"/>
    <mergeCell ref="JCC40:JDF40"/>
    <mergeCell ref="JDG40:JEJ40"/>
    <mergeCell ref="JEK40:JFN40"/>
    <mergeCell ref="IUA40:IVD40"/>
    <mergeCell ref="IVE40:IWH40"/>
    <mergeCell ref="IWI40:IXL40"/>
    <mergeCell ref="IXM40:IYP40"/>
    <mergeCell ref="IYQ40:IZT40"/>
    <mergeCell ref="IOG40:IPJ40"/>
    <mergeCell ref="IPK40:IQN40"/>
    <mergeCell ref="IQO40:IRR40"/>
    <mergeCell ref="IRS40:ISV40"/>
    <mergeCell ref="ISW40:ITZ40"/>
    <mergeCell ref="IIM40:IJP40"/>
    <mergeCell ref="IJQ40:IKT40"/>
    <mergeCell ref="IKU40:ILX40"/>
    <mergeCell ref="ILY40:INB40"/>
    <mergeCell ref="INC40:IOF40"/>
    <mergeCell ref="ICS40:IDV40"/>
    <mergeCell ref="IDW40:IEZ40"/>
    <mergeCell ref="IFA40:IGD40"/>
    <mergeCell ref="IGE40:IHH40"/>
    <mergeCell ref="IHI40:IIL40"/>
    <mergeCell ref="HWY40:HYB40"/>
    <mergeCell ref="HYC40:HZF40"/>
    <mergeCell ref="HZG40:IAJ40"/>
    <mergeCell ref="IAK40:IBN40"/>
    <mergeCell ref="IBO40:ICR40"/>
    <mergeCell ref="HRE40:HSH40"/>
    <mergeCell ref="HSI40:HTL40"/>
    <mergeCell ref="HTM40:HUP40"/>
    <mergeCell ref="HUQ40:HVT40"/>
    <mergeCell ref="HVU40:HWX40"/>
    <mergeCell ref="HLK40:HMN40"/>
    <mergeCell ref="HMO40:HNR40"/>
    <mergeCell ref="HNS40:HOV40"/>
    <mergeCell ref="HOW40:HPZ40"/>
    <mergeCell ref="HQA40:HRD40"/>
    <mergeCell ref="HFQ40:HGT40"/>
    <mergeCell ref="HGU40:HHX40"/>
    <mergeCell ref="HHY40:HJB40"/>
    <mergeCell ref="HJC40:HKF40"/>
    <mergeCell ref="HKG40:HLJ40"/>
    <mergeCell ref="GZW40:HAZ40"/>
    <mergeCell ref="HBA40:HCD40"/>
    <mergeCell ref="HCE40:HDH40"/>
    <mergeCell ref="HDI40:HEL40"/>
    <mergeCell ref="HEM40:HFP40"/>
    <mergeCell ref="GUC40:GVF40"/>
    <mergeCell ref="GVG40:GWJ40"/>
    <mergeCell ref="GWK40:GXN40"/>
    <mergeCell ref="GXO40:GYR40"/>
    <mergeCell ref="GYS40:GZV40"/>
    <mergeCell ref="GOI40:GPL40"/>
    <mergeCell ref="GPM40:GQP40"/>
    <mergeCell ref="GQQ40:GRT40"/>
    <mergeCell ref="GRU40:GSX40"/>
    <mergeCell ref="GSY40:GUB40"/>
    <mergeCell ref="GIO40:GJR40"/>
    <mergeCell ref="GJS40:GKV40"/>
    <mergeCell ref="GKW40:GLZ40"/>
    <mergeCell ref="GMA40:GND40"/>
    <mergeCell ref="GNE40:GOH40"/>
    <mergeCell ref="GCU40:GDX40"/>
    <mergeCell ref="GDY40:GFB40"/>
    <mergeCell ref="GFC40:GGF40"/>
    <mergeCell ref="GGG40:GHJ40"/>
    <mergeCell ref="GHK40:GIN40"/>
    <mergeCell ref="FXA40:FYD40"/>
    <mergeCell ref="FYE40:FZH40"/>
    <mergeCell ref="FZI40:GAL40"/>
    <mergeCell ref="GAM40:GBP40"/>
    <mergeCell ref="GBQ40:GCT40"/>
    <mergeCell ref="FRG40:FSJ40"/>
    <mergeCell ref="FSK40:FTN40"/>
    <mergeCell ref="FTO40:FUR40"/>
    <mergeCell ref="FUS40:FVV40"/>
    <mergeCell ref="FVW40:FWZ40"/>
    <mergeCell ref="FLM40:FMP40"/>
    <mergeCell ref="FMQ40:FNT40"/>
    <mergeCell ref="FNU40:FOX40"/>
    <mergeCell ref="FOY40:FQB40"/>
    <mergeCell ref="FQC40:FRF40"/>
    <mergeCell ref="FFS40:FGV40"/>
    <mergeCell ref="FGW40:FHZ40"/>
    <mergeCell ref="FIA40:FJD40"/>
    <mergeCell ref="FJE40:FKH40"/>
    <mergeCell ref="FKI40:FLL40"/>
    <mergeCell ref="EZY40:FBB40"/>
    <mergeCell ref="FBC40:FCF40"/>
    <mergeCell ref="FCG40:FDJ40"/>
    <mergeCell ref="FDK40:FEN40"/>
    <mergeCell ref="FEO40:FFR40"/>
    <mergeCell ref="EUE40:EVH40"/>
    <mergeCell ref="EVI40:EWL40"/>
    <mergeCell ref="EWM40:EXP40"/>
    <mergeCell ref="EXQ40:EYT40"/>
    <mergeCell ref="EYU40:EZX40"/>
    <mergeCell ref="EOK40:EPN40"/>
    <mergeCell ref="EPO40:EQR40"/>
    <mergeCell ref="EQS40:ERV40"/>
    <mergeCell ref="ERW40:ESZ40"/>
    <mergeCell ref="ETA40:EUD40"/>
    <mergeCell ref="EIQ40:EJT40"/>
    <mergeCell ref="EJU40:EKX40"/>
    <mergeCell ref="EKY40:EMB40"/>
    <mergeCell ref="EMC40:ENF40"/>
    <mergeCell ref="ENG40:EOJ40"/>
    <mergeCell ref="ECW40:EDZ40"/>
    <mergeCell ref="EEA40:EFD40"/>
    <mergeCell ref="EFE40:EGH40"/>
    <mergeCell ref="EGI40:EHL40"/>
    <mergeCell ref="EHM40:EIP40"/>
    <mergeCell ref="DXC40:DYF40"/>
    <mergeCell ref="DYG40:DZJ40"/>
    <mergeCell ref="DZK40:EAN40"/>
    <mergeCell ref="EAO40:EBR40"/>
    <mergeCell ref="EBS40:ECV40"/>
    <mergeCell ref="DRI40:DSL40"/>
    <mergeCell ref="DSM40:DTP40"/>
    <mergeCell ref="DTQ40:DUT40"/>
    <mergeCell ref="DUU40:DVX40"/>
    <mergeCell ref="DVY40:DXB40"/>
    <mergeCell ref="DLO40:DMR40"/>
    <mergeCell ref="DMS40:DNV40"/>
    <mergeCell ref="DNW40:DOZ40"/>
    <mergeCell ref="DPA40:DQD40"/>
    <mergeCell ref="DQE40:DRH40"/>
    <mergeCell ref="DFU40:DGX40"/>
    <mergeCell ref="DGY40:DIB40"/>
    <mergeCell ref="DIC40:DJF40"/>
    <mergeCell ref="DJG40:DKJ40"/>
    <mergeCell ref="DKK40:DLN40"/>
    <mergeCell ref="DAA40:DBD40"/>
    <mergeCell ref="DBE40:DCH40"/>
    <mergeCell ref="DCI40:DDL40"/>
    <mergeCell ref="DDM40:DEP40"/>
    <mergeCell ref="DEQ40:DFT40"/>
    <mergeCell ref="CUG40:CVJ40"/>
    <mergeCell ref="CVK40:CWN40"/>
    <mergeCell ref="CWO40:CXR40"/>
    <mergeCell ref="CXS40:CYV40"/>
    <mergeCell ref="CYW40:CZZ40"/>
    <mergeCell ref="COM40:CPP40"/>
    <mergeCell ref="CPQ40:CQT40"/>
    <mergeCell ref="CQU40:CRX40"/>
    <mergeCell ref="CRY40:CTB40"/>
    <mergeCell ref="CTC40:CUF40"/>
    <mergeCell ref="CIS40:CJV40"/>
    <mergeCell ref="CJW40:CKZ40"/>
    <mergeCell ref="CLA40:CMD40"/>
    <mergeCell ref="CME40:CNH40"/>
    <mergeCell ref="CNI40:COL40"/>
    <mergeCell ref="CCY40:CEB40"/>
    <mergeCell ref="CEC40:CFF40"/>
    <mergeCell ref="CFG40:CGJ40"/>
    <mergeCell ref="CGK40:CHN40"/>
    <mergeCell ref="CHO40:CIR40"/>
    <mergeCell ref="BXE40:BYH40"/>
    <mergeCell ref="BYI40:BZL40"/>
    <mergeCell ref="BZM40:CAP40"/>
    <mergeCell ref="CAQ40:CBT40"/>
    <mergeCell ref="CBU40:CCX40"/>
    <mergeCell ref="BRK40:BSN40"/>
    <mergeCell ref="BSO40:BTR40"/>
    <mergeCell ref="BTS40:BUV40"/>
    <mergeCell ref="BUW40:BVZ40"/>
    <mergeCell ref="BWA40:BXD40"/>
    <mergeCell ref="BLQ40:BMT40"/>
    <mergeCell ref="BMU40:BNX40"/>
    <mergeCell ref="BNY40:BPB40"/>
    <mergeCell ref="BPC40:BQF40"/>
    <mergeCell ref="BQG40:BRJ40"/>
    <mergeCell ref="BFW40:BGZ40"/>
    <mergeCell ref="BHA40:BID40"/>
    <mergeCell ref="BIE40:BJH40"/>
    <mergeCell ref="BJI40:BKL40"/>
    <mergeCell ref="BKM40:BLP40"/>
    <mergeCell ref="BAC40:BBF40"/>
    <mergeCell ref="BBG40:BCJ40"/>
    <mergeCell ref="BCK40:BDN40"/>
    <mergeCell ref="BDO40:BER40"/>
    <mergeCell ref="BES40:BFV40"/>
    <mergeCell ref="AUI40:AVL40"/>
    <mergeCell ref="AVM40:AWP40"/>
    <mergeCell ref="AWQ40:AXT40"/>
    <mergeCell ref="AXU40:AYX40"/>
    <mergeCell ref="AYY40:BAB40"/>
    <mergeCell ref="AOO40:APR40"/>
    <mergeCell ref="APS40:AQV40"/>
    <mergeCell ref="AQW40:ARZ40"/>
    <mergeCell ref="ASA40:ATD40"/>
    <mergeCell ref="ATE40:AUH40"/>
    <mergeCell ref="AIU40:AJX40"/>
    <mergeCell ref="AJY40:ALB40"/>
    <mergeCell ref="ALC40:AMF40"/>
    <mergeCell ref="AMG40:ANJ40"/>
    <mergeCell ref="ANK40:AON40"/>
    <mergeCell ref="ADA40:AED40"/>
    <mergeCell ref="AEE40:AFH40"/>
    <mergeCell ref="AFI40:AGL40"/>
    <mergeCell ref="AGM40:AHP40"/>
    <mergeCell ref="AHQ40:AIT40"/>
    <mergeCell ref="XG40:YJ40"/>
    <mergeCell ref="YK40:ZN40"/>
    <mergeCell ref="ZO40:AAR40"/>
    <mergeCell ref="AAS40:ABV40"/>
    <mergeCell ref="ABW40:ACZ40"/>
    <mergeCell ref="RM40:SP40"/>
    <mergeCell ref="SQ40:TT40"/>
    <mergeCell ref="TU40:UX40"/>
    <mergeCell ref="UY40:WB40"/>
    <mergeCell ref="WC40:XF40"/>
    <mergeCell ref="LS40:MV40"/>
    <mergeCell ref="MW40:NZ40"/>
    <mergeCell ref="OA40:PD40"/>
    <mergeCell ref="PE40:QH40"/>
    <mergeCell ref="QI40:RL40"/>
    <mergeCell ref="FY40:HB40"/>
    <mergeCell ref="HC40:IF40"/>
    <mergeCell ref="IG40:JJ40"/>
    <mergeCell ref="JK40:KN40"/>
    <mergeCell ref="KO40:LR40"/>
    <mergeCell ref="AE40:BH40"/>
    <mergeCell ref="BI40:CL40"/>
    <mergeCell ref="CM40:DP40"/>
    <mergeCell ref="DQ40:ET40"/>
    <mergeCell ref="EU40:FX40"/>
    <mergeCell ref="A1:AD1"/>
    <mergeCell ref="A40:AD40"/>
    <mergeCell ref="C27:C28"/>
    <mergeCell ref="C36:C37"/>
    <mergeCell ref="C75:C76"/>
    <mergeCell ref="G36:G37"/>
    <mergeCell ref="H36:H37"/>
    <mergeCell ref="G75:G76"/>
    <mergeCell ref="H75:H76"/>
    <mergeCell ref="J30:M31"/>
    <mergeCell ref="J21:M22"/>
    <mergeCell ref="K27:K28"/>
    <mergeCell ref="F21:I22"/>
    <mergeCell ref="G27:G28"/>
    <mergeCell ref="H27:H28"/>
    <mergeCell ref="R30:U31"/>
    <mergeCell ref="N30:Q31"/>
    <mergeCell ref="K36:K37"/>
    <mergeCell ref="L36:L37"/>
    <mergeCell ref="R3:U4"/>
    <mergeCell ref="S9:S10"/>
    <mergeCell ref="T9:T10"/>
    <mergeCell ref="R12:U13"/>
    <mergeCell ref="S18:S19"/>
    <mergeCell ref="T18:T19"/>
    <mergeCell ref="S36:S37"/>
    <mergeCell ref="T36:T37"/>
    <mergeCell ref="O36:O37"/>
    <mergeCell ref="P36:P37"/>
    <mergeCell ref="S48:S49"/>
    <mergeCell ref="T48:T49"/>
    <mergeCell ref="S57:S58"/>
    <mergeCell ref="T57:T58"/>
    <mergeCell ref="C66:C67"/>
    <mergeCell ref="R51:U52"/>
    <mergeCell ref="B60:E61"/>
    <mergeCell ref="F60:I61"/>
    <mergeCell ref="J60:M61"/>
    <mergeCell ref="P66:P67"/>
    <mergeCell ref="S66:S67"/>
    <mergeCell ref="T66:T67"/>
    <mergeCell ref="N60:Q61"/>
    <mergeCell ref="R60:U61"/>
    <mergeCell ref="L75:L76"/>
    <mergeCell ref="O66:O67"/>
    <mergeCell ref="F69:I70"/>
    <mergeCell ref="J69:M70"/>
    <mergeCell ref="G66:G67"/>
    <mergeCell ref="H66:H67"/>
    <mergeCell ref="K66:K67"/>
    <mergeCell ref="L66:L67"/>
    <mergeCell ref="N69:Q70"/>
    <mergeCell ref="R69:U70"/>
    <mergeCell ref="V69:Y70"/>
    <mergeCell ref="O75:O76"/>
    <mergeCell ref="P75:P76"/>
    <mergeCell ref="S75:S76"/>
    <mergeCell ref="T75:T76"/>
    <mergeCell ref="W75:W76"/>
    <mergeCell ref="X75:X76"/>
    <mergeCell ref="B18:C18"/>
    <mergeCell ref="B21:E22"/>
    <mergeCell ref="B30:E31"/>
    <mergeCell ref="B57:C57"/>
    <mergeCell ref="B69:E70"/>
    <mergeCell ref="D66:D67"/>
    <mergeCell ref="R42:U43"/>
    <mergeCell ref="L27:L28"/>
    <mergeCell ref="N21:Q22"/>
    <mergeCell ref="O27:O28"/>
    <mergeCell ref="P27:P28"/>
    <mergeCell ref="R21:U22"/>
    <mergeCell ref="S27:S28"/>
    <mergeCell ref="T27:T28"/>
    <mergeCell ref="F30:I31"/>
    <mergeCell ref="K75:K76"/>
  </mergeCells>
  <conditionalFormatting sqref="D24">
    <cfRule type="dataBar" priority="82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{F3AEACC9-A8FD-4F93-BD96-24C49EFEE5C8}</x14:id>
        </ext>
      </extLst>
    </cfRule>
  </conditionalFormatting>
  <conditionalFormatting sqref="D25">
    <cfRule type="dataBar" priority="8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{91E328A4-7B8F-439D-8591-ACF4FC2E4D6B}</x14:id>
        </ext>
      </extLst>
    </cfRule>
  </conditionalFormatting>
  <conditionalFormatting sqref="D33">
    <cfRule type="dataBar" priority="67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{24BA412C-5B41-42FD-B2B1-B4A2F571AA49}</x14:id>
        </ext>
      </extLst>
    </cfRule>
  </conditionalFormatting>
  <conditionalFormatting sqref="D34">
    <cfRule type="dataBar" priority="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{304E289A-E0A9-4714-A588-BB803AF15B13}</x14:id>
        </ext>
      </extLst>
    </cfRule>
  </conditionalFormatting>
  <conditionalFormatting sqref="D63">
    <cfRule type="dataBar" priority="3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{1A4DB090-4C33-41EB-B2BB-015EA1AFDA23}</x14:id>
        </ext>
      </extLst>
    </cfRule>
  </conditionalFormatting>
  <conditionalFormatting sqref="D64"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{EED70A78-B4BC-4EE3-8833-27AEE6C12380}</x14:id>
        </ext>
      </extLst>
    </cfRule>
  </conditionalFormatting>
  <conditionalFormatting sqref="D72">
    <cfRule type="dataBar" priority="20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{7775B288-6A17-40B5-BC11-867B0F9F75C3}</x14:id>
        </ext>
      </extLst>
    </cfRule>
  </conditionalFormatting>
  <conditionalFormatting sqref="D73">
    <cfRule type="dataBar" priority="1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{84693B81-C9EF-4BCB-8340-45EC0715EE27}</x14:id>
        </ext>
      </extLst>
    </cfRule>
  </conditionalFormatting>
  <conditionalFormatting sqref="H24">
    <cfRule type="dataBar" priority="79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{14DDB562-2746-4934-9F15-E46F3801A00D}</x14:id>
        </ext>
      </extLst>
    </cfRule>
  </conditionalFormatting>
  <conditionalFormatting sqref="H25">
    <cfRule type="dataBar" priority="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{65FAD5E8-24D8-4505-9DFE-DC246568F43A}</x14:id>
        </ext>
      </extLst>
    </cfRule>
  </conditionalFormatting>
  <conditionalFormatting sqref="H33">
    <cfRule type="dataBar" priority="64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{DAFF1856-7189-4977-92D1-AE2A38A11E75}</x14:id>
        </ext>
      </extLst>
    </cfRule>
  </conditionalFormatting>
  <conditionalFormatting sqref="H34">
    <cfRule type="dataBar" priority="6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{160EC8F8-00EB-4991-AE10-AB3E9D4C91C2}</x14:id>
        </ext>
      </extLst>
    </cfRule>
  </conditionalFormatting>
  <conditionalFormatting sqref="H63">
    <cfRule type="dataBar" priority="32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{B8A5E1EE-71B1-41A1-A7C4-487A37094C78}</x14:id>
        </ext>
      </extLst>
    </cfRule>
  </conditionalFormatting>
  <conditionalFormatting sqref="H64">
    <cfRule type="dataBar" priority="3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{8FA85C67-1977-4E38-912B-9FABBBF9DC1F}</x14:id>
        </ext>
      </extLst>
    </cfRule>
  </conditionalFormatting>
  <conditionalFormatting sqref="H72">
    <cfRule type="dataBar" priority="17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{EEA5609C-2160-49A2-94AE-BB0CC91CD710}</x14:id>
        </ext>
      </extLst>
    </cfRule>
  </conditionalFormatting>
  <conditionalFormatting sqref="H73">
    <cfRule type="dataBar" priority="1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{878541DB-6299-4E2E-920F-B089BE0667C1}</x14:id>
        </ext>
      </extLst>
    </cfRule>
  </conditionalFormatting>
  <conditionalFormatting sqref="L24">
    <cfRule type="dataBar" priority="76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{33490397-5293-4153-A56E-3442655E1812}</x14:id>
        </ext>
      </extLst>
    </cfRule>
  </conditionalFormatting>
  <conditionalFormatting sqref="L25"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{4830F90C-ACC2-4C94-B029-18A593F973D4}</x14:id>
        </ext>
      </extLst>
    </cfRule>
  </conditionalFormatting>
  <conditionalFormatting sqref="L33">
    <cfRule type="dataBar" priority="61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{708A515F-9B66-4351-A5B1-E29BF4E9E0C1}</x14:id>
        </ext>
      </extLst>
    </cfRule>
  </conditionalFormatting>
  <conditionalFormatting sqref="L34"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{A811D042-EB8A-4C8F-98D9-3F3E86B2C0E5}</x14:id>
        </ext>
      </extLst>
    </cfRule>
  </conditionalFormatting>
  <conditionalFormatting sqref="L63">
    <cfRule type="dataBar" priority="29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{C191D750-D6B8-432D-B562-C236759396EE}</x14:id>
        </ext>
      </extLst>
    </cfRule>
  </conditionalFormatting>
  <conditionalFormatting sqref="L64">
    <cfRule type="dataBar" priority="2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{0ED5A9B7-1DE8-4CC3-B1F6-C71EC891366D}</x14:id>
        </ext>
      </extLst>
    </cfRule>
  </conditionalFormatting>
  <conditionalFormatting sqref="L72">
    <cfRule type="dataBar" priority="14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{4B48393F-6958-46C3-9F27-636765573544}</x14:id>
        </ext>
      </extLst>
    </cfRule>
  </conditionalFormatting>
  <conditionalFormatting sqref="L73">
    <cfRule type="dataBar" priority="1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{714BF8EB-C08B-4208-90A5-027FFF369E0E}</x14:id>
        </ext>
      </extLst>
    </cfRule>
  </conditionalFormatting>
  <conditionalFormatting sqref="P24">
    <cfRule type="dataBar" priority="73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{BAB57A0E-4C86-4804-8F40-DB7E6BC7395D}</x14:id>
        </ext>
      </extLst>
    </cfRule>
  </conditionalFormatting>
  <conditionalFormatting sqref="P25">
    <cfRule type="dataBar" priority="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{4588A347-EEB3-4D90-B73B-D8B7D315A1FD}</x14:id>
        </ext>
      </extLst>
    </cfRule>
  </conditionalFormatting>
  <conditionalFormatting sqref="P33">
    <cfRule type="dataBar" priority="5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{3869216E-6216-4978-B097-3F6791CC4E3D}</x14:id>
        </ext>
      </extLst>
    </cfRule>
  </conditionalFormatting>
  <conditionalFormatting sqref="P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{F43785D7-3810-49B6-B976-7589CF47D273}</x14:id>
        </ext>
      </extLst>
    </cfRule>
  </conditionalFormatting>
  <conditionalFormatting sqref="P63">
    <cfRule type="dataBar" priority="26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{695245B4-9C92-432C-899A-11AE9441D517}</x14:id>
        </ext>
      </extLst>
    </cfRule>
  </conditionalFormatting>
  <conditionalFormatting sqref="P64">
    <cfRule type="dataBar" priority="2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{9B0D0319-1BA1-4F4D-9444-2603E8E55265}</x14:id>
        </ext>
      </extLst>
    </cfRule>
  </conditionalFormatting>
  <conditionalFormatting sqref="P72">
    <cfRule type="dataBar" priority="11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{1ACF0856-33FD-4435-A358-F367659E54CA}</x14:id>
        </ext>
      </extLst>
    </cfRule>
  </conditionalFormatting>
  <conditionalFormatting sqref="P73"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{C8192F1E-B6FE-45C3-A285-EB5CB5D6D522}</x14:id>
        </ext>
      </extLst>
    </cfRule>
  </conditionalFormatting>
  <conditionalFormatting sqref="T6">
    <cfRule type="dataBar" priority="88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{4B1BB609-9E13-43E6-94D0-E1A44A33ECA0}</x14:id>
        </ext>
      </extLst>
    </cfRule>
  </conditionalFormatting>
  <conditionalFormatting sqref="T7">
    <cfRule type="dataBar" priority="8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{0F296F51-3E4B-4920-ACA1-7C079CD90355}</x14:id>
        </ext>
      </extLst>
    </cfRule>
  </conditionalFormatting>
  <conditionalFormatting sqref="T15">
    <cfRule type="dataBar" priority="8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{903D4131-0A90-4690-8D52-50FBFDE7721C}</x14:id>
        </ext>
      </extLst>
    </cfRule>
  </conditionalFormatting>
  <conditionalFormatting sqref="T16">
    <cfRule type="dataBar" priority="8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{061EDB3A-41FD-46F8-95C9-85CC4EA5ECE8}</x14:id>
        </ext>
      </extLst>
    </cfRule>
  </conditionalFormatting>
  <conditionalFormatting sqref="T24">
    <cfRule type="dataBar" priority="70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{3FA2AC40-3A96-46F0-8B38-037A48F73245}</x14:id>
        </ext>
      </extLst>
    </cfRule>
  </conditionalFormatting>
  <conditionalFormatting sqref="T25">
    <cfRule type="dataBar" priority="6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{EBF816C8-FD58-4CD7-8CC1-068507C253DE}</x14:id>
        </ext>
      </extLst>
    </cfRule>
  </conditionalFormatting>
  <conditionalFormatting sqref="T33">
    <cfRule type="dataBar" priority="52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{B9511E8F-2B3E-4702-B159-CDF8619D35CA}</x14:id>
        </ext>
      </extLst>
    </cfRule>
  </conditionalFormatting>
  <conditionalFormatting sqref="T34"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{ADD96C44-C573-47AE-AB56-D895D7F55DFC}</x14:id>
        </ext>
      </extLst>
    </cfRule>
  </conditionalFormatting>
  <conditionalFormatting sqref="T45">
    <cfRule type="dataBar" priority="41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{CB44F0C8-FFE5-4B7E-AFDB-752DDE9D7FDA}</x14:id>
        </ext>
      </extLst>
    </cfRule>
  </conditionalFormatting>
  <conditionalFormatting sqref="T46"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{CA0938E7-2149-4542-BB2A-BC52518BE9FD}</x14:id>
        </ext>
      </extLst>
    </cfRule>
  </conditionalFormatting>
  <conditionalFormatting sqref="T54">
    <cfRule type="dataBar" priority="38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{DA4C484A-E8FC-409E-843C-3117107CF965}</x14:id>
        </ext>
      </extLst>
    </cfRule>
  </conditionalFormatting>
  <conditionalFormatting sqref="T55"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{8E9D031A-DE2C-4D6B-BBF3-8A262FC2C139}</x14:id>
        </ext>
      </extLst>
    </cfRule>
  </conditionalFormatting>
  <conditionalFormatting sqref="T63">
    <cfRule type="dataBar" priority="23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{BB009E3A-96F8-4CFF-B843-E3F1053F0C75}</x14:id>
        </ext>
      </extLst>
    </cfRule>
  </conditionalFormatting>
  <conditionalFormatting sqref="T64"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{7203CEDE-D159-40F9-B498-B0BE009FE378}</x14:id>
        </ext>
      </extLst>
    </cfRule>
  </conditionalFormatting>
  <conditionalFormatting sqref="T72">
    <cfRule type="dataBar" priority="8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{9D4DB59E-27EE-4770-9AC8-860F5186B496}</x14:id>
        </ext>
      </extLst>
    </cfRule>
  </conditionalFormatting>
  <conditionalFormatting sqref="T73">
    <cfRule type="dataBar" priority="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{C16AB226-E3E9-4DFF-B0E5-004638DB6D17}</x14:id>
        </ext>
      </extLst>
    </cfRule>
  </conditionalFormatting>
  <conditionalFormatting sqref="X72">
    <cfRule type="dataBar" priority="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{63105256-B279-4555-B270-E0E2DB2F09E3}</x14:id>
        </ext>
      </extLst>
    </cfRule>
  </conditionalFormatting>
  <conditionalFormatting sqref="X73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{85B3C4D5-C9C6-42D2-9974-BA863DCC9497}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AEACC9-A8FD-4F93-BD96-24C49EFEE5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D24</xm:sqref>
        </x14:conditionalFormatting>
        <x14:conditionalFormatting xmlns:xm="http://schemas.microsoft.com/office/excel/2006/main">
          <x14:cfRule type="dataBar" id="{91E328A4-7B8F-439D-8591-ACF4FC2E4D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D25</xm:sqref>
        </x14:conditionalFormatting>
        <x14:conditionalFormatting xmlns:xm="http://schemas.microsoft.com/office/excel/2006/main">
          <x14:cfRule type="dataBar" id="{24BA412C-5B41-42FD-B2B1-B4A2F571AA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D33</xm:sqref>
        </x14:conditionalFormatting>
        <x14:conditionalFormatting xmlns:xm="http://schemas.microsoft.com/office/excel/2006/main">
          <x14:cfRule type="dataBar" id="{304E289A-E0A9-4714-A588-BB803AF15B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D34</xm:sqref>
        </x14:conditionalFormatting>
        <x14:conditionalFormatting xmlns:xm="http://schemas.microsoft.com/office/excel/2006/main">
          <x14:cfRule type="dataBar" id="{1A4DB090-4C33-41EB-B2BB-015EA1AFDA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D63</xm:sqref>
        </x14:conditionalFormatting>
        <x14:conditionalFormatting xmlns:xm="http://schemas.microsoft.com/office/excel/2006/main">
          <x14:cfRule type="dataBar" id="{EED70A78-B4BC-4EE3-8833-27AEE6C123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D64</xm:sqref>
        </x14:conditionalFormatting>
        <x14:conditionalFormatting xmlns:xm="http://schemas.microsoft.com/office/excel/2006/main">
          <x14:cfRule type="dataBar" id="{7775B288-6A17-40B5-BC11-867B0F9F75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D72</xm:sqref>
        </x14:conditionalFormatting>
        <x14:conditionalFormatting xmlns:xm="http://schemas.microsoft.com/office/excel/2006/main">
          <x14:cfRule type="dataBar" id="{84693B81-C9EF-4BCB-8340-45EC0715EE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D73</xm:sqref>
        </x14:conditionalFormatting>
        <x14:conditionalFormatting xmlns:xm="http://schemas.microsoft.com/office/excel/2006/main">
          <x14:cfRule type="dataBar" id="{14DDB562-2746-4934-9F15-E46F3801A0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65FAD5E8-24D8-4505-9DFE-DC246568F4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DAFF1856-7189-4977-92D1-AE2A38A11E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H33</xm:sqref>
        </x14:conditionalFormatting>
        <x14:conditionalFormatting xmlns:xm="http://schemas.microsoft.com/office/excel/2006/main">
          <x14:cfRule type="dataBar" id="{160EC8F8-00EB-4991-AE10-AB3E9D4C91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H34</xm:sqref>
        </x14:conditionalFormatting>
        <x14:conditionalFormatting xmlns:xm="http://schemas.microsoft.com/office/excel/2006/main">
          <x14:cfRule type="dataBar" id="{B8A5E1EE-71B1-41A1-A7C4-487A37094C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H63</xm:sqref>
        </x14:conditionalFormatting>
        <x14:conditionalFormatting xmlns:xm="http://schemas.microsoft.com/office/excel/2006/main">
          <x14:cfRule type="dataBar" id="{8FA85C67-1977-4E38-912B-9FABBBF9DC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H64</xm:sqref>
        </x14:conditionalFormatting>
        <x14:conditionalFormatting xmlns:xm="http://schemas.microsoft.com/office/excel/2006/main">
          <x14:cfRule type="dataBar" id="{EEA5609C-2160-49A2-94AE-BB0CC91CD7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H72</xm:sqref>
        </x14:conditionalFormatting>
        <x14:conditionalFormatting xmlns:xm="http://schemas.microsoft.com/office/excel/2006/main">
          <x14:cfRule type="dataBar" id="{878541DB-6299-4E2E-920F-B089BE0667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H73</xm:sqref>
        </x14:conditionalFormatting>
        <x14:conditionalFormatting xmlns:xm="http://schemas.microsoft.com/office/excel/2006/main">
          <x14:cfRule type="dataBar" id="{33490397-5293-4153-A56E-3442655E18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830F90C-ACC2-4C94-B029-18A593F973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708A515F-9B66-4351-A5B1-E29BF4E9E0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811D042-EB8A-4C8F-98D9-3F3E86B2C0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C191D750-D6B8-432D-B562-C236759396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L63</xm:sqref>
        </x14:conditionalFormatting>
        <x14:conditionalFormatting xmlns:xm="http://schemas.microsoft.com/office/excel/2006/main">
          <x14:cfRule type="dataBar" id="{0ED5A9B7-1DE8-4CC3-B1F6-C71EC8913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L64</xm:sqref>
        </x14:conditionalFormatting>
        <x14:conditionalFormatting xmlns:xm="http://schemas.microsoft.com/office/excel/2006/main">
          <x14:cfRule type="dataBar" id="{4B48393F-6958-46C3-9F27-6367655735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L72</xm:sqref>
        </x14:conditionalFormatting>
        <x14:conditionalFormatting xmlns:xm="http://schemas.microsoft.com/office/excel/2006/main">
          <x14:cfRule type="dataBar" id="{714BF8EB-C08B-4208-90A5-027FFF369E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L73</xm:sqref>
        </x14:conditionalFormatting>
        <x14:conditionalFormatting xmlns:xm="http://schemas.microsoft.com/office/excel/2006/main">
          <x14:cfRule type="dataBar" id="{BAB57A0E-4C86-4804-8F40-DB7E6BC739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4588A347-EEB3-4D90-B73B-D8B7D315A1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P25</xm:sqref>
        </x14:conditionalFormatting>
        <x14:conditionalFormatting xmlns:xm="http://schemas.microsoft.com/office/excel/2006/main">
          <x14:cfRule type="dataBar" id="{3869216E-6216-4978-B097-3F6791CC4E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P33</xm:sqref>
        </x14:conditionalFormatting>
        <x14:conditionalFormatting xmlns:xm="http://schemas.microsoft.com/office/excel/2006/main">
          <x14:cfRule type="dataBar" id="{F43785D7-3810-49B6-B976-7589CF47D2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P34</xm:sqref>
        </x14:conditionalFormatting>
        <x14:conditionalFormatting xmlns:xm="http://schemas.microsoft.com/office/excel/2006/main">
          <x14:cfRule type="dataBar" id="{695245B4-9C92-432C-899A-11AE9441D5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P63</xm:sqref>
        </x14:conditionalFormatting>
        <x14:conditionalFormatting xmlns:xm="http://schemas.microsoft.com/office/excel/2006/main">
          <x14:cfRule type="dataBar" id="{9B0D0319-1BA1-4F4D-9444-2603E8E552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P64</xm:sqref>
        </x14:conditionalFormatting>
        <x14:conditionalFormatting xmlns:xm="http://schemas.microsoft.com/office/excel/2006/main">
          <x14:cfRule type="dataBar" id="{1ACF0856-33FD-4435-A358-F367659E54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P72</xm:sqref>
        </x14:conditionalFormatting>
        <x14:conditionalFormatting xmlns:xm="http://schemas.microsoft.com/office/excel/2006/main">
          <x14:cfRule type="dataBar" id="{C8192F1E-B6FE-45C3-A285-EB5CB5D6D5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P73</xm:sqref>
        </x14:conditionalFormatting>
        <x14:conditionalFormatting xmlns:xm="http://schemas.microsoft.com/office/excel/2006/main">
          <x14:cfRule type="dataBar" id="{4B1BB609-9E13-43E6-94D0-E1A44A33EC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T6</xm:sqref>
        </x14:conditionalFormatting>
        <x14:conditionalFormatting xmlns:xm="http://schemas.microsoft.com/office/excel/2006/main">
          <x14:cfRule type="dataBar" id="{0F296F51-3E4B-4920-ACA1-7C079CD903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903D4131-0A90-4690-8D52-50FBFDE772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061EDB3A-41FD-46F8-95C9-85CC4EA5EC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3FA2AC40-3A96-46F0-8B38-037A48F732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T24</xm:sqref>
        </x14:conditionalFormatting>
        <x14:conditionalFormatting xmlns:xm="http://schemas.microsoft.com/office/excel/2006/main">
          <x14:cfRule type="dataBar" id="{EBF816C8-FD58-4CD7-8CC1-068507C253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T25</xm:sqref>
        </x14:conditionalFormatting>
        <x14:conditionalFormatting xmlns:xm="http://schemas.microsoft.com/office/excel/2006/main">
          <x14:cfRule type="dataBar" id="{B9511E8F-2B3E-4702-B159-CDF8619D35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T33</xm:sqref>
        </x14:conditionalFormatting>
        <x14:conditionalFormatting xmlns:xm="http://schemas.microsoft.com/office/excel/2006/main">
          <x14:cfRule type="dataBar" id="{ADD96C44-C573-47AE-AB56-D895D7F55D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T34</xm:sqref>
        </x14:conditionalFormatting>
        <x14:conditionalFormatting xmlns:xm="http://schemas.microsoft.com/office/excel/2006/main">
          <x14:cfRule type="dataBar" id="{CB44F0C8-FFE5-4B7E-AFDB-752DDE9D7F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T45</xm:sqref>
        </x14:conditionalFormatting>
        <x14:conditionalFormatting xmlns:xm="http://schemas.microsoft.com/office/excel/2006/main">
          <x14:cfRule type="dataBar" id="{CA0938E7-2149-4542-BB2A-BC52518BE9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T46</xm:sqref>
        </x14:conditionalFormatting>
        <x14:conditionalFormatting xmlns:xm="http://schemas.microsoft.com/office/excel/2006/main">
          <x14:cfRule type="dataBar" id="{DA4C484A-E8FC-409E-843C-3117107CF9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T54</xm:sqref>
        </x14:conditionalFormatting>
        <x14:conditionalFormatting xmlns:xm="http://schemas.microsoft.com/office/excel/2006/main">
          <x14:cfRule type="dataBar" id="{8E9D031A-DE2C-4D6B-BBF3-8A262FC2C1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T55</xm:sqref>
        </x14:conditionalFormatting>
        <x14:conditionalFormatting xmlns:xm="http://schemas.microsoft.com/office/excel/2006/main">
          <x14:cfRule type="dataBar" id="{BB009E3A-96F8-4CFF-B843-E3F1053F0C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T63</xm:sqref>
        </x14:conditionalFormatting>
        <x14:conditionalFormatting xmlns:xm="http://schemas.microsoft.com/office/excel/2006/main">
          <x14:cfRule type="dataBar" id="{7203CEDE-D159-40F9-B498-B0BE009FE3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T64</xm:sqref>
        </x14:conditionalFormatting>
        <x14:conditionalFormatting xmlns:xm="http://schemas.microsoft.com/office/excel/2006/main">
          <x14:cfRule type="dataBar" id="{9D4DB59E-27EE-4770-9AC8-860F5186B4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T72</xm:sqref>
        </x14:conditionalFormatting>
        <x14:conditionalFormatting xmlns:xm="http://schemas.microsoft.com/office/excel/2006/main">
          <x14:cfRule type="dataBar" id="{C16AB226-E3E9-4DFF-B0E5-004638DB6D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T73</xm:sqref>
        </x14:conditionalFormatting>
        <x14:conditionalFormatting xmlns:xm="http://schemas.microsoft.com/office/excel/2006/main">
          <x14:cfRule type="dataBar" id="{63105256-B279-4555-B270-E0E2DB2F09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X72</xm:sqref>
        </x14:conditionalFormatting>
        <x14:conditionalFormatting xmlns:xm="http://schemas.microsoft.com/office/excel/2006/main">
          <x14:cfRule type="dataBar" id="{85B3C4D5-C9C6-42D2-9974-BA863DCC94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X73</xm:sqref>
        </x14:conditionalFormatting>
        <x14:conditionalFormatting xmlns:xm="http://schemas.microsoft.com/office/excel/2006/main">
          <x14:cfRule type="iconSet" priority="80" id="{28933DC1-2076-4DD9-9C63-702AC0AF9B8C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D26</xm:sqref>
        </x14:conditionalFormatting>
        <x14:conditionalFormatting xmlns:xm="http://schemas.microsoft.com/office/excel/2006/main">
          <x14:cfRule type="iconSet" priority="65" id="{3ED01460-D12E-476F-8805-311942AA08DF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D35</xm:sqref>
        </x14:conditionalFormatting>
        <x14:conditionalFormatting xmlns:xm="http://schemas.microsoft.com/office/excel/2006/main">
          <x14:cfRule type="iconSet" priority="33" id="{EC2C0C6A-AEA1-4098-9289-4109438F32FE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D65</xm:sqref>
        </x14:conditionalFormatting>
        <x14:conditionalFormatting xmlns:xm="http://schemas.microsoft.com/office/excel/2006/main">
          <x14:cfRule type="iconSet" priority="18" id="{3A4999B4-DFF8-4158-9394-1390EC5F688B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D74</xm:sqref>
        </x14:conditionalFormatting>
        <x14:conditionalFormatting xmlns:xm="http://schemas.microsoft.com/office/excel/2006/main">
          <x14:cfRule type="iconSet" priority="2" id="{25A4B73F-2EA4-444E-9BBB-E02D36042195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D55:E55</xm:sqref>
        </x14:conditionalFormatting>
        <x14:conditionalFormatting xmlns:xm="http://schemas.microsoft.com/office/excel/2006/main">
          <x14:cfRule type="iconSet" priority="42" id="{A70AD516-71F6-4248-B900-39C1F36686EC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D16:F16</xm:sqref>
        </x14:conditionalFormatting>
        <x14:conditionalFormatting xmlns:xm="http://schemas.microsoft.com/office/excel/2006/main">
          <x14:cfRule type="iconSet" priority="1" id="{65B0D14C-7A20-47DC-AFA9-94D1BF192E2A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F55</xm:sqref>
        </x14:conditionalFormatting>
        <x14:conditionalFormatting xmlns:xm="http://schemas.microsoft.com/office/excel/2006/main">
          <x14:cfRule type="iconSet" priority="77" id="{FD77F5A7-59F7-47E7-B836-DA1395691C49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H26</xm:sqref>
        </x14:conditionalFormatting>
        <x14:conditionalFormatting xmlns:xm="http://schemas.microsoft.com/office/excel/2006/main">
          <x14:cfRule type="iconSet" priority="62" id="{6EAC8941-3904-48B4-9860-228FEC8DC46E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H35</xm:sqref>
        </x14:conditionalFormatting>
        <x14:conditionalFormatting xmlns:xm="http://schemas.microsoft.com/office/excel/2006/main">
          <x14:cfRule type="iconSet" priority="30" id="{662E17FE-E990-4978-8F89-7D59395EF65C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H65</xm:sqref>
        </x14:conditionalFormatting>
        <x14:conditionalFormatting xmlns:xm="http://schemas.microsoft.com/office/excel/2006/main">
          <x14:cfRule type="iconSet" priority="15" id="{EACF97E9-5427-4601-8858-56F081A54162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H74</xm:sqref>
        </x14:conditionalFormatting>
        <x14:conditionalFormatting xmlns:xm="http://schemas.microsoft.com/office/excel/2006/main">
          <x14:cfRule type="iconSet" priority="74" id="{C6A63DA0-434F-43FA-9031-5786370D04FD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L26</xm:sqref>
        </x14:conditionalFormatting>
        <x14:conditionalFormatting xmlns:xm="http://schemas.microsoft.com/office/excel/2006/main">
          <x14:cfRule type="iconSet" priority="59" id="{0EE4230C-7FA9-4E2B-874E-4F3EB184245A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L35</xm:sqref>
        </x14:conditionalFormatting>
        <x14:conditionalFormatting xmlns:xm="http://schemas.microsoft.com/office/excel/2006/main">
          <x14:cfRule type="iconSet" priority="27" id="{A654A8BF-8F83-4E35-AA3E-486D12A20579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L65</xm:sqref>
        </x14:conditionalFormatting>
        <x14:conditionalFormatting xmlns:xm="http://schemas.microsoft.com/office/excel/2006/main">
          <x14:cfRule type="iconSet" priority="12" id="{FC7A5BCB-9B58-4622-9F17-9934AE85887A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L74</xm:sqref>
        </x14:conditionalFormatting>
        <x14:conditionalFormatting xmlns:xm="http://schemas.microsoft.com/office/excel/2006/main">
          <x14:cfRule type="iconSet" priority="71" id="{3C8C2CE7-D9F5-4FA1-A417-CC0B28FF0097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P26</xm:sqref>
        </x14:conditionalFormatting>
        <x14:conditionalFormatting xmlns:xm="http://schemas.microsoft.com/office/excel/2006/main">
          <x14:cfRule type="iconSet" priority="53" id="{3E82509D-19A3-4F05-9DFC-2CA5064C8E61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P35</xm:sqref>
        </x14:conditionalFormatting>
        <x14:conditionalFormatting xmlns:xm="http://schemas.microsoft.com/office/excel/2006/main">
          <x14:cfRule type="iconSet" priority="24" id="{62084DC6-21C8-411F-B6AE-7D78272BB985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P65</xm:sqref>
        </x14:conditionalFormatting>
        <x14:conditionalFormatting xmlns:xm="http://schemas.microsoft.com/office/excel/2006/main">
          <x14:cfRule type="iconSet" priority="9" id="{3A1334C3-29EF-4CC3-B3B7-5D374D5556A6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P74</xm:sqref>
        </x14:conditionalFormatting>
        <x14:conditionalFormatting xmlns:xm="http://schemas.microsoft.com/office/excel/2006/main">
          <x14:cfRule type="iconSet" priority="86" id="{5C72E008-8A7F-418B-8367-B59B372234FB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T8</xm:sqref>
        </x14:conditionalFormatting>
        <x14:conditionalFormatting xmlns:xm="http://schemas.microsoft.com/office/excel/2006/main">
          <x14:cfRule type="iconSet" priority="83" id="{64945CC8-0EA9-4582-852E-BDAB3F0494BA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T17</xm:sqref>
        </x14:conditionalFormatting>
        <x14:conditionalFormatting xmlns:xm="http://schemas.microsoft.com/office/excel/2006/main">
          <x14:cfRule type="iconSet" priority="68" id="{C9711929-3D00-4E5F-B0EE-2C4984538DA1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T26</xm:sqref>
        </x14:conditionalFormatting>
        <x14:conditionalFormatting xmlns:xm="http://schemas.microsoft.com/office/excel/2006/main">
          <x14:cfRule type="iconSet" priority="50" id="{3EF73B0E-B0D9-4972-983B-6BAA5C722CC5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T35</xm:sqref>
        </x14:conditionalFormatting>
        <x14:conditionalFormatting xmlns:xm="http://schemas.microsoft.com/office/excel/2006/main">
          <x14:cfRule type="iconSet" priority="39" id="{F83CA0DF-63E5-437C-9AAF-F5ECBD6F0FC6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T47</xm:sqref>
        </x14:conditionalFormatting>
        <x14:conditionalFormatting xmlns:xm="http://schemas.microsoft.com/office/excel/2006/main">
          <x14:cfRule type="iconSet" priority="36" id="{CC81E046-817E-4F37-869E-576ABD68CFAE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T56</xm:sqref>
        </x14:conditionalFormatting>
        <x14:conditionalFormatting xmlns:xm="http://schemas.microsoft.com/office/excel/2006/main">
          <x14:cfRule type="iconSet" priority="21" id="{6122953B-103A-430F-8C80-5B985589D97C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T65</xm:sqref>
        </x14:conditionalFormatting>
        <x14:conditionalFormatting xmlns:xm="http://schemas.microsoft.com/office/excel/2006/main">
          <x14:cfRule type="iconSet" priority="6" id="{A59563DD-BDCD-4E78-B377-32F8587E563B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T74</xm:sqref>
        </x14:conditionalFormatting>
        <x14:conditionalFormatting xmlns:xm="http://schemas.microsoft.com/office/excel/2006/main">
          <x14:cfRule type="iconSet" priority="3" id="{FADBFACD-28A1-41A4-A22E-FA97EB7056E7}">
            <x14:iconSet iconSet="4TrafficLights" custom="1">
              <x14:cfvo type="percent">
                <xm:f>0</xm:f>
              </x14:cfvo>
              <x14:cfvo type="num">
                <xm:f>-0.1</xm:f>
              </x14:cfvo>
              <x14:cfvo type="num">
                <xm:f>-0.03</xm:f>
              </x14:cfvo>
              <x14:cfvo type="num">
                <xm:f>0</xm:f>
              </x14:cfvo>
              <x14:cfIcon iconSet="3TrafficLights1" iconId="0"/>
              <x14:cfIcon iconSet="3TrafficLights1" iconId="1"/>
              <x14:cfIcon iconSet="3TrafficLights1" iconId="2"/>
              <x14:cfIcon iconSet="3Symbols2" iconId="2"/>
            </x14:iconSet>
          </x14:cfRule>
          <xm:sqref>X74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c5f7b2-4ead-4975-887b-77cc1b8cf869">
      <Terms xmlns="http://schemas.microsoft.com/office/infopath/2007/PartnerControls"/>
    </lcf76f155ced4ddcb4097134ff3c332f>
    <TaxCatchAll xmlns="c1a95e23-c9a9-4519-922d-6f3ed21dba8c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62C250CE5AA84EA957BD844746A2FC" ma:contentTypeVersion="12" ma:contentTypeDescription="Crear nuevo documento." ma:contentTypeScope="" ma:versionID="d789be0d79b9739bd98d1c4ade772f98">
  <xsd:schema xmlns:xsd="http://www.w3.org/2001/XMLSchema" xmlns:xs="http://www.w3.org/2001/XMLSchema" xmlns:p="http://schemas.microsoft.com/office/2006/metadata/properties" xmlns:ns2="bac5f7b2-4ead-4975-887b-77cc1b8cf869" xmlns:ns3="c1a95e23-c9a9-4519-922d-6f3ed21dba8c" targetNamespace="http://schemas.microsoft.com/office/2006/metadata/properties" ma:root="true" ma:fieldsID="0691e3379918462a02810604ac3d8b47" ns2:_="" ns3:_="">
    <xsd:import namespace="bac5f7b2-4ead-4975-887b-77cc1b8cf869"/>
    <xsd:import namespace="c1a95e23-c9a9-4519-922d-6f3ed21db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5f7b2-4ead-4975-887b-77cc1b8cf8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9b53a0f5-4dc6-4105-8ebc-924a93b662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95e23-c9a9-4519-922d-6f3ed21dba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4fb541-a3ca-413f-b119-41c98b05851a}" ma:internalName="TaxCatchAll" ma:showField="CatchAllData" ma:web="c1a95e23-c9a9-4519-922d-6f3ed21db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D3724F6E-6689-44A9-A829-6A7B6A4D8AA5}">
  <ds:schemaRefs/>
</ds:datastoreItem>
</file>

<file path=customXml/itemProps2.xml><?xml version="1.0" encoding="utf-8"?>
<ds:datastoreItem xmlns:ds="http://schemas.openxmlformats.org/officeDocument/2006/customXml" ds:itemID="{21103144-AB33-401E-9F63-846B450B4689}">
  <ds:schemaRefs/>
</ds:datastoreItem>
</file>

<file path=customXml/itemProps3.xml><?xml version="1.0" encoding="utf-8"?>
<ds:datastoreItem xmlns:ds="http://schemas.openxmlformats.org/officeDocument/2006/customXml" ds:itemID="{C041EB9B-501F-4372-8687-CE6F00D49F27}">
  <ds:schemaRefs/>
</ds:datastoreItem>
</file>

<file path=customXml/itemProps4.xml><?xml version="1.0" encoding="utf-8"?>
<ds:datastoreItem xmlns:ds="http://schemas.openxmlformats.org/officeDocument/2006/customXml" ds:itemID="{AFB8DE0F-97CC-42B5-B8D7-42AF07714553}">
  <ds:schemaRefs>
    <ds:schemaRef ds:uri="http://schemas.microsoft.com/office/2006/metadata/properties"/>
    <ds:schemaRef ds:uri="http://schemas.microsoft.com/office/infopath/2007/PartnerControls"/>
    <ds:schemaRef ds:uri="bac5f7b2-4ead-4975-887b-77cc1b8cf869"/>
    <ds:schemaRef ds:uri="c1a95e23-c9a9-4519-922d-6f3ed21dba8c"/>
  </ds:schemaRefs>
</ds:datastoreItem>
</file>

<file path=customXml/itemProps5.xml><?xml version="1.0" encoding="utf-8"?>
<ds:datastoreItem xmlns:ds="http://schemas.openxmlformats.org/officeDocument/2006/customXml" ds:itemID="{CF597878-BD8E-4E45-B98E-3FB78111F5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c5f7b2-4ead-4975-887b-77cc1b8cf869"/>
    <ds:schemaRef ds:uri="c1a95e23-c9a9-4519-922d-6f3ed21dba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D455C813-0BCB-47D6-A811-910226151162}">
  <ds:schemaRefs/>
</ds:datastoreItem>
</file>

<file path=customXml/itemProps7.xml><?xml version="1.0" encoding="utf-8"?>
<ds:datastoreItem xmlns:ds="http://schemas.openxmlformats.org/officeDocument/2006/customXml" ds:itemID="{BC3291D9-73F1-4495-A594-5671E4A9FFD8}">
  <ds:schemaRefs/>
</ds:datastoreItem>
</file>

<file path=customXml/itemProps8.xml><?xml version="1.0" encoding="utf-8"?>
<ds:datastoreItem xmlns:ds="http://schemas.openxmlformats.org/officeDocument/2006/customXml" ds:itemID="{F826464B-4D90-4FF7-B182-3F3A846FD5DA}">
  <ds:schemaRefs/>
</ds:datastoreItem>
</file>

<file path=customXml/itemProps9.xml><?xml version="1.0" encoding="utf-8"?>
<ds:datastoreItem xmlns:ds="http://schemas.openxmlformats.org/officeDocument/2006/customXml" ds:itemID="{227A1688-3234-42EF-8D0C-D2D374D0CCEB}">
  <ds:schemaRefs/>
</ds:datastoreItem>
</file>

<file path=customXml/itemProps10.xml><?xml version="1.0" encoding="utf-8"?>
<ds:datastoreItem xmlns:ds="http://schemas.openxmlformats.org/officeDocument/2006/customXml" ds:itemID="{11D2EA06-C9BE-45D2-9701-33D5DA3FA683}">
  <ds:schemaRefs/>
</ds:datastoreItem>
</file>

<file path=customXml/itemProps11.xml><?xml version="1.0" encoding="utf-8"?>
<ds:datastoreItem xmlns:ds="http://schemas.openxmlformats.org/officeDocument/2006/customXml" ds:itemID="{DF803C5B-546F-4D2F-8A55-2D2DDFBD487B}">
  <ds:schemaRefs/>
</ds:datastoreItem>
</file>

<file path=customXml/itemProps12.xml><?xml version="1.0" encoding="utf-8"?>
<ds:datastoreItem xmlns:ds="http://schemas.openxmlformats.org/officeDocument/2006/customXml" ds:itemID="{2C3B7E4B-DECA-4C43-907B-7E7DFA58EB25}">
  <ds:schemaRefs/>
</ds:datastoreItem>
</file>

<file path=customXml/itemProps13.xml><?xml version="1.0" encoding="utf-8"?>
<ds:datastoreItem xmlns:ds="http://schemas.openxmlformats.org/officeDocument/2006/customXml" ds:itemID="{59277501-A5D7-4F9A-97CB-1127D1E79638}">
  <ds:schemaRefs/>
</ds:datastoreItem>
</file>

<file path=customXml/itemProps14.xml><?xml version="1.0" encoding="utf-8"?>
<ds:datastoreItem xmlns:ds="http://schemas.openxmlformats.org/officeDocument/2006/customXml" ds:itemID="{725B4D59-3259-4047-80F3-F93CA30225B6}">
  <ds:schemaRefs/>
</ds:datastoreItem>
</file>

<file path=customXml/itemProps15.xml><?xml version="1.0" encoding="utf-8"?>
<ds:datastoreItem xmlns:ds="http://schemas.openxmlformats.org/officeDocument/2006/customXml" ds:itemID="{DCFF3B3D-EB1C-4C48-A5F8-080FF5AC04D4}">
  <ds:schemaRefs/>
</ds:datastoreItem>
</file>

<file path=customXml/itemProps16.xml><?xml version="1.0" encoding="utf-8"?>
<ds:datastoreItem xmlns:ds="http://schemas.openxmlformats.org/officeDocument/2006/customXml" ds:itemID="{7E26AA74-5047-4CE9-B8F7-A432486810D3}">
  <ds:schemaRefs/>
</ds:datastoreItem>
</file>

<file path=customXml/itemProps17.xml><?xml version="1.0" encoding="utf-8"?>
<ds:datastoreItem xmlns:ds="http://schemas.openxmlformats.org/officeDocument/2006/customXml" ds:itemID="{EE4F5FAD-985E-433D-AA3F-F70703B4A95E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82BE8F6E-B935-4033-8D4D-52C73F5B5F00}">
  <ds:schemaRefs/>
</ds:datastoreItem>
</file>

<file path=customXml/itemProps19.xml><?xml version="1.0" encoding="utf-8"?>
<ds:datastoreItem xmlns:ds="http://schemas.openxmlformats.org/officeDocument/2006/customXml" ds:itemID="{24B94C6E-7DC3-440D-B6C8-EB23CC26D499}">
  <ds:schemaRefs/>
</ds:datastoreItem>
</file>

<file path=customXml/itemProps20.xml><?xml version="1.0" encoding="utf-8"?>
<ds:datastoreItem xmlns:ds="http://schemas.openxmlformats.org/officeDocument/2006/customXml" ds:itemID="{908DD6B0-E732-4E84-8798-396C5F1C12FC}">
  <ds:schemaRefs/>
</ds:datastoreItem>
</file>

<file path=customXml/itemProps21.xml><?xml version="1.0" encoding="utf-8"?>
<ds:datastoreItem xmlns:ds="http://schemas.openxmlformats.org/officeDocument/2006/customXml" ds:itemID="{114A9B42-F052-4CB5-9FDC-1E6370EFBFCB}">
  <ds:schemaRefs/>
</ds:datastoreItem>
</file>

<file path=customXml/itemProps22.xml><?xml version="1.0" encoding="utf-8"?>
<ds:datastoreItem xmlns:ds="http://schemas.openxmlformats.org/officeDocument/2006/customXml" ds:itemID="{17D07219-7460-4150-B697-9B0FEBD6153D}">
  <ds:schemaRefs/>
</ds:datastoreItem>
</file>

<file path=customXml/itemProps23.xml><?xml version="1.0" encoding="utf-8"?>
<ds:datastoreItem xmlns:ds="http://schemas.openxmlformats.org/officeDocument/2006/customXml" ds:itemID="{8B8E064D-5182-4BD3-BBF7-56418CAFD2EA}">
  <ds:schemaRefs/>
</ds:datastoreItem>
</file>

<file path=customXml/itemProps24.xml><?xml version="1.0" encoding="utf-8"?>
<ds:datastoreItem xmlns:ds="http://schemas.openxmlformats.org/officeDocument/2006/customXml" ds:itemID="{111B3BB8-C6F4-4847-86E5-833F25D4EE3E}">
  <ds:schemaRefs>
    <ds:schemaRef ds:uri="http://schemas.microsoft.com/sharepoint/v3/contenttype/forms"/>
  </ds:schemaRefs>
</ds:datastoreItem>
</file>

<file path=customXml/itemProps25.xml><?xml version="1.0" encoding="utf-8"?>
<ds:datastoreItem xmlns:ds="http://schemas.openxmlformats.org/officeDocument/2006/customXml" ds:itemID="{723F2390-DF92-4323-85DD-E2ABC11979D0}">
  <ds:schemaRefs/>
</ds:datastoreItem>
</file>

<file path=customXml/itemProps26.xml><?xml version="1.0" encoding="utf-8"?>
<ds:datastoreItem xmlns:ds="http://schemas.openxmlformats.org/officeDocument/2006/customXml" ds:itemID="{8B69B13E-10EC-41AD-B971-B92B0C66B201}">
  <ds:schemaRefs/>
</ds:datastoreItem>
</file>

<file path=customXml/itemProps27.xml><?xml version="1.0" encoding="utf-8"?>
<ds:datastoreItem xmlns:ds="http://schemas.openxmlformats.org/officeDocument/2006/customXml" ds:itemID="{121650D5-A294-427E-B952-8C1181D9B440}">
  <ds:schemaRefs/>
</ds:datastoreItem>
</file>

<file path=customXml/itemProps28.xml><?xml version="1.0" encoding="utf-8"?>
<ds:datastoreItem xmlns:ds="http://schemas.openxmlformats.org/officeDocument/2006/customXml" ds:itemID="{0D39472D-E703-4155-8A3F-EA61EC749575}">
  <ds:schemaRefs/>
</ds:datastoreItem>
</file>

<file path=customXml/itemProps29.xml><?xml version="1.0" encoding="utf-8"?>
<ds:datastoreItem xmlns:ds="http://schemas.openxmlformats.org/officeDocument/2006/customXml" ds:itemID="{C514CA15-D8D1-40DF-9300-B176A51421BE}">
  <ds:schemaRefs/>
</ds:datastoreItem>
</file>

<file path=customXml/itemProps30.xml><?xml version="1.0" encoding="utf-8"?>
<ds:datastoreItem xmlns:ds="http://schemas.openxmlformats.org/officeDocument/2006/customXml" ds:itemID="{59F8B95C-6999-446C-80E9-4D651610F1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EDT vieja</vt:lpstr>
      <vt:lpstr>EDT Nueva</vt:lpstr>
      <vt:lpstr>Plan OG</vt:lpstr>
      <vt:lpstr>Avance 100</vt:lpstr>
      <vt:lpstr>Plan 100</vt:lpstr>
      <vt:lpstr>Avance 39</vt:lpstr>
      <vt:lpstr>Plan 39</vt:lpstr>
      <vt:lpstr>Control de Avance</vt:lpstr>
      <vt:lpstr>Dashboard Completo</vt:lpstr>
      <vt:lpstr>Python</vt:lpstr>
      <vt:lpstr>Dashboard General</vt:lpstr>
      <vt:lpstr>Análisis de Desviación</vt:lpstr>
      <vt:lpstr>Dashboard Caldera</vt:lpstr>
      <vt:lpstr>Dashboard Turbina</vt:lpstr>
      <vt:lpstr>Dash_Comp_Men</vt:lpstr>
      <vt:lpstr>Dash_Gral_Men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Sosa</dc:creator>
  <cp:lastModifiedBy>Pedro Sosa</cp:lastModifiedBy>
  <cp:lastPrinted>2025-07-04T12:15:26Z</cp:lastPrinted>
  <dcterms:created xsi:type="dcterms:W3CDTF">2025-05-20T12:15:47Z</dcterms:created>
  <dcterms:modified xsi:type="dcterms:W3CDTF">2026-10-27T11:41:04Z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0x0101000762C250CE5AA84EA957BD844746A2FC</vt:lpwstr>
  </property>
</Properties>
</file>